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888" activeTab="8"/>
  </bookViews>
  <sheets>
    <sheet name="计算模型" sheetId="43" r:id="rId1"/>
    <sheet name="正常源项" sheetId="41" r:id="rId2"/>
    <sheet name="过滤效率" sheetId="39" r:id="rId3"/>
    <sheet name="事故释放率" sheetId="17" r:id="rId4"/>
    <sheet name="DN65-事故进程" sheetId="7" r:id="rId5"/>
    <sheet name="DN65-源项" sheetId="30" r:id="rId6"/>
    <sheet name="DN10-事故进程" sheetId="20" r:id="rId7"/>
    <sheet name="DN10-源项" sheetId="44" r:id="rId8"/>
    <sheet name="进水-事故进程" sheetId="25" r:id="rId9"/>
    <sheet name="进水-源项" sheetId="45" r:id="rId10"/>
    <sheet name="氦净化破口" sheetId="10" r:id="rId11"/>
    <sheet name="废液贮存罐泄露" sheetId="11" r:id="rId12"/>
    <sheet name="贮罐吊装" sheetId="12" r:id="rId13"/>
    <sheet name="进水+安全阀1不回座-源项" sheetId="46" r:id="rId14"/>
    <sheet name="进水蒸发器联箱(回座)-源项" sheetId="47" r:id="rId15"/>
    <sheet name="进水蒸发器联箱-源项" sheetId="38" r:id="rId16"/>
    <sheet name="DLOFC+ATWS-事故进程" sheetId="27" r:id="rId17"/>
    <sheet name="PLOFC+ATWS-事故进程" sheetId="28" r:id="rId18"/>
    <sheet name="衰变常数" sheetId="18" r:id="rId19"/>
    <sheet name="后果有效剂量" sheetId="13" r:id="rId20"/>
    <sheet name="后果甲状腺剂量" sheetId="14" r:id="rId21"/>
    <sheet name="安全壳压力计算" sheetId="19" r:id="rId22"/>
  </sheets>
  <calcPr calcId="144525"/>
</workbook>
</file>

<file path=xl/sharedStrings.xml><?xml version="1.0" encoding="utf-8"?>
<sst xmlns="http://schemas.openxmlformats.org/spreadsheetml/2006/main" count="11899" uniqueCount="4567">
  <si>
    <t>事故源项计算模型</t>
  </si>
  <si>
    <r>
      <t>空间</t>
    </r>
    <r>
      <rPr>
        <b/>
        <vertAlign val="superscript"/>
        <sz val="16"/>
        <color theme="1"/>
        <rFont val="宋体"/>
        <charset val="134"/>
      </rPr>
      <t xml:space="preserve">    释放机制</t>
    </r>
  </si>
  <si>
    <r>
      <rPr>
        <b/>
        <sz val="11"/>
        <color theme="1"/>
        <rFont val="宋体"/>
        <charset val="134"/>
      </rPr>
      <t>产生</t>
    </r>
  </si>
  <si>
    <t>转移</t>
  </si>
  <si>
    <r>
      <rPr>
        <b/>
        <sz val="11"/>
        <color theme="1"/>
        <rFont val="宋体"/>
        <charset val="134"/>
      </rPr>
      <t>去除</t>
    </r>
  </si>
  <si>
    <r>
      <rPr>
        <b/>
        <sz val="11"/>
        <color theme="1"/>
        <rFont val="宋体"/>
        <charset val="134"/>
      </rPr>
      <t>燃料</t>
    </r>
    <r>
      <rPr>
        <b/>
        <sz val="11"/>
        <color theme="1"/>
        <rFont val="Times New Roman"/>
        <charset val="134"/>
      </rPr>
      <t>A(t)</t>
    </r>
  </si>
  <si>
    <t>裂变、活化</t>
  </si>
  <si>
    <r>
      <rPr>
        <sz val="11"/>
        <color theme="1"/>
        <rFont val="宋体"/>
        <charset val="134"/>
      </rPr>
      <t>燃料释放</t>
    </r>
    <r>
      <rPr>
        <sz val="11"/>
        <color theme="1"/>
        <rFont val="Times New Roman"/>
        <charset val="134"/>
      </rPr>
      <t>rA(t)</t>
    </r>
  </si>
  <si>
    <r>
      <t>衰变</t>
    </r>
    <r>
      <rPr>
        <sz val="11"/>
        <color theme="1"/>
        <rFont val="Times New Roman"/>
        <charset val="134"/>
      </rPr>
      <t>λA(t)</t>
    </r>
  </si>
  <si>
    <r>
      <rPr>
        <b/>
        <sz val="11"/>
        <color theme="1"/>
        <rFont val="宋体"/>
        <charset val="134"/>
      </rPr>
      <t>一回路</t>
    </r>
    <r>
      <rPr>
        <b/>
        <sz val="11"/>
        <color theme="1"/>
        <rFont val="Times New Roman"/>
        <charset val="134"/>
      </rPr>
      <t>B(t)</t>
    </r>
  </si>
  <si>
    <r>
      <t>一回路释放</t>
    </r>
    <r>
      <rPr>
        <sz val="11"/>
        <color theme="1"/>
        <rFont val="Times New Roman"/>
        <charset val="134"/>
      </rPr>
      <t>fB(t)</t>
    </r>
  </si>
  <si>
    <r>
      <t>衰变</t>
    </r>
    <r>
      <rPr>
        <sz val="11"/>
        <color theme="1"/>
        <rFont val="Times New Roman"/>
        <charset val="134"/>
      </rPr>
      <t>λB(t)</t>
    </r>
    <r>
      <rPr>
        <sz val="11"/>
        <color theme="1"/>
        <rFont val="宋体"/>
        <charset val="134"/>
      </rPr>
      <t>，过滤，沉积</t>
    </r>
  </si>
  <si>
    <r>
      <t>舱室</t>
    </r>
    <r>
      <rPr>
        <b/>
        <sz val="11"/>
        <color theme="1"/>
        <rFont val="Times New Roman"/>
        <charset val="134"/>
      </rPr>
      <t>/</t>
    </r>
    <r>
      <rPr>
        <b/>
        <sz val="11"/>
        <color theme="1"/>
        <rFont val="宋体"/>
        <charset val="134"/>
      </rPr>
      <t>安全壳</t>
    </r>
    <r>
      <rPr>
        <b/>
        <sz val="11"/>
        <color theme="1"/>
        <rFont val="Times New Roman"/>
        <charset val="134"/>
      </rPr>
      <t>C(t)</t>
    </r>
  </si>
  <si>
    <r>
      <t>安全壳释放</t>
    </r>
    <r>
      <rPr>
        <sz val="11"/>
        <color theme="1"/>
        <rFont val="Times New Roman"/>
        <charset val="134"/>
      </rPr>
      <t>wC(t)</t>
    </r>
  </si>
  <si>
    <r>
      <t>衰变</t>
    </r>
    <r>
      <rPr>
        <sz val="11"/>
        <color theme="1"/>
        <rFont val="Times New Roman"/>
        <charset val="134"/>
      </rPr>
      <t>λC(t)</t>
    </r>
    <r>
      <rPr>
        <sz val="11"/>
        <color theme="1"/>
        <rFont val="宋体"/>
        <charset val="134"/>
      </rPr>
      <t>，过滤，沉积</t>
    </r>
  </si>
  <si>
    <r>
      <rPr>
        <b/>
        <sz val="11"/>
        <color theme="1"/>
        <rFont val="宋体"/>
        <charset val="134"/>
      </rPr>
      <t>环境</t>
    </r>
    <r>
      <rPr>
        <b/>
        <sz val="11"/>
        <color theme="1"/>
        <rFont val="Times New Roman"/>
        <charset val="134"/>
      </rPr>
      <t>D(t)</t>
    </r>
  </si>
  <si>
    <r>
      <rPr>
        <sz val="11"/>
        <color theme="1"/>
        <rFont val="宋体"/>
        <charset val="134"/>
      </rPr>
      <t>安全壳释放</t>
    </r>
    <r>
      <rPr>
        <sz val="11"/>
        <color theme="1"/>
        <rFont val="Times New Roman"/>
        <charset val="134"/>
      </rPr>
      <t>wC(t)</t>
    </r>
  </si>
  <si>
    <t>无</t>
  </si>
  <si>
    <r>
      <t>衰变</t>
    </r>
    <r>
      <rPr>
        <sz val="11"/>
        <color theme="1"/>
        <rFont val="Times New Roman"/>
        <charset val="134"/>
      </rPr>
      <t>λD(t)</t>
    </r>
  </si>
  <si>
    <t>关键参数说明</t>
  </si>
  <si>
    <t>燃料释放率r</t>
  </si>
  <si>
    <t>根据燃料温度分布，由扩散计算获得燃料向一回路释放率</t>
  </si>
  <si>
    <t>一回路释放率f</t>
  </si>
  <si>
    <t>根据一回路破口或开阀泄压、堆芯升温和核素扩散等综合作用计算一回路向安全壳释放率：
（1）泄压过程：由泄压比例和时长确定释放率；
（2）堆芯升温：压力平衡后，堆芯升温阶段，根据温度提升比例确定释放率；
（3）核素扩散：压力平衡后，堆芯不再升温，假设1%核素扩散释放到安全壳。
若破口成功隔离或安全阀关闭，一回路停止释放，释放率为0；若发生大破口或爆破快速泄压，发生瞬时释放。</t>
  </si>
  <si>
    <t>舱室/安全壳释放率w</t>
  </si>
  <si>
    <t>根据舱室/安全壳名义泄漏率确定安全壳向环境释放率，如100%Vol/d或10%Vol/d；若安全壳发生爆破，与环境连通，释放率取无穷大</t>
  </si>
  <si>
    <t>过滤</t>
  </si>
  <si>
    <t>通常不考虑，除非明确净化系统或碘过滤器正常运行，则根据过滤效率确定</t>
  </si>
  <si>
    <t>沉积</t>
  </si>
  <si>
    <t>不考虑其他沉积、去除作用</t>
  </si>
  <si>
    <t>初值确定</t>
  </si>
  <si>
    <t>初值由正常源项确定，包括堆芯总量（燃料）、一回路源项、安全壳源项等，根据一回路破口或开阀确定释放初始时刻，考虑事故后至初始时刻期间的释放作用</t>
  </si>
  <si>
    <t>本工程安全壳泄漏率</t>
  </si>
  <si>
    <t>vol/d</t>
  </si>
  <si>
    <t>核素扩散</t>
  </si>
  <si>
    <t>核素</t>
  </si>
  <si>
    <r>
      <rPr>
        <sz val="11"/>
        <rFont val="仿宋"/>
        <charset val="134"/>
      </rPr>
      <t>衰变常数</t>
    </r>
    <r>
      <rPr>
        <sz val="11"/>
        <rFont val="Times New Roman"/>
        <charset val="134"/>
      </rPr>
      <t>λ</t>
    </r>
  </si>
  <si>
    <r>
      <rPr>
        <sz val="11"/>
        <color rgb="FFFF0000"/>
        <rFont val="仿宋"/>
        <charset val="134"/>
      </rPr>
      <t>堆芯总量</t>
    </r>
    <r>
      <rPr>
        <sz val="11"/>
        <color rgb="FFFF0000"/>
        <rFont val="Times New Roman"/>
        <charset val="134"/>
      </rPr>
      <t>,bq</t>
    </r>
  </si>
  <si>
    <t>正常</t>
  </si>
  <si>
    <t>倍数</t>
  </si>
  <si>
    <t>正常工况安全壳内剂量</t>
  </si>
  <si>
    <r>
      <rPr>
        <sz val="11"/>
        <color rgb="FFFF0000"/>
        <rFont val="仿宋"/>
        <charset val="134"/>
      </rPr>
      <t>冷却剂中稳态平衡量</t>
    </r>
    <r>
      <rPr>
        <sz val="11"/>
        <color rgb="FFFF0000"/>
        <rFont val="Times New Roman"/>
        <charset val="134"/>
      </rPr>
      <t>,bq</t>
    </r>
  </si>
  <si>
    <t>氦净化系统低温吸附器和分子筛上的量</t>
  </si>
  <si>
    <t>一回路表面沉积量</t>
  </si>
  <si>
    <t>尘埃过滤器总</t>
  </si>
  <si>
    <t>氧化铜床总</t>
  </si>
  <si>
    <t>Kr-83m</t>
  </si>
  <si>
    <t>Kr-85</t>
  </si>
  <si>
    <t>Kr-85m</t>
  </si>
  <si>
    <t>Kr-87</t>
  </si>
  <si>
    <t>Kr-88</t>
  </si>
  <si>
    <t>Xe-131m</t>
  </si>
  <si>
    <t>Xe-133</t>
  </si>
  <si>
    <t>Xe-133m</t>
  </si>
  <si>
    <t>Xe-135</t>
  </si>
  <si>
    <t>I-131</t>
  </si>
  <si>
    <t>I-132</t>
  </si>
  <si>
    <t>I-133</t>
  </si>
  <si>
    <t>I-134</t>
  </si>
  <si>
    <t>I-135</t>
  </si>
  <si>
    <t>Sr-89</t>
  </si>
  <si>
    <t>Sr-90</t>
  </si>
  <si>
    <t>Cs-134</t>
  </si>
  <si>
    <t>Cs-137</t>
  </si>
  <si>
    <t>Ag-110m</t>
  </si>
  <si>
    <t>H-3</t>
  </si>
  <si>
    <t>C-14</t>
  </si>
  <si>
    <t>Co-60</t>
  </si>
  <si>
    <t>Ar-41</t>
  </si>
  <si>
    <t>Fe-55</t>
  </si>
  <si>
    <t>Ni-63</t>
  </si>
  <si>
    <t>Rb-88</t>
  </si>
  <si>
    <t>Cs-138</t>
  </si>
  <si>
    <t>SUM</t>
  </si>
  <si>
    <t>过滤效率</t>
  </si>
  <si>
    <t>BOOTH</t>
  </si>
  <si>
    <r>
      <rPr>
        <b/>
        <sz val="11"/>
        <color theme="1"/>
        <rFont val="Times New Roman"/>
        <charset val="134"/>
      </rPr>
      <t>UO2</t>
    </r>
    <r>
      <rPr>
        <b/>
        <sz val="11"/>
        <color theme="1"/>
        <rFont val="宋体"/>
        <charset val="134"/>
      </rPr>
      <t>核芯</t>
    </r>
  </si>
  <si>
    <r>
      <rPr>
        <b/>
        <sz val="11"/>
        <color theme="1"/>
        <rFont val="宋体"/>
        <charset val="134"/>
      </rPr>
      <t>石墨晶粒</t>
    </r>
  </si>
  <si>
    <r>
      <rPr>
        <b/>
        <sz val="11"/>
        <color theme="1"/>
        <rFont val="宋体"/>
        <charset val="134"/>
      </rPr>
      <t>石墨孔隙</t>
    </r>
  </si>
  <si>
    <r>
      <rPr>
        <b/>
        <sz val="11"/>
        <color theme="1"/>
        <rFont val="宋体"/>
        <charset val="134"/>
      </rPr>
      <t>释放率计算公式</t>
    </r>
  </si>
  <si>
    <r>
      <rPr>
        <b/>
        <sz val="11"/>
        <color theme="1"/>
        <rFont val="宋体"/>
        <charset val="134"/>
      </rPr>
      <t>扩散参数</t>
    </r>
    <r>
      <rPr>
        <b/>
        <sz val="11"/>
        <color theme="1"/>
        <rFont val="Times New Roman"/>
        <charset val="134"/>
      </rPr>
      <t xml:space="preserve"> &lt;1200K: </t>
    </r>
    <r>
      <rPr>
        <b/>
        <sz val="11"/>
        <color theme="1"/>
        <rFont val="宋体"/>
        <charset val="134"/>
      </rPr>
      <t>使用</t>
    </r>
    <r>
      <rPr>
        <b/>
        <sz val="11"/>
        <color theme="1"/>
        <rFont val="Times New Roman"/>
        <charset val="134"/>
      </rPr>
      <t>JULICH</t>
    </r>
    <r>
      <rPr>
        <b/>
        <sz val="11"/>
        <color theme="1"/>
        <rFont val="宋体"/>
        <charset val="134"/>
      </rPr>
      <t>参数</t>
    </r>
  </si>
  <si>
    <r>
      <rPr>
        <b/>
        <sz val="11"/>
        <color theme="1"/>
        <rFont val="宋体"/>
        <charset val="134"/>
      </rPr>
      <t>扩散参数</t>
    </r>
    <r>
      <rPr>
        <b/>
        <sz val="11"/>
        <color theme="1"/>
        <rFont val="Times New Roman"/>
        <charset val="134"/>
      </rPr>
      <t xml:space="preserve">&gt;=1200K: </t>
    </r>
    <r>
      <rPr>
        <b/>
        <sz val="11"/>
        <color theme="1"/>
        <rFont val="宋体"/>
        <charset val="134"/>
      </rPr>
      <t>使用</t>
    </r>
    <r>
      <rPr>
        <b/>
        <sz val="11"/>
        <color theme="1"/>
        <rFont val="Times New Roman"/>
        <charset val="134"/>
      </rPr>
      <t>IAEA978</t>
    </r>
  </si>
  <si>
    <r>
      <rPr>
        <sz val="11"/>
        <color theme="1"/>
        <rFont val="Times New Roman"/>
        <charset val="134"/>
      </rPr>
      <t>D=D</t>
    </r>
    <r>
      <rPr>
        <sz val="6"/>
        <color indexed="8"/>
        <rFont val="Times New Roman"/>
        <charset val="134"/>
      </rPr>
      <t>01</t>
    </r>
    <r>
      <rPr>
        <sz val="11"/>
        <color indexed="8"/>
        <rFont val="Times New Roman"/>
        <charset val="134"/>
      </rPr>
      <t>EXP(-Q01/RT)+D02EXP(-Q02/RT)</t>
    </r>
  </si>
  <si>
    <t>sqrt(λ*a2/D)</t>
  </si>
  <si>
    <t>λB3/x(cothx-1/x)</t>
  </si>
  <si>
    <r>
      <rPr>
        <b/>
        <sz val="11"/>
        <color theme="1"/>
        <rFont val="宋体"/>
        <charset val="134"/>
      </rPr>
      <t>数据-</t>
    </r>
    <r>
      <rPr>
        <b/>
        <sz val="11"/>
        <color theme="1"/>
        <rFont val="Times New Roman"/>
        <charset val="134"/>
      </rPr>
      <t>PM FSAR</t>
    </r>
    <r>
      <rPr>
        <b/>
        <sz val="11"/>
        <color theme="1"/>
        <rFont val="宋体"/>
        <charset val="134"/>
      </rPr>
      <t>使用</t>
    </r>
  </si>
  <si>
    <t>误差new/old</t>
  </si>
  <si>
    <t>数据-刘涛计算</t>
  </si>
  <si>
    <r>
      <rPr>
        <b/>
        <sz val="11"/>
        <color theme="1"/>
        <rFont val="宋体"/>
        <charset val="134"/>
      </rPr>
      <t>核素</t>
    </r>
  </si>
  <si>
    <t>λ(1/s)</t>
  </si>
  <si>
    <t>R(J/mol.K)</t>
  </si>
  <si>
    <t>D01(m2/S)</t>
  </si>
  <si>
    <t>Q01(J/mol)</t>
  </si>
  <si>
    <t>D02(m2/S)</t>
  </si>
  <si>
    <t>Q02(J/mol)</t>
  </si>
  <si>
    <t>a(m)</t>
  </si>
  <si>
    <t>D0(m2/S)</t>
  </si>
  <si>
    <t>Q0(J/mol)</t>
  </si>
  <si>
    <r>
      <rPr>
        <b/>
        <sz val="11"/>
        <color theme="1"/>
        <rFont val="Times New Roman"/>
        <charset val="134"/>
      </rPr>
      <t>B</t>
    </r>
    <r>
      <rPr>
        <b/>
        <sz val="11"/>
        <color theme="1"/>
        <rFont val="宋体"/>
        <charset val="134"/>
      </rPr>
      <t>铀污染</t>
    </r>
  </si>
  <si>
    <t>T/C</t>
  </si>
  <si>
    <t>T/K</t>
  </si>
  <si>
    <r>
      <rPr>
        <b/>
        <sz val="11"/>
        <color theme="1"/>
        <rFont val="宋体"/>
        <charset val="134"/>
      </rPr>
      <t>核芯破损率</t>
    </r>
  </si>
  <si>
    <r>
      <rPr>
        <b/>
        <sz val="11"/>
        <color theme="1"/>
        <rFont val="宋体"/>
        <charset val="134"/>
      </rPr>
      <t>核芯</t>
    </r>
    <r>
      <rPr>
        <b/>
        <sz val="11"/>
        <color theme="1"/>
        <rFont val="Times New Roman"/>
        <charset val="134"/>
      </rPr>
      <t>a</t>
    </r>
  </si>
  <si>
    <r>
      <rPr>
        <b/>
        <sz val="11"/>
        <color theme="1"/>
        <rFont val="宋体"/>
        <charset val="134"/>
      </rPr>
      <t>核芯</t>
    </r>
    <r>
      <rPr>
        <b/>
        <sz val="11"/>
        <color theme="1"/>
        <rFont val="Times New Roman"/>
        <charset val="134"/>
      </rPr>
      <t>D</t>
    </r>
  </si>
  <si>
    <r>
      <rPr>
        <b/>
        <sz val="11"/>
        <color theme="1"/>
        <rFont val="宋体"/>
        <charset val="134"/>
      </rPr>
      <t>核芯</t>
    </r>
    <r>
      <rPr>
        <b/>
        <sz val="11"/>
        <color theme="1"/>
        <rFont val="Times New Roman"/>
        <charset val="134"/>
      </rPr>
      <t>x</t>
    </r>
  </si>
  <si>
    <r>
      <rPr>
        <b/>
        <sz val="11"/>
        <color theme="1"/>
        <rFont val="宋体"/>
        <charset val="134"/>
      </rPr>
      <t>核芯释放率</t>
    </r>
  </si>
  <si>
    <r>
      <rPr>
        <b/>
        <sz val="11"/>
        <color theme="1"/>
        <rFont val="宋体"/>
        <charset val="134"/>
      </rPr>
      <t>晶粒</t>
    </r>
    <r>
      <rPr>
        <b/>
        <sz val="11"/>
        <color theme="1"/>
        <rFont val="Times New Roman"/>
        <charset val="134"/>
      </rPr>
      <t>D</t>
    </r>
  </si>
  <si>
    <r>
      <rPr>
        <b/>
        <sz val="11"/>
        <color theme="1"/>
        <rFont val="宋体"/>
        <charset val="134"/>
      </rPr>
      <t>晶粒</t>
    </r>
    <r>
      <rPr>
        <b/>
        <sz val="11"/>
        <color theme="1"/>
        <rFont val="Times New Roman"/>
        <charset val="134"/>
      </rPr>
      <t>x</t>
    </r>
  </si>
  <si>
    <r>
      <rPr>
        <b/>
        <sz val="11"/>
        <color theme="1"/>
        <rFont val="宋体"/>
        <charset val="134"/>
      </rPr>
      <t>晶粒释放率</t>
    </r>
  </si>
  <si>
    <r>
      <rPr>
        <b/>
        <sz val="11"/>
        <color theme="1"/>
        <rFont val="宋体"/>
        <charset val="134"/>
      </rPr>
      <t>孔隙</t>
    </r>
    <r>
      <rPr>
        <b/>
        <sz val="11"/>
        <color theme="1"/>
        <rFont val="Times New Roman"/>
        <charset val="134"/>
      </rPr>
      <t>D</t>
    </r>
  </si>
  <si>
    <r>
      <rPr>
        <b/>
        <sz val="11"/>
        <color theme="1"/>
        <rFont val="宋体"/>
        <charset val="134"/>
      </rPr>
      <t>孔隙</t>
    </r>
    <r>
      <rPr>
        <b/>
        <sz val="11"/>
        <color theme="1"/>
        <rFont val="Times New Roman"/>
        <charset val="134"/>
      </rPr>
      <t>x</t>
    </r>
  </si>
  <si>
    <r>
      <rPr>
        <b/>
        <sz val="11"/>
        <color theme="1"/>
        <rFont val="宋体"/>
        <charset val="134"/>
      </rPr>
      <t>总释放率</t>
    </r>
  </si>
  <si>
    <t>Fresco-II</t>
  </si>
  <si>
    <t>Kr85</t>
  </si>
  <si>
    <t>事故进程数据(堆芯温度）-郑艳华</t>
  </si>
  <si>
    <t>插值-获取体积均匀位置-径向</t>
  </si>
  <si>
    <t>N_A</t>
  </si>
  <si>
    <r>
      <rPr>
        <b/>
        <sz val="11"/>
        <color theme="1"/>
        <rFont val="宋体"/>
        <charset val="134"/>
      </rPr>
      <t>统计温度份额</t>
    </r>
  </si>
  <si>
    <t>DN65-FESTSTOFF TEMP-zhengyanhua-20231218</t>
  </si>
  <si>
    <t>N_R</t>
  </si>
  <si>
    <r>
      <t>PM</t>
    </r>
    <r>
      <rPr>
        <sz val="11"/>
        <color theme="1"/>
        <rFont val="宋体"/>
        <charset val="134"/>
      </rPr>
      <t>数据</t>
    </r>
  </si>
  <si>
    <t>0h</t>
  </si>
  <si>
    <r>
      <rPr>
        <b/>
        <sz val="11"/>
        <color theme="1"/>
        <rFont val="宋体"/>
        <charset val="134"/>
      </rPr>
      <t>温度</t>
    </r>
    <r>
      <rPr>
        <b/>
        <sz val="11"/>
        <color theme="1"/>
        <rFont val="Times New Roman"/>
        <charset val="134"/>
      </rPr>
      <t>/C</t>
    </r>
  </si>
  <si>
    <r>
      <rPr>
        <sz val="11"/>
        <color theme="1"/>
        <rFont val="宋体"/>
        <charset val="134"/>
      </rPr>
      <t>温度</t>
    </r>
    <r>
      <rPr>
        <sz val="11"/>
        <color theme="1"/>
        <rFont val="Times New Roman"/>
        <charset val="134"/>
      </rPr>
      <t>,C</t>
    </r>
  </si>
  <si>
    <t>DN65,8h</t>
  </si>
  <si>
    <t>DN65,24h</t>
  </si>
  <si>
    <t>dn65,48h</t>
  </si>
  <si>
    <t>dn65,72h</t>
  </si>
  <si>
    <t>R/Z[cm]</t>
  </si>
  <si>
    <r>
      <rPr>
        <b/>
        <sz val="11"/>
        <color theme="1"/>
        <rFont val="宋体"/>
        <charset val="134"/>
      </rPr>
      <t>最大温度</t>
    </r>
    <r>
      <rPr>
        <b/>
        <sz val="11"/>
        <color theme="1"/>
        <rFont val="Times New Roman"/>
        <charset val="134"/>
      </rPr>
      <t>/℃</t>
    </r>
  </si>
  <si>
    <r>
      <rPr>
        <b/>
        <sz val="11"/>
        <color theme="1"/>
        <rFont val="宋体"/>
        <charset val="134"/>
      </rPr>
      <t>平均温度</t>
    </r>
    <r>
      <rPr>
        <b/>
        <sz val="11"/>
        <color theme="1"/>
        <rFont val="Times New Roman"/>
        <charset val="134"/>
      </rPr>
      <t>/℃</t>
    </r>
  </si>
  <si>
    <r>
      <rPr>
        <b/>
        <sz val="11"/>
        <color theme="1"/>
        <rFont val="宋体"/>
        <charset val="134"/>
      </rPr>
      <t>平均温度</t>
    </r>
    <r>
      <rPr>
        <b/>
        <sz val="11"/>
        <color theme="1"/>
        <rFont val="Times New Roman"/>
        <charset val="134"/>
      </rPr>
      <t>/K</t>
    </r>
  </si>
  <si>
    <r>
      <rPr>
        <b/>
        <sz val="11"/>
        <color theme="1"/>
        <rFont val="宋体"/>
        <charset val="134"/>
      </rPr>
      <t>温度提升</t>
    </r>
  </si>
  <si>
    <r>
      <rPr>
        <b/>
        <sz val="11"/>
        <color theme="1"/>
        <rFont val="宋体"/>
        <charset val="134"/>
      </rPr>
      <t>膨胀速率</t>
    </r>
    <r>
      <rPr>
        <b/>
        <sz val="11"/>
        <color theme="1"/>
        <rFont val="Times New Roman"/>
        <charset val="134"/>
      </rPr>
      <t>/s</t>
    </r>
  </si>
  <si>
    <t>2h</t>
  </si>
  <si>
    <t>燃料平均释放率</t>
  </si>
  <si>
    <t>8h</t>
  </si>
  <si>
    <r>
      <rPr>
        <sz val="11"/>
        <color theme="1"/>
        <rFont val="Times New Roman"/>
        <charset val="134"/>
      </rPr>
      <t>PM-FSAR</t>
    </r>
    <r>
      <rPr>
        <sz val="11"/>
        <color theme="1"/>
        <rFont val="宋体"/>
        <charset val="134"/>
      </rPr>
      <t>数据</t>
    </r>
  </si>
  <si>
    <t>24h</t>
  </si>
  <si>
    <t>48h</t>
  </si>
  <si>
    <t>72h</t>
  </si>
  <si>
    <r>
      <rPr>
        <sz val="11"/>
        <color theme="1"/>
        <rFont val="Times New Roman"/>
        <charset val="134"/>
      </rPr>
      <t>倍数</t>
    </r>
    <r>
      <rPr>
        <sz val="11"/>
        <color theme="1"/>
        <rFont val="Times New Roman"/>
        <charset val="134"/>
      </rPr>
      <t>New/FSAR</t>
    </r>
  </si>
  <si>
    <t>96h</t>
  </si>
  <si>
    <t>氦气排放</t>
  </si>
  <si>
    <t>H</t>
  </si>
  <si>
    <t>MOL</t>
  </si>
  <si>
    <t>氦气质量/kg</t>
  </si>
  <si>
    <t>T1</t>
  </si>
  <si>
    <r>
      <rPr>
        <sz val="11"/>
        <color theme="1"/>
        <rFont val="宋体"/>
        <charset val="134"/>
      </rPr>
      <t>厂房</t>
    </r>
    <r>
      <rPr>
        <sz val="11"/>
        <color theme="1"/>
        <rFont val="Times New Roman"/>
        <charset val="134"/>
      </rPr>
      <t>T</t>
    </r>
  </si>
  <si>
    <t>厂房压力</t>
  </si>
  <si>
    <t>排放比例</t>
  </si>
  <si>
    <t>P1</t>
  </si>
  <si>
    <t>V1</t>
  </si>
  <si>
    <t>V2</t>
  </si>
  <si>
    <t>事故类型</t>
  </si>
  <si>
    <t>破口类</t>
  </si>
  <si>
    <t>事故源项</t>
  </si>
  <si>
    <t>无过滤</t>
  </si>
  <si>
    <t>有过滤</t>
  </si>
  <si>
    <t>正常源项</t>
  </si>
  <si>
    <t>瞬时释放</t>
  </si>
  <si>
    <t>升温释放</t>
  </si>
  <si>
    <t>HTR-PM FSAR</t>
  </si>
  <si>
    <t>比例</t>
  </si>
  <si>
    <t>CX PSAR-A</t>
  </si>
  <si>
    <t>事故进程</t>
  </si>
  <si>
    <t>DN65</t>
  </si>
  <si>
    <t>瞬时泄压比例</t>
  </si>
  <si>
    <t>安全壳瞬时泄压</t>
  </si>
  <si>
    <r>
      <t>第一时段</t>
    </r>
    <r>
      <rPr>
        <b/>
        <sz val="10"/>
        <color rgb="FFFF0000"/>
        <rFont val="Times New Roman"/>
        <charset val="134"/>
      </rPr>
      <t>h</t>
    </r>
  </si>
  <si>
    <t>t0/h</t>
  </si>
  <si>
    <t>t1/h</t>
  </si>
  <si>
    <t>泄压速率</t>
  </si>
  <si>
    <t>升温比例</t>
  </si>
  <si>
    <r>
      <t>安全壳泄漏率</t>
    </r>
    <r>
      <rPr>
        <b/>
        <sz val="10"/>
        <color rgb="FF00B050"/>
        <rFont val="Times New Roman"/>
        <charset val="134"/>
      </rPr>
      <t>/d</t>
    </r>
  </si>
  <si>
    <r>
      <t>第二时段</t>
    </r>
    <r>
      <rPr>
        <b/>
        <sz val="10"/>
        <color rgb="FFFF0000"/>
        <rFont val="Times New Roman"/>
        <charset val="134"/>
      </rPr>
      <t>/h</t>
    </r>
  </si>
  <si>
    <r>
      <t>第三时段</t>
    </r>
    <r>
      <rPr>
        <b/>
        <sz val="10"/>
        <color rgb="FFFF0000"/>
        <rFont val="Times New Roman"/>
        <charset val="134"/>
      </rPr>
      <t>/h</t>
    </r>
  </si>
  <si>
    <r>
      <t>第四时段</t>
    </r>
    <r>
      <rPr>
        <b/>
        <sz val="10"/>
        <color rgb="FFFF0000"/>
        <rFont val="Times New Roman"/>
        <charset val="134"/>
      </rPr>
      <t>/h</t>
    </r>
  </si>
  <si>
    <r>
      <t>第五时段</t>
    </r>
    <r>
      <rPr>
        <b/>
        <sz val="10"/>
        <color rgb="FFFF0000"/>
        <rFont val="Times New Roman"/>
        <charset val="134"/>
      </rPr>
      <t>/h</t>
    </r>
  </si>
  <si>
    <r>
      <t>第六时段</t>
    </r>
    <r>
      <rPr>
        <b/>
        <sz val="10"/>
        <color rgb="FFFF0000"/>
        <rFont val="Times New Roman"/>
        <charset val="134"/>
      </rPr>
      <t>/h</t>
    </r>
  </si>
  <si>
    <t>破口相关</t>
  </si>
  <si>
    <t>进水相关</t>
  </si>
  <si>
    <t>源项</t>
  </si>
  <si>
    <t>计算参数</t>
  </si>
  <si>
    <t>数值</t>
  </si>
  <si>
    <t>单位</t>
  </si>
  <si>
    <t>说明</t>
  </si>
  <si>
    <r>
      <t>0-2h</t>
    </r>
    <r>
      <rPr>
        <b/>
        <sz val="10"/>
        <rFont val="仿宋"/>
        <charset val="134"/>
      </rPr>
      <t>释放</t>
    </r>
  </si>
  <si>
    <r>
      <t>2-8h</t>
    </r>
    <r>
      <rPr>
        <b/>
        <sz val="10"/>
        <rFont val="仿宋"/>
        <charset val="134"/>
      </rPr>
      <t>释放</t>
    </r>
  </si>
  <si>
    <r>
      <t>8-24h</t>
    </r>
    <r>
      <rPr>
        <b/>
        <sz val="10"/>
        <rFont val="仿宋"/>
        <charset val="134"/>
      </rPr>
      <t>释放</t>
    </r>
  </si>
  <si>
    <r>
      <t>1-4</t>
    </r>
    <r>
      <rPr>
        <b/>
        <sz val="10"/>
        <rFont val="仿宋"/>
        <charset val="134"/>
      </rPr>
      <t>天释放</t>
    </r>
  </si>
  <si>
    <r>
      <t>4-30</t>
    </r>
    <r>
      <rPr>
        <b/>
        <sz val="10"/>
        <rFont val="仿宋"/>
        <charset val="134"/>
      </rPr>
      <t>天释放</t>
    </r>
  </si>
  <si>
    <t>合计</t>
  </si>
  <si>
    <t>瞬时总量</t>
  </si>
  <si>
    <r>
      <t>衰变常数</t>
    </r>
    <r>
      <rPr>
        <sz val="10"/>
        <rFont val="Times New Roman"/>
        <charset val="134"/>
      </rPr>
      <t>λ</t>
    </r>
  </si>
  <si>
    <r>
      <t>堆芯总量</t>
    </r>
    <r>
      <rPr>
        <sz val="10"/>
        <rFont val="Times New Roman"/>
        <charset val="134"/>
      </rPr>
      <t>,bq</t>
    </r>
  </si>
  <si>
    <r>
      <t>冷却剂中稳态平衡量</t>
    </r>
    <r>
      <rPr>
        <sz val="10"/>
        <rFont val="Times New Roman"/>
        <charset val="134"/>
      </rPr>
      <t>,bq</t>
    </r>
  </si>
  <si>
    <t>一回路表面解吸附释放量</t>
  </si>
  <si>
    <t>石墨粉尘载带释放量</t>
  </si>
  <si>
    <t>蒸发器表面沉积解吸因子</t>
  </si>
  <si>
    <t>蒸发器表面沉积冲刷释放</t>
  </si>
  <si>
    <t>燃料颗粒外的释放份额</t>
  </si>
  <si>
    <t>元件外释放份额</t>
  </si>
  <si>
    <t>腐蚀的燃料元件基体石墨的释放</t>
  </si>
  <si>
    <r>
      <t>水</t>
    </r>
    <r>
      <rPr>
        <sz val="10"/>
        <rFont val="Times New Roman"/>
        <charset val="134"/>
      </rPr>
      <t>/</t>
    </r>
    <r>
      <rPr>
        <sz val="10"/>
        <rFont val="仿宋"/>
        <charset val="134"/>
      </rPr>
      <t>汽反应导致破损颗粒的释放</t>
    </r>
  </si>
  <si>
    <t>泄压前燃料释放率</t>
  </si>
  <si>
    <t>泄压前一回路升温附加释放量</t>
  </si>
  <si>
    <r>
      <t>泄压时燃料总量</t>
    </r>
    <r>
      <rPr>
        <sz val="10"/>
        <rFont val="Times New Roman"/>
        <charset val="134"/>
      </rPr>
      <t>A</t>
    </r>
  </si>
  <si>
    <t>泄压前一回路总量</t>
  </si>
  <si>
    <r>
      <t>泄压后一回路总量</t>
    </r>
    <r>
      <rPr>
        <sz val="10"/>
        <rFont val="Times New Roman"/>
        <charset val="134"/>
      </rPr>
      <t>B</t>
    </r>
  </si>
  <si>
    <t>泄压前安全壳总量</t>
  </si>
  <si>
    <r>
      <t>泄压后安全壳总量</t>
    </r>
    <r>
      <rPr>
        <sz val="10"/>
        <rFont val="Times New Roman"/>
        <charset val="134"/>
      </rPr>
      <t>C</t>
    </r>
  </si>
  <si>
    <t>瞬时释放量</t>
  </si>
  <si>
    <r>
      <t>时段长度</t>
    </r>
    <r>
      <rPr>
        <sz val="10"/>
        <rFont val="Times New Roman"/>
        <charset val="134"/>
      </rPr>
      <t>T,s</t>
    </r>
  </si>
  <si>
    <r>
      <t>起始燃料总量</t>
    </r>
    <r>
      <rPr>
        <sz val="10"/>
        <rFont val="Times New Roman"/>
        <charset val="134"/>
      </rPr>
      <t>A0</t>
    </r>
  </si>
  <si>
    <r>
      <t>起始一回路总量</t>
    </r>
    <r>
      <rPr>
        <sz val="10"/>
        <rFont val="Times New Roman"/>
        <charset val="134"/>
      </rPr>
      <t>B0</t>
    </r>
  </si>
  <si>
    <r>
      <t>起始安全壳总量</t>
    </r>
    <r>
      <rPr>
        <sz val="10"/>
        <rFont val="Times New Roman"/>
        <charset val="134"/>
      </rPr>
      <t>C0</t>
    </r>
  </si>
  <si>
    <r>
      <t>起始环境总量</t>
    </r>
    <r>
      <rPr>
        <sz val="10"/>
        <rFont val="Times New Roman"/>
        <charset val="134"/>
      </rPr>
      <t>D0</t>
    </r>
  </si>
  <si>
    <r>
      <t>燃料向一回路释放率</t>
    </r>
    <r>
      <rPr>
        <sz val="10"/>
        <rFont val="Times New Roman"/>
        <charset val="134"/>
      </rPr>
      <t>r, s-1</t>
    </r>
  </si>
  <si>
    <r>
      <t>一回路向安全壳释放率</t>
    </r>
    <r>
      <rPr>
        <sz val="10"/>
        <rFont val="Times New Roman"/>
        <charset val="134"/>
      </rPr>
      <t>f, s-1</t>
    </r>
  </si>
  <si>
    <r>
      <t>安全壳向环境释放率</t>
    </r>
    <r>
      <rPr>
        <sz val="10"/>
        <rFont val="Times New Roman"/>
        <charset val="134"/>
      </rPr>
      <t>w, s-1</t>
    </r>
  </si>
  <si>
    <r>
      <t>临时变量</t>
    </r>
    <r>
      <rPr>
        <sz val="10"/>
        <rFont val="Times New Roman"/>
        <charset val="134"/>
      </rPr>
      <t>R</t>
    </r>
  </si>
  <si>
    <r>
      <t>临时变量</t>
    </r>
    <r>
      <rPr>
        <sz val="10"/>
        <rFont val="Times New Roman"/>
        <charset val="134"/>
      </rPr>
      <t>F</t>
    </r>
  </si>
  <si>
    <r>
      <t>临时变量</t>
    </r>
    <r>
      <rPr>
        <sz val="10"/>
        <rFont val="Times New Roman"/>
        <charset val="134"/>
      </rPr>
      <t>W</t>
    </r>
  </si>
  <si>
    <r>
      <t>临时变量</t>
    </r>
    <r>
      <rPr>
        <sz val="10"/>
        <rFont val="Times New Roman"/>
        <charset val="134"/>
      </rPr>
      <t>X</t>
    </r>
  </si>
  <si>
    <r>
      <t>临时变量</t>
    </r>
    <r>
      <rPr>
        <sz val="10"/>
        <rFont val="Times New Roman"/>
        <charset val="134"/>
      </rPr>
      <t>Y</t>
    </r>
  </si>
  <si>
    <r>
      <t>临时变量</t>
    </r>
    <r>
      <rPr>
        <sz val="10"/>
        <rFont val="Times New Roman"/>
        <charset val="134"/>
      </rPr>
      <t>Z</t>
    </r>
  </si>
  <si>
    <r>
      <t>结束燃料总量</t>
    </r>
    <r>
      <rPr>
        <sz val="10"/>
        <rFont val="Times New Roman"/>
        <charset val="134"/>
      </rPr>
      <t>A(T)</t>
    </r>
  </si>
  <si>
    <r>
      <t>结束一回路总量</t>
    </r>
    <r>
      <rPr>
        <sz val="10"/>
        <rFont val="Times New Roman"/>
        <charset val="134"/>
      </rPr>
      <t>B(T)</t>
    </r>
  </si>
  <si>
    <r>
      <t>结束安全壳总量</t>
    </r>
    <r>
      <rPr>
        <sz val="10"/>
        <rFont val="Times New Roman"/>
        <charset val="134"/>
      </rPr>
      <t>C(T)</t>
    </r>
  </si>
  <si>
    <r>
      <t>结束环境总量</t>
    </r>
    <r>
      <rPr>
        <sz val="10"/>
        <rFont val="Times New Roman"/>
        <charset val="134"/>
      </rPr>
      <t>D(T)</t>
    </r>
  </si>
  <si>
    <r>
      <t>燃料向一回路释放量</t>
    </r>
    <r>
      <rPr>
        <sz val="10"/>
        <rFont val="Times New Roman"/>
        <charset val="134"/>
      </rPr>
      <t>AB</t>
    </r>
    <r>
      <rPr>
        <sz val="10"/>
        <rFont val="仿宋"/>
        <charset val="134"/>
      </rPr>
      <t>（</t>
    </r>
    <r>
      <rPr>
        <sz val="10"/>
        <rFont val="Times New Roman"/>
        <charset val="134"/>
      </rPr>
      <t>T)</t>
    </r>
  </si>
  <si>
    <r>
      <t>一回路向安全壳释放量</t>
    </r>
    <r>
      <rPr>
        <sz val="10"/>
        <rFont val="Times New Roman"/>
        <charset val="134"/>
      </rPr>
      <t>BC</t>
    </r>
    <r>
      <rPr>
        <sz val="10"/>
        <rFont val="仿宋"/>
        <charset val="134"/>
      </rPr>
      <t>（</t>
    </r>
    <r>
      <rPr>
        <sz val="10"/>
        <rFont val="Times New Roman"/>
        <charset val="134"/>
      </rPr>
      <t>T)</t>
    </r>
  </si>
  <si>
    <r>
      <t>安全壳向环境释放量</t>
    </r>
    <r>
      <rPr>
        <sz val="10"/>
        <rFont val="Times New Roman"/>
        <charset val="134"/>
      </rPr>
      <t>CD</t>
    </r>
    <r>
      <rPr>
        <sz val="10"/>
        <rFont val="仿宋"/>
        <charset val="134"/>
      </rPr>
      <t>（</t>
    </r>
    <r>
      <rPr>
        <sz val="10"/>
        <rFont val="Times New Roman"/>
        <charset val="134"/>
      </rPr>
      <t>T)</t>
    </r>
  </si>
  <si>
    <t>0-8h</t>
  </si>
  <si>
    <t>8-24h</t>
  </si>
  <si>
    <r>
      <t>1-3 </t>
    </r>
    <r>
      <rPr>
        <sz val="10"/>
        <color rgb="FF000000"/>
        <rFont val="仿宋"/>
        <charset val="134"/>
      </rPr>
      <t>天</t>
    </r>
  </si>
  <si>
    <t>总计</t>
  </si>
  <si>
    <r>
      <t>3</t>
    </r>
    <r>
      <rPr>
        <sz val="10"/>
        <color rgb="FF000000"/>
        <rFont val="仿宋"/>
        <charset val="0"/>
      </rPr>
      <t>天合计</t>
    </r>
  </si>
  <si>
    <t>破口瞬时释放</t>
  </si>
  <si>
    <r>
      <t>1-2</t>
    </r>
    <r>
      <rPr>
        <sz val="10"/>
        <color rgb="FF000000"/>
        <rFont val="仿宋"/>
        <charset val="0"/>
      </rPr>
      <t>天</t>
    </r>
  </si>
  <si>
    <r>
      <t>2-4</t>
    </r>
    <r>
      <rPr>
        <sz val="10"/>
        <color rgb="FF000000"/>
        <rFont val="仿宋"/>
        <charset val="0"/>
      </rPr>
      <t>天</t>
    </r>
  </si>
  <si>
    <r>
      <t>4-30</t>
    </r>
    <r>
      <rPr>
        <sz val="10"/>
        <color rgb="FF000000"/>
        <rFont val="仿宋"/>
        <charset val="0"/>
      </rPr>
      <t>天</t>
    </r>
  </si>
  <si>
    <t>释放总量</t>
  </si>
  <si>
    <r>
      <t>1-4</t>
    </r>
    <r>
      <rPr>
        <sz val="10"/>
        <color rgb="FF000000"/>
        <rFont val="仿宋"/>
        <charset val="0"/>
      </rPr>
      <t>天</t>
    </r>
  </si>
  <si>
    <t>λ</t>
  </si>
  <si>
    <t>T</t>
  </si>
  <si>
    <t>放射性来源</t>
  </si>
  <si>
    <t>一回路稳态释放</t>
  </si>
  <si>
    <t>份额</t>
  </si>
  <si>
    <t>沉积解吸</t>
  </si>
  <si>
    <t>倍稳态</t>
  </si>
  <si>
    <t>粉尘载带</t>
  </si>
  <si>
    <t>倍失压</t>
  </si>
  <si>
    <r>
      <t>1/500,</t>
    </r>
    <r>
      <rPr>
        <sz val="10"/>
        <rFont val="仿宋"/>
        <charset val="134"/>
      </rPr>
      <t>碘</t>
    </r>
    <r>
      <rPr>
        <sz val="10"/>
        <rFont val="Times New Roman"/>
        <charset val="134"/>
      </rPr>
      <t>10/500</t>
    </r>
  </si>
  <si>
    <t>氦净化解吸</t>
  </si>
  <si>
    <t>沉积冲刷</t>
  </si>
  <si>
    <t>进水类</t>
  </si>
  <si>
    <t>水汽腐蚀</t>
  </si>
  <si>
    <r>
      <t>0</t>
    </r>
    <r>
      <rPr>
        <sz val="10"/>
        <rFont val="仿宋"/>
        <charset val="134"/>
      </rPr>
      <t>或</t>
    </r>
    <r>
      <rPr>
        <sz val="10"/>
        <rFont val="Times New Roman"/>
        <charset val="134"/>
      </rPr>
      <t>1</t>
    </r>
  </si>
  <si>
    <t>升温附加释放</t>
  </si>
  <si>
    <t>一回路破口或开阀时刻</t>
  </si>
  <si>
    <t>h</t>
  </si>
  <si>
    <t>一回路破口隔离或关阀时刻</t>
  </si>
  <si>
    <t>一回路瞬时泄压比例</t>
  </si>
  <si>
    <r>
      <t>厂房瞬时泄压</t>
    </r>
    <r>
      <rPr>
        <b/>
        <sz val="10"/>
        <rFont val="Times New Roman"/>
        <charset val="134"/>
      </rPr>
      <t>/</t>
    </r>
    <r>
      <rPr>
        <b/>
        <sz val="10"/>
        <rFont val="仿宋"/>
        <charset val="134"/>
      </rPr>
      <t>爆破比例</t>
    </r>
  </si>
  <si>
    <t>0-2h</t>
  </si>
  <si>
    <t>一回路泄压速率</t>
  </si>
  <si>
    <t>/s</t>
  </si>
  <si>
    <t>是否有泄压，如有根据破口大小</t>
  </si>
  <si>
    <t>一回路膨胀比例</t>
  </si>
  <si>
    <t>温度提升</t>
  </si>
  <si>
    <t>安全壳释放率</t>
  </si>
  <si>
    <t>/d</t>
  </si>
  <si>
    <t>爆破或泄漏</t>
  </si>
  <si>
    <t>2-8h</t>
  </si>
  <si>
    <t>安全壳泄漏率</t>
  </si>
  <si>
    <t>24-48h</t>
  </si>
  <si>
    <t>一回路泄压比例</t>
  </si>
  <si>
    <t>48-96h</t>
  </si>
  <si>
    <t>Sv</t>
  </si>
  <si>
    <t>mSv</t>
  </si>
  <si>
    <r>
      <t>24</t>
    </r>
    <r>
      <rPr>
        <sz val="10"/>
        <color theme="1"/>
        <rFont val="仿宋"/>
        <charset val="134"/>
      </rPr>
      <t>小时释放率</t>
    </r>
  </si>
  <si>
    <r>
      <t>2h</t>
    </r>
    <r>
      <rPr>
        <sz val="10"/>
        <color theme="1"/>
        <rFont val="仿宋"/>
        <charset val="134"/>
      </rPr>
      <t>释放率</t>
    </r>
  </si>
  <si>
    <r>
      <t>8h</t>
    </r>
    <r>
      <rPr>
        <sz val="10"/>
        <color theme="1"/>
        <rFont val="仿宋"/>
        <charset val="134"/>
      </rPr>
      <t>释放率</t>
    </r>
  </si>
  <si>
    <r>
      <t>24h</t>
    </r>
    <r>
      <rPr>
        <sz val="10"/>
        <color theme="1"/>
        <rFont val="仿宋"/>
        <charset val="134"/>
      </rPr>
      <t>释放率</t>
    </r>
  </si>
  <si>
    <r>
      <t>48h</t>
    </r>
    <r>
      <rPr>
        <sz val="10"/>
        <color theme="1"/>
        <rFont val="仿宋"/>
        <charset val="134"/>
      </rPr>
      <t>释放率</t>
    </r>
  </si>
  <si>
    <r>
      <t>72h</t>
    </r>
    <r>
      <rPr>
        <sz val="10"/>
        <color theme="1"/>
        <rFont val="仿宋"/>
        <charset val="134"/>
      </rPr>
      <t>释放率</t>
    </r>
  </si>
  <si>
    <r>
      <t>96h</t>
    </r>
    <r>
      <rPr>
        <sz val="10"/>
        <color theme="1"/>
        <rFont val="仿宋"/>
        <charset val="134"/>
      </rPr>
      <t>释放率</t>
    </r>
  </si>
  <si>
    <t>距离</t>
  </si>
  <si>
    <t>有效剂量</t>
  </si>
  <si>
    <t>甲状腺剂量</t>
  </si>
  <si>
    <t>验收占比</t>
  </si>
  <si>
    <t>96-720h</t>
  </si>
  <si>
    <t>验收准则</t>
  </si>
  <si>
    <t>按事故类型</t>
  </si>
  <si>
    <t>200m</t>
  </si>
  <si>
    <t>300m</t>
  </si>
  <si>
    <t>500m</t>
  </si>
  <si>
    <t>1500m</t>
  </si>
  <si>
    <t>有效</t>
  </si>
  <si>
    <t>甲状腺</t>
  </si>
  <si>
    <t>30%-15%-5%-1%-1%</t>
  </si>
  <si>
    <t>30%-15%-10%-10%-10%</t>
  </si>
  <si>
    <t>DN10-FESTSTOFF TEMP-zhengyanhua-20231218</t>
  </si>
  <si>
    <t>DN10,2H</t>
  </si>
  <si>
    <t>DN10,8H</t>
  </si>
  <si>
    <t>DN10,24H</t>
  </si>
  <si>
    <t>DN10,48H</t>
  </si>
  <si>
    <t>DN10,72H</t>
  </si>
  <si>
    <t>DN10</t>
  </si>
  <si>
    <r>
      <rPr>
        <sz val="10"/>
        <color rgb="FF000000"/>
        <rFont val="宋体"/>
        <charset val="0"/>
      </rPr>
      <t>进水量</t>
    </r>
    <r>
      <rPr>
        <sz val="10"/>
        <color rgb="FF000000"/>
        <rFont val="Times New Roman"/>
        <charset val="0"/>
      </rPr>
      <t xml:space="preserve"> 800kg</t>
    </r>
    <r>
      <rPr>
        <sz val="10"/>
        <color rgb="FF000000"/>
        <rFont val="宋体"/>
        <charset val="0"/>
      </rPr>
      <t>，进水速率</t>
    </r>
    <r>
      <rPr>
        <sz val="10"/>
        <color rgb="FF000000"/>
        <rFont val="Times New Roman"/>
        <charset val="0"/>
      </rPr>
      <t xml:space="preserve"> 5kg/s*160s
</t>
    </r>
    <r>
      <rPr>
        <sz val="10"/>
        <color rgb="FF000000"/>
        <rFont val="宋体"/>
        <charset val="0"/>
      </rPr>
      <t>开阀时间约28.55h，关阀29.4h
排出气体总量是 He 8.7904e4 mol, Co 1.2746e2 mol, CO2 3.5324e1 mol, H2O 9.5638e3 mol, H2 1.8378e2 mol,以关阀时刻统计，堆内还有he: 6.6413e5 mol,CO: 5.7085e2 mol; CO2: 8.3670e2 mol,H2O: 3.2393 e4 mol; H2: 2.2547e3 mol
燃料最高温度约1042 C，在事故发生后3、4h左右出现
石墨腐蚀总量不到20 kg，可以按上述的CO+CO2的总摩尔数计算
温度分布是按取整的时间，分别是0h, 3h, 28h</t>
    </r>
  </si>
  <si>
    <t>进水-FESTSTOFF TEMP-zhengyanhua-20231218</t>
  </si>
  <si>
    <t>3h</t>
  </si>
  <si>
    <t>4h</t>
  </si>
  <si>
    <t>排出氦气</t>
  </si>
  <si>
    <t>1/7.9</t>
  </si>
  <si>
    <t>进水</t>
  </si>
  <si>
    <r>
      <rPr>
        <sz val="11"/>
        <rFont val="仿宋"/>
        <charset val="134"/>
      </rPr>
      <t>正常源项，</t>
    </r>
    <r>
      <rPr>
        <sz val="11"/>
        <rFont val="Times New Roman"/>
        <charset val="134"/>
      </rPr>
      <t>202403,lichuan</t>
    </r>
  </si>
  <si>
    <t>*</t>
  </si>
  <si>
    <t>短时泄压释放（气载）</t>
  </si>
  <si>
    <t>慢泄露释放</t>
  </si>
  <si>
    <t>FSAR</t>
  </si>
  <si>
    <t>A</t>
  </si>
  <si>
    <t>from lichuan</t>
  </si>
  <si>
    <t>r</t>
  </si>
  <si>
    <t>Ar/(λ+r)(exp(-(λ+r)t1-exp(-(λ+r)t2)</t>
  </si>
  <si>
    <t>衰变常数</t>
  </si>
  <si>
    <r>
      <rPr>
        <sz val="11"/>
        <rFont val="宋体"/>
        <charset val="134"/>
      </rPr>
      <t>堆芯总量</t>
    </r>
    <r>
      <rPr>
        <sz val="11"/>
        <rFont val="Times New Roman"/>
        <charset val="134"/>
      </rPr>
      <t>,bq</t>
    </r>
  </si>
  <si>
    <r>
      <rPr>
        <sz val="11"/>
        <rFont val="宋体"/>
        <charset val="134"/>
      </rPr>
      <t>冷却剂中稳态平衡量</t>
    </r>
    <r>
      <rPr>
        <sz val="11"/>
        <rFont val="Times New Roman"/>
        <charset val="134"/>
      </rPr>
      <t>,bq</t>
    </r>
  </si>
  <si>
    <t>全部</t>
  </si>
  <si>
    <t>PM-FSAR</t>
  </si>
  <si>
    <t>与FSAR比值</t>
  </si>
  <si>
    <t>氦净化总量</t>
  </si>
  <si>
    <t>lichuan</t>
  </si>
  <si>
    <t>安全壳总量（气态）</t>
  </si>
  <si>
    <t>安全壳总量（非气态）</t>
  </si>
  <si>
    <t>泄压释放比例</t>
  </si>
  <si>
    <t>总泄压释放量</t>
  </si>
  <si>
    <t>0-2h释放</t>
  </si>
  <si>
    <t>泄漏速率,s-1</t>
  </si>
  <si>
    <t>1-4天</t>
  </si>
  <si>
    <t>4-30天</t>
  </si>
  <si>
    <r>
      <rPr>
        <sz val="11"/>
        <rFont val="Times New Roman"/>
        <charset val="134"/>
      </rPr>
      <t>2h</t>
    </r>
    <r>
      <rPr>
        <sz val="11"/>
        <rFont val="宋体"/>
        <charset val="134"/>
      </rPr>
      <t>释放率</t>
    </r>
  </si>
  <si>
    <r>
      <rPr>
        <sz val="11"/>
        <rFont val="Times New Roman"/>
        <charset val="134"/>
      </rPr>
      <t>2h</t>
    </r>
    <r>
      <rPr>
        <sz val="11"/>
        <rFont val="宋体"/>
        <charset val="134"/>
      </rPr>
      <t>一回路释放量</t>
    </r>
  </si>
  <si>
    <r>
      <rPr>
        <sz val="11"/>
        <color rgb="FF00B050"/>
        <rFont val="Times New Roman"/>
        <charset val="134"/>
      </rPr>
      <t>2h</t>
    </r>
    <r>
      <rPr>
        <sz val="11"/>
        <color rgb="FF00B050"/>
        <rFont val="宋体"/>
        <charset val="134"/>
      </rPr>
      <t>膨胀比例</t>
    </r>
  </si>
  <si>
    <r>
      <rPr>
        <sz val="11"/>
        <rFont val="Times New Roman"/>
        <charset val="134"/>
      </rPr>
      <t>2h</t>
    </r>
    <r>
      <rPr>
        <sz val="11"/>
        <rFont val="宋体"/>
        <charset val="134"/>
      </rPr>
      <t>安全壳释放量</t>
    </r>
  </si>
  <si>
    <t>2h环境释放量</t>
  </si>
  <si>
    <r>
      <rPr>
        <sz val="11"/>
        <rFont val="Times New Roman"/>
        <charset val="134"/>
      </rPr>
      <t>8h</t>
    </r>
    <r>
      <rPr>
        <sz val="11"/>
        <rFont val="宋体"/>
        <charset val="134"/>
      </rPr>
      <t>释放率</t>
    </r>
  </si>
  <si>
    <r>
      <rPr>
        <sz val="11"/>
        <rFont val="Times New Roman"/>
        <charset val="134"/>
      </rPr>
      <t>8h</t>
    </r>
    <r>
      <rPr>
        <sz val="11"/>
        <rFont val="宋体"/>
        <charset val="134"/>
      </rPr>
      <t>一回路释放量</t>
    </r>
  </si>
  <si>
    <r>
      <rPr>
        <sz val="11"/>
        <color rgb="FF00B050"/>
        <rFont val="Times New Roman"/>
        <charset val="134"/>
      </rPr>
      <t>8h</t>
    </r>
    <r>
      <rPr>
        <sz val="11"/>
        <color rgb="FF00B050"/>
        <rFont val="宋体"/>
        <charset val="134"/>
      </rPr>
      <t>膨胀比例</t>
    </r>
  </si>
  <si>
    <r>
      <rPr>
        <sz val="11"/>
        <rFont val="Times New Roman"/>
        <charset val="134"/>
      </rPr>
      <t>8h</t>
    </r>
    <r>
      <rPr>
        <sz val="11"/>
        <rFont val="宋体"/>
        <charset val="134"/>
      </rPr>
      <t>安全壳释放量</t>
    </r>
  </si>
  <si>
    <r>
      <rPr>
        <sz val="11"/>
        <rFont val="Times New Roman"/>
        <charset val="134"/>
      </rPr>
      <t>8h</t>
    </r>
    <r>
      <rPr>
        <sz val="11"/>
        <rFont val="宋体"/>
        <charset val="134"/>
      </rPr>
      <t>环境释放量</t>
    </r>
  </si>
  <si>
    <r>
      <rPr>
        <sz val="11"/>
        <rFont val="Times New Roman"/>
        <charset val="134"/>
      </rPr>
      <t>24h</t>
    </r>
    <r>
      <rPr>
        <sz val="11"/>
        <rFont val="宋体"/>
        <charset val="134"/>
      </rPr>
      <t>释放率</t>
    </r>
  </si>
  <si>
    <r>
      <rPr>
        <sz val="11"/>
        <rFont val="Times New Roman"/>
        <charset val="134"/>
      </rPr>
      <t>24h</t>
    </r>
    <r>
      <rPr>
        <sz val="11"/>
        <rFont val="宋体"/>
        <charset val="134"/>
      </rPr>
      <t>一回路释放量</t>
    </r>
  </si>
  <si>
    <r>
      <rPr>
        <sz val="11"/>
        <color rgb="FF00B050"/>
        <rFont val="Times New Roman"/>
        <charset val="134"/>
      </rPr>
      <t>24h</t>
    </r>
    <r>
      <rPr>
        <sz val="11"/>
        <color rgb="FF00B050"/>
        <rFont val="宋体"/>
        <charset val="134"/>
      </rPr>
      <t>膨胀比例</t>
    </r>
  </si>
  <si>
    <r>
      <rPr>
        <sz val="11"/>
        <rFont val="Times New Roman"/>
        <charset val="134"/>
      </rPr>
      <t>24h</t>
    </r>
    <r>
      <rPr>
        <sz val="11"/>
        <rFont val="宋体"/>
        <charset val="134"/>
      </rPr>
      <t>安全壳释放量</t>
    </r>
  </si>
  <si>
    <r>
      <rPr>
        <sz val="11"/>
        <rFont val="Times New Roman"/>
        <charset val="134"/>
      </rPr>
      <t>24h</t>
    </r>
    <r>
      <rPr>
        <sz val="11"/>
        <rFont val="宋体"/>
        <charset val="134"/>
      </rPr>
      <t>环境释放量</t>
    </r>
  </si>
  <si>
    <r>
      <rPr>
        <sz val="11"/>
        <rFont val="Times New Roman"/>
        <charset val="134"/>
      </rPr>
      <t>96h</t>
    </r>
    <r>
      <rPr>
        <sz val="11"/>
        <rFont val="宋体"/>
        <charset val="134"/>
      </rPr>
      <t>释放率</t>
    </r>
  </si>
  <si>
    <r>
      <rPr>
        <sz val="11"/>
        <rFont val="Times New Roman"/>
        <charset val="134"/>
      </rPr>
      <t>96h</t>
    </r>
    <r>
      <rPr>
        <sz val="11"/>
        <rFont val="宋体"/>
        <charset val="134"/>
      </rPr>
      <t>一回路释放量</t>
    </r>
  </si>
  <si>
    <r>
      <rPr>
        <sz val="11"/>
        <color rgb="FF00B050"/>
        <rFont val="Times New Roman"/>
        <charset val="134"/>
      </rPr>
      <t>96h</t>
    </r>
    <r>
      <rPr>
        <sz val="11"/>
        <color rgb="FF00B050"/>
        <rFont val="宋体"/>
        <charset val="134"/>
      </rPr>
      <t>膨胀比例</t>
    </r>
  </si>
  <si>
    <r>
      <rPr>
        <sz val="11"/>
        <rFont val="Times New Roman"/>
        <charset val="134"/>
      </rPr>
      <t>96h</t>
    </r>
    <r>
      <rPr>
        <sz val="11"/>
        <rFont val="宋体"/>
        <charset val="134"/>
      </rPr>
      <t>安全壳释放量</t>
    </r>
  </si>
  <si>
    <r>
      <rPr>
        <sz val="11"/>
        <rFont val="Times New Roman"/>
        <charset val="134"/>
      </rPr>
      <t>96h</t>
    </r>
    <r>
      <rPr>
        <sz val="11"/>
        <rFont val="宋体"/>
        <charset val="134"/>
      </rPr>
      <t>环境释放量</t>
    </r>
  </si>
  <si>
    <r>
      <rPr>
        <sz val="11"/>
        <rFont val="Times New Roman"/>
        <charset val="134"/>
      </rPr>
      <t>30d</t>
    </r>
    <r>
      <rPr>
        <sz val="11"/>
        <rFont val="宋体"/>
        <charset val="134"/>
      </rPr>
      <t>释放率</t>
    </r>
  </si>
  <si>
    <r>
      <rPr>
        <sz val="11"/>
        <rFont val="Times New Roman"/>
        <charset val="134"/>
      </rPr>
      <t>30d</t>
    </r>
    <r>
      <rPr>
        <sz val="11"/>
        <rFont val="宋体"/>
        <charset val="134"/>
      </rPr>
      <t>一回路释放量</t>
    </r>
  </si>
  <si>
    <r>
      <rPr>
        <sz val="11"/>
        <color rgb="FF00B050"/>
        <rFont val="Times New Roman"/>
        <charset val="134"/>
      </rPr>
      <t>30d</t>
    </r>
    <r>
      <rPr>
        <sz val="11"/>
        <color rgb="FF00B050"/>
        <rFont val="宋体"/>
        <charset val="134"/>
      </rPr>
      <t>膨胀比例</t>
    </r>
  </si>
  <si>
    <r>
      <rPr>
        <sz val="11"/>
        <rFont val="Times New Roman"/>
        <charset val="134"/>
      </rPr>
      <t>30d</t>
    </r>
    <r>
      <rPr>
        <sz val="11"/>
        <rFont val="宋体"/>
        <charset val="134"/>
      </rPr>
      <t>安全壳释放量</t>
    </r>
  </si>
  <si>
    <r>
      <rPr>
        <sz val="11"/>
        <rFont val="Times New Roman"/>
        <charset val="134"/>
      </rPr>
      <t>30</t>
    </r>
    <r>
      <rPr>
        <sz val="11"/>
        <rFont val="宋体"/>
        <charset val="134"/>
      </rPr>
      <t>天环境释放量</t>
    </r>
  </si>
  <si>
    <t>堆芯总量</t>
  </si>
  <si>
    <t>释放到一回路</t>
  </si>
  <si>
    <t>释放到一回路总计</t>
  </si>
  <si>
    <t>释放到安全壳
总计</t>
  </si>
  <si>
    <t>释放到环境
总计</t>
  </si>
  <si>
    <r>
      <rPr>
        <sz val="11"/>
        <color theme="1"/>
        <rFont val="Times New Roman"/>
        <charset val="134"/>
      </rPr>
      <t>FSAR A</t>
    </r>
    <r>
      <rPr>
        <sz val="11"/>
        <color theme="1"/>
        <rFont val="宋体"/>
        <charset val="134"/>
      </rPr>
      <t>版</t>
    </r>
  </si>
  <si>
    <t>安全壳内剂量</t>
  </si>
  <si>
    <t>30d</t>
  </si>
  <si>
    <r>
      <rPr>
        <sz val="11"/>
        <rFont val="仿宋"/>
        <charset val="134"/>
      </rPr>
      <t>来自正常源项分析</t>
    </r>
    <r>
      <rPr>
        <sz val="11"/>
        <rFont val="Times New Roman"/>
        <charset val="134"/>
      </rPr>
      <t>,2021118lichuan</t>
    </r>
  </si>
  <si>
    <t>泄压释放（气载）</t>
  </si>
  <si>
    <t>R/λ*(1-exp(-λt))</t>
  </si>
  <si>
    <t>石墨粉尘载带量</t>
  </si>
  <si>
    <t>废液活度浓度Bq/L</t>
  </si>
  <si>
    <t>每年产生废液量m3/a</t>
  </si>
  <si>
    <t>R废液产生速率Bq/s</t>
  </si>
  <si>
    <t>寿期</t>
  </si>
  <si>
    <t>寿期末总含氚废液量</t>
  </si>
  <si>
    <t>单罐体积m3</t>
  </si>
  <si>
    <t>单罐灌满时间a</t>
  </si>
  <si>
    <t>单罐含氚废液量Bq</t>
  </si>
  <si>
    <t>进入厂房总量(液体）</t>
  </si>
  <si>
    <t>气态比例(蒸发)</t>
  </si>
  <si>
    <t>气态总量</t>
  </si>
  <si>
    <t>0-8h释放</t>
  </si>
  <si>
    <r>
      <rPr>
        <sz val="11"/>
        <color theme="1"/>
        <rFont val="仿宋"/>
        <charset val="134"/>
      </rPr>
      <t>表</t>
    </r>
    <r>
      <rPr>
        <sz val="11"/>
        <color theme="1"/>
        <rFont val="Times New Roman"/>
        <charset val="134"/>
      </rPr>
      <t xml:space="preserve"> 15.8.1-6 </t>
    </r>
    <r>
      <rPr>
        <sz val="11"/>
        <color theme="1"/>
        <rFont val="仿宋"/>
        <charset val="134"/>
      </rPr>
      <t>乏燃料球贮罐吊装事故前贮罐中的放射性核素装量</t>
    </r>
    <r>
      <rPr>
        <sz val="11"/>
        <color theme="1"/>
        <rFont val="Times New Roman"/>
        <charset val="134"/>
      </rPr>
      <t>(Bq)</t>
    </r>
  </si>
  <si>
    <t>事故系数new</t>
  </si>
  <si>
    <t>破损</t>
  </si>
  <si>
    <t>HTR-PM</t>
  </si>
  <si>
    <r>
      <rPr>
        <sz val="11"/>
        <color theme="1"/>
        <rFont val="仿宋"/>
        <charset val="134"/>
      </rPr>
      <t>事故系数</t>
    </r>
  </si>
  <si>
    <r>
      <rPr>
        <b/>
        <sz val="14"/>
        <color theme="1"/>
        <rFont val="黑体"/>
        <charset val="134"/>
      </rPr>
      <t>表</t>
    </r>
    <r>
      <rPr>
        <b/>
        <sz val="14"/>
        <color theme="1"/>
        <rFont val="黑体"/>
        <charset val="134"/>
      </rPr>
      <t>2.</t>
    </r>
    <r>
      <rPr>
        <b/>
        <sz val="14"/>
        <color theme="1"/>
        <rFont val="Times New Roman"/>
        <charset val="134"/>
      </rPr>
      <t xml:space="preserve">1-15 </t>
    </r>
    <r>
      <rPr>
        <b/>
        <sz val="14"/>
        <color theme="1"/>
        <rFont val="黑体"/>
        <charset val="134"/>
      </rPr>
      <t>最新装满的乏燃料贮存罐</t>
    </r>
    <r>
      <rPr>
        <b/>
        <sz val="14"/>
        <color theme="1"/>
        <rFont val="黑体"/>
        <charset val="134"/>
      </rPr>
      <t>活度（</t>
    </r>
    <r>
      <rPr>
        <b/>
        <sz val="14"/>
        <color theme="1"/>
        <rFont val="黑体"/>
        <charset val="134"/>
      </rPr>
      <t>Bq，</t>
    </r>
    <r>
      <rPr>
        <b/>
        <sz val="14"/>
        <color theme="1"/>
        <rFont val="Times New Roman"/>
        <charset val="134"/>
      </rPr>
      <t>40000</t>
    </r>
    <r>
      <rPr>
        <b/>
        <sz val="14"/>
        <color theme="1"/>
        <rFont val="黑体"/>
        <charset val="134"/>
      </rPr>
      <t>个乏燃料元件）</t>
    </r>
  </si>
  <si>
    <r>
      <rPr>
        <sz val="11"/>
        <color theme="1"/>
        <rFont val="仿宋"/>
        <charset val="134"/>
      </rPr>
      <t>核素</t>
    </r>
  </si>
  <si>
    <r>
      <rPr>
        <sz val="11"/>
        <color theme="1"/>
        <rFont val="仿宋"/>
        <charset val="134"/>
      </rPr>
      <t>装量</t>
    </r>
  </si>
  <si>
    <r>
      <rPr>
        <sz val="11"/>
        <color theme="1"/>
        <rFont val="仿宋"/>
        <charset val="134"/>
      </rPr>
      <t>释放比例</t>
    </r>
  </si>
  <si>
    <t>活度</t>
  </si>
  <si>
    <t>Kr-83M</t>
  </si>
  <si>
    <t>U-237</t>
  </si>
  <si>
    <t>Ru-106</t>
  </si>
  <si>
    <t>Np-239</t>
  </si>
  <si>
    <t>Rh-103M</t>
  </si>
  <si>
    <r>
      <rPr>
        <sz val="12"/>
        <color theme="1"/>
        <rFont val="Times New Roman"/>
        <charset val="134"/>
      </rPr>
      <t>Xe-133</t>
    </r>
    <r>
      <rPr>
        <sz val="12"/>
        <color theme="1"/>
        <rFont val="仿宋_GB2312"/>
        <charset val="134"/>
      </rPr>
      <t>M</t>
    </r>
  </si>
  <si>
    <t>Kr-85M</t>
  </si>
  <si>
    <t>Xe-131M</t>
  </si>
  <si>
    <t>Pu-238</t>
  </si>
  <si>
    <t>Rh-106</t>
  </si>
  <si>
    <t>Pu-239</t>
  </si>
  <si>
    <t>Ag-110M</t>
  </si>
  <si>
    <r>
      <rPr>
        <sz val="12"/>
        <color theme="1"/>
        <rFont val="Times New Roman"/>
        <charset val="134"/>
      </rPr>
      <t>Xe-135</t>
    </r>
    <r>
      <rPr>
        <sz val="12"/>
        <color theme="1"/>
        <rFont val="仿宋_GB2312"/>
        <charset val="134"/>
      </rPr>
      <t>M</t>
    </r>
  </si>
  <si>
    <t>Xe-133M</t>
  </si>
  <si>
    <t>Pu-240</t>
  </si>
  <si>
    <t>Ag-111</t>
  </si>
  <si>
    <t>Pu-241</t>
  </si>
  <si>
    <t>Cd-115M</t>
  </si>
  <si>
    <t>Cs-136</t>
  </si>
  <si>
    <t>Xe-135m</t>
  </si>
  <si>
    <t>Xe-135M</t>
  </si>
  <si>
    <t>Am-241</t>
  </si>
  <si>
    <t>Sn-119M</t>
  </si>
  <si>
    <t>Am-242</t>
  </si>
  <si>
    <t>Sn-123</t>
  </si>
  <si>
    <t>Ba-137M</t>
  </si>
  <si>
    <t>Cm-242</t>
  </si>
  <si>
    <t>Sn-125</t>
  </si>
  <si>
    <t>Ba-140</t>
  </si>
  <si>
    <t>Cm-244</t>
  </si>
  <si>
    <t>Sb-124</t>
  </si>
  <si>
    <t>La-140</t>
  </si>
  <si>
    <r>
      <rPr>
        <sz val="11"/>
        <color theme="1"/>
        <rFont val="仿宋"/>
        <charset val="134"/>
      </rPr>
      <t>表</t>
    </r>
    <r>
      <rPr>
        <sz val="11"/>
        <color theme="1"/>
        <rFont val="Times New Roman"/>
        <charset val="134"/>
      </rPr>
      <t xml:space="preserve"> 15.8.1-7 </t>
    </r>
    <r>
      <rPr>
        <sz val="11"/>
        <color theme="1"/>
        <rFont val="仿宋"/>
        <charset val="134"/>
      </rPr>
      <t>乏燃料贮罐吊装事故导致的放射性释放</t>
    </r>
    <r>
      <rPr>
        <sz val="11"/>
        <color theme="1"/>
        <rFont val="Times New Roman"/>
        <charset val="134"/>
      </rPr>
      <t>(Bq)</t>
    </r>
  </si>
  <si>
    <t>事故系数old</t>
  </si>
  <si>
    <t>Sb-125</t>
  </si>
  <si>
    <t>Ce-141</t>
  </si>
  <si>
    <r>
      <rPr>
        <sz val="11"/>
        <color theme="1"/>
        <rFont val="仿宋"/>
        <charset val="134"/>
      </rPr>
      <t>释放量</t>
    </r>
  </si>
  <si>
    <t>Sb-126</t>
  </si>
  <si>
    <t>Ce-144</t>
  </si>
  <si>
    <t>Sb-127</t>
  </si>
  <si>
    <t>Pr-143</t>
  </si>
  <si>
    <t>Rb-86</t>
  </si>
  <si>
    <t>Te-125M</t>
  </si>
  <si>
    <t>Pr-144</t>
  </si>
  <si>
    <t>Te-127</t>
  </si>
  <si>
    <t>Nd-147</t>
  </si>
  <si>
    <t>Te-127M</t>
  </si>
  <si>
    <t>Pm-147</t>
  </si>
  <si>
    <t>Y-90</t>
  </si>
  <si>
    <t>Te-129</t>
  </si>
  <si>
    <t>Pm-148</t>
  </si>
  <si>
    <t>Y-91</t>
  </si>
  <si>
    <t>Te-129M</t>
  </si>
  <si>
    <t>Pm-148M</t>
  </si>
  <si>
    <t>Zr-95</t>
  </si>
  <si>
    <t>Te-132</t>
  </si>
  <si>
    <t>Sm-151</t>
  </si>
  <si>
    <t>Nb-95</t>
  </si>
  <si>
    <t>Eu-154</t>
  </si>
  <si>
    <t>Nb-95M</t>
  </si>
  <si>
    <t>Eu-155</t>
  </si>
  <si>
    <t>Mo-99</t>
  </si>
  <si>
    <t>Eu-156</t>
  </si>
  <si>
    <t>Tc-99M</t>
  </si>
  <si>
    <t>Tb-160</t>
  </si>
  <si>
    <t>Ru-103</t>
  </si>
  <si>
    <t>Total</t>
  </si>
  <si>
    <r>
      <rPr>
        <sz val="11"/>
        <rFont val="仿宋"/>
        <charset val="134"/>
      </rPr>
      <t>正常源项，</t>
    </r>
    <r>
      <rPr>
        <sz val="11"/>
        <rFont val="Times New Roman"/>
        <charset val="134"/>
      </rPr>
      <t>2021118lichuan</t>
    </r>
  </si>
  <si>
    <t>一回路泄压时刻</t>
  </si>
  <si>
    <t>安全壳短时泄压释放（气载）</t>
  </si>
  <si>
    <t>分时段释放</t>
  </si>
  <si>
    <t>释放时长</t>
  </si>
  <si>
    <t>100%</t>
  </si>
  <si>
    <t>泄压比例</t>
  </si>
  <si>
    <r>
      <rPr>
        <b/>
        <sz val="11"/>
        <color rgb="FFFF0000"/>
        <rFont val="仿宋"/>
        <charset val="134"/>
      </rPr>
      <t>第一时段</t>
    </r>
    <r>
      <rPr>
        <b/>
        <sz val="11"/>
        <color rgb="FFFF0000"/>
        <rFont val="Times New Roman"/>
        <charset val="134"/>
      </rPr>
      <t>h</t>
    </r>
  </si>
  <si>
    <r>
      <rPr>
        <b/>
        <sz val="11"/>
        <color rgb="FF00B050"/>
        <rFont val="仿宋"/>
        <charset val="134"/>
      </rPr>
      <t>安全壳泄漏率</t>
    </r>
    <r>
      <rPr>
        <b/>
        <sz val="11"/>
        <color rgb="FF00B050"/>
        <rFont val="Times New Roman"/>
        <charset val="134"/>
      </rPr>
      <t>/d</t>
    </r>
  </si>
  <si>
    <r>
      <rPr>
        <b/>
        <sz val="11"/>
        <color rgb="FFFF0000"/>
        <rFont val="仿宋"/>
        <charset val="134"/>
      </rPr>
      <t>第二时段</t>
    </r>
    <r>
      <rPr>
        <b/>
        <sz val="11"/>
        <color rgb="FFFF0000"/>
        <rFont val="Times New Roman"/>
        <charset val="134"/>
      </rPr>
      <t>/h</t>
    </r>
  </si>
  <si>
    <r>
      <rPr>
        <b/>
        <sz val="11"/>
        <color rgb="FFFF0000"/>
        <rFont val="仿宋"/>
        <charset val="134"/>
      </rPr>
      <t>第三时段</t>
    </r>
    <r>
      <rPr>
        <b/>
        <sz val="11"/>
        <color rgb="FFFF0000"/>
        <rFont val="Times New Roman"/>
        <charset val="134"/>
      </rPr>
      <t>/h</t>
    </r>
  </si>
  <si>
    <r>
      <rPr>
        <b/>
        <sz val="11"/>
        <color rgb="FFFF0000"/>
        <rFont val="仿宋"/>
        <charset val="134"/>
      </rPr>
      <t>第四时段</t>
    </r>
    <r>
      <rPr>
        <b/>
        <sz val="11"/>
        <color rgb="FFFF0000"/>
        <rFont val="Times New Roman"/>
        <charset val="134"/>
      </rPr>
      <t>/h</t>
    </r>
  </si>
  <si>
    <r>
      <rPr>
        <b/>
        <sz val="11"/>
        <color rgb="FFFF0000"/>
        <rFont val="仿宋"/>
        <charset val="134"/>
      </rPr>
      <t>第五时段</t>
    </r>
    <r>
      <rPr>
        <b/>
        <sz val="11"/>
        <color rgb="FFFF0000"/>
        <rFont val="Times New Roman"/>
        <charset val="134"/>
      </rPr>
      <t>/h</t>
    </r>
  </si>
  <si>
    <r>
      <rPr>
        <sz val="11"/>
        <rFont val="仿宋"/>
        <charset val="134"/>
      </rPr>
      <t>堆芯总量</t>
    </r>
    <r>
      <rPr>
        <sz val="11"/>
        <rFont val="Times New Roman"/>
        <charset val="134"/>
      </rPr>
      <t>,bq</t>
    </r>
  </si>
  <si>
    <r>
      <rPr>
        <sz val="11"/>
        <rFont val="仿宋"/>
        <charset val="134"/>
      </rPr>
      <t>冷却剂中稳态平衡量</t>
    </r>
    <r>
      <rPr>
        <sz val="11"/>
        <rFont val="Times New Roman"/>
        <charset val="134"/>
      </rPr>
      <t>,bq</t>
    </r>
  </si>
  <si>
    <t>PM</t>
  </si>
  <si>
    <t>蒸发器表面冲刷比例</t>
  </si>
  <si>
    <r>
      <rPr>
        <sz val="11"/>
        <rFont val="仿宋"/>
        <charset val="134"/>
      </rPr>
      <t>水</t>
    </r>
    <r>
      <rPr>
        <sz val="11"/>
        <rFont val="Times New Roman"/>
        <charset val="134"/>
      </rPr>
      <t>/</t>
    </r>
    <r>
      <rPr>
        <sz val="11"/>
        <rFont val="仿宋"/>
        <charset val="134"/>
      </rPr>
      <t>汽反应导致破损颗粒的释放</t>
    </r>
  </si>
  <si>
    <t>释放率</t>
  </si>
  <si>
    <t>泄压前一回路瞬时总量</t>
  </si>
  <si>
    <t>泄压前一回路瞬时总量气态</t>
  </si>
  <si>
    <t>泄压前安全壳内总量</t>
  </si>
  <si>
    <t>一回路泄压释放比例</t>
  </si>
  <si>
    <r>
      <rPr>
        <sz val="11"/>
        <rFont val="仿宋"/>
        <charset val="134"/>
      </rPr>
      <t>泄压后燃料总量</t>
    </r>
    <r>
      <rPr>
        <sz val="11"/>
        <rFont val="Times New Roman"/>
        <charset val="134"/>
      </rPr>
      <t>A</t>
    </r>
  </si>
  <si>
    <r>
      <rPr>
        <sz val="11"/>
        <rFont val="仿宋"/>
        <charset val="134"/>
      </rPr>
      <t>泄压后一回路瞬时总量</t>
    </r>
    <r>
      <rPr>
        <sz val="11"/>
        <rFont val="Times New Roman"/>
        <charset val="134"/>
      </rPr>
      <t>B</t>
    </r>
  </si>
  <si>
    <r>
      <rPr>
        <sz val="11"/>
        <rFont val="仿宋"/>
        <charset val="134"/>
      </rPr>
      <t>泄压后安全壳内瞬时总量</t>
    </r>
    <r>
      <rPr>
        <sz val="11"/>
        <rFont val="Times New Roman"/>
        <charset val="134"/>
      </rPr>
      <t>C</t>
    </r>
  </si>
  <si>
    <r>
      <rPr>
        <sz val="11"/>
        <rFont val="Times New Roman"/>
        <charset val="134"/>
      </rPr>
      <t>0-2h</t>
    </r>
    <r>
      <rPr>
        <sz val="11"/>
        <rFont val="仿宋"/>
        <charset val="134"/>
      </rPr>
      <t>释放</t>
    </r>
  </si>
  <si>
    <r>
      <rPr>
        <sz val="11"/>
        <rFont val="仿宋"/>
        <charset val="134"/>
      </rPr>
      <t>时段长度</t>
    </r>
    <r>
      <rPr>
        <sz val="11"/>
        <rFont val="Times New Roman"/>
        <charset val="134"/>
      </rPr>
      <t>T,s</t>
    </r>
  </si>
  <si>
    <r>
      <rPr>
        <sz val="11"/>
        <rFont val="仿宋"/>
        <charset val="134"/>
      </rPr>
      <t>起始燃料总量</t>
    </r>
    <r>
      <rPr>
        <sz val="11"/>
        <rFont val="Times New Roman"/>
        <charset val="134"/>
      </rPr>
      <t>A0</t>
    </r>
  </si>
  <si>
    <r>
      <rPr>
        <sz val="11"/>
        <rFont val="仿宋"/>
        <charset val="134"/>
      </rPr>
      <t>起始一回路总量</t>
    </r>
    <r>
      <rPr>
        <sz val="11"/>
        <rFont val="Times New Roman"/>
        <charset val="134"/>
      </rPr>
      <t>B0</t>
    </r>
  </si>
  <si>
    <r>
      <rPr>
        <sz val="11"/>
        <rFont val="仿宋"/>
        <charset val="134"/>
      </rPr>
      <t>起始安全壳总量</t>
    </r>
    <r>
      <rPr>
        <sz val="11"/>
        <rFont val="Times New Roman"/>
        <charset val="134"/>
      </rPr>
      <t>C0</t>
    </r>
  </si>
  <si>
    <r>
      <rPr>
        <sz val="11"/>
        <rFont val="仿宋"/>
        <charset val="134"/>
      </rPr>
      <t>燃料向一回路释放率</t>
    </r>
    <r>
      <rPr>
        <sz val="11"/>
        <rFont val="Times New Roman"/>
        <charset val="134"/>
      </rPr>
      <t>r, s-1</t>
    </r>
  </si>
  <si>
    <r>
      <rPr>
        <sz val="11"/>
        <rFont val="仿宋"/>
        <charset val="134"/>
      </rPr>
      <t>一回路向安全壳释放率</t>
    </r>
    <r>
      <rPr>
        <sz val="11"/>
        <rFont val="Times New Roman"/>
        <charset val="134"/>
      </rPr>
      <t>f, s-1</t>
    </r>
  </si>
  <si>
    <r>
      <rPr>
        <sz val="11"/>
        <rFont val="仿宋"/>
        <charset val="134"/>
      </rPr>
      <t>安全壳向环境释放率</t>
    </r>
    <r>
      <rPr>
        <sz val="11"/>
        <rFont val="Times New Roman"/>
        <charset val="134"/>
      </rPr>
      <t>w, s-1</t>
    </r>
  </si>
  <si>
    <r>
      <rPr>
        <sz val="11"/>
        <rFont val="仿宋"/>
        <charset val="134"/>
      </rPr>
      <t>临时变量</t>
    </r>
    <r>
      <rPr>
        <sz val="11"/>
        <rFont val="Times New Roman"/>
        <charset val="134"/>
      </rPr>
      <t>R</t>
    </r>
  </si>
  <si>
    <r>
      <rPr>
        <sz val="11"/>
        <rFont val="仿宋"/>
        <charset val="134"/>
      </rPr>
      <t>临时变量</t>
    </r>
    <r>
      <rPr>
        <sz val="11"/>
        <rFont val="Times New Roman"/>
        <charset val="134"/>
      </rPr>
      <t>F</t>
    </r>
  </si>
  <si>
    <r>
      <rPr>
        <sz val="11"/>
        <rFont val="仿宋"/>
        <charset val="134"/>
      </rPr>
      <t>临时变量</t>
    </r>
    <r>
      <rPr>
        <sz val="11"/>
        <rFont val="Times New Roman"/>
        <charset val="134"/>
      </rPr>
      <t>W</t>
    </r>
  </si>
  <si>
    <r>
      <rPr>
        <sz val="11"/>
        <rFont val="仿宋"/>
        <charset val="134"/>
      </rPr>
      <t>结束燃料总量</t>
    </r>
    <r>
      <rPr>
        <sz val="11"/>
        <rFont val="Times New Roman"/>
        <charset val="134"/>
      </rPr>
      <t>A(T)</t>
    </r>
  </si>
  <si>
    <r>
      <rPr>
        <sz val="11"/>
        <rFont val="仿宋"/>
        <charset val="134"/>
      </rPr>
      <t>结束一回路总量</t>
    </r>
    <r>
      <rPr>
        <sz val="11"/>
        <rFont val="Times New Roman"/>
        <charset val="134"/>
      </rPr>
      <t>B(T)</t>
    </r>
  </si>
  <si>
    <r>
      <rPr>
        <sz val="11"/>
        <rFont val="仿宋"/>
        <charset val="134"/>
      </rPr>
      <t>结束安全壳总量</t>
    </r>
    <r>
      <rPr>
        <sz val="11"/>
        <rFont val="Times New Roman"/>
        <charset val="134"/>
      </rPr>
      <t>C(T)</t>
    </r>
  </si>
  <si>
    <r>
      <rPr>
        <sz val="11"/>
        <color theme="0" tint="-0.15"/>
        <rFont val="仿宋"/>
        <charset val="134"/>
      </rPr>
      <t>结束安全壳总量</t>
    </r>
    <r>
      <rPr>
        <sz val="11"/>
        <color theme="0" tint="-0.15"/>
        <rFont val="Times New Roman"/>
        <charset val="134"/>
      </rPr>
      <t>C(T)</t>
    </r>
    <r>
      <rPr>
        <sz val="11"/>
        <color theme="0" tint="-0.15"/>
        <rFont val="仿宋"/>
        <charset val="134"/>
      </rPr>
      <t>保守</t>
    </r>
  </si>
  <si>
    <r>
      <rPr>
        <sz val="11"/>
        <rFont val="仿宋"/>
        <charset val="134"/>
      </rPr>
      <t>燃料向一回路释放量</t>
    </r>
    <r>
      <rPr>
        <sz val="11"/>
        <rFont val="Times New Roman"/>
        <charset val="134"/>
      </rPr>
      <t>AB</t>
    </r>
    <r>
      <rPr>
        <sz val="11"/>
        <rFont val="仿宋"/>
        <charset val="134"/>
      </rPr>
      <t>（</t>
    </r>
    <r>
      <rPr>
        <sz val="11"/>
        <rFont val="Times New Roman"/>
        <charset val="134"/>
      </rPr>
      <t>T)</t>
    </r>
  </si>
  <si>
    <r>
      <rPr>
        <sz val="11"/>
        <rFont val="仿宋"/>
        <charset val="134"/>
      </rPr>
      <t>一回路向安全壳释放量</t>
    </r>
    <r>
      <rPr>
        <sz val="11"/>
        <rFont val="Times New Roman"/>
        <charset val="134"/>
      </rPr>
      <t>BC</t>
    </r>
    <r>
      <rPr>
        <sz val="11"/>
        <rFont val="仿宋"/>
        <charset val="134"/>
      </rPr>
      <t>（</t>
    </r>
    <r>
      <rPr>
        <sz val="11"/>
        <rFont val="Times New Roman"/>
        <charset val="134"/>
      </rPr>
      <t>T)</t>
    </r>
  </si>
  <si>
    <r>
      <rPr>
        <sz val="11"/>
        <rFont val="仿宋"/>
        <charset val="134"/>
      </rPr>
      <t>安全壳向环境释放量</t>
    </r>
    <r>
      <rPr>
        <sz val="11"/>
        <rFont val="Times New Roman"/>
        <charset val="134"/>
      </rPr>
      <t>CD</t>
    </r>
    <r>
      <rPr>
        <sz val="11"/>
        <rFont val="仿宋"/>
        <charset val="134"/>
      </rPr>
      <t>（</t>
    </r>
    <r>
      <rPr>
        <sz val="11"/>
        <rFont val="Times New Roman"/>
        <charset val="134"/>
      </rPr>
      <t>T)</t>
    </r>
  </si>
  <si>
    <t>开阀瞬时释放</t>
  </si>
  <si>
    <r>
      <rPr>
        <b/>
        <sz val="11"/>
        <rFont val="Times New Roman"/>
        <charset val="134"/>
      </rPr>
      <t>1-4</t>
    </r>
    <r>
      <rPr>
        <b/>
        <sz val="11"/>
        <rFont val="仿宋"/>
        <charset val="134"/>
      </rPr>
      <t>天</t>
    </r>
  </si>
  <si>
    <r>
      <rPr>
        <b/>
        <sz val="11"/>
        <rFont val="Times New Roman"/>
        <charset val="134"/>
      </rPr>
      <t>4-30</t>
    </r>
    <r>
      <rPr>
        <b/>
        <sz val="11"/>
        <rFont val="仿宋"/>
        <charset val="134"/>
      </rPr>
      <t>天</t>
    </r>
  </si>
  <si>
    <t>8-24h  </t>
  </si>
  <si>
    <r>
      <rPr>
        <sz val="11"/>
        <color rgb="FF000000"/>
        <rFont val="Times New Roman"/>
        <charset val="0"/>
      </rPr>
      <t>1-3 </t>
    </r>
    <r>
      <rPr>
        <sz val="11"/>
        <color rgb="FF000000"/>
        <rFont val="仿宋"/>
        <charset val="0"/>
      </rPr>
      <t>天</t>
    </r>
  </si>
  <si>
    <r>
      <rPr>
        <sz val="11"/>
        <color rgb="FF000000"/>
        <rFont val="Times New Roman"/>
        <charset val="0"/>
      </rPr>
      <t>3</t>
    </r>
    <r>
      <rPr>
        <sz val="11"/>
        <color rgb="FF000000"/>
        <rFont val="仿宋"/>
        <charset val="0"/>
      </rPr>
      <t>天合计</t>
    </r>
  </si>
  <si>
    <r>
      <rPr>
        <sz val="11"/>
        <color rgb="FF000000"/>
        <rFont val="Times New Roman"/>
        <charset val="0"/>
      </rPr>
      <t>1-4</t>
    </r>
    <r>
      <rPr>
        <sz val="11"/>
        <color rgb="FF000000"/>
        <rFont val="仿宋"/>
        <charset val="0"/>
      </rPr>
      <t>天</t>
    </r>
  </si>
  <si>
    <r>
      <rPr>
        <sz val="11"/>
        <color rgb="FF000000"/>
        <rFont val="Times New Roman"/>
        <charset val="0"/>
      </rPr>
      <t>4-30</t>
    </r>
    <r>
      <rPr>
        <sz val="11"/>
        <color rgb="FF000000"/>
        <rFont val="仿宋"/>
        <charset val="0"/>
      </rPr>
      <t>天</t>
    </r>
  </si>
  <si>
    <r>
      <rPr>
        <sz val="11"/>
        <color theme="1"/>
        <rFont val="Times New Roman"/>
        <charset val="134"/>
      </rPr>
      <t>24</t>
    </r>
    <r>
      <rPr>
        <sz val="11"/>
        <color theme="1"/>
        <rFont val="宋体"/>
        <charset val="134"/>
      </rPr>
      <t>小时释放率</t>
    </r>
  </si>
  <si>
    <t>DN65-2h</t>
  </si>
  <si>
    <r>
      <rPr>
        <sz val="11"/>
        <color theme="1"/>
        <rFont val="Times New Roman"/>
        <charset val="134"/>
      </rPr>
      <t>DN65-8H</t>
    </r>
    <r>
      <rPr>
        <sz val="11"/>
        <color theme="1"/>
        <rFont val="宋体"/>
        <charset val="134"/>
      </rPr>
      <t>释放率</t>
    </r>
  </si>
  <si>
    <r>
      <rPr>
        <sz val="11"/>
        <color theme="1"/>
        <rFont val="Times New Roman"/>
        <charset val="134"/>
      </rPr>
      <t>DN65-24H</t>
    </r>
    <r>
      <rPr>
        <sz val="11"/>
        <color theme="1"/>
        <rFont val="宋体"/>
        <charset val="134"/>
      </rPr>
      <t>释放率</t>
    </r>
  </si>
  <si>
    <r>
      <rPr>
        <sz val="11"/>
        <color theme="1"/>
        <rFont val="Times New Roman"/>
        <charset val="134"/>
      </rPr>
      <t>DN65-48h</t>
    </r>
    <r>
      <rPr>
        <sz val="11"/>
        <color theme="1"/>
        <rFont val="仿宋"/>
        <charset val="134"/>
      </rPr>
      <t>释放率</t>
    </r>
  </si>
  <si>
    <r>
      <rPr>
        <sz val="11"/>
        <color theme="1"/>
        <rFont val="Times New Roman"/>
        <charset val="134"/>
      </rPr>
      <t>72h</t>
    </r>
    <r>
      <rPr>
        <sz val="11"/>
        <color theme="1"/>
        <rFont val="仿宋"/>
        <charset val="134"/>
      </rPr>
      <t>释放率</t>
    </r>
  </si>
  <si>
    <r>
      <rPr>
        <b/>
        <sz val="11"/>
        <rFont val="仿宋"/>
        <charset val="134"/>
      </rPr>
      <t>有效剂量</t>
    </r>
  </si>
  <si>
    <r>
      <rPr>
        <b/>
        <sz val="11"/>
        <rFont val="仿宋"/>
        <charset val="134"/>
      </rPr>
      <t>甲状腺剂量</t>
    </r>
  </si>
  <si>
    <r>
      <rPr>
        <sz val="11"/>
        <color theme="1"/>
        <rFont val="仿宋"/>
        <charset val="134"/>
      </rPr>
      <t>有效剂量</t>
    </r>
  </si>
  <si>
    <r>
      <rPr>
        <sz val="11"/>
        <color theme="1"/>
        <rFont val="仿宋"/>
        <charset val="134"/>
      </rPr>
      <t>甲状腺剂量</t>
    </r>
  </si>
  <si>
    <r>
      <rPr>
        <sz val="11"/>
        <color theme="1"/>
        <rFont val="仿宋"/>
        <charset val="134"/>
      </rPr>
      <t>验收占比</t>
    </r>
  </si>
  <si>
    <r>
      <rPr>
        <sz val="11"/>
        <color theme="1"/>
        <rFont val="仿宋"/>
        <charset val="134"/>
      </rPr>
      <t>有效</t>
    </r>
  </si>
  <si>
    <r>
      <rPr>
        <sz val="11"/>
        <color theme="1"/>
        <rFont val="仿宋"/>
        <charset val="134"/>
      </rPr>
      <t>甲状腺</t>
    </r>
  </si>
  <si>
    <t>计算模型</t>
  </si>
  <si>
    <t>泄压</t>
  </si>
  <si>
    <t>CX-PSAR-A</t>
  </si>
  <si>
    <t>old</t>
  </si>
  <si>
    <t>new</t>
  </si>
  <si>
    <t>CX-PSAR-B</t>
  </si>
  <si>
    <t>失冷失压ATWS-不落吸收球(排空时间约780s），与落吸收球一致</t>
  </si>
  <si>
    <t>失冷不失压ATWS-不落吸收球（控制棒误提升ATWS)排放气体比例： 约12.3%（~61.32 h -- ~62.09 h)，若落吸收球，不开阀，无后果</t>
  </si>
  <si>
    <t>name</t>
  </si>
  <si>
    <t>isotope</t>
  </si>
  <si>
    <t>element</t>
  </si>
  <si>
    <t>atomic_number</t>
  </si>
  <si>
    <t>mass_number</t>
  </si>
  <si>
    <t>metastable</t>
  </si>
  <si>
    <t>decay_constant(s-1)</t>
  </si>
  <si>
    <t>T1/2(s)</t>
  </si>
  <si>
    <t>T1/2</t>
  </si>
  <si>
    <t>Note: data from ENDFBVII.1</t>
  </si>
  <si>
    <t>H1</t>
  </si>
  <si>
    <t>H2</t>
  </si>
  <si>
    <t>H3</t>
  </si>
  <si>
    <t>H4</t>
  </si>
  <si>
    <t>H5</t>
  </si>
  <si>
    <t>H6</t>
  </si>
  <si>
    <t>H7</t>
  </si>
  <si>
    <t>He3</t>
  </si>
  <si>
    <t>He</t>
  </si>
  <si>
    <t>He4</t>
  </si>
  <si>
    <t>He5</t>
  </si>
  <si>
    <t>He6</t>
  </si>
  <si>
    <t>He7</t>
  </si>
  <si>
    <t>He8</t>
  </si>
  <si>
    <t>He9</t>
  </si>
  <si>
    <t>He10</t>
  </si>
  <si>
    <t>Li4</t>
  </si>
  <si>
    <t>Li</t>
  </si>
  <si>
    <t>Li5</t>
  </si>
  <si>
    <t>Li6</t>
  </si>
  <si>
    <t>Li7</t>
  </si>
  <si>
    <t>Li8</t>
  </si>
  <si>
    <t>Li9</t>
  </si>
  <si>
    <t>Li10</t>
  </si>
  <si>
    <t>Li11</t>
  </si>
  <si>
    <t>Li12</t>
  </si>
  <si>
    <t>Be5</t>
  </si>
  <si>
    <t>Be</t>
  </si>
  <si>
    <t>Be6</t>
  </si>
  <si>
    <t>Be7</t>
  </si>
  <si>
    <t>Be8</t>
  </si>
  <si>
    <t>Be9</t>
  </si>
  <si>
    <t>Be10</t>
  </si>
  <si>
    <t>Be11</t>
  </si>
  <si>
    <t>Be12</t>
  </si>
  <si>
    <t>Be13</t>
  </si>
  <si>
    <t>Be14</t>
  </si>
  <si>
    <t>Be15</t>
  </si>
  <si>
    <t>Be16</t>
  </si>
  <si>
    <t>B6</t>
  </si>
  <si>
    <t>B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</si>
  <si>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</si>
  <si>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</si>
  <si>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</si>
  <si>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</si>
  <si>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</si>
  <si>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</si>
  <si>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</si>
  <si>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</si>
  <si>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</si>
  <si>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</si>
  <si>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</si>
  <si>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</si>
  <si>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</si>
  <si>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C8</t>
  </si>
  <si>
    <t>C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</si>
  <si>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</si>
  <si>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</si>
  <si>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</si>
  <si>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</si>
  <si>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</si>
  <si>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</si>
  <si>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</si>
  <si>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</si>
  <si>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</si>
  <si>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</si>
  <si>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</si>
  <si>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</si>
  <si>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</si>
  <si>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</si>
  <si>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N10</t>
  </si>
  <si>
    <t>N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</si>
  <si>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</si>
  <si>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</si>
  <si>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</si>
  <si>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</si>
  <si>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</si>
  <si>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</si>
  <si>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</si>
  <si>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</si>
  <si>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</si>
  <si>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</si>
  <si>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</si>
  <si>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</si>
  <si>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</si>
  <si>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</si>
  <si>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</si>
  <si>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O12</t>
  </si>
  <si>
    <t>O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</si>
  <si>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</si>
  <si>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</si>
  <si>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</si>
  <si>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</si>
  <si>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</si>
  <si>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</si>
  <si>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</si>
  <si>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</si>
  <si>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</si>
  <si>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</si>
  <si>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</si>
  <si>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</si>
  <si>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O25</t>
  </si>
  <si>
    <t>O26</t>
  </si>
  <si>
    <t>O27</t>
  </si>
  <si>
    <t>O28</t>
  </si>
  <si>
    <t>F14</t>
  </si>
  <si>
    <t>F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</si>
  <si>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</si>
  <si>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</si>
  <si>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</si>
  <si>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</si>
  <si>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</si>
  <si>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</si>
  <si>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</si>
  <si>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</si>
  <si>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</si>
  <si>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</si>
  <si>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</si>
  <si>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</si>
  <si>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</si>
  <si>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</si>
  <si>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</si>
  <si>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</si>
  <si>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</si>
  <si>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Ne16</t>
  </si>
  <si>
    <t>Ne</t>
  </si>
  <si>
    <t>Ne17</t>
  </si>
  <si>
    <t>Ne18</t>
  </si>
  <si>
    <t>Ne19</t>
  </si>
  <si>
    <t>Ne20</t>
  </si>
  <si>
    <t>Ne21</t>
  </si>
  <si>
    <t>Ne22</t>
  </si>
  <si>
    <t>Ne23</t>
  </si>
  <si>
    <t>Ne24</t>
  </si>
  <si>
    <t>Ne25</t>
  </si>
  <si>
    <t>Ne26</t>
  </si>
  <si>
    <t>Ne27</t>
  </si>
  <si>
    <t>Ne28</t>
  </si>
  <si>
    <t>Ne29</t>
  </si>
  <si>
    <t>Ne30</t>
  </si>
  <si>
    <t>Ne31</t>
  </si>
  <si>
    <t>Ne32</t>
  </si>
  <si>
    <t>Ne33</t>
  </si>
  <si>
    <t>Ne34</t>
  </si>
  <si>
    <t>Na18</t>
  </si>
  <si>
    <t>Na</t>
  </si>
  <si>
    <t>Na19</t>
  </si>
  <si>
    <t>Na20</t>
  </si>
  <si>
    <t>Na21</t>
  </si>
  <si>
    <t>Na22</t>
  </si>
  <si>
    <t>Na23</t>
  </si>
  <si>
    <t>Na24</t>
  </si>
  <si>
    <t>Na24_m1</t>
  </si>
  <si>
    <t>Na25</t>
  </si>
  <si>
    <t>Na26</t>
  </si>
  <si>
    <t>Na27</t>
  </si>
  <si>
    <t>Na28</t>
  </si>
  <si>
    <t>Na29</t>
  </si>
  <si>
    <t>Na30</t>
  </si>
  <si>
    <t>Na31</t>
  </si>
  <si>
    <t>Na32</t>
  </si>
  <si>
    <t>Na33</t>
  </si>
  <si>
    <t>Na34</t>
  </si>
  <si>
    <t>Na35</t>
  </si>
  <si>
    <t>Na36</t>
  </si>
  <si>
    <t>Na37</t>
  </si>
  <si>
    <t>Mg19</t>
  </si>
  <si>
    <t>Mg</t>
  </si>
  <si>
    <t>Mg20</t>
  </si>
  <si>
    <t>Mg21</t>
  </si>
  <si>
    <t>Mg22</t>
  </si>
  <si>
    <t>Mg23</t>
  </si>
  <si>
    <t>Mg24</t>
  </si>
  <si>
    <t>Mg25</t>
  </si>
  <si>
    <t>Mg26</t>
  </si>
  <si>
    <t>Mg27</t>
  </si>
  <si>
    <t>Mg28</t>
  </si>
  <si>
    <t>Mg29</t>
  </si>
  <si>
    <t>Mg30</t>
  </si>
  <si>
    <t>Mg31</t>
  </si>
  <si>
    <t>Mg32</t>
  </si>
  <si>
    <t>Mg33</t>
  </si>
  <si>
    <t>Mg34</t>
  </si>
  <si>
    <t>Mg35</t>
  </si>
  <si>
    <t>Mg36</t>
  </si>
  <si>
    <t>Mg37</t>
  </si>
  <si>
    <t>Mg38</t>
  </si>
  <si>
    <t>Mg39</t>
  </si>
  <si>
    <t>Mg40</t>
  </si>
  <si>
    <t>Al21</t>
  </si>
  <si>
    <t>Al</t>
  </si>
  <si>
    <t>Al22</t>
  </si>
  <si>
    <t>Al23</t>
  </si>
  <si>
    <t>Al24</t>
  </si>
  <si>
    <t>Al24_m1</t>
  </si>
  <si>
    <t>Al25</t>
  </si>
  <si>
    <t>Al26</t>
  </si>
  <si>
    <t>Al26_m1</t>
  </si>
  <si>
    <t>Al27</t>
  </si>
  <si>
    <t>Al28</t>
  </si>
  <si>
    <t>Al29</t>
  </si>
  <si>
    <t>Al30</t>
  </si>
  <si>
    <t>Al31</t>
  </si>
  <si>
    <t>Al32</t>
  </si>
  <si>
    <t>Al33</t>
  </si>
  <si>
    <t>Al34</t>
  </si>
  <si>
    <t>Al35</t>
  </si>
  <si>
    <t>Al36</t>
  </si>
  <si>
    <t>Al37</t>
  </si>
  <si>
    <t>Al38</t>
  </si>
  <si>
    <t>Al39</t>
  </si>
  <si>
    <t>Al40</t>
  </si>
  <si>
    <t>Al41</t>
  </si>
  <si>
    <t>Al42</t>
  </si>
  <si>
    <t>Si22</t>
  </si>
  <si>
    <t>Si</t>
  </si>
  <si>
    <t>Si23</t>
  </si>
  <si>
    <t>Si24</t>
  </si>
  <si>
    <t>Si25</t>
  </si>
  <si>
    <t>Si26</t>
  </si>
  <si>
    <t>Si27</t>
  </si>
  <si>
    <t>Si28</t>
  </si>
  <si>
    <t>Si29</t>
  </si>
  <si>
    <t>Si30</t>
  </si>
  <si>
    <t>Si31</t>
  </si>
  <si>
    <t>Si32</t>
  </si>
  <si>
    <t>Si33</t>
  </si>
  <si>
    <t>Si34</t>
  </si>
  <si>
    <t>Si35</t>
  </si>
  <si>
    <t>Si36</t>
  </si>
  <si>
    <t>Si37</t>
  </si>
  <si>
    <t>Si38</t>
  </si>
  <si>
    <t>Si39</t>
  </si>
  <si>
    <t>Si40</t>
  </si>
  <si>
    <t>Si41</t>
  </si>
  <si>
    <t>Si42</t>
  </si>
  <si>
    <t>Si43</t>
  </si>
  <si>
    <t>Si44</t>
  </si>
  <si>
    <t>P24</t>
  </si>
  <si>
    <t>P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</si>
  <si>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</si>
  <si>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</si>
  <si>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</si>
  <si>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</si>
  <si>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</si>
  <si>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</si>
  <si>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</si>
  <si>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</si>
  <si>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</si>
  <si>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</si>
  <si>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</si>
  <si>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</si>
  <si>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</si>
  <si>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</si>
  <si>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</si>
  <si>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</si>
  <si>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</si>
  <si>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</si>
  <si>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</si>
  <si>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</si>
  <si>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</si>
  <si>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</si>
  <si>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S26</t>
  </si>
  <si>
    <t>S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</si>
  <si>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</si>
  <si>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</si>
  <si>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</si>
  <si>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</si>
  <si>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</si>
  <si>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</si>
  <si>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</si>
  <si>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</si>
  <si>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</si>
  <si>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</si>
  <si>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</si>
  <si>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</si>
  <si>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</si>
  <si>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</si>
  <si>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</si>
  <si>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</si>
  <si>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</si>
  <si>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</si>
  <si>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</si>
  <si>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</si>
  <si>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S48</t>
  </si>
  <si>
    <t>S49</t>
  </si>
  <si>
    <t>Cl28</t>
  </si>
  <si>
    <t>Cl</t>
  </si>
  <si>
    <t>Cl29</t>
  </si>
  <si>
    <t>Cl30</t>
  </si>
  <si>
    <t>Cl31</t>
  </si>
  <si>
    <t>Cl32</t>
  </si>
  <si>
    <t>Cl33</t>
  </si>
  <si>
    <t>Cl34</t>
  </si>
  <si>
    <t>Cl34_m1</t>
  </si>
  <si>
    <t>Cl35</t>
  </si>
  <si>
    <t>Cl36</t>
  </si>
  <si>
    <t>Cl37</t>
  </si>
  <si>
    <t>Cl38</t>
  </si>
  <si>
    <t>Cl38_m1</t>
  </si>
  <si>
    <t>Cl39</t>
  </si>
  <si>
    <t>Cl40</t>
  </si>
  <si>
    <t>Cl41</t>
  </si>
  <si>
    <t>Cl42</t>
  </si>
  <si>
    <t>Cl43</t>
  </si>
  <si>
    <t>Cl44</t>
  </si>
  <si>
    <t>Cl45</t>
  </si>
  <si>
    <t>Cl46</t>
  </si>
  <si>
    <t>Cl47</t>
  </si>
  <si>
    <t>Cl48</t>
  </si>
  <si>
    <t>Cl49</t>
  </si>
  <si>
    <t>Cl50</t>
  </si>
  <si>
    <t>Cl51</t>
  </si>
  <si>
    <t>Ar30</t>
  </si>
  <si>
    <t>Ar</t>
  </si>
  <si>
    <t>Ar31</t>
  </si>
  <si>
    <t>Ar32</t>
  </si>
  <si>
    <t>Ar33</t>
  </si>
  <si>
    <t>Ar34</t>
  </si>
  <si>
    <t>Ar35</t>
  </si>
  <si>
    <t>Ar36</t>
  </si>
  <si>
    <t>Ar37</t>
  </si>
  <si>
    <t>Ar38</t>
  </si>
  <si>
    <t>Ar39</t>
  </si>
  <si>
    <t>Ar40</t>
  </si>
  <si>
    <t>Ar41</t>
  </si>
  <si>
    <t>Ar42</t>
  </si>
  <si>
    <t>Ar43</t>
  </si>
  <si>
    <t>Ar44</t>
  </si>
  <si>
    <t>Ar45</t>
  </si>
  <si>
    <t>Ar46</t>
  </si>
  <si>
    <t>Ar47</t>
  </si>
  <si>
    <t>Ar48</t>
  </si>
  <si>
    <t>Ar49</t>
  </si>
  <si>
    <t>Ar50</t>
  </si>
  <si>
    <t>Ar51</t>
  </si>
  <si>
    <t>Ar52</t>
  </si>
  <si>
    <t>Ar53</t>
  </si>
  <si>
    <t>K32</t>
  </si>
  <si>
    <t>K</t>
  </si>
  <si>
    <t>K33</t>
  </si>
  <si>
    <t>K34</t>
  </si>
  <si>
    <t>K35</t>
  </si>
  <si>
    <t>K36</t>
  </si>
  <si>
    <t>K37</t>
  </si>
  <si>
    <t>K38</t>
  </si>
  <si>
    <t>K38_m1</t>
  </si>
  <si>
    <t>K39</t>
  </si>
  <si>
    <t>K40</t>
  </si>
  <si>
    <t>K41</t>
  </si>
  <si>
    <t>K42</t>
  </si>
  <si>
    <t>K43</t>
  </si>
  <si>
    <t>K44</t>
  </si>
  <si>
    <t>K45</t>
  </si>
  <si>
    <t>K46</t>
  </si>
  <si>
    <t>K47</t>
  </si>
  <si>
    <t>K48</t>
  </si>
  <si>
    <t>K49</t>
  </si>
  <si>
    <t>K50</t>
  </si>
  <si>
    <t>K51</t>
  </si>
  <si>
    <t>K52</t>
  </si>
  <si>
    <t>K53</t>
  </si>
  <si>
    <t>K54</t>
  </si>
  <si>
    <t>K55</t>
  </si>
  <si>
    <t>Ca34</t>
  </si>
  <si>
    <t>Ca</t>
  </si>
  <si>
    <t>Ca35</t>
  </si>
  <si>
    <t>Ca36</t>
  </si>
  <si>
    <t>Ca37</t>
  </si>
  <si>
    <t>Ca38</t>
  </si>
  <si>
    <t>Ca39</t>
  </si>
  <si>
    <t>Ca40</t>
  </si>
  <si>
    <t>Ca41</t>
  </si>
  <si>
    <t>Ca42</t>
  </si>
  <si>
    <t>Ca43</t>
  </si>
  <si>
    <t>Ca44</t>
  </si>
  <si>
    <t>Ca45</t>
  </si>
  <si>
    <t>Ca46</t>
  </si>
  <si>
    <t>Ca47</t>
  </si>
  <si>
    <t>Ca48</t>
  </si>
  <si>
    <t>Ca49</t>
  </si>
  <si>
    <t>Ca50</t>
  </si>
  <si>
    <t>Ca51</t>
  </si>
  <si>
    <t>Ca52</t>
  </si>
  <si>
    <t>Ca53</t>
  </si>
  <si>
    <t>Ca54</t>
  </si>
  <si>
    <t>Ca55</t>
  </si>
  <si>
    <t>Ca56</t>
  </si>
  <si>
    <t>Ca57</t>
  </si>
  <si>
    <t>Sc36</t>
  </si>
  <si>
    <t>Sc</t>
  </si>
  <si>
    <t>Sc37</t>
  </si>
  <si>
    <t>Sc38</t>
  </si>
  <si>
    <t>Sc39</t>
  </si>
  <si>
    <t>Sc40</t>
  </si>
  <si>
    <t>Sc41</t>
  </si>
  <si>
    <t>Sc42</t>
  </si>
  <si>
    <t>Sc42_m1</t>
  </si>
  <si>
    <t>Sc43</t>
  </si>
  <si>
    <t>Sc44</t>
  </si>
  <si>
    <t>Sc44_m1</t>
  </si>
  <si>
    <t>Sc45</t>
  </si>
  <si>
    <t>Sc45_m1</t>
  </si>
  <si>
    <t>Sc46</t>
  </si>
  <si>
    <t>Sc46_m1</t>
  </si>
  <si>
    <t>Sc47</t>
  </si>
  <si>
    <t>Sc48</t>
  </si>
  <si>
    <t>Sc49</t>
  </si>
  <si>
    <t>Sc50</t>
  </si>
  <si>
    <t>Sc50_m1</t>
  </si>
  <si>
    <t>Sc51</t>
  </si>
  <si>
    <t>Sc52</t>
  </si>
  <si>
    <t>Sc53</t>
  </si>
  <si>
    <t>Sc54</t>
  </si>
  <si>
    <t>Sc55</t>
  </si>
  <si>
    <t>Sc56</t>
  </si>
  <si>
    <t>Sc57</t>
  </si>
  <si>
    <t>Sc58</t>
  </si>
  <si>
    <t>Sc59</t>
  </si>
  <si>
    <t>Sc60</t>
  </si>
  <si>
    <t>Ti38</t>
  </si>
  <si>
    <t>Ti</t>
  </si>
  <si>
    <t>Ti39</t>
  </si>
  <si>
    <t>Ti40</t>
  </si>
  <si>
    <t>Ti41</t>
  </si>
  <si>
    <t>Ti42</t>
  </si>
  <si>
    <t>Ti43</t>
  </si>
  <si>
    <t>Ti44</t>
  </si>
  <si>
    <t>Ti45</t>
  </si>
  <si>
    <t>Ti46</t>
  </si>
  <si>
    <t>Ti47</t>
  </si>
  <si>
    <t>Ti48</t>
  </si>
  <si>
    <t>Ti49</t>
  </si>
  <si>
    <t>Ti50</t>
  </si>
  <si>
    <t>Ti51</t>
  </si>
  <si>
    <t>Ti52</t>
  </si>
  <si>
    <t>Ti53</t>
  </si>
  <si>
    <t>Ti54</t>
  </si>
  <si>
    <t>Ti55</t>
  </si>
  <si>
    <t>Ti56</t>
  </si>
  <si>
    <t>Ti57</t>
  </si>
  <si>
    <t>Ti58</t>
  </si>
  <si>
    <t>Ti59</t>
  </si>
  <si>
    <t>Ti60</t>
  </si>
  <si>
    <t>Ti61</t>
  </si>
  <si>
    <t>Ti62</t>
  </si>
  <si>
    <t>Ti63</t>
  </si>
  <si>
    <t>V40</t>
  </si>
  <si>
    <t>V</t>
  </si>
  <si>
    <t>V41</t>
  </si>
  <si>
    <t>V42</t>
  </si>
  <si>
    <t>V43</t>
  </si>
  <si>
    <t>V44</t>
  </si>
  <si>
    <t>V44_m1</t>
  </si>
  <si>
    <t>V45</t>
  </si>
  <si>
    <t>V46</t>
  </si>
  <si>
    <t>V46_m1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</si>
  <si>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</si>
  <si>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</si>
  <si>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</si>
  <si>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</si>
  <si>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</si>
  <si>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</si>
  <si>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</si>
  <si>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</si>
  <si>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</si>
  <si>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</si>
  <si>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</si>
  <si>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</si>
  <si>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</si>
  <si>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</si>
  <si>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</si>
  <si>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</si>
  <si>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</si>
  <si>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</si>
  <si>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</si>
  <si>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Cr42</t>
  </si>
  <si>
    <t>Cr</t>
  </si>
  <si>
    <t>Cr43</t>
  </si>
  <si>
    <t>Cr44</t>
  </si>
  <si>
    <t>Cr45</t>
  </si>
  <si>
    <t>Cr46</t>
  </si>
  <si>
    <t>Cr47</t>
  </si>
  <si>
    <t>Cr48</t>
  </si>
  <si>
    <t>Cr49</t>
  </si>
  <si>
    <t>Cr50</t>
  </si>
  <si>
    <t>Cr51</t>
  </si>
  <si>
    <t>Cr52</t>
  </si>
  <si>
    <t>Cr53</t>
  </si>
  <si>
    <t>Cr54</t>
  </si>
  <si>
    <t>Cr55</t>
  </si>
  <si>
    <t>Cr56</t>
  </si>
  <si>
    <t>Cr57</t>
  </si>
  <si>
    <t>Cr58</t>
  </si>
  <si>
    <t>Cr59</t>
  </si>
  <si>
    <t>Cr60</t>
  </si>
  <si>
    <t>Cr61</t>
  </si>
  <si>
    <t>Cr62</t>
  </si>
  <si>
    <t>Cr63</t>
  </si>
  <si>
    <t>Cr64</t>
  </si>
  <si>
    <t>Cr65</t>
  </si>
  <si>
    <t>Cr66</t>
  </si>
  <si>
    <t>Cr67</t>
  </si>
  <si>
    <t>Mn44</t>
  </si>
  <si>
    <t>Mn</t>
  </si>
  <si>
    <t>Mn45</t>
  </si>
  <si>
    <t>Mn46</t>
  </si>
  <si>
    <t>Mn47</t>
  </si>
  <si>
    <t>Mn48</t>
  </si>
  <si>
    <t>Mn49</t>
  </si>
  <si>
    <t>Mn50</t>
  </si>
  <si>
    <t>Mn50_m1</t>
  </si>
  <si>
    <t>Mn51</t>
  </si>
  <si>
    <t>Mn52</t>
  </si>
  <si>
    <t>Mn52_m1</t>
  </si>
  <si>
    <t>Mn53</t>
  </si>
  <si>
    <t>Mn54</t>
  </si>
  <si>
    <t>Mn55</t>
  </si>
  <si>
    <t>Mn56</t>
  </si>
  <si>
    <t>Mn57</t>
  </si>
  <si>
    <t>Mn58</t>
  </si>
  <si>
    <t>Mn58_m1</t>
  </si>
  <si>
    <t>Mn59</t>
  </si>
  <si>
    <t>Mn60</t>
  </si>
  <si>
    <t>Mn60_m1</t>
  </si>
  <si>
    <t>Mn61</t>
  </si>
  <si>
    <t>Mn62</t>
  </si>
  <si>
    <t>Mn62_m1</t>
  </si>
  <si>
    <t>Mn63</t>
  </si>
  <si>
    <t>Mn64</t>
  </si>
  <si>
    <t>Mn65</t>
  </si>
  <si>
    <t>Mn66</t>
  </si>
  <si>
    <t>Mn67</t>
  </si>
  <si>
    <t>Mn68</t>
  </si>
  <si>
    <t>Mn69</t>
  </si>
  <si>
    <t>Fe45</t>
  </si>
  <si>
    <t>Fe</t>
  </si>
  <si>
    <t>Fe46</t>
  </si>
  <si>
    <t>Fe47</t>
  </si>
  <si>
    <t>Fe48</t>
  </si>
  <si>
    <t>Fe49</t>
  </si>
  <si>
    <t>Fe50</t>
  </si>
  <si>
    <t>Fe51</t>
  </si>
  <si>
    <t>Fe52</t>
  </si>
  <si>
    <t>Fe52_m1</t>
  </si>
  <si>
    <t>Fe53</t>
  </si>
  <si>
    <t>Fe53_m1</t>
  </si>
  <si>
    <t>Fe54</t>
  </si>
  <si>
    <t>Fe55</t>
  </si>
  <si>
    <t>Fe56</t>
  </si>
  <si>
    <t>Fe57</t>
  </si>
  <si>
    <t>Fe58</t>
  </si>
  <si>
    <t>Fe59</t>
  </si>
  <si>
    <t>Fe60</t>
  </si>
  <si>
    <t>Fe61</t>
  </si>
  <si>
    <t>Fe62</t>
  </si>
  <si>
    <t>Fe63</t>
  </si>
  <si>
    <t>Fe64</t>
  </si>
  <si>
    <t>Fe65</t>
  </si>
  <si>
    <t>Fe65_m1</t>
  </si>
  <si>
    <t>Fe66</t>
  </si>
  <si>
    <t>Fe67</t>
  </si>
  <si>
    <t>Fe68</t>
  </si>
  <si>
    <t>Fe69</t>
  </si>
  <si>
    <t>Fe70</t>
  </si>
  <si>
    <t>Fe71</t>
  </si>
  <si>
    <t>Fe72</t>
  </si>
  <si>
    <t>Co49</t>
  </si>
  <si>
    <t>Co</t>
  </si>
  <si>
    <t>Co50</t>
  </si>
  <si>
    <t>Co51</t>
  </si>
  <si>
    <t>Co52</t>
  </si>
  <si>
    <t>Co53</t>
  </si>
  <si>
    <t>Co53_m1</t>
  </si>
  <si>
    <t>Co54</t>
  </si>
  <si>
    <t>Co54_m1</t>
  </si>
  <si>
    <t>Co55</t>
  </si>
  <si>
    <t>Co56</t>
  </si>
  <si>
    <t>Co57</t>
  </si>
  <si>
    <t>Co58</t>
  </si>
  <si>
    <t>Co58_m1</t>
  </si>
  <si>
    <t>Co59</t>
  </si>
  <si>
    <t>Co60</t>
  </si>
  <si>
    <t>Co60_m1</t>
  </si>
  <si>
    <t>Co61</t>
  </si>
  <si>
    <t>Co62</t>
  </si>
  <si>
    <t>Co62_m1</t>
  </si>
  <si>
    <t>Co63</t>
  </si>
  <si>
    <t>Co64</t>
  </si>
  <si>
    <t>Co65</t>
  </si>
  <si>
    <t>Co66</t>
  </si>
  <si>
    <t>Co67</t>
  </si>
  <si>
    <t>Co68</t>
  </si>
  <si>
    <t>Co68_m1</t>
  </si>
  <si>
    <t>Co69</t>
  </si>
  <si>
    <t>Co70</t>
  </si>
  <si>
    <t>Co70_m1</t>
  </si>
  <si>
    <t>Co71</t>
  </si>
  <si>
    <t>Co72</t>
  </si>
  <si>
    <t>Co73</t>
  </si>
  <si>
    <t>Co74</t>
  </si>
  <si>
    <t>Co75</t>
  </si>
  <si>
    <t>Ni48</t>
  </si>
  <si>
    <t>Ni</t>
  </si>
  <si>
    <t>Ni49</t>
  </si>
  <si>
    <t>Ni50</t>
  </si>
  <si>
    <t>Ni51</t>
  </si>
  <si>
    <t>Ni52</t>
  </si>
  <si>
    <t>Ni53</t>
  </si>
  <si>
    <t>Ni54</t>
  </si>
  <si>
    <t>Ni55</t>
  </si>
  <si>
    <t>Ni56</t>
  </si>
  <si>
    <t>Ni57</t>
  </si>
  <si>
    <t>Ni58</t>
  </si>
  <si>
    <t>Ni59</t>
  </si>
  <si>
    <t>Ni60</t>
  </si>
  <si>
    <t>Ni61</t>
  </si>
  <si>
    <t>Ni62</t>
  </si>
  <si>
    <t>Ni63</t>
  </si>
  <si>
    <t>Ni64</t>
  </si>
  <si>
    <t>Ni65</t>
  </si>
  <si>
    <t>Ni66</t>
  </si>
  <si>
    <t>Ni67</t>
  </si>
  <si>
    <t>Ni68</t>
  </si>
  <si>
    <t>Ni69</t>
  </si>
  <si>
    <t>Ni69_m1</t>
  </si>
  <si>
    <t>Ni70</t>
  </si>
  <si>
    <t>Ni71</t>
  </si>
  <si>
    <t>Ni72</t>
  </si>
  <si>
    <t>Ni73</t>
  </si>
  <si>
    <t>Ni74</t>
  </si>
  <si>
    <t>Ni75</t>
  </si>
  <si>
    <t>Ni76</t>
  </si>
  <si>
    <t>Ni77</t>
  </si>
  <si>
    <t>Ni78</t>
  </si>
  <si>
    <t>Cu52</t>
  </si>
  <si>
    <t>Cu</t>
  </si>
  <si>
    <t>Cu53</t>
  </si>
  <si>
    <t>Cu54</t>
  </si>
  <si>
    <t>Cu55</t>
  </si>
  <si>
    <t>Cu56</t>
  </si>
  <si>
    <t>Cu57</t>
  </si>
  <si>
    <t>Cu58</t>
  </si>
  <si>
    <t>Cu59</t>
  </si>
  <si>
    <t>Cu60</t>
  </si>
  <si>
    <t>Cu61</t>
  </si>
  <si>
    <t>Cu62</t>
  </si>
  <si>
    <t>Cu63</t>
  </si>
  <si>
    <t>Cu64</t>
  </si>
  <si>
    <t>Cu65</t>
  </si>
  <si>
    <t>Cu66</t>
  </si>
  <si>
    <t>Cu67</t>
  </si>
  <si>
    <t>Cu68</t>
  </si>
  <si>
    <t>Cu68_m1</t>
  </si>
  <si>
    <t>Cu69</t>
  </si>
  <si>
    <t>Cu70</t>
  </si>
  <si>
    <t>Cu70_m1</t>
  </si>
  <si>
    <t>Cu70_m2</t>
  </si>
  <si>
    <t>Cu71</t>
  </si>
  <si>
    <t>Cu72</t>
  </si>
  <si>
    <t>Cu73</t>
  </si>
  <si>
    <t>Cu74</t>
  </si>
  <si>
    <t>Cu75</t>
  </si>
  <si>
    <t>Cu76</t>
  </si>
  <si>
    <t>Cu76_m1</t>
  </si>
  <si>
    <t>Cu77</t>
  </si>
  <si>
    <t>Cu78</t>
  </si>
  <si>
    <t>Cu79</t>
  </si>
  <si>
    <t>Cu80</t>
  </si>
  <si>
    <t>Cu81</t>
  </si>
  <si>
    <t>Zn54</t>
  </si>
  <si>
    <t>Zn</t>
  </si>
  <si>
    <t>Zn55</t>
  </si>
  <si>
    <t>Zn56</t>
  </si>
  <si>
    <t>Zn57</t>
  </si>
  <si>
    <t>Zn58</t>
  </si>
  <si>
    <t>Zn59</t>
  </si>
  <si>
    <t>Zn60</t>
  </si>
  <si>
    <t>Zn61</t>
  </si>
  <si>
    <t>Zn61_m1</t>
  </si>
  <si>
    <t>Zn61_m2</t>
  </si>
  <si>
    <t>Zn62</t>
  </si>
  <si>
    <t>Zn63</t>
  </si>
  <si>
    <t>Zn64</t>
  </si>
  <si>
    <t>Zn65</t>
  </si>
  <si>
    <t>Zn66</t>
  </si>
  <si>
    <t>Zn67</t>
  </si>
  <si>
    <t>Zn68</t>
  </si>
  <si>
    <t>Zn69</t>
  </si>
  <si>
    <t>Zn69_m1</t>
  </si>
  <si>
    <t>Zn70</t>
  </si>
  <si>
    <t>Zn71</t>
  </si>
  <si>
    <t>Zn71_m1</t>
  </si>
  <si>
    <t>Zn72</t>
  </si>
  <si>
    <t>Zn73</t>
  </si>
  <si>
    <t>Zn73_m1</t>
  </si>
  <si>
    <t>Zn73_m2</t>
  </si>
  <si>
    <t>Zn74</t>
  </si>
  <si>
    <t>Zn75</t>
  </si>
  <si>
    <t>Zn76</t>
  </si>
  <si>
    <t>Zn77</t>
  </si>
  <si>
    <t>Zn77_m1</t>
  </si>
  <si>
    <t>Zn78</t>
  </si>
  <si>
    <t>Zn79</t>
  </si>
  <si>
    <t>Zn80</t>
  </si>
  <si>
    <t>Zn81</t>
  </si>
  <si>
    <t>Zn82</t>
  </si>
  <si>
    <t>Zn83</t>
  </si>
  <si>
    <t>Ga56</t>
  </si>
  <si>
    <t>Ga</t>
  </si>
  <si>
    <t>Ga57</t>
  </si>
  <si>
    <t>Ga58</t>
  </si>
  <si>
    <t>Ga59</t>
  </si>
  <si>
    <t>Ga60</t>
  </si>
  <si>
    <t>Ga61</t>
  </si>
  <si>
    <t>Ga62</t>
  </si>
  <si>
    <t>Ga63</t>
  </si>
  <si>
    <t>Ga64</t>
  </si>
  <si>
    <t>Ga65</t>
  </si>
  <si>
    <t>Ga66</t>
  </si>
  <si>
    <t>Ga67</t>
  </si>
  <si>
    <t>Ga68</t>
  </si>
  <si>
    <t>Ga69</t>
  </si>
  <si>
    <t>Ga70</t>
  </si>
  <si>
    <t>Ga71</t>
  </si>
  <si>
    <t>Ga72</t>
  </si>
  <si>
    <t>Ga72_m1</t>
  </si>
  <si>
    <t>Ga73</t>
  </si>
  <si>
    <t>Ga74</t>
  </si>
  <si>
    <t>Ga74_m1</t>
  </si>
  <si>
    <t>Ga75</t>
  </si>
  <si>
    <t>Ga76</t>
  </si>
  <si>
    <t>Ga77</t>
  </si>
  <si>
    <t>Ga78</t>
  </si>
  <si>
    <t>Ga79</t>
  </si>
  <si>
    <t>Ga80</t>
  </si>
  <si>
    <t>Ga81</t>
  </si>
  <si>
    <t>Ga82</t>
  </si>
  <si>
    <t>Ga83</t>
  </si>
  <si>
    <t>Ga84</t>
  </si>
  <si>
    <t>Ga85</t>
  </si>
  <si>
    <t>Ga86</t>
  </si>
  <si>
    <t>Ge58</t>
  </si>
  <si>
    <t>Ge</t>
  </si>
  <si>
    <t>Ge59</t>
  </si>
  <si>
    <t>Ge60</t>
  </si>
  <si>
    <t>Ge61</t>
  </si>
  <si>
    <t>Ge62</t>
  </si>
  <si>
    <t>Ge63</t>
  </si>
  <si>
    <t>Ge64</t>
  </si>
  <si>
    <t>Ge65</t>
  </si>
  <si>
    <t>Ge66</t>
  </si>
  <si>
    <t>Ge67</t>
  </si>
  <si>
    <t>Ge68</t>
  </si>
  <si>
    <t>Ge69</t>
  </si>
  <si>
    <t>Ge70</t>
  </si>
  <si>
    <t>Ge71</t>
  </si>
  <si>
    <t>Ge71_m1</t>
  </si>
  <si>
    <t>Ge72</t>
  </si>
  <si>
    <t>Ge73</t>
  </si>
  <si>
    <t>Ge73_m1</t>
  </si>
  <si>
    <t>Ge74</t>
  </si>
  <si>
    <t>Ge75</t>
  </si>
  <si>
    <t>Ge75_m1</t>
  </si>
  <si>
    <t>Ge76</t>
  </si>
  <si>
    <t>Ge77</t>
  </si>
  <si>
    <t>Ge77_m1</t>
  </si>
  <si>
    <t>Ge78</t>
  </si>
  <si>
    <t>Ge79</t>
  </si>
  <si>
    <t>Ge79_m1</t>
  </si>
  <si>
    <t>Ge80</t>
  </si>
  <si>
    <t>Ge81</t>
  </si>
  <si>
    <t>Ge81_m1</t>
  </si>
  <si>
    <t>Ge82</t>
  </si>
  <si>
    <t>Ge83</t>
  </si>
  <si>
    <t>Ge84</t>
  </si>
  <si>
    <t>Ge85</t>
  </si>
  <si>
    <t>Ge86</t>
  </si>
  <si>
    <t>Ge87</t>
  </si>
  <si>
    <t>Ge88</t>
  </si>
  <si>
    <t>Ge89</t>
  </si>
  <si>
    <t>As60</t>
  </si>
  <si>
    <t>As</t>
  </si>
  <si>
    <t>As61</t>
  </si>
  <si>
    <t>As62</t>
  </si>
  <si>
    <t>As63</t>
  </si>
  <si>
    <t>As64</t>
  </si>
  <si>
    <t>As65</t>
  </si>
  <si>
    <t>As66</t>
  </si>
  <si>
    <t>As67</t>
  </si>
  <si>
    <t>As68</t>
  </si>
  <si>
    <t>As69</t>
  </si>
  <si>
    <t>As70</t>
  </si>
  <si>
    <t>As71</t>
  </si>
  <si>
    <t>As72</t>
  </si>
  <si>
    <t>As73</t>
  </si>
  <si>
    <t>As74</t>
  </si>
  <si>
    <t>As75</t>
  </si>
  <si>
    <t>As75_m1</t>
  </si>
  <si>
    <t>As76</t>
  </si>
  <si>
    <t>As77</t>
  </si>
  <si>
    <t>As78</t>
  </si>
  <si>
    <t>As79</t>
  </si>
  <si>
    <t>As80</t>
  </si>
  <si>
    <t>As81</t>
  </si>
  <si>
    <t>As82</t>
  </si>
  <si>
    <t>As82_m1</t>
  </si>
  <si>
    <t>As83</t>
  </si>
  <si>
    <t>As84</t>
  </si>
  <si>
    <t>As85</t>
  </si>
  <si>
    <t>As86</t>
  </si>
  <si>
    <t>As87</t>
  </si>
  <si>
    <t>As88</t>
  </si>
  <si>
    <t>As89</t>
  </si>
  <si>
    <t>As90</t>
  </si>
  <si>
    <t>As91</t>
  </si>
  <si>
    <t>As92</t>
  </si>
  <si>
    <t>Se65</t>
  </si>
  <si>
    <t>Se</t>
  </si>
  <si>
    <t>Se66</t>
  </si>
  <si>
    <t>Se67</t>
  </si>
  <si>
    <t>Se68</t>
  </si>
  <si>
    <t>Se69</t>
  </si>
  <si>
    <t>Se70</t>
  </si>
  <si>
    <t>Se71</t>
  </si>
  <si>
    <t>Se72</t>
  </si>
  <si>
    <t>Se73</t>
  </si>
  <si>
    <t>Se73_m1</t>
  </si>
  <si>
    <t>Se74</t>
  </si>
  <si>
    <t>Se75</t>
  </si>
  <si>
    <t>Se76</t>
  </si>
  <si>
    <t>Se77</t>
  </si>
  <si>
    <t>Se77_m1</t>
  </si>
  <si>
    <t>Se78</t>
  </si>
  <si>
    <t>Se79</t>
  </si>
  <si>
    <t>Se79_m1</t>
  </si>
  <si>
    <t>Se80</t>
  </si>
  <si>
    <t>Se81</t>
  </si>
  <si>
    <t>Se81_m1</t>
  </si>
  <si>
    <t>Se82</t>
  </si>
  <si>
    <t>Se83</t>
  </si>
  <si>
    <t>Se83_m1</t>
  </si>
  <si>
    <t>Se84</t>
  </si>
  <si>
    <t>Se85</t>
  </si>
  <si>
    <t>Se86</t>
  </si>
  <si>
    <t>Se87</t>
  </si>
  <si>
    <t>Se88</t>
  </si>
  <si>
    <t>Se89</t>
  </si>
  <si>
    <t>Se90</t>
  </si>
  <si>
    <t>Se91</t>
  </si>
  <si>
    <t>Se92</t>
  </si>
  <si>
    <t>Se93</t>
  </si>
  <si>
    <t>Se94</t>
  </si>
  <si>
    <t>Br67</t>
  </si>
  <si>
    <t>Br</t>
  </si>
  <si>
    <t>Br68</t>
  </si>
  <si>
    <t>Br69</t>
  </si>
  <si>
    <t>Br70</t>
  </si>
  <si>
    <t>Br70_m1</t>
  </si>
  <si>
    <t>Br71</t>
  </si>
  <si>
    <t>Br72</t>
  </si>
  <si>
    <t>Br72_m1</t>
  </si>
  <si>
    <t>Br73</t>
  </si>
  <si>
    <t>Br74</t>
  </si>
  <si>
    <t>Br74_m1</t>
  </si>
  <si>
    <t>Br75</t>
  </si>
  <si>
    <t>Br76</t>
  </si>
  <si>
    <t>Br76_m1</t>
  </si>
  <si>
    <t>Br77</t>
  </si>
  <si>
    <t>Br77_m1</t>
  </si>
  <si>
    <t>Br78</t>
  </si>
  <si>
    <t>Br79</t>
  </si>
  <si>
    <t>Br79_m1</t>
  </si>
  <si>
    <t>Br80</t>
  </si>
  <si>
    <t>Br80_m1</t>
  </si>
  <si>
    <t>Br81</t>
  </si>
  <si>
    <t>Br82</t>
  </si>
  <si>
    <t>Br82_m1</t>
  </si>
  <si>
    <t>Br83</t>
  </si>
  <si>
    <t>Br84</t>
  </si>
  <si>
    <t>Br84_m1</t>
  </si>
  <si>
    <t>Br85</t>
  </si>
  <si>
    <t>Br86</t>
  </si>
  <si>
    <t>Br87</t>
  </si>
  <si>
    <t>Br88</t>
  </si>
  <si>
    <t>Br89</t>
  </si>
  <si>
    <t>Br90</t>
  </si>
  <si>
    <t>Br91</t>
  </si>
  <si>
    <t>Br92</t>
  </si>
  <si>
    <t>Br93</t>
  </si>
  <si>
    <t>Br94</t>
  </si>
  <si>
    <t>Br95</t>
  </si>
  <si>
    <t>Br96</t>
  </si>
  <si>
    <t>Br97</t>
  </si>
  <si>
    <t>Kr69</t>
  </si>
  <si>
    <t>Kr</t>
  </si>
  <si>
    <t>Kr70</t>
  </si>
  <si>
    <t>Kr71</t>
  </si>
  <si>
    <t>Kr72</t>
  </si>
  <si>
    <t>Kr73</t>
  </si>
  <si>
    <t>Kr74</t>
  </si>
  <si>
    <t>Kr75</t>
  </si>
  <si>
    <t>Kr76</t>
  </si>
  <si>
    <t>Kr77</t>
  </si>
  <si>
    <t>Kr78</t>
  </si>
  <si>
    <t>Kr79</t>
  </si>
  <si>
    <t>Kr79_m1</t>
  </si>
  <si>
    <t>Kr80</t>
  </si>
  <si>
    <t>Kr81</t>
  </si>
  <si>
    <t>Kr81_m1</t>
  </si>
  <si>
    <t>Kr82</t>
  </si>
  <si>
    <t>Kr83</t>
  </si>
  <si>
    <t>Kr83_m1</t>
  </si>
  <si>
    <t>Kr84</t>
  </si>
  <si>
    <t>Kr85_m1</t>
  </si>
  <si>
    <t>Kr86</t>
  </si>
  <si>
    <t>Kr87</t>
  </si>
  <si>
    <t>Kr88</t>
  </si>
  <si>
    <t>Kr89</t>
  </si>
  <si>
    <t>Kr90</t>
  </si>
  <si>
    <t>Kr91</t>
  </si>
  <si>
    <t>Kr92</t>
  </si>
  <si>
    <t>Kr93</t>
  </si>
  <si>
    <t>Kr94</t>
  </si>
  <si>
    <t>Kr95</t>
  </si>
  <si>
    <t>Kr96</t>
  </si>
  <si>
    <t>Kr97</t>
  </si>
  <si>
    <t>Kr98</t>
  </si>
  <si>
    <t>Kr99</t>
  </si>
  <si>
    <t>Kr100</t>
  </si>
  <si>
    <t>Rb71</t>
  </si>
  <si>
    <t>Rb</t>
  </si>
  <si>
    <t>Rb72</t>
  </si>
  <si>
    <t>Rb73</t>
  </si>
  <si>
    <t>Rb74</t>
  </si>
  <si>
    <t>Rb75</t>
  </si>
  <si>
    <t>Rb76</t>
  </si>
  <si>
    <t>Rb77</t>
  </si>
  <si>
    <t>Rb78</t>
  </si>
  <si>
    <t>Rb78_m1</t>
  </si>
  <si>
    <t>Rb79</t>
  </si>
  <si>
    <t>Rb80</t>
  </si>
  <si>
    <t>Rb81</t>
  </si>
  <si>
    <t>Rb81_m1</t>
  </si>
  <si>
    <t>Rb82</t>
  </si>
  <si>
    <t>Rb82_m1</t>
  </si>
  <si>
    <t>Rb83</t>
  </si>
  <si>
    <t>Rb84</t>
  </si>
  <si>
    <t>Rb84_m1</t>
  </si>
  <si>
    <t>Rb85</t>
  </si>
  <si>
    <t>Rb86</t>
  </si>
  <si>
    <t>Rb86_m1</t>
  </si>
  <si>
    <t>Rb87</t>
  </si>
  <si>
    <t>Rb88</t>
  </si>
  <si>
    <t>Rb89</t>
  </si>
  <si>
    <t>Rb90</t>
  </si>
  <si>
    <t>Rb90_m1</t>
  </si>
  <si>
    <t>Rb91</t>
  </si>
  <si>
    <t>Rb92</t>
  </si>
  <si>
    <t>Rb93</t>
  </si>
  <si>
    <t>Rb94</t>
  </si>
  <si>
    <t>Rb95</t>
  </si>
  <si>
    <t>Rb96</t>
  </si>
  <si>
    <t>Rb97</t>
  </si>
  <si>
    <t>Rb98</t>
  </si>
  <si>
    <t>Rb98_m1</t>
  </si>
  <si>
    <t>Rb99</t>
  </si>
  <si>
    <t>Rb100</t>
  </si>
  <si>
    <t>Rb101</t>
  </si>
  <si>
    <t>Rb102</t>
  </si>
  <si>
    <t>Sr73</t>
  </si>
  <si>
    <t>Sr</t>
  </si>
  <si>
    <t>Sr74</t>
  </si>
  <si>
    <t>Sr75</t>
  </si>
  <si>
    <t>Sr76</t>
  </si>
  <si>
    <t>Sr77</t>
  </si>
  <si>
    <t>Sr78</t>
  </si>
  <si>
    <t>Sr79</t>
  </si>
  <si>
    <t>Sr80</t>
  </si>
  <si>
    <t>Sr81</t>
  </si>
  <si>
    <t>Sr82</t>
  </si>
  <si>
    <t>Sr83</t>
  </si>
  <si>
    <t>Sr83_m1</t>
  </si>
  <si>
    <t>Sr84</t>
  </si>
  <si>
    <t>Sr85</t>
  </si>
  <si>
    <t>Sr85_m1</t>
  </si>
  <si>
    <t>Sr86</t>
  </si>
  <si>
    <t>Sr87</t>
  </si>
  <si>
    <t>Sr87_m1</t>
  </si>
  <si>
    <t>Sr88</t>
  </si>
  <si>
    <t>Sr89</t>
  </si>
  <si>
    <t>Sr90</t>
  </si>
  <si>
    <t>Sr91</t>
  </si>
  <si>
    <t>Sr92</t>
  </si>
  <si>
    <t>Sr93</t>
  </si>
  <si>
    <t>Sr94</t>
  </si>
  <si>
    <t>Sr95</t>
  </si>
  <si>
    <t>Sr96</t>
  </si>
  <si>
    <t>Sr97</t>
  </si>
  <si>
    <t>Sr98</t>
  </si>
  <si>
    <t>Sr99</t>
  </si>
  <si>
    <t>Sr100</t>
  </si>
  <si>
    <t>Sr101</t>
  </si>
  <si>
    <t>Sr102</t>
  </si>
  <si>
    <t>Sr103</t>
  </si>
  <si>
    <t>Sr104</t>
  </si>
  <si>
    <t>Sr105</t>
  </si>
  <si>
    <t>Y76</t>
  </si>
  <si>
    <t>Y</t>
  </si>
  <si>
    <t>Y77</t>
  </si>
  <si>
    <t>Y78</t>
  </si>
  <si>
    <t>Y78_m1</t>
  </si>
  <si>
    <t>Y79</t>
  </si>
  <si>
    <t>Y80</t>
  </si>
  <si>
    <t>Y80_m1</t>
  </si>
  <si>
    <t>Y81</t>
  </si>
  <si>
    <t>Y82</t>
  </si>
  <si>
    <t>Y83</t>
  </si>
  <si>
    <t>Y83_m1</t>
  </si>
  <si>
    <t>Y84</t>
  </si>
  <si>
    <t>Y84_m1</t>
  </si>
  <si>
    <t>Y85</t>
  </si>
  <si>
    <t>Y85_m1</t>
  </si>
  <si>
    <t>Y86</t>
  </si>
  <si>
    <t>Y86_m1</t>
  </si>
  <si>
    <t>Y87</t>
  </si>
  <si>
    <t>Y87_m1</t>
  </si>
  <si>
    <t>Y88</t>
  </si>
  <si>
    <t>Y88_m1</t>
  </si>
  <si>
    <t>Y88_m2</t>
  </si>
  <si>
    <t>Y89</t>
  </si>
  <si>
    <t>Y89_m1</t>
  </si>
  <si>
    <t>Y90</t>
  </si>
  <si>
    <t>Y90_m1</t>
  </si>
  <si>
    <t>Y91</t>
  </si>
  <si>
    <t>Y91_m1</t>
  </si>
  <si>
    <t>Y92</t>
  </si>
  <si>
    <t>Y93</t>
  </si>
  <si>
    <t>Y93_m1</t>
  </si>
  <si>
    <t>Y94</t>
  </si>
  <si>
    <t>Y95</t>
  </si>
  <si>
    <t>Y96</t>
  </si>
  <si>
    <t>Y96_m1</t>
  </si>
  <si>
    <t>Y97</t>
  </si>
  <si>
    <t>Y97_m1</t>
  </si>
  <si>
    <t>Y97_m2</t>
  </si>
  <si>
    <t>Y98</t>
  </si>
  <si>
    <t>Y98_m1</t>
  </si>
  <si>
    <t>Y99</t>
  </si>
  <si>
    <t>Y100</t>
  </si>
  <si>
    <t>Y100_m1</t>
  </si>
  <si>
    <t>Y101</t>
  </si>
  <si>
    <t>Y102</t>
  </si>
  <si>
    <t>Y102_m1</t>
  </si>
  <si>
    <t>Y103</t>
  </si>
  <si>
    <t>Y104</t>
  </si>
  <si>
    <t>Y105</t>
  </si>
  <si>
    <t>Y106</t>
  </si>
  <si>
    <t>Y107</t>
  </si>
  <si>
    <t>Y108</t>
  </si>
  <si>
    <t>Zr78</t>
  </si>
  <si>
    <t>Zr</t>
  </si>
  <si>
    <t>Zr79</t>
  </si>
  <si>
    <t>Zr80</t>
  </si>
  <si>
    <t>Zr81</t>
  </si>
  <si>
    <t>Zr82</t>
  </si>
  <si>
    <t>Zr83</t>
  </si>
  <si>
    <t>Zr84</t>
  </si>
  <si>
    <t>Zr85</t>
  </si>
  <si>
    <t>Zr85_m1</t>
  </si>
  <si>
    <t>Zr86</t>
  </si>
  <si>
    <t>Zr87</t>
  </si>
  <si>
    <t>Zr87_m1</t>
  </si>
  <si>
    <t>Zr88</t>
  </si>
  <si>
    <t>Zr89</t>
  </si>
  <si>
    <t>Zr89_m1</t>
  </si>
  <si>
    <t>Zr90</t>
  </si>
  <si>
    <t>Zr90_m1</t>
  </si>
  <si>
    <t>Zr91</t>
  </si>
  <si>
    <t>Zr92</t>
  </si>
  <si>
    <t>Zr93</t>
  </si>
  <si>
    <t>Zr94</t>
  </si>
  <si>
    <t>Zr95</t>
  </si>
  <si>
    <t>Zr96</t>
  </si>
  <si>
    <t>Zr97</t>
  </si>
  <si>
    <t>Zr98</t>
  </si>
  <si>
    <t>Zr99</t>
  </si>
  <si>
    <t>Zr100</t>
  </si>
  <si>
    <t>Zr101</t>
  </si>
  <si>
    <t>Zr102</t>
  </si>
  <si>
    <t>Zr103</t>
  </si>
  <si>
    <t>Zr104</t>
  </si>
  <si>
    <t>Zr105</t>
  </si>
  <si>
    <t>Zr106</t>
  </si>
  <si>
    <t>Zr107</t>
  </si>
  <si>
    <t>Zr108</t>
  </si>
  <si>
    <t>Zr109</t>
  </si>
  <si>
    <t>Zr110</t>
  </si>
  <si>
    <t>Nb81</t>
  </si>
  <si>
    <t>Nb</t>
  </si>
  <si>
    <t>Nb82</t>
  </si>
  <si>
    <t>Nb83</t>
  </si>
  <si>
    <t>Nb84</t>
  </si>
  <si>
    <t>Nb85</t>
  </si>
  <si>
    <t>Nb85_m1</t>
  </si>
  <si>
    <t>Nb86</t>
  </si>
  <si>
    <t>Nb87</t>
  </si>
  <si>
    <t>Nb87_m1</t>
  </si>
  <si>
    <t>Nb88</t>
  </si>
  <si>
    <t>Nb88_m1</t>
  </si>
  <si>
    <t>Nb89</t>
  </si>
  <si>
    <t>Nb89_m1</t>
  </si>
  <si>
    <t>Nb90</t>
  </si>
  <si>
    <t>Nb90_m1</t>
  </si>
  <si>
    <t>Nb90_m2</t>
  </si>
  <si>
    <t>Nb91</t>
  </si>
  <si>
    <t>Nb91_m1</t>
  </si>
  <si>
    <t>Nb92</t>
  </si>
  <si>
    <t>Nb92_m1</t>
  </si>
  <si>
    <t>Nb93</t>
  </si>
  <si>
    <t>Nb93_m1</t>
  </si>
  <si>
    <t>Nb94</t>
  </si>
  <si>
    <t>Nb94_m1</t>
  </si>
  <si>
    <t>Nb95</t>
  </si>
  <si>
    <t>Nb95_m1</t>
  </si>
  <si>
    <t>Nb96</t>
  </si>
  <si>
    <t>Nb97</t>
  </si>
  <si>
    <t>Nb97_m1</t>
  </si>
  <si>
    <t>Nb98</t>
  </si>
  <si>
    <t>Nb98_m1</t>
  </si>
  <si>
    <t>Nb99</t>
  </si>
  <si>
    <t>Nb99_m1</t>
  </si>
  <si>
    <t>Nb100</t>
  </si>
  <si>
    <t>Nb100_m1</t>
  </si>
  <si>
    <t>Nb101</t>
  </si>
  <si>
    <t>Nb102</t>
  </si>
  <si>
    <t>Nb102_m1</t>
  </si>
  <si>
    <t>Nb103</t>
  </si>
  <si>
    <t>Nb104</t>
  </si>
  <si>
    <t>Nb104_m1</t>
  </si>
  <si>
    <t>Nb105</t>
  </si>
  <si>
    <t>Nb106</t>
  </si>
  <si>
    <t>Nb107</t>
  </si>
  <si>
    <t>Nb108</t>
  </si>
  <si>
    <t>Nb109</t>
  </si>
  <si>
    <t>Nb110</t>
  </si>
  <si>
    <t>Nb111</t>
  </si>
  <si>
    <t>Nb112</t>
  </si>
  <si>
    <t>Nb113</t>
  </si>
  <si>
    <t>Mo83</t>
  </si>
  <si>
    <t>Mo</t>
  </si>
  <si>
    <t>Mo84</t>
  </si>
  <si>
    <t>Mo85</t>
  </si>
  <si>
    <t>Mo86</t>
  </si>
  <si>
    <t>Mo87</t>
  </si>
  <si>
    <t>Mo88</t>
  </si>
  <si>
    <t>Mo89</t>
  </si>
  <si>
    <t>Mo89_m1</t>
  </si>
  <si>
    <t>Mo90</t>
  </si>
  <si>
    <t>Mo91</t>
  </si>
  <si>
    <t>Mo91_m1</t>
  </si>
  <si>
    <t>Mo92</t>
  </si>
  <si>
    <t>Mo93</t>
  </si>
  <si>
    <t>Mo93_m1</t>
  </si>
  <si>
    <t>Mo94</t>
  </si>
  <si>
    <t>Mo95</t>
  </si>
  <si>
    <t>Mo96</t>
  </si>
  <si>
    <t>Mo97</t>
  </si>
  <si>
    <t>Mo98</t>
  </si>
  <si>
    <t>Mo99</t>
  </si>
  <si>
    <t>Mo100</t>
  </si>
  <si>
    <t>Mo101</t>
  </si>
  <si>
    <t>Mo102</t>
  </si>
  <si>
    <t>Mo103</t>
  </si>
  <si>
    <t>Mo104</t>
  </si>
  <si>
    <t>Mo105</t>
  </si>
  <si>
    <t>Mo106</t>
  </si>
  <si>
    <t>Mo107</t>
  </si>
  <si>
    <t>Mo108</t>
  </si>
  <si>
    <t>Mo109</t>
  </si>
  <si>
    <t>Mo110</t>
  </si>
  <si>
    <t>Mo111</t>
  </si>
  <si>
    <t>Mo112</t>
  </si>
  <si>
    <t>Mo113</t>
  </si>
  <si>
    <t>Mo114</t>
  </si>
  <si>
    <t>Mo115</t>
  </si>
  <si>
    <t>Tc85</t>
  </si>
  <si>
    <t>Tc</t>
  </si>
  <si>
    <t>Tc86</t>
  </si>
  <si>
    <t>Tc86_m1</t>
  </si>
  <si>
    <t>Tc87</t>
  </si>
  <si>
    <t>Tc88</t>
  </si>
  <si>
    <t>Tc88_m1</t>
  </si>
  <si>
    <t>Tc89</t>
  </si>
  <si>
    <t>Tc89_m1</t>
  </si>
  <si>
    <t>Tc90</t>
  </si>
  <si>
    <t>Tc90_m1</t>
  </si>
  <si>
    <t>Tc91</t>
  </si>
  <si>
    <t>Tc91_m1</t>
  </si>
  <si>
    <t>Tc92</t>
  </si>
  <si>
    <t>Tc93</t>
  </si>
  <si>
    <t>Tc93_m1</t>
  </si>
  <si>
    <t>Tc94</t>
  </si>
  <si>
    <t>Tc94_m1</t>
  </si>
  <si>
    <t>Tc95</t>
  </si>
  <si>
    <t>Tc95_m1</t>
  </si>
  <si>
    <t>Tc96</t>
  </si>
  <si>
    <t>Tc96_m1</t>
  </si>
  <si>
    <t>Tc97</t>
  </si>
  <si>
    <t>Tc97_m1</t>
  </si>
  <si>
    <t>Tc98</t>
  </si>
  <si>
    <t>Tc99</t>
  </si>
  <si>
    <t>Tc99_m1</t>
  </si>
  <si>
    <t>Tc100</t>
  </si>
  <si>
    <t>Tc101</t>
  </si>
  <si>
    <t>Tc102</t>
  </si>
  <si>
    <t>Tc102_m1</t>
  </si>
  <si>
    <t>Tc103</t>
  </si>
  <si>
    <t>Tc104</t>
  </si>
  <si>
    <t>Tc105</t>
  </si>
  <si>
    <t>Tc106</t>
  </si>
  <si>
    <t>Tc107</t>
  </si>
  <si>
    <t>Tc108</t>
  </si>
  <si>
    <t>Tc109</t>
  </si>
  <si>
    <t>Tc110</t>
  </si>
  <si>
    <t>Tc111</t>
  </si>
  <si>
    <t>Tc112</t>
  </si>
  <si>
    <t>Tc113</t>
  </si>
  <si>
    <t>Tc114</t>
  </si>
  <si>
    <t>Tc115</t>
  </si>
  <si>
    <t>Tc116</t>
  </si>
  <si>
    <t>Tc117</t>
  </si>
  <si>
    <t>Tc118</t>
  </si>
  <si>
    <t>Ru87</t>
  </si>
  <si>
    <t>Ru</t>
  </si>
  <si>
    <t>Ru88</t>
  </si>
  <si>
    <t>Ru89</t>
  </si>
  <si>
    <t>Ru90</t>
  </si>
  <si>
    <t>Ru91</t>
  </si>
  <si>
    <t>Ru91_m1</t>
  </si>
  <si>
    <t>Ru92</t>
  </si>
  <si>
    <t>Ru93</t>
  </si>
  <si>
    <t>Ru93_m1</t>
  </si>
  <si>
    <t>Ru94</t>
  </si>
  <si>
    <t>Ru95</t>
  </si>
  <si>
    <t>Ru96</t>
  </si>
  <si>
    <t>Ru97</t>
  </si>
  <si>
    <t>Ru98</t>
  </si>
  <si>
    <t>Ru99</t>
  </si>
  <si>
    <t>Ru100</t>
  </si>
  <si>
    <t>Ru101</t>
  </si>
  <si>
    <t>Ru102</t>
  </si>
  <si>
    <t>Ru103</t>
  </si>
  <si>
    <t>Ru103_m1</t>
  </si>
  <si>
    <t>Ru104</t>
  </si>
  <si>
    <t>Ru105</t>
  </si>
  <si>
    <t>Ru106</t>
  </si>
  <si>
    <t>Ru107</t>
  </si>
  <si>
    <t>Ru108</t>
  </si>
  <si>
    <t>Ru109</t>
  </si>
  <si>
    <t>Ru110</t>
  </si>
  <si>
    <t>Ru111</t>
  </si>
  <si>
    <t>Ru112</t>
  </si>
  <si>
    <t>Ru113</t>
  </si>
  <si>
    <t>Ru113_m1</t>
  </si>
  <si>
    <t>Ru114</t>
  </si>
  <si>
    <t>Ru115</t>
  </si>
  <si>
    <t>Ru116</t>
  </si>
  <si>
    <t>Ru117</t>
  </si>
  <si>
    <t>Ru118</t>
  </si>
  <si>
    <t>Ru119</t>
  </si>
  <si>
    <t>Ru120</t>
  </si>
  <si>
    <t>Rh89</t>
  </si>
  <si>
    <t>Rh</t>
  </si>
  <si>
    <t>Rh90</t>
  </si>
  <si>
    <t>Rh90_m1</t>
  </si>
  <si>
    <t>Rh91</t>
  </si>
  <si>
    <t>Rh92</t>
  </si>
  <si>
    <t>Rh93</t>
  </si>
  <si>
    <t>Rh94</t>
  </si>
  <si>
    <t>Rh94_m1</t>
  </si>
  <si>
    <t>Rh95</t>
  </si>
  <si>
    <t>Rh95_m1</t>
  </si>
  <si>
    <t>Rh96</t>
  </si>
  <si>
    <t>Rh96_m1</t>
  </si>
  <si>
    <t>Rh97</t>
  </si>
  <si>
    <t>Rh97_m1</t>
  </si>
  <si>
    <t>Rh98</t>
  </si>
  <si>
    <t>Rh98_m1</t>
  </si>
  <si>
    <t>Rh99</t>
  </si>
  <si>
    <t>Rh99_m1</t>
  </si>
  <si>
    <t>Rh100</t>
  </si>
  <si>
    <t>Rh100_m1</t>
  </si>
  <si>
    <t>Rh101</t>
  </si>
  <si>
    <t>Rh101_m1</t>
  </si>
  <si>
    <t>Rh102</t>
  </si>
  <si>
    <t>Rh102_m1</t>
  </si>
  <si>
    <t>Rh103</t>
  </si>
  <si>
    <t>Rh103_m1</t>
  </si>
  <si>
    <t>Rh104</t>
  </si>
  <si>
    <t>Rh104_m1</t>
  </si>
  <si>
    <t>Rh105</t>
  </si>
  <si>
    <t>Rh105_m1</t>
  </si>
  <si>
    <t>Rh106</t>
  </si>
  <si>
    <t>Rh106_m1</t>
  </si>
  <si>
    <t>Rh107</t>
  </si>
  <si>
    <t>Rh108</t>
  </si>
  <si>
    <t>Rh108_m1</t>
  </si>
  <si>
    <t>Rh109</t>
  </si>
  <si>
    <t>Rh110</t>
  </si>
  <si>
    <t>Rh110_m1</t>
  </si>
  <si>
    <t>Rh111</t>
  </si>
  <si>
    <t>Rh112</t>
  </si>
  <si>
    <t>Rh112_m1</t>
  </si>
  <si>
    <t>Rh113</t>
  </si>
  <si>
    <t>Rh114</t>
  </si>
  <si>
    <t>Rh115</t>
  </si>
  <si>
    <t>Rh116</t>
  </si>
  <si>
    <t>Rh116_m1</t>
  </si>
  <si>
    <t>Rh117</t>
  </si>
  <si>
    <t>Rh118</t>
  </si>
  <si>
    <t>Rh119</t>
  </si>
  <si>
    <t>Rh120</t>
  </si>
  <si>
    <t>Rh121</t>
  </si>
  <si>
    <t>Rh122</t>
  </si>
  <si>
    <t>Rh123</t>
  </si>
  <si>
    <t>Pd91</t>
  </si>
  <si>
    <t>Pd</t>
  </si>
  <si>
    <t>Pd92</t>
  </si>
  <si>
    <t>Pd93</t>
  </si>
  <si>
    <t>Pd94</t>
  </si>
  <si>
    <t>Pd95</t>
  </si>
  <si>
    <t>Pd95_m1</t>
  </si>
  <si>
    <t>Pd96</t>
  </si>
  <si>
    <t>Pd97</t>
  </si>
  <si>
    <t>Pd98</t>
  </si>
  <si>
    <t>Pd99</t>
  </si>
  <si>
    <t>Pd100</t>
  </si>
  <si>
    <t>Pd101</t>
  </si>
  <si>
    <t>Pd102</t>
  </si>
  <si>
    <t>Pd103</t>
  </si>
  <si>
    <t>Pd104</t>
  </si>
  <si>
    <t>Pd105</t>
  </si>
  <si>
    <t>Pd106</t>
  </si>
  <si>
    <t>Pd107</t>
  </si>
  <si>
    <t>Pd107_m1</t>
  </si>
  <si>
    <t>Pd108</t>
  </si>
  <si>
    <t>Pd109</t>
  </si>
  <si>
    <t>Pd109_m1</t>
  </si>
  <si>
    <t>Pd110</t>
  </si>
  <si>
    <t>Pd111</t>
  </si>
  <si>
    <t>Pd111_m1</t>
  </si>
  <si>
    <t>Pd112</t>
  </si>
  <si>
    <t>Pd113</t>
  </si>
  <si>
    <t>Pd113_m1</t>
  </si>
  <si>
    <t>Pd114</t>
  </si>
  <si>
    <t>Pd115</t>
  </si>
  <si>
    <t>Pd115_m1</t>
  </si>
  <si>
    <t>Pd116</t>
  </si>
  <si>
    <t>Pd117</t>
  </si>
  <si>
    <t>Pd117_m1</t>
  </si>
  <si>
    <t>Pd118</t>
  </si>
  <si>
    <t>Pd119</t>
  </si>
  <si>
    <t>Pd120</t>
  </si>
  <si>
    <t>Pd121</t>
  </si>
  <si>
    <t>Pd122</t>
  </si>
  <si>
    <t>Pd123</t>
  </si>
  <si>
    <t>Pd124</t>
  </si>
  <si>
    <t>Pd125</t>
  </si>
  <si>
    <t>Pd126</t>
  </si>
  <si>
    <t>Ag93</t>
  </si>
  <si>
    <t>Ag</t>
  </si>
  <si>
    <t>Ag94</t>
  </si>
  <si>
    <t>Ag94_m1</t>
  </si>
  <si>
    <t>Ag94_m2</t>
  </si>
  <si>
    <t>Ag95</t>
  </si>
  <si>
    <t>Ag95_m1</t>
  </si>
  <si>
    <t>Ag95_m2</t>
  </si>
  <si>
    <t>Ag95_m3</t>
  </si>
  <si>
    <t>Ag96</t>
  </si>
  <si>
    <t>Ag96_m1</t>
  </si>
  <si>
    <t>Ag97</t>
  </si>
  <si>
    <t>Ag98</t>
  </si>
  <si>
    <t>Ag99</t>
  </si>
  <si>
    <t>Ag99_m1</t>
  </si>
  <si>
    <t>Ag100</t>
  </si>
  <si>
    <t>Ag100_m1</t>
  </si>
  <si>
    <t>Ag101</t>
  </si>
  <si>
    <t>Ag101_m1</t>
  </si>
  <si>
    <t>Ag102</t>
  </si>
  <si>
    <t>Ag102_m1</t>
  </si>
  <si>
    <t>Ag103</t>
  </si>
  <si>
    <t>Ag103_m1</t>
  </si>
  <si>
    <t>Ag104</t>
  </si>
  <si>
    <t>Ag104_m1</t>
  </si>
  <si>
    <t>Ag105</t>
  </si>
  <si>
    <t>Ag105_m1</t>
  </si>
  <si>
    <t>Ag106</t>
  </si>
  <si>
    <t>Ag106_m1</t>
  </si>
  <si>
    <t>Ag107</t>
  </si>
  <si>
    <t>Ag107_m1</t>
  </si>
  <si>
    <t>Ag108</t>
  </si>
  <si>
    <t>Ag108_m1</t>
  </si>
  <si>
    <t>Ag109</t>
  </si>
  <si>
    <t>Ag109_m1</t>
  </si>
  <si>
    <t>Ag110</t>
  </si>
  <si>
    <t>Ag110_m1</t>
  </si>
  <si>
    <t>Ag111</t>
  </si>
  <si>
    <t>Ag111_m1</t>
  </si>
  <si>
    <t>Ag112</t>
  </si>
  <si>
    <t>Ag113</t>
  </si>
  <si>
    <t>Ag113_m1</t>
  </si>
  <si>
    <t>Ag114</t>
  </si>
  <si>
    <t>Ag114_m1</t>
  </si>
  <si>
    <t>Ag115</t>
  </si>
  <si>
    <t>Ag115_m1</t>
  </si>
  <si>
    <t>Ag116</t>
  </si>
  <si>
    <t>Ag116_m1</t>
  </si>
  <si>
    <t>Ag116_m2</t>
  </si>
  <si>
    <t>Ag117</t>
  </si>
  <si>
    <t>Ag117_m1</t>
  </si>
  <si>
    <t>Ag118</t>
  </si>
  <si>
    <t>Ag118_m1</t>
  </si>
  <si>
    <t>Ag119</t>
  </si>
  <si>
    <t>Ag119_m1</t>
  </si>
  <si>
    <t>Ag120</t>
  </si>
  <si>
    <t>Ag120_m1</t>
  </si>
  <si>
    <t>Ag121</t>
  </si>
  <si>
    <t>Ag122</t>
  </si>
  <si>
    <t>Ag122_m1</t>
  </si>
  <si>
    <t>Ag123</t>
  </si>
  <si>
    <t>Ag124</t>
  </si>
  <si>
    <t>Ag125</t>
  </si>
  <si>
    <t>Ag126</t>
  </si>
  <si>
    <t>Ag127</t>
  </si>
  <si>
    <t>Ag128</t>
  </si>
  <si>
    <t>Ag129</t>
  </si>
  <si>
    <t>Ag130</t>
  </si>
  <si>
    <t>Cd95</t>
  </si>
  <si>
    <t>Cd</t>
  </si>
  <si>
    <t>Cd96</t>
  </si>
  <si>
    <t>Cd97</t>
  </si>
  <si>
    <t>Cd98</t>
  </si>
  <si>
    <t>Cd99</t>
  </si>
  <si>
    <t>Cd100</t>
  </si>
  <si>
    <t>Cd101</t>
  </si>
  <si>
    <t>Cd102</t>
  </si>
  <si>
    <t>Cd103</t>
  </si>
  <si>
    <t>Cd104</t>
  </si>
  <si>
    <t>Cd105</t>
  </si>
  <si>
    <t>Cd106</t>
  </si>
  <si>
    <t>Cd107</t>
  </si>
  <si>
    <t>Cd108</t>
  </si>
  <si>
    <t>Cd109</t>
  </si>
  <si>
    <t>Cd110</t>
  </si>
  <si>
    <t>Cd111</t>
  </si>
  <si>
    <t>Cd111_m1</t>
  </si>
  <si>
    <t>Cd112</t>
  </si>
  <si>
    <t>Cd113</t>
  </si>
  <si>
    <t>Cd113_m1</t>
  </si>
  <si>
    <t>Cd114</t>
  </si>
  <si>
    <t>Cd115</t>
  </si>
  <si>
    <t>Cd115_m1</t>
  </si>
  <si>
    <t>Cd116</t>
  </si>
  <si>
    <t>Cd117</t>
  </si>
  <si>
    <t>Cd117_m1</t>
  </si>
  <si>
    <t>Cd118</t>
  </si>
  <si>
    <t>Cd119</t>
  </si>
  <si>
    <t>Cd119_m1</t>
  </si>
  <si>
    <t>Cd120</t>
  </si>
  <si>
    <t>Cd121</t>
  </si>
  <si>
    <t>Cd121_m1</t>
  </si>
  <si>
    <t>Cd122</t>
  </si>
  <si>
    <t>Cd123</t>
  </si>
  <si>
    <t>Cd123_m1</t>
  </si>
  <si>
    <t>Cd124</t>
  </si>
  <si>
    <t>Cd125</t>
  </si>
  <si>
    <t>Cd125_m1</t>
  </si>
  <si>
    <t>Cd126</t>
  </si>
  <si>
    <t>Cd127</t>
  </si>
  <si>
    <t>Cd128</t>
  </si>
  <si>
    <t>Cd129</t>
  </si>
  <si>
    <t>Cd130</t>
  </si>
  <si>
    <t>Cd131</t>
  </si>
  <si>
    <t>Cd132</t>
  </si>
  <si>
    <t>In97</t>
  </si>
  <si>
    <t>In</t>
  </si>
  <si>
    <t>In98</t>
  </si>
  <si>
    <t>In98_m1</t>
  </si>
  <si>
    <t>In99</t>
  </si>
  <si>
    <t>In100</t>
  </si>
  <si>
    <t>In101</t>
  </si>
  <si>
    <t>In102</t>
  </si>
  <si>
    <t>In103</t>
  </si>
  <si>
    <t>In103_m1</t>
  </si>
  <si>
    <t>In104</t>
  </si>
  <si>
    <t>In104_m1</t>
  </si>
  <si>
    <t>In105</t>
  </si>
  <si>
    <t>In105_m1</t>
  </si>
  <si>
    <t>In106</t>
  </si>
  <si>
    <t>In106_m1</t>
  </si>
  <si>
    <t>In107</t>
  </si>
  <si>
    <t>In107_m1</t>
  </si>
  <si>
    <t>In108</t>
  </si>
  <si>
    <t>In108_m1</t>
  </si>
  <si>
    <t>In109</t>
  </si>
  <si>
    <t>In109_m1</t>
  </si>
  <si>
    <t>In109_m2</t>
  </si>
  <si>
    <t>In110</t>
  </si>
  <si>
    <t>In110_m1</t>
  </si>
  <si>
    <t>In111</t>
  </si>
  <si>
    <t>In111_m1</t>
  </si>
  <si>
    <t>In112</t>
  </si>
  <si>
    <t>In112_m1</t>
  </si>
  <si>
    <t>In113</t>
  </si>
  <si>
    <t>In113_m1</t>
  </si>
  <si>
    <t>In114</t>
  </si>
  <si>
    <t>In114_m1</t>
  </si>
  <si>
    <t>In114_m2</t>
  </si>
  <si>
    <t>In115</t>
  </si>
  <si>
    <t>In115_m1</t>
  </si>
  <si>
    <t>In116</t>
  </si>
  <si>
    <t>In116_m1</t>
  </si>
  <si>
    <t>In116_m2</t>
  </si>
  <si>
    <t>In117</t>
  </si>
  <si>
    <t>In117_m1</t>
  </si>
  <si>
    <t>In118</t>
  </si>
  <si>
    <t>In118_m1</t>
  </si>
  <si>
    <t>In118_m2</t>
  </si>
  <si>
    <t>In119</t>
  </si>
  <si>
    <t>In119_m1</t>
  </si>
  <si>
    <t>In120</t>
  </si>
  <si>
    <t>In120_m1</t>
  </si>
  <si>
    <t>In120_m2</t>
  </si>
  <si>
    <t>In121</t>
  </si>
  <si>
    <t>In121_m1</t>
  </si>
  <si>
    <t>In122</t>
  </si>
  <si>
    <t>In122_m1</t>
  </si>
  <si>
    <t>In122_m2</t>
  </si>
  <si>
    <t>In123</t>
  </si>
  <si>
    <t>In123_m1</t>
  </si>
  <si>
    <t>In124</t>
  </si>
  <si>
    <t>In124_m1</t>
  </si>
  <si>
    <t>In125</t>
  </si>
  <si>
    <t>In125_m1</t>
  </si>
  <si>
    <t>In126</t>
  </si>
  <si>
    <t>In126_m1</t>
  </si>
  <si>
    <t>In127</t>
  </si>
  <si>
    <t>In127_m1</t>
  </si>
  <si>
    <t>In128</t>
  </si>
  <si>
    <t>In128_m1</t>
  </si>
  <si>
    <t>In129</t>
  </si>
  <si>
    <t>In129_m1</t>
  </si>
  <si>
    <t>In130</t>
  </si>
  <si>
    <t>In130_m1</t>
  </si>
  <si>
    <t>In130_m2</t>
  </si>
  <si>
    <t>In131</t>
  </si>
  <si>
    <t>In131_m1</t>
  </si>
  <si>
    <t>In131_m2</t>
  </si>
  <si>
    <t>In132</t>
  </si>
  <si>
    <t>In133</t>
  </si>
  <si>
    <t>In133_m1</t>
  </si>
  <si>
    <t>In134</t>
  </si>
  <si>
    <t>In135</t>
  </si>
  <si>
    <t>Sn99</t>
  </si>
  <si>
    <t>Sn</t>
  </si>
  <si>
    <t>Sn100</t>
  </si>
  <si>
    <t>Sn101</t>
  </si>
  <si>
    <t>Sn102</t>
  </si>
  <si>
    <t>Sn103</t>
  </si>
  <si>
    <t>Sn104</t>
  </si>
  <si>
    <t>Sn105</t>
  </si>
  <si>
    <t>Sn106</t>
  </si>
  <si>
    <t>Sn107</t>
  </si>
  <si>
    <t>Sn108</t>
  </si>
  <si>
    <t>Sn109</t>
  </si>
  <si>
    <t>Sn110</t>
  </si>
  <si>
    <t>Sn111</t>
  </si>
  <si>
    <t>Sn112</t>
  </si>
  <si>
    <t>Sn113</t>
  </si>
  <si>
    <t>Sn113_m1</t>
  </si>
  <si>
    <t>Sn114</t>
  </si>
  <si>
    <t>Sn115</t>
  </si>
  <si>
    <t>Sn116</t>
  </si>
  <si>
    <t>Sn117</t>
  </si>
  <si>
    <t>Sn117_m1</t>
  </si>
  <si>
    <t>Sn118</t>
  </si>
  <si>
    <t>Sn119</t>
  </si>
  <si>
    <t>Sn119_m1</t>
  </si>
  <si>
    <t>Sn120</t>
  </si>
  <si>
    <t>Sn121</t>
  </si>
  <si>
    <t>Sn121_m1</t>
  </si>
  <si>
    <t>Sn122</t>
  </si>
  <si>
    <t>Sn123</t>
  </si>
  <si>
    <t>Sn123_m1</t>
  </si>
  <si>
    <t>Sn124</t>
  </si>
  <si>
    <t>Sn125</t>
  </si>
  <si>
    <t>Sn125_m1</t>
  </si>
  <si>
    <t>Sn126</t>
  </si>
  <si>
    <t>Sn127</t>
  </si>
  <si>
    <t>Sn127_m1</t>
  </si>
  <si>
    <t>Sn128</t>
  </si>
  <si>
    <t>Sn128_m1</t>
  </si>
  <si>
    <t>Sn129</t>
  </si>
  <si>
    <t>Sn129_m1</t>
  </si>
  <si>
    <t>Sn130</t>
  </si>
  <si>
    <t>Sn130_m1</t>
  </si>
  <si>
    <t>Sn131</t>
  </si>
  <si>
    <t>Sn131_m1</t>
  </si>
  <si>
    <t>Sn132</t>
  </si>
  <si>
    <t>Sn133</t>
  </si>
  <si>
    <t>Sn134</t>
  </si>
  <si>
    <t>Sn135</t>
  </si>
  <si>
    <t>Sn136</t>
  </si>
  <si>
    <t>Sn137</t>
  </si>
  <si>
    <t>Sb103</t>
  </si>
  <si>
    <t>Sb</t>
  </si>
  <si>
    <t>Sb104</t>
  </si>
  <si>
    <t>Sb105</t>
  </si>
  <si>
    <t>Sb106</t>
  </si>
  <si>
    <t>Sb107</t>
  </si>
  <si>
    <t>Sb108</t>
  </si>
  <si>
    <t>Sb109</t>
  </si>
  <si>
    <t>Sb110</t>
  </si>
  <si>
    <t>Sb111</t>
  </si>
  <si>
    <t>Sb112</t>
  </si>
  <si>
    <t>Sb113</t>
  </si>
  <si>
    <t>Sb114</t>
  </si>
  <si>
    <t>Sb115</t>
  </si>
  <si>
    <t>Sb116</t>
  </si>
  <si>
    <t>Sb116_m1</t>
  </si>
  <si>
    <t>Sb117</t>
  </si>
  <si>
    <t>Sb118</t>
  </si>
  <si>
    <t>Sb118_m1</t>
  </si>
  <si>
    <t>Sb119</t>
  </si>
  <si>
    <t>Sb119_m1</t>
  </si>
  <si>
    <t>Sb120</t>
  </si>
  <si>
    <t>Sb120_m1</t>
  </si>
  <si>
    <t>Sb121</t>
  </si>
  <si>
    <t>Sb122</t>
  </si>
  <si>
    <t>Sb122_m1</t>
  </si>
  <si>
    <t>Sb123</t>
  </si>
  <si>
    <t>Sb124</t>
  </si>
  <si>
    <t>Sb124_m1</t>
  </si>
  <si>
    <t>Sb124_m2</t>
  </si>
  <si>
    <t>Sb125</t>
  </si>
  <si>
    <t>Sb126</t>
  </si>
  <si>
    <t>Sb126_m1</t>
  </si>
  <si>
    <t>Sb126_m2</t>
  </si>
  <si>
    <t>Sb127</t>
  </si>
  <si>
    <t>Sb128</t>
  </si>
  <si>
    <t>Sb128_m1</t>
  </si>
  <si>
    <t>Sb129</t>
  </si>
  <si>
    <t>Sb129_m1</t>
  </si>
  <si>
    <t>Sb130</t>
  </si>
  <si>
    <t>Sb130_m1</t>
  </si>
  <si>
    <t>Sb131</t>
  </si>
  <si>
    <t>Sb132</t>
  </si>
  <si>
    <t>Sb132_m1</t>
  </si>
  <si>
    <t>Sb133</t>
  </si>
  <si>
    <t>Sb134</t>
  </si>
  <si>
    <t>Sb134_m1</t>
  </si>
  <si>
    <t>Sb135</t>
  </si>
  <si>
    <t>Sb136</t>
  </si>
  <si>
    <t>Sb137</t>
  </si>
  <si>
    <t>Sb138</t>
  </si>
  <si>
    <t>Sb139</t>
  </si>
  <si>
    <t>Te105</t>
  </si>
  <si>
    <t>Te</t>
  </si>
  <si>
    <t>Te106</t>
  </si>
  <si>
    <t>Te107</t>
  </si>
  <si>
    <t>Te108</t>
  </si>
  <si>
    <t>Te109</t>
  </si>
  <si>
    <t>Te110</t>
  </si>
  <si>
    <t>Te111</t>
  </si>
  <si>
    <t>Te112</t>
  </si>
  <si>
    <t>Te113</t>
  </si>
  <si>
    <t>Te114</t>
  </si>
  <si>
    <t>Te115</t>
  </si>
  <si>
    <t>Te115_m1</t>
  </si>
  <si>
    <t>Te116</t>
  </si>
  <si>
    <t>Te117</t>
  </si>
  <si>
    <t>Te117_m1</t>
  </si>
  <si>
    <t>Te118</t>
  </si>
  <si>
    <t>Te119</t>
  </si>
  <si>
    <t>Te119_m1</t>
  </si>
  <si>
    <t>Te120</t>
  </si>
  <si>
    <t>Te121</t>
  </si>
  <si>
    <t>Te121_m1</t>
  </si>
  <si>
    <t>Te122</t>
  </si>
  <si>
    <t>Te123</t>
  </si>
  <si>
    <t>Te123_m1</t>
  </si>
  <si>
    <t>Te124</t>
  </si>
  <si>
    <t>Te125</t>
  </si>
  <si>
    <t>Te125_m1</t>
  </si>
  <si>
    <t>Te126</t>
  </si>
  <si>
    <t>Te127</t>
  </si>
  <si>
    <t>Te127_m1</t>
  </si>
  <si>
    <t>Te128</t>
  </si>
  <si>
    <t>Te129</t>
  </si>
  <si>
    <t>Te129_m1</t>
  </si>
  <si>
    <t>Te130</t>
  </si>
  <si>
    <t>Te131</t>
  </si>
  <si>
    <t>Te131_m1</t>
  </si>
  <si>
    <t>Te132</t>
  </si>
  <si>
    <t>Te133</t>
  </si>
  <si>
    <t>Te133_m1</t>
  </si>
  <si>
    <t>Te134</t>
  </si>
  <si>
    <t>Te135</t>
  </si>
  <si>
    <t>Te136</t>
  </si>
  <si>
    <t>Te137</t>
  </si>
  <si>
    <t>Te138</t>
  </si>
  <si>
    <t>Te139</t>
  </si>
  <si>
    <t>Te140</t>
  </si>
  <si>
    <t>Te141</t>
  </si>
  <si>
    <t>Te142</t>
  </si>
  <si>
    <t>I108</t>
  </si>
  <si>
    <t>I</t>
  </si>
  <si>
    <t>I109</t>
  </si>
  <si>
    <t>I110</t>
  </si>
  <si>
    <t>I111</t>
  </si>
  <si>
    <t>I112</t>
  </si>
  <si>
    <t>I113</t>
  </si>
  <si>
    <t>I114</t>
  </si>
  <si>
    <t>I114_m1</t>
  </si>
  <si>
    <t>I115</t>
  </si>
  <si>
    <t>I116</t>
  </si>
  <si>
    <t>I117</t>
  </si>
  <si>
    <t>I118</t>
  </si>
  <si>
    <t>I118_m1</t>
  </si>
  <si>
    <t>I119</t>
  </si>
  <si>
    <t>I120</t>
  </si>
  <si>
    <t>I120_m1</t>
  </si>
  <si>
    <t>I121</t>
  </si>
  <si>
    <t>I122</t>
  </si>
  <si>
    <t>I123</t>
  </si>
  <si>
    <t>I124</t>
  </si>
  <si>
    <t>I125</t>
  </si>
  <si>
    <t>I126</t>
  </si>
  <si>
    <t>I127</t>
  </si>
  <si>
    <t>I128</t>
  </si>
  <si>
    <t>I129</t>
  </si>
  <si>
    <t>I130</t>
  </si>
  <si>
    <t>I130_m1</t>
  </si>
  <si>
    <t>I131</t>
  </si>
  <si>
    <t>I132</t>
  </si>
  <si>
    <t>I132_m1</t>
  </si>
  <si>
    <t>I133</t>
  </si>
  <si>
    <t>I133_m1</t>
  </si>
  <si>
    <t>I134</t>
  </si>
  <si>
    <t>I134_m1</t>
  </si>
  <si>
    <t>I135</t>
  </si>
  <si>
    <t>I136</t>
  </si>
  <si>
    <t>I136_m1</t>
  </si>
  <si>
    <t>I137</t>
  </si>
  <si>
    <t>I138</t>
  </si>
  <si>
    <t>I139</t>
  </si>
  <si>
    <t>I140</t>
  </si>
  <si>
    <t>I141</t>
  </si>
  <si>
    <t>I142</t>
  </si>
  <si>
    <t>I143</t>
  </si>
  <si>
    <t>I144</t>
  </si>
  <si>
    <t>I145</t>
  </si>
  <si>
    <t>Xe110</t>
  </si>
  <si>
    <t>Xe</t>
  </si>
  <si>
    <t>Xe111</t>
  </si>
  <si>
    <t>Xe112</t>
  </si>
  <si>
    <t>Xe113</t>
  </si>
  <si>
    <t>Xe114</t>
  </si>
  <si>
    <t>Xe115</t>
  </si>
  <si>
    <t>Xe116</t>
  </si>
  <si>
    <t>Xe117</t>
  </si>
  <si>
    <t>Xe118</t>
  </si>
  <si>
    <t>Xe119</t>
  </si>
  <si>
    <t>Xe120</t>
  </si>
  <si>
    <t>Xe121</t>
  </si>
  <si>
    <t>Xe122</t>
  </si>
  <si>
    <t>Xe123</t>
  </si>
  <si>
    <t>Xe124</t>
  </si>
  <si>
    <t>Xe125</t>
  </si>
  <si>
    <t>Xe125_m1</t>
  </si>
  <si>
    <t>Xe126</t>
  </si>
  <si>
    <t>Xe127</t>
  </si>
  <si>
    <t>Xe127_m1</t>
  </si>
  <si>
    <t>Xe128</t>
  </si>
  <si>
    <t>Xe129</t>
  </si>
  <si>
    <t>Xe129_m1</t>
  </si>
  <si>
    <t>Xe130</t>
  </si>
  <si>
    <t>Xe131</t>
  </si>
  <si>
    <t>Xe131_m1</t>
  </si>
  <si>
    <t>Xe132</t>
  </si>
  <si>
    <t>Xe132_m1</t>
  </si>
  <si>
    <t>Xe133</t>
  </si>
  <si>
    <t>Xe133_m1</t>
  </si>
  <si>
    <t>Xe134</t>
  </si>
  <si>
    <t>Xe134_m1</t>
  </si>
  <si>
    <t>Xe135</t>
  </si>
  <si>
    <t>Xe135_m1</t>
  </si>
  <si>
    <t>Xe136</t>
  </si>
  <si>
    <t>Xe137</t>
  </si>
  <si>
    <t>Xe138</t>
  </si>
  <si>
    <t>Xe139</t>
  </si>
  <si>
    <t>Xe140</t>
  </si>
  <si>
    <t>Xe141</t>
  </si>
  <si>
    <t>Xe142</t>
  </si>
  <si>
    <t>Xe143</t>
  </si>
  <si>
    <t>Xe144</t>
  </si>
  <si>
    <t>Xe145</t>
  </si>
  <si>
    <t>Xe146</t>
  </si>
  <si>
    <t>Xe147</t>
  </si>
  <si>
    <t>Cs112</t>
  </si>
  <si>
    <t>Cs</t>
  </si>
  <si>
    <t>Cs113</t>
  </si>
  <si>
    <t>Cs114</t>
  </si>
  <si>
    <t>Cs115</t>
  </si>
  <si>
    <t>Cs116</t>
  </si>
  <si>
    <t>Cs116_m1</t>
  </si>
  <si>
    <t>Cs117</t>
  </si>
  <si>
    <t>Cs117_m1</t>
  </si>
  <si>
    <t>Cs118</t>
  </si>
  <si>
    <t>Cs118_m1</t>
  </si>
  <si>
    <t>Cs119</t>
  </si>
  <si>
    <t>Cs119_m1</t>
  </si>
  <si>
    <t>Cs120</t>
  </si>
  <si>
    <t>Cs120_m1</t>
  </si>
  <si>
    <t>Cs121</t>
  </si>
  <si>
    <t>Cs121_m1</t>
  </si>
  <si>
    <t>Cs122</t>
  </si>
  <si>
    <t>Cs122_m1</t>
  </si>
  <si>
    <t>Cs122_m2</t>
  </si>
  <si>
    <t>Cs123</t>
  </si>
  <si>
    <t>Cs123_m1</t>
  </si>
  <si>
    <t>Cs124</t>
  </si>
  <si>
    <t>Cs124_m1</t>
  </si>
  <si>
    <t>Cs125</t>
  </si>
  <si>
    <t>Cs125_m1</t>
  </si>
  <si>
    <t>Cs126</t>
  </si>
  <si>
    <t>Cs127</t>
  </si>
  <si>
    <t>Cs128</t>
  </si>
  <si>
    <t>Cs129</t>
  </si>
  <si>
    <t>Cs130</t>
  </si>
  <si>
    <t>Cs130_m1</t>
  </si>
  <si>
    <t>Cs131</t>
  </si>
  <si>
    <t>Cs132</t>
  </si>
  <si>
    <t>Cs133</t>
  </si>
  <si>
    <t>Cs134</t>
  </si>
  <si>
    <t>Cs134_m1</t>
  </si>
  <si>
    <t>Cs135</t>
  </si>
  <si>
    <t>Cs135_m1</t>
  </si>
  <si>
    <t>Cs136</t>
  </si>
  <si>
    <t>Cs136_m1</t>
  </si>
  <si>
    <t>Cs137</t>
  </si>
  <si>
    <t>Cs138</t>
  </si>
  <si>
    <t>Cs138_m1</t>
  </si>
  <si>
    <t>Cs139</t>
  </si>
  <si>
    <t>Cs140</t>
  </si>
  <si>
    <t>Cs141</t>
  </si>
  <si>
    <t>Cs142</t>
  </si>
  <si>
    <t>Cs143</t>
  </si>
  <si>
    <t>Cs144</t>
  </si>
  <si>
    <t>Cs144_m1</t>
  </si>
  <si>
    <t>Cs145</t>
  </si>
  <si>
    <t>Cs146</t>
  </si>
  <si>
    <t>Cs147</t>
  </si>
  <si>
    <t>Cs148</t>
  </si>
  <si>
    <t>Cs149</t>
  </si>
  <si>
    <t>Cs150</t>
  </si>
  <si>
    <t>Cs151</t>
  </si>
  <si>
    <t>Ba114</t>
  </si>
  <si>
    <t>Ba</t>
  </si>
  <si>
    <t>Ba115</t>
  </si>
  <si>
    <t>Ba116</t>
  </si>
  <si>
    <t>Ba117</t>
  </si>
  <si>
    <t>Ba118</t>
  </si>
  <si>
    <t>Ba119</t>
  </si>
  <si>
    <t>Ba120</t>
  </si>
  <si>
    <t>Ba121</t>
  </si>
  <si>
    <t>Ba122</t>
  </si>
  <si>
    <t>Ba123</t>
  </si>
  <si>
    <t>Ba124</t>
  </si>
  <si>
    <t>Ba125</t>
  </si>
  <si>
    <t>Ba126</t>
  </si>
  <si>
    <t>Ba127</t>
  </si>
  <si>
    <t>Ba127_m1</t>
  </si>
  <si>
    <t>Ba128</t>
  </si>
  <si>
    <t>Ba129</t>
  </si>
  <si>
    <t>Ba129_m1</t>
  </si>
  <si>
    <t>Ba130</t>
  </si>
  <si>
    <t>Ba130_m1</t>
  </si>
  <si>
    <t>Ba131</t>
  </si>
  <si>
    <t>Ba131_m1</t>
  </si>
  <si>
    <t>Ba132</t>
  </si>
  <si>
    <t>Ba133</t>
  </si>
  <si>
    <t>Ba133_m1</t>
  </si>
  <si>
    <t>Ba134</t>
  </si>
  <si>
    <t>Ba135</t>
  </si>
  <si>
    <t>Ba135_m1</t>
  </si>
  <si>
    <t>Ba136</t>
  </si>
  <si>
    <t>Ba136_m1</t>
  </si>
  <si>
    <t>Ba137</t>
  </si>
  <si>
    <t>Ba137_m1</t>
  </si>
  <si>
    <t>Ba138</t>
  </si>
  <si>
    <t>Ba139</t>
  </si>
  <si>
    <t>Ba140</t>
  </si>
  <si>
    <t>Ba141</t>
  </si>
  <si>
    <t>Ba142</t>
  </si>
  <si>
    <t>Ba143</t>
  </si>
  <si>
    <t>Ba144</t>
  </si>
  <si>
    <t>Ba145</t>
  </si>
  <si>
    <t>Ba146</t>
  </si>
  <si>
    <t>Ba147</t>
  </si>
  <si>
    <t>Ba148</t>
  </si>
  <si>
    <t>Ba149</t>
  </si>
  <si>
    <t>Ba150</t>
  </si>
  <si>
    <t>Ba151</t>
  </si>
  <si>
    <t>Ba152</t>
  </si>
  <si>
    <t>Ba153</t>
  </si>
  <si>
    <t>La117</t>
  </si>
  <si>
    <t>La</t>
  </si>
  <si>
    <t>La117_m1</t>
  </si>
  <si>
    <t>La118</t>
  </si>
  <si>
    <t>La119</t>
  </si>
  <si>
    <t>La120</t>
  </si>
  <si>
    <t>La121</t>
  </si>
  <si>
    <t>La122</t>
  </si>
  <si>
    <t>La123</t>
  </si>
  <si>
    <t>La124</t>
  </si>
  <si>
    <t>La124_m1</t>
  </si>
  <si>
    <t>La125</t>
  </si>
  <si>
    <t>La125_m1</t>
  </si>
  <si>
    <t>La126</t>
  </si>
  <si>
    <t>La126_m1</t>
  </si>
  <si>
    <t>La127</t>
  </si>
  <si>
    <t>La127_m1</t>
  </si>
  <si>
    <t>La128</t>
  </si>
  <si>
    <t>La128_m1</t>
  </si>
  <si>
    <t>La129</t>
  </si>
  <si>
    <t>La129_m1</t>
  </si>
  <si>
    <t>La130</t>
  </si>
  <si>
    <t>La131</t>
  </si>
  <si>
    <t>La132</t>
  </si>
  <si>
    <t>La132_m1</t>
  </si>
  <si>
    <t>La133</t>
  </si>
  <si>
    <t>La134</t>
  </si>
  <si>
    <t>La135</t>
  </si>
  <si>
    <t>La136</t>
  </si>
  <si>
    <t>La136_m1</t>
  </si>
  <si>
    <t>La137</t>
  </si>
  <si>
    <t>La138</t>
  </si>
  <si>
    <t>La139</t>
  </si>
  <si>
    <t>La140</t>
  </si>
  <si>
    <t>La141</t>
  </si>
  <si>
    <t>La142</t>
  </si>
  <si>
    <t>La143</t>
  </si>
  <si>
    <t>La144</t>
  </si>
  <si>
    <t>La145</t>
  </si>
  <si>
    <t>La146</t>
  </si>
  <si>
    <t>La146_m1</t>
  </si>
  <si>
    <t>La147</t>
  </si>
  <si>
    <t>La148</t>
  </si>
  <si>
    <t>La149</t>
  </si>
  <si>
    <t>La150</t>
  </si>
  <si>
    <t>La151</t>
  </si>
  <si>
    <t>La152</t>
  </si>
  <si>
    <t>La153</t>
  </si>
  <si>
    <t>La154</t>
  </si>
  <si>
    <t>La155</t>
  </si>
  <si>
    <t>Ce119</t>
  </si>
  <si>
    <t>Ce</t>
  </si>
  <si>
    <t>Ce120</t>
  </si>
  <si>
    <t>Ce121</t>
  </si>
  <si>
    <t>Ce122</t>
  </si>
  <si>
    <t>Ce123</t>
  </si>
  <si>
    <t>Ce124</t>
  </si>
  <si>
    <t>Ce125</t>
  </si>
  <si>
    <t>Ce126</t>
  </si>
  <si>
    <t>Ce127</t>
  </si>
  <si>
    <t>Ce127_m1</t>
  </si>
  <si>
    <t>Ce128</t>
  </si>
  <si>
    <t>Ce129</t>
  </si>
  <si>
    <t>Ce130</t>
  </si>
  <si>
    <t>Ce131</t>
  </si>
  <si>
    <t>Ce131_m1</t>
  </si>
  <si>
    <t>Ce132</t>
  </si>
  <si>
    <t>Ce132_m1</t>
  </si>
  <si>
    <t>Ce133</t>
  </si>
  <si>
    <t>Ce133_m1</t>
  </si>
  <si>
    <t>Ce134</t>
  </si>
  <si>
    <t>Ce135</t>
  </si>
  <si>
    <t>Ce135_m1</t>
  </si>
  <si>
    <t>Ce136</t>
  </si>
  <si>
    <t>Ce137</t>
  </si>
  <si>
    <t>Ce137_m1</t>
  </si>
  <si>
    <t>Ce138</t>
  </si>
  <si>
    <t>Ce138_m1</t>
  </si>
  <si>
    <t>Ce139</t>
  </si>
  <si>
    <t>Ce139_m1</t>
  </si>
  <si>
    <t>Ce140</t>
  </si>
  <si>
    <t>Ce141</t>
  </si>
  <si>
    <t>Ce142</t>
  </si>
  <si>
    <t>Ce143</t>
  </si>
  <si>
    <t>Ce144</t>
  </si>
  <si>
    <t>Ce145</t>
  </si>
  <si>
    <t>Ce146</t>
  </si>
  <si>
    <t>Ce147</t>
  </si>
  <si>
    <t>Ce148</t>
  </si>
  <si>
    <t>Ce149</t>
  </si>
  <si>
    <t>Ce150</t>
  </si>
  <si>
    <t>Ce151</t>
  </si>
  <si>
    <t>Ce152</t>
  </si>
  <si>
    <t>Ce153</t>
  </si>
  <si>
    <t>Ce154</t>
  </si>
  <si>
    <t>Ce155</t>
  </si>
  <si>
    <t>Ce156</t>
  </si>
  <si>
    <t>Ce157</t>
  </si>
  <si>
    <t>Pr121</t>
  </si>
  <si>
    <t>Pr</t>
  </si>
  <si>
    <t>Pr122</t>
  </si>
  <si>
    <t>Pr123</t>
  </si>
  <si>
    <t>Pr124</t>
  </si>
  <si>
    <t>Pr125</t>
  </si>
  <si>
    <t>Pr126</t>
  </si>
  <si>
    <t>Pr127</t>
  </si>
  <si>
    <t>Pr128</t>
  </si>
  <si>
    <t>Pr129</t>
  </si>
  <si>
    <t>Pr130</t>
  </si>
  <si>
    <t>Pr131</t>
  </si>
  <si>
    <t>Pr131_m1</t>
  </si>
  <si>
    <t>Pr132</t>
  </si>
  <si>
    <t>Pr133</t>
  </si>
  <si>
    <t>Pr134</t>
  </si>
  <si>
    <t>Pr134_m1</t>
  </si>
  <si>
    <t>Pr135</t>
  </si>
  <si>
    <t>Pr136</t>
  </si>
  <si>
    <t>Pr137</t>
  </si>
  <si>
    <t>Pr138</t>
  </si>
  <si>
    <t>Pr138_m1</t>
  </si>
  <si>
    <t>Pr139</t>
  </si>
  <si>
    <t>Pr140</t>
  </si>
  <si>
    <t>Pr141</t>
  </si>
  <si>
    <t>Pr142</t>
  </si>
  <si>
    <t>Pr142_m1</t>
  </si>
  <si>
    <t>Pr143</t>
  </si>
  <si>
    <t>Pr144</t>
  </si>
  <si>
    <t>Pr144_m1</t>
  </si>
  <si>
    <t>Pr145</t>
  </si>
  <si>
    <t>Pr146</t>
  </si>
  <si>
    <t>Pr147</t>
  </si>
  <si>
    <t>Pr148</t>
  </si>
  <si>
    <t>Pr148_m1</t>
  </si>
  <si>
    <t>Pr149</t>
  </si>
  <si>
    <t>Pr150</t>
  </si>
  <si>
    <t>Pr151</t>
  </si>
  <si>
    <t>Pr152</t>
  </si>
  <si>
    <t>Pr153</t>
  </si>
  <si>
    <t>Pr154</t>
  </si>
  <si>
    <t>Pr155</t>
  </si>
  <si>
    <t>Pr156</t>
  </si>
  <si>
    <t>Pr157</t>
  </si>
  <si>
    <t>Pr158</t>
  </si>
  <si>
    <t>Pr159</t>
  </si>
  <si>
    <t>Nd124</t>
  </si>
  <si>
    <t>Nd</t>
  </si>
  <si>
    <t>Nd125</t>
  </si>
  <si>
    <t>Nd126</t>
  </si>
  <si>
    <t>Nd127</t>
  </si>
  <si>
    <t>Nd128</t>
  </si>
  <si>
    <t>Nd129</t>
  </si>
  <si>
    <t>Nd130</t>
  </si>
  <si>
    <t>Nd131</t>
  </si>
  <si>
    <t>Nd132</t>
  </si>
  <si>
    <t>Nd133</t>
  </si>
  <si>
    <t>Nd133_m1</t>
  </si>
  <si>
    <t>Nd134</t>
  </si>
  <si>
    <t>Nd135</t>
  </si>
  <si>
    <t>Nd135_m1</t>
  </si>
  <si>
    <t>Nd136</t>
  </si>
  <si>
    <t>Nd137</t>
  </si>
  <si>
    <t>Nd137_m1</t>
  </si>
  <si>
    <t>Nd138</t>
  </si>
  <si>
    <t>Nd139</t>
  </si>
  <si>
    <t>Nd139_m1</t>
  </si>
  <si>
    <t>Nd140</t>
  </si>
  <si>
    <t>Nd141</t>
  </si>
  <si>
    <t>Nd141_m1</t>
  </si>
  <si>
    <t>Nd142</t>
  </si>
  <si>
    <t>Nd143</t>
  </si>
  <si>
    <t>Nd144</t>
  </si>
  <si>
    <t>Nd145</t>
  </si>
  <si>
    <t>Nd146</t>
  </si>
  <si>
    <t>Nd147</t>
  </si>
  <si>
    <t>Nd148</t>
  </si>
  <si>
    <t>Nd149</t>
  </si>
  <si>
    <t>Nd150</t>
  </si>
  <si>
    <t>Nd151</t>
  </si>
  <si>
    <t>Nd152</t>
  </si>
  <si>
    <t>Nd153</t>
  </si>
  <si>
    <t>Nd154</t>
  </si>
  <si>
    <t>Nd155</t>
  </si>
  <si>
    <t>Nd156</t>
  </si>
  <si>
    <t>Nd157</t>
  </si>
  <si>
    <t>Nd158</t>
  </si>
  <si>
    <t>Nd159</t>
  </si>
  <si>
    <t>Nd160</t>
  </si>
  <si>
    <t>Nd161</t>
  </si>
  <si>
    <t>Pm126</t>
  </si>
  <si>
    <t>Pm</t>
  </si>
  <si>
    <t>Pm127</t>
  </si>
  <si>
    <t>Pm128</t>
  </si>
  <si>
    <t>Pm129</t>
  </si>
  <si>
    <t>Pm130</t>
  </si>
  <si>
    <t>Pm131</t>
  </si>
  <si>
    <t>Pm132</t>
  </si>
  <si>
    <t>Pm133</t>
  </si>
  <si>
    <t>Pm133_m1</t>
  </si>
  <si>
    <t>Pm134</t>
  </si>
  <si>
    <t>Pm134_m1</t>
  </si>
  <si>
    <t>Pm135</t>
  </si>
  <si>
    <t>Pm135_m1</t>
  </si>
  <si>
    <t>Pm136</t>
  </si>
  <si>
    <t>Pm136_m1</t>
  </si>
  <si>
    <t>Pm137</t>
  </si>
  <si>
    <t>Pm138</t>
  </si>
  <si>
    <t>Pm138_m1</t>
  </si>
  <si>
    <t>Pm139</t>
  </si>
  <si>
    <t>Pm139_m1</t>
  </si>
  <si>
    <t>Pm140</t>
  </si>
  <si>
    <t>Pm140_m1</t>
  </si>
  <si>
    <t>Pm141</t>
  </si>
  <si>
    <t>Pm142</t>
  </si>
  <si>
    <t>Pm142_m1</t>
  </si>
  <si>
    <t>Pm143</t>
  </si>
  <si>
    <t>Pm144</t>
  </si>
  <si>
    <t>Pm145</t>
  </si>
  <si>
    <t>Pm146</t>
  </si>
  <si>
    <t>Pm147</t>
  </si>
  <si>
    <t>Pm148</t>
  </si>
  <si>
    <t>Pm148_m1</t>
  </si>
  <si>
    <t>Pm149</t>
  </si>
  <si>
    <t>Pm150</t>
  </si>
  <si>
    <t>Pm151</t>
  </si>
  <si>
    <t>Pm152</t>
  </si>
  <si>
    <t>Pm152_m1</t>
  </si>
  <si>
    <t>Pm152_m2</t>
  </si>
  <si>
    <t>Pm153</t>
  </si>
  <si>
    <t>Pm154</t>
  </si>
  <si>
    <t>Pm154_m1</t>
  </si>
  <si>
    <t>Pm155</t>
  </si>
  <si>
    <t>Pm156</t>
  </si>
  <si>
    <t>Pm157</t>
  </si>
  <si>
    <t>Pm158</t>
  </si>
  <si>
    <t>Pm159</t>
  </si>
  <si>
    <t>Pm160</t>
  </si>
  <si>
    <t>Pm161</t>
  </si>
  <si>
    <t>Pm162</t>
  </si>
  <si>
    <t>Pm163</t>
  </si>
  <si>
    <t>Sm128</t>
  </si>
  <si>
    <t>Sm</t>
  </si>
  <si>
    <t>Sm129</t>
  </si>
  <si>
    <t>Sm130</t>
  </si>
  <si>
    <t>Sm131</t>
  </si>
  <si>
    <t>Sm132</t>
  </si>
  <si>
    <t>Sm133</t>
  </si>
  <si>
    <t>Sm134</t>
  </si>
  <si>
    <t>Sm135</t>
  </si>
  <si>
    <t>Sm136</t>
  </si>
  <si>
    <t>Sm137</t>
  </si>
  <si>
    <t>Sm138</t>
  </si>
  <si>
    <t>Sm139</t>
  </si>
  <si>
    <t>Sm139_m1</t>
  </si>
  <si>
    <t>Sm140</t>
  </si>
  <si>
    <t>Sm141</t>
  </si>
  <si>
    <t>Sm141_m1</t>
  </si>
  <si>
    <t>Sm142</t>
  </si>
  <si>
    <t>Sm143</t>
  </si>
  <si>
    <t>Sm143_m1</t>
  </si>
  <si>
    <t>Sm143_m2</t>
  </si>
  <si>
    <t>Sm144</t>
  </si>
  <si>
    <t>Sm145</t>
  </si>
  <si>
    <t>Sm146</t>
  </si>
  <si>
    <t>Sm147</t>
  </si>
  <si>
    <t>Sm148</t>
  </si>
  <si>
    <t>Sm149</t>
  </si>
  <si>
    <t>Sm150</t>
  </si>
  <si>
    <t>Sm151</t>
  </si>
  <si>
    <t>Sm152</t>
  </si>
  <si>
    <t>Sm153</t>
  </si>
  <si>
    <t>Sm153_m1</t>
  </si>
  <si>
    <t>Sm154</t>
  </si>
  <si>
    <t>Sm155</t>
  </si>
  <si>
    <t>Sm156</t>
  </si>
  <si>
    <t>Sm157</t>
  </si>
  <si>
    <t>Sm158</t>
  </si>
  <si>
    <t>Sm159</t>
  </si>
  <si>
    <t>Sm160</t>
  </si>
  <si>
    <t>Sm161</t>
  </si>
  <si>
    <t>Sm162</t>
  </si>
  <si>
    <t>Sm163</t>
  </si>
  <si>
    <t>Sm164</t>
  </si>
  <si>
    <t>Sm165</t>
  </si>
  <si>
    <t>Eu130</t>
  </si>
  <si>
    <t>Eu</t>
  </si>
  <si>
    <t>Eu131</t>
  </si>
  <si>
    <t>Eu132</t>
  </si>
  <si>
    <t>Eu133</t>
  </si>
  <si>
    <t>Eu134</t>
  </si>
  <si>
    <t>Eu135</t>
  </si>
  <si>
    <t>Eu136</t>
  </si>
  <si>
    <t>Eu136_m1</t>
  </si>
  <si>
    <t>Eu136_m2</t>
  </si>
  <si>
    <t>Eu137</t>
  </si>
  <si>
    <t>Eu138</t>
  </si>
  <si>
    <t>Eu139</t>
  </si>
  <si>
    <t>Eu140</t>
  </si>
  <si>
    <t>Eu140_m1</t>
  </si>
  <si>
    <t>Eu141</t>
  </si>
  <si>
    <t>Eu141_m1</t>
  </si>
  <si>
    <t>Eu142</t>
  </si>
  <si>
    <t>Eu142_m1</t>
  </si>
  <si>
    <t>Eu143</t>
  </si>
  <si>
    <t>Eu144</t>
  </si>
  <si>
    <t>Eu145</t>
  </si>
  <si>
    <t>Eu146</t>
  </si>
  <si>
    <t>Eu147</t>
  </si>
  <si>
    <t>Eu148</t>
  </si>
  <si>
    <t>Eu149</t>
  </si>
  <si>
    <t>Eu150</t>
  </si>
  <si>
    <t>Eu150_m1</t>
  </si>
  <si>
    <t>Eu151</t>
  </si>
  <si>
    <t>Eu152</t>
  </si>
  <si>
    <t>Eu152_m1</t>
  </si>
  <si>
    <t>Eu152_m2</t>
  </si>
  <si>
    <t>Eu153</t>
  </si>
  <si>
    <t>Eu154</t>
  </si>
  <si>
    <t>Eu154_m1</t>
  </si>
  <si>
    <t>Eu155</t>
  </si>
  <si>
    <t>Eu156</t>
  </si>
  <si>
    <t>Eu157</t>
  </si>
  <si>
    <t>Eu158</t>
  </si>
  <si>
    <t>Eu159</t>
  </si>
  <si>
    <t>Eu160</t>
  </si>
  <si>
    <t>Eu161</t>
  </si>
  <si>
    <t>Eu162</t>
  </si>
  <si>
    <t>Eu163</t>
  </si>
  <si>
    <t>Eu164</t>
  </si>
  <si>
    <t>Eu165</t>
  </si>
  <si>
    <t>Eu166</t>
  </si>
  <si>
    <t>Eu167</t>
  </si>
  <si>
    <t>Gd134</t>
  </si>
  <si>
    <t>Gd</t>
  </si>
  <si>
    <t>Gd135</t>
  </si>
  <si>
    <t>Gd136</t>
  </si>
  <si>
    <t>Gd137</t>
  </si>
  <si>
    <t>Gd138</t>
  </si>
  <si>
    <t>Gd139</t>
  </si>
  <si>
    <t>Gd139_m1</t>
  </si>
  <si>
    <t>Gd140</t>
  </si>
  <si>
    <t>Gd141</t>
  </si>
  <si>
    <t>Gd141_m1</t>
  </si>
  <si>
    <t>Gd142</t>
  </si>
  <si>
    <t>Gd143</t>
  </si>
  <si>
    <t>Gd143_m1</t>
  </si>
  <si>
    <t>Gd144</t>
  </si>
  <si>
    <t>Gd145</t>
  </si>
  <si>
    <t>Gd145_m1</t>
  </si>
  <si>
    <t>Gd146</t>
  </si>
  <si>
    <t>Gd147</t>
  </si>
  <si>
    <t>Gd148</t>
  </si>
  <si>
    <t>Gd149</t>
  </si>
  <si>
    <t>Gd150</t>
  </si>
  <si>
    <t>Gd151</t>
  </si>
  <si>
    <t>Gd152</t>
  </si>
  <si>
    <t>Gd153</t>
  </si>
  <si>
    <t>Gd154</t>
  </si>
  <si>
    <t>Gd155</t>
  </si>
  <si>
    <t>Gd155_m1</t>
  </si>
  <si>
    <t>Gd156</t>
  </si>
  <si>
    <t>Gd157</t>
  </si>
  <si>
    <t>Gd158</t>
  </si>
  <si>
    <t>Gd159</t>
  </si>
  <si>
    <t>Gd160</t>
  </si>
  <si>
    <t>Gd161</t>
  </si>
  <si>
    <t>Gd162</t>
  </si>
  <si>
    <t>Gd163</t>
  </si>
  <si>
    <t>Gd164</t>
  </si>
  <si>
    <t>Gd165</t>
  </si>
  <si>
    <t>Gd166</t>
  </si>
  <si>
    <t>Gd167</t>
  </si>
  <si>
    <t>Gd168</t>
  </si>
  <si>
    <t>Gd169</t>
  </si>
  <si>
    <t>Tb135</t>
  </si>
  <si>
    <t>Tb</t>
  </si>
  <si>
    <t>Tb136</t>
  </si>
  <si>
    <t>Tb137</t>
  </si>
  <si>
    <t>Tb138</t>
  </si>
  <si>
    <t>Tb139</t>
  </si>
  <si>
    <t>Tb140</t>
  </si>
  <si>
    <t>Tb141</t>
  </si>
  <si>
    <t>Tb141_m1</t>
  </si>
  <si>
    <t>Tb142</t>
  </si>
  <si>
    <t>Tb142_m1</t>
  </si>
  <si>
    <t>Tb143</t>
  </si>
  <si>
    <t>Tb143_m1</t>
  </si>
  <si>
    <t>Tb144</t>
  </si>
  <si>
    <t>Tb144_m1</t>
  </si>
  <si>
    <t>Tb145</t>
  </si>
  <si>
    <t>Tb145_m1</t>
  </si>
  <si>
    <t>Tb146</t>
  </si>
  <si>
    <t>Tb146_m1</t>
  </si>
  <si>
    <t>Tb146_m2</t>
  </si>
  <si>
    <t>Tb147</t>
  </si>
  <si>
    <t>Tb147_m1</t>
  </si>
  <si>
    <t>Tb148</t>
  </si>
  <si>
    <t>Tb148_m1</t>
  </si>
  <si>
    <t>Tb149</t>
  </si>
  <si>
    <t>Tb149_m1</t>
  </si>
  <si>
    <t>Tb150</t>
  </si>
  <si>
    <t>Tb150_m1</t>
  </si>
  <si>
    <t>Tb151</t>
  </si>
  <si>
    <t>Tb151_m1</t>
  </si>
  <si>
    <t>Tb152</t>
  </si>
  <si>
    <t>Tb152_m1</t>
  </si>
  <si>
    <t>Tb153</t>
  </si>
  <si>
    <t>Tb154</t>
  </si>
  <si>
    <t>Tb154_m1</t>
  </si>
  <si>
    <t>Tb154_m2</t>
  </si>
  <si>
    <t>Tb155</t>
  </si>
  <si>
    <t>Tb156</t>
  </si>
  <si>
    <t>Tb156_m1</t>
  </si>
  <si>
    <t>Tb156_m2</t>
  </si>
  <si>
    <t>Tb157</t>
  </si>
  <si>
    <t>Tb158</t>
  </si>
  <si>
    <t>Tb158_m1</t>
  </si>
  <si>
    <t>Tb159</t>
  </si>
  <si>
    <t>Tb160</t>
  </si>
  <si>
    <t>Tb161</t>
  </si>
  <si>
    <t>Tb162</t>
  </si>
  <si>
    <t>Tb163</t>
  </si>
  <si>
    <t>Tb164</t>
  </si>
  <si>
    <t>Tb165</t>
  </si>
  <si>
    <t>Tb166</t>
  </si>
  <si>
    <t>Tb167</t>
  </si>
  <si>
    <t>Tb168</t>
  </si>
  <si>
    <t>Tb169</t>
  </si>
  <si>
    <t>Tb170</t>
  </si>
  <si>
    <t>Tb171</t>
  </si>
  <si>
    <t>Dy138</t>
  </si>
  <si>
    <t>Dy</t>
  </si>
  <si>
    <t>Dy139</t>
  </si>
  <si>
    <t>Dy140</t>
  </si>
  <si>
    <t>Dy141</t>
  </si>
  <si>
    <t>Dy142</t>
  </si>
  <si>
    <t>Dy143</t>
  </si>
  <si>
    <t>Dy143_m1</t>
  </si>
  <si>
    <t>Dy144</t>
  </si>
  <si>
    <t>Dy145</t>
  </si>
  <si>
    <t>Dy145_m1</t>
  </si>
  <si>
    <t>Dy146</t>
  </si>
  <si>
    <t>Dy146_m1</t>
  </si>
  <si>
    <t>Dy147</t>
  </si>
  <si>
    <t>Dy147_m1</t>
  </si>
  <si>
    <t>Dy148</t>
  </si>
  <si>
    <t>Dy149</t>
  </si>
  <si>
    <t>Dy149_m1</t>
  </si>
  <si>
    <t>Dy150</t>
  </si>
  <si>
    <t>Dy151</t>
  </si>
  <si>
    <t>Dy152</t>
  </si>
  <si>
    <t>Dy153</t>
  </si>
  <si>
    <t>Dy154</t>
  </si>
  <si>
    <t>Dy155</t>
  </si>
  <si>
    <t>Dy156</t>
  </si>
  <si>
    <t>Dy157</t>
  </si>
  <si>
    <t>Dy157_m1</t>
  </si>
  <si>
    <t>Dy158</t>
  </si>
  <si>
    <t>Dy159</t>
  </si>
  <si>
    <t>Dy160</t>
  </si>
  <si>
    <t>Dy161</t>
  </si>
  <si>
    <t>Dy162</t>
  </si>
  <si>
    <t>Dy163</t>
  </si>
  <si>
    <t>Dy164</t>
  </si>
  <si>
    <t>Dy165</t>
  </si>
  <si>
    <t>Dy165_m1</t>
  </si>
  <si>
    <t>Dy166</t>
  </si>
  <si>
    <t>Dy167</t>
  </si>
  <si>
    <t>Dy168</t>
  </si>
  <si>
    <t>Dy169</t>
  </si>
  <si>
    <t>Dy170</t>
  </si>
  <si>
    <t>Dy171</t>
  </si>
  <si>
    <t>Dy172</t>
  </si>
  <si>
    <t>Dy173</t>
  </si>
  <si>
    <t>Ho140</t>
  </si>
  <si>
    <t>Ho</t>
  </si>
  <si>
    <t>Ho141</t>
  </si>
  <si>
    <t>Ho142</t>
  </si>
  <si>
    <t>Ho143</t>
  </si>
  <si>
    <t>Ho144</t>
  </si>
  <si>
    <t>Ho145</t>
  </si>
  <si>
    <t>Ho146</t>
  </si>
  <si>
    <t>Ho147</t>
  </si>
  <si>
    <t>Ho148</t>
  </si>
  <si>
    <t>Ho148_m1</t>
  </si>
  <si>
    <t>Ho148_m2</t>
  </si>
  <si>
    <t>Ho149</t>
  </si>
  <si>
    <t>Ho149_m1</t>
  </si>
  <si>
    <t>Ho150</t>
  </si>
  <si>
    <t>Ho150_m1</t>
  </si>
  <si>
    <t>Ho151</t>
  </si>
  <si>
    <t>Ho151_m1</t>
  </si>
  <si>
    <t>Ho152</t>
  </si>
  <si>
    <t>Ho152_m1</t>
  </si>
  <si>
    <t>Ho153</t>
  </si>
  <si>
    <t>Ho153_m1</t>
  </si>
  <si>
    <t>Ho154</t>
  </si>
  <si>
    <t>Ho154_m1</t>
  </si>
  <si>
    <t>Ho155</t>
  </si>
  <si>
    <t>Ho155_m1</t>
  </si>
  <si>
    <t>Ho156</t>
  </si>
  <si>
    <t>Ho156_m1</t>
  </si>
  <si>
    <t>Ho156_m2</t>
  </si>
  <si>
    <t>Ho157</t>
  </si>
  <si>
    <t>Ho158</t>
  </si>
  <si>
    <t>Ho158_m1</t>
  </si>
  <si>
    <t>Ho158_m2</t>
  </si>
  <si>
    <t>Ho159</t>
  </si>
  <si>
    <t>Ho159_m1</t>
  </si>
  <si>
    <t>Ho160</t>
  </si>
  <si>
    <t>Ho160_m1</t>
  </si>
  <si>
    <t>Ho160_m2</t>
  </si>
  <si>
    <t>Ho161</t>
  </si>
  <si>
    <t>Ho161_m1</t>
  </si>
  <si>
    <t>Ho162</t>
  </si>
  <si>
    <t>Ho162_m1</t>
  </si>
  <si>
    <t>Ho163</t>
  </si>
  <si>
    <t>Ho163_m1</t>
  </si>
  <si>
    <t>Ho164</t>
  </si>
  <si>
    <t>Ho164_m1</t>
  </si>
  <si>
    <t>Ho165</t>
  </si>
  <si>
    <t>Ho166</t>
  </si>
  <si>
    <t>Ho166_m1</t>
  </si>
  <si>
    <t>Ho167</t>
  </si>
  <si>
    <t>Ho168</t>
  </si>
  <si>
    <t>Ho168_m1</t>
  </si>
  <si>
    <t>Ho169</t>
  </si>
  <si>
    <t>Ho170</t>
  </si>
  <si>
    <t>Ho170_m1</t>
  </si>
  <si>
    <t>Ho171</t>
  </si>
  <si>
    <t>Ho172</t>
  </si>
  <si>
    <t>Ho173</t>
  </si>
  <si>
    <t>Ho174</t>
  </si>
  <si>
    <t>Ho175</t>
  </si>
  <si>
    <t>Er143</t>
  </si>
  <si>
    <t>Er</t>
  </si>
  <si>
    <t>Er144</t>
  </si>
  <si>
    <t>Er145</t>
  </si>
  <si>
    <t>Er146</t>
  </si>
  <si>
    <t>Er147</t>
  </si>
  <si>
    <t>Er147_m1</t>
  </si>
  <si>
    <t>Er148</t>
  </si>
  <si>
    <t>Er149</t>
  </si>
  <si>
    <t>Er149_m1</t>
  </si>
  <si>
    <t>Er150</t>
  </si>
  <si>
    <t>Er151</t>
  </si>
  <si>
    <t>Er151_m1</t>
  </si>
  <si>
    <t>Er152</t>
  </si>
  <si>
    <t>Er153</t>
  </si>
  <si>
    <t>Er154</t>
  </si>
  <si>
    <t>Er155</t>
  </si>
  <si>
    <t>Er156</t>
  </si>
  <si>
    <t>Er157</t>
  </si>
  <si>
    <t>Er157_m1</t>
  </si>
  <si>
    <t>Er158</t>
  </si>
  <si>
    <t>Er159</t>
  </si>
  <si>
    <t>Er160</t>
  </si>
  <si>
    <t>Er161</t>
  </si>
  <si>
    <t>Er162</t>
  </si>
  <si>
    <t>Er163</t>
  </si>
  <si>
    <t>Er164</t>
  </si>
  <si>
    <t>Er165</t>
  </si>
  <si>
    <t>Er166</t>
  </si>
  <si>
    <t>Er167</t>
  </si>
  <si>
    <t>Er167_m1</t>
  </si>
  <si>
    <t>Er168</t>
  </si>
  <si>
    <t>Er169</t>
  </si>
  <si>
    <t>Er170</t>
  </si>
  <si>
    <t>Er171</t>
  </si>
  <si>
    <t>Er172</t>
  </si>
  <si>
    <t>Er173</t>
  </si>
  <si>
    <t>Er174</t>
  </si>
  <si>
    <t>Er175</t>
  </si>
  <si>
    <t>Er176</t>
  </si>
  <si>
    <t>Er177</t>
  </si>
  <si>
    <t>Tm145</t>
  </si>
  <si>
    <t>Tm</t>
  </si>
  <si>
    <t>Tm146</t>
  </si>
  <si>
    <t>Tm146_m1</t>
  </si>
  <si>
    <t>Tm147</t>
  </si>
  <si>
    <t>Tm148</t>
  </si>
  <si>
    <t>Tm149</t>
  </si>
  <si>
    <t>Tm150</t>
  </si>
  <si>
    <t>Tm150_m1</t>
  </si>
  <si>
    <t>Tm151</t>
  </si>
  <si>
    <t>Tm151_m1</t>
  </si>
  <si>
    <t>Tm152</t>
  </si>
  <si>
    <t>Tm152_m1</t>
  </si>
  <si>
    <t>Tm153</t>
  </si>
  <si>
    <t>Tm153_m1</t>
  </si>
  <si>
    <t>Tm154</t>
  </si>
  <si>
    <t>Tm154_m1</t>
  </si>
  <si>
    <t>Tm155</t>
  </si>
  <si>
    <t>Tm155_m1</t>
  </si>
  <si>
    <t>Tm156</t>
  </si>
  <si>
    <t>Tm157</t>
  </si>
  <si>
    <t>Tm158</t>
  </si>
  <si>
    <t>Tm159</t>
  </si>
  <si>
    <t>Tm160</t>
  </si>
  <si>
    <t>Tm160_m1</t>
  </si>
  <si>
    <t>Tm161</t>
  </si>
  <si>
    <t>Tm162</t>
  </si>
  <si>
    <t>Tm162_m1</t>
  </si>
  <si>
    <t>Tm163</t>
  </si>
  <si>
    <t>Tm164</t>
  </si>
  <si>
    <t>Tm164_m1</t>
  </si>
  <si>
    <t>Tm165</t>
  </si>
  <si>
    <t>Tm166</t>
  </si>
  <si>
    <t>Tm166_m1</t>
  </si>
  <si>
    <t>Tm167</t>
  </si>
  <si>
    <t>Tm168</t>
  </si>
  <si>
    <t>Tm169</t>
  </si>
  <si>
    <t>Tm170</t>
  </si>
  <si>
    <t>Tm171</t>
  </si>
  <si>
    <t>Tm172</t>
  </si>
  <si>
    <t>Tm173</t>
  </si>
  <si>
    <t>Tm174</t>
  </si>
  <si>
    <t>Tm175</t>
  </si>
  <si>
    <t>Tm176</t>
  </si>
  <si>
    <t>Tm177</t>
  </si>
  <si>
    <t>Tm178</t>
  </si>
  <si>
    <t>Tm179</t>
  </si>
  <si>
    <t>Yb148</t>
  </si>
  <si>
    <t>Yb</t>
  </si>
  <si>
    <t>Yb149</t>
  </si>
  <si>
    <t>Yb150</t>
  </si>
  <si>
    <t>Yb151</t>
  </si>
  <si>
    <t>Yb151_m1</t>
  </si>
  <si>
    <t>Yb152</t>
  </si>
  <si>
    <t>Yb153</t>
  </si>
  <si>
    <t>Yb154</t>
  </si>
  <si>
    <t>Yb155</t>
  </si>
  <si>
    <t>Yb156</t>
  </si>
  <si>
    <t>Yb157</t>
  </si>
  <si>
    <t>Yb158</t>
  </si>
  <si>
    <t>Yb159</t>
  </si>
  <si>
    <t>Yb160</t>
  </si>
  <si>
    <t>Yb161</t>
  </si>
  <si>
    <t>Yb162</t>
  </si>
  <si>
    <t>Yb163</t>
  </si>
  <si>
    <t>Yb164</t>
  </si>
  <si>
    <t>Yb165</t>
  </si>
  <si>
    <t>Yb166</t>
  </si>
  <si>
    <t>Yb167</t>
  </si>
  <si>
    <t>Yb168</t>
  </si>
  <si>
    <t>Yb169</t>
  </si>
  <si>
    <t>Yb169_m1</t>
  </si>
  <si>
    <t>Yb170</t>
  </si>
  <si>
    <t>Yb171</t>
  </si>
  <si>
    <t>Yb171_m1</t>
  </si>
  <si>
    <t>Yb172</t>
  </si>
  <si>
    <t>Yb173</t>
  </si>
  <si>
    <t>Yb174</t>
  </si>
  <si>
    <t>Yb175</t>
  </si>
  <si>
    <t>Yb175_m1</t>
  </si>
  <si>
    <t>Yb176</t>
  </si>
  <si>
    <t>Yb176_m1</t>
  </si>
  <si>
    <t>Yb177</t>
  </si>
  <si>
    <t>Yb177_m1</t>
  </si>
  <si>
    <t>Yb178</t>
  </si>
  <si>
    <t>Yb179</t>
  </si>
  <si>
    <t>Yb180</t>
  </si>
  <si>
    <t>Yb181</t>
  </si>
  <si>
    <t>Lu150</t>
  </si>
  <si>
    <t>Lu</t>
  </si>
  <si>
    <t>Lu151</t>
  </si>
  <si>
    <t>Lu152</t>
  </si>
  <si>
    <t>Lu153</t>
  </si>
  <si>
    <t>Lu153_m1</t>
  </si>
  <si>
    <t>Lu154</t>
  </si>
  <si>
    <t>Lu154_m1</t>
  </si>
  <si>
    <t>Lu155</t>
  </si>
  <si>
    <t>Lu155_m1</t>
  </si>
  <si>
    <t>Lu155_m2</t>
  </si>
  <si>
    <t>Lu156</t>
  </si>
  <si>
    <t>Lu156_m1</t>
  </si>
  <si>
    <t>Lu157</t>
  </si>
  <si>
    <t>Lu157_m1</t>
  </si>
  <si>
    <t>Lu158</t>
  </si>
  <si>
    <t>Lu159</t>
  </si>
  <si>
    <t>Lu160</t>
  </si>
  <si>
    <t>Lu160_m1</t>
  </si>
  <si>
    <t>Lu161</t>
  </si>
  <si>
    <t>Lu161_m1</t>
  </si>
  <si>
    <t>Lu162</t>
  </si>
  <si>
    <t>Lu162_m1</t>
  </si>
  <si>
    <t>Lu162_m2</t>
  </si>
  <si>
    <t>Lu163</t>
  </si>
  <si>
    <t>Lu164</t>
  </si>
  <si>
    <t>Lu165</t>
  </si>
  <si>
    <t>Lu166</t>
  </si>
  <si>
    <t>Lu166_m1</t>
  </si>
  <si>
    <t>Lu166_m2</t>
  </si>
  <si>
    <t>Lu167</t>
  </si>
  <si>
    <t>Lu167_m1</t>
  </si>
  <si>
    <t>Lu168</t>
  </si>
  <si>
    <t>Lu168_m1</t>
  </si>
  <si>
    <t>Lu169</t>
  </si>
  <si>
    <t>Lu169_m1</t>
  </si>
  <si>
    <t>Lu170</t>
  </si>
  <si>
    <t>Lu170_m1</t>
  </si>
  <si>
    <t>Lu171</t>
  </si>
  <si>
    <t>Lu171_m1</t>
  </si>
  <si>
    <t>Lu172</t>
  </si>
  <si>
    <t>Lu172_m1</t>
  </si>
  <si>
    <t>Lu173</t>
  </si>
  <si>
    <t>Lu174</t>
  </si>
  <si>
    <t>Lu174_m1</t>
  </si>
  <si>
    <t>Lu175</t>
  </si>
  <si>
    <t>Lu176</t>
  </si>
  <si>
    <t>Lu176_m1</t>
  </si>
  <si>
    <t>Lu177</t>
  </si>
  <si>
    <t>Lu177_m1</t>
  </si>
  <si>
    <t>Lu177_m2</t>
  </si>
  <si>
    <t>Lu178</t>
  </si>
  <si>
    <t>Lu178_m1</t>
  </si>
  <si>
    <t>Lu179</t>
  </si>
  <si>
    <t>Lu179_m1</t>
  </si>
  <si>
    <t>Lu180</t>
  </si>
  <si>
    <t>Lu180_m1</t>
  </si>
  <si>
    <t>Lu181</t>
  </si>
  <si>
    <t>Lu182</t>
  </si>
  <si>
    <t>Lu183</t>
  </si>
  <si>
    <t>Lu184</t>
  </si>
  <si>
    <t>Hf153</t>
  </si>
  <si>
    <t>Hf</t>
  </si>
  <si>
    <t>Hf154</t>
  </si>
  <si>
    <t>Hf155</t>
  </si>
  <si>
    <t>Hf156</t>
  </si>
  <si>
    <t>Hf157</t>
  </si>
  <si>
    <t>Hf158</t>
  </si>
  <si>
    <t>Hf159</t>
  </si>
  <si>
    <t>Hf160</t>
  </si>
  <si>
    <t>Hf161</t>
  </si>
  <si>
    <t>Hf162</t>
  </si>
  <si>
    <t>Hf163</t>
  </si>
  <si>
    <t>Hf164</t>
  </si>
  <si>
    <t>Hf165</t>
  </si>
  <si>
    <t>Hf166</t>
  </si>
  <si>
    <t>Hf167</t>
  </si>
  <si>
    <t>Hf168</t>
  </si>
  <si>
    <t>Hf169</t>
  </si>
  <si>
    <t>Hf170</t>
  </si>
  <si>
    <t>Hf171</t>
  </si>
  <si>
    <t>Hf171_m1</t>
  </si>
  <si>
    <t>Hf172</t>
  </si>
  <si>
    <t>Hf173</t>
  </si>
  <si>
    <t>Hf174</t>
  </si>
  <si>
    <t>Hf175</t>
  </si>
  <si>
    <t>Hf176</t>
  </si>
  <si>
    <t>Hf177</t>
  </si>
  <si>
    <t>Hf177_m1</t>
  </si>
  <si>
    <t>Hf177_m2</t>
  </si>
  <si>
    <t>Hf178</t>
  </si>
  <si>
    <t>Hf178_m1</t>
  </si>
  <si>
    <t>Hf178_m2</t>
  </si>
  <si>
    <t>Hf179</t>
  </si>
  <si>
    <t>Hf179_m1</t>
  </si>
  <si>
    <t>Hf179_m2</t>
  </si>
  <si>
    <t>Hf180</t>
  </si>
  <si>
    <t>Hf180_m1</t>
  </si>
  <si>
    <t>Hf181</t>
  </si>
  <si>
    <t>Hf182</t>
  </si>
  <si>
    <t>Hf182_m1</t>
  </si>
  <si>
    <t>Hf183</t>
  </si>
  <si>
    <t>Hf184</t>
  </si>
  <si>
    <t>Hf184_m1</t>
  </si>
  <si>
    <t>Hf185</t>
  </si>
  <si>
    <t>Hf186</t>
  </si>
  <si>
    <t>Hf187</t>
  </si>
  <si>
    <t>Hf188</t>
  </si>
  <si>
    <t>Ta155</t>
  </si>
  <si>
    <t>Ta</t>
  </si>
  <si>
    <t>Ta156</t>
  </si>
  <si>
    <t>Ta156_m1</t>
  </si>
  <si>
    <t>Ta157</t>
  </si>
  <si>
    <t>Ta157_m1</t>
  </si>
  <si>
    <t>Ta157_m2</t>
  </si>
  <si>
    <t>Ta158</t>
  </si>
  <si>
    <t>Ta158_m1</t>
  </si>
  <si>
    <t>Ta159</t>
  </si>
  <si>
    <t>Ta159_m1</t>
  </si>
  <si>
    <t>Ta160</t>
  </si>
  <si>
    <t>Ta160_m1</t>
  </si>
  <si>
    <t>Ta161</t>
  </si>
  <si>
    <t>Ta162</t>
  </si>
  <si>
    <t>Ta163</t>
  </si>
  <si>
    <t>Ta164</t>
  </si>
  <si>
    <t>Ta165</t>
  </si>
  <si>
    <t>Ta166</t>
  </si>
  <si>
    <t>Ta167</t>
  </si>
  <si>
    <t>Ta168</t>
  </si>
  <si>
    <t>Ta169</t>
  </si>
  <si>
    <t>Ta170</t>
  </si>
  <si>
    <t>Ta171</t>
  </si>
  <si>
    <t>Ta172</t>
  </si>
  <si>
    <t>Ta173</t>
  </si>
  <si>
    <t>Ta174</t>
  </si>
  <si>
    <t>Ta175</t>
  </si>
  <si>
    <t>Ta176</t>
  </si>
  <si>
    <t>Ta176_m1</t>
  </si>
  <si>
    <t>Ta176_m2</t>
  </si>
  <si>
    <t>Ta177</t>
  </si>
  <si>
    <t>Ta178</t>
  </si>
  <si>
    <t>Ta178_m1</t>
  </si>
  <si>
    <t>Ta178_m2</t>
  </si>
  <si>
    <t>Ta179</t>
  </si>
  <si>
    <t>Ta179_m1</t>
  </si>
  <si>
    <t>Ta179_m2</t>
  </si>
  <si>
    <t>Ta180</t>
  </si>
  <si>
    <t>Ta180_m1</t>
  </si>
  <si>
    <t>Ta181</t>
  </si>
  <si>
    <t>Ta182</t>
  </si>
  <si>
    <t>Ta182_m1</t>
  </si>
  <si>
    <t>Ta182_m2</t>
  </si>
  <si>
    <t>Ta183</t>
  </si>
  <si>
    <t>Ta184</t>
  </si>
  <si>
    <t>Ta185</t>
  </si>
  <si>
    <t>Ta185_m1</t>
  </si>
  <si>
    <t>Ta186</t>
  </si>
  <si>
    <t>Ta187</t>
  </si>
  <si>
    <t>Ta188</t>
  </si>
  <si>
    <t>Ta189</t>
  </si>
  <si>
    <t>Ta190</t>
  </si>
  <si>
    <t>W158</t>
  </si>
  <si>
    <t>W</t>
  </si>
  <si>
    <t>W159</t>
  </si>
  <si>
    <t>W160</t>
  </si>
  <si>
    <t>W161</t>
  </si>
  <si>
    <t>W162</t>
  </si>
  <si>
    <t>W163</t>
  </si>
  <si>
    <t>W164</t>
  </si>
  <si>
    <t>W165</t>
  </si>
  <si>
    <t>W166</t>
  </si>
  <si>
    <t>W167</t>
  </si>
  <si>
    <t>W168</t>
  </si>
  <si>
    <t>W169</t>
  </si>
  <si>
    <t>W170</t>
  </si>
  <si>
    <t>W171</t>
  </si>
  <si>
    <t>W172</t>
  </si>
  <si>
    <t>W173</t>
  </si>
  <si>
    <t>W174</t>
  </si>
  <si>
    <t>W175</t>
  </si>
  <si>
    <t>W176</t>
  </si>
  <si>
    <t>W177</t>
  </si>
  <si>
    <t>W178</t>
  </si>
  <si>
    <t>W179</t>
  </si>
  <si>
    <t>W179_m1</t>
  </si>
  <si>
    <t>W180</t>
  </si>
  <si>
    <t>W180_m1</t>
  </si>
  <si>
    <t>W181</t>
  </si>
  <si>
    <t>W182</t>
  </si>
  <si>
    <t>W183</t>
  </si>
  <si>
    <t>W183_m1</t>
  </si>
  <si>
    <t>W184</t>
  </si>
  <si>
    <t>W185</t>
  </si>
  <si>
    <t>W185_m1</t>
  </si>
  <si>
    <t>W186</t>
  </si>
  <si>
    <t>W186_m1</t>
  </si>
  <si>
    <t>W187</t>
  </si>
  <si>
    <t>W188</t>
  </si>
  <si>
    <t>W189</t>
  </si>
  <si>
    <t>W190</t>
  </si>
  <si>
    <t>W190_m1</t>
  </si>
  <si>
    <t>W191</t>
  </si>
  <si>
    <t>W192</t>
  </si>
  <si>
    <t>Re160</t>
  </si>
  <si>
    <t>Re</t>
  </si>
  <si>
    <t>Re161</t>
  </si>
  <si>
    <t>Re161_m1</t>
  </si>
  <si>
    <t>Re162</t>
  </si>
  <si>
    <t>Re162_m1</t>
  </si>
  <si>
    <t>Re163</t>
  </si>
  <si>
    <t>Re163_m1</t>
  </si>
  <si>
    <t>Re164</t>
  </si>
  <si>
    <t>Re164_m1</t>
  </si>
  <si>
    <t>Re165</t>
  </si>
  <si>
    <t>Re165_m1</t>
  </si>
  <si>
    <t>Re166</t>
  </si>
  <si>
    <t>Re167</t>
  </si>
  <si>
    <t>Re167_m1</t>
  </si>
  <si>
    <t>Re168</t>
  </si>
  <si>
    <t>Re169</t>
  </si>
  <si>
    <t>Re169_m1</t>
  </si>
  <si>
    <t>Re170</t>
  </si>
  <si>
    <t>Re171</t>
  </si>
  <si>
    <t>Re172</t>
  </si>
  <si>
    <t>Re172_m1</t>
  </si>
  <si>
    <t>Re173</t>
  </si>
  <si>
    <t>Re174</t>
  </si>
  <si>
    <t>Re175</t>
  </si>
  <si>
    <t>Re176</t>
  </si>
  <si>
    <t>Re177</t>
  </si>
  <si>
    <t>Re178</t>
  </si>
  <si>
    <t>Re179</t>
  </si>
  <si>
    <t>Re180</t>
  </si>
  <si>
    <t>Re181</t>
  </si>
  <si>
    <t>Re182</t>
  </si>
  <si>
    <t>Re182_m1</t>
  </si>
  <si>
    <t>Re183</t>
  </si>
  <si>
    <t>Re183_m1</t>
  </si>
  <si>
    <t>Re184</t>
  </si>
  <si>
    <t>Re184_m1</t>
  </si>
  <si>
    <t>Re185</t>
  </si>
  <si>
    <t>Re186</t>
  </si>
  <si>
    <t>Re186_m1</t>
  </si>
  <si>
    <t>Re187</t>
  </si>
  <si>
    <t>Re188</t>
  </si>
  <si>
    <t>Re188_m1</t>
  </si>
  <si>
    <t>Re189</t>
  </si>
  <si>
    <t>Re190</t>
  </si>
  <si>
    <t>Re190_m1</t>
  </si>
  <si>
    <t>Re191</t>
  </si>
  <si>
    <t>Re192</t>
  </si>
  <si>
    <t>Re193</t>
  </si>
  <si>
    <t>Re194</t>
  </si>
  <si>
    <t>Os162</t>
  </si>
  <si>
    <t>Os</t>
  </si>
  <si>
    <t>Os163</t>
  </si>
  <si>
    <t>Os164</t>
  </si>
  <si>
    <t>Os165</t>
  </si>
  <si>
    <t>Os166</t>
  </si>
  <si>
    <t>Os167</t>
  </si>
  <si>
    <t>Os168</t>
  </si>
  <si>
    <t>Os169</t>
  </si>
  <si>
    <t>Os170</t>
  </si>
  <si>
    <t>Os171</t>
  </si>
  <si>
    <t>Os172</t>
  </si>
  <si>
    <t>Os173</t>
  </si>
  <si>
    <t>Os174</t>
  </si>
  <si>
    <t>Os175</t>
  </si>
  <si>
    <t>Os176</t>
  </si>
  <si>
    <t>Os177</t>
  </si>
  <si>
    <t>Os178</t>
  </si>
  <si>
    <t>Os179</t>
  </si>
  <si>
    <t>Os180</t>
  </si>
  <si>
    <t>Os181</t>
  </si>
  <si>
    <t>Os181_m1</t>
  </si>
  <si>
    <t>Os182</t>
  </si>
  <si>
    <t>Os183</t>
  </si>
  <si>
    <t>Os183_m1</t>
  </si>
  <si>
    <t>Os184</t>
  </si>
  <si>
    <t>Os185</t>
  </si>
  <si>
    <t>Os186</t>
  </si>
  <si>
    <t>Os187</t>
  </si>
  <si>
    <t>Os188</t>
  </si>
  <si>
    <t>Os189</t>
  </si>
  <si>
    <t>Os189_m1</t>
  </si>
  <si>
    <t>Os190</t>
  </si>
  <si>
    <t>Os190_m1</t>
  </si>
  <si>
    <t>Os191</t>
  </si>
  <si>
    <t>Os191_m1</t>
  </si>
  <si>
    <t>Os192</t>
  </si>
  <si>
    <t>Os192_m1</t>
  </si>
  <si>
    <t>Os193</t>
  </si>
  <si>
    <t>Os194</t>
  </si>
  <si>
    <t>Os195</t>
  </si>
  <si>
    <t>Os196</t>
  </si>
  <si>
    <t>Ir164</t>
  </si>
  <si>
    <t>Ir</t>
  </si>
  <si>
    <t>Ir164_m1</t>
  </si>
  <si>
    <t>Ir165</t>
  </si>
  <si>
    <t>Ir166</t>
  </si>
  <si>
    <t>Ir166_m1</t>
  </si>
  <si>
    <t>Ir167</t>
  </si>
  <si>
    <t>Ir167_m1</t>
  </si>
  <si>
    <t>Ir168</t>
  </si>
  <si>
    <t>Ir168_m1</t>
  </si>
  <si>
    <t>Ir169</t>
  </si>
  <si>
    <t>Ir169_m1</t>
  </si>
  <si>
    <t>Ir170</t>
  </si>
  <si>
    <t>Ir170_m1</t>
  </si>
  <si>
    <t>Ir171</t>
  </si>
  <si>
    <t>Ir171_m1</t>
  </si>
  <si>
    <t>Ir172</t>
  </si>
  <si>
    <t>Ir172_m1</t>
  </si>
  <si>
    <t>Ir173</t>
  </si>
  <si>
    <t>Ir173_m1</t>
  </si>
  <si>
    <t>Ir174</t>
  </si>
  <si>
    <t>Ir174_m1</t>
  </si>
  <si>
    <t>Ir175</t>
  </si>
  <si>
    <t>Ir176</t>
  </si>
  <si>
    <t>Ir177</t>
  </si>
  <si>
    <t>Ir178</t>
  </si>
  <si>
    <t>Ir179</t>
  </si>
  <si>
    <t>Ir180</t>
  </si>
  <si>
    <t>Ir181</t>
  </si>
  <si>
    <t>Ir182</t>
  </si>
  <si>
    <t>Ir183</t>
  </si>
  <si>
    <t>Ir184</t>
  </si>
  <si>
    <t>Ir185</t>
  </si>
  <si>
    <t>Ir186</t>
  </si>
  <si>
    <t>Ir186_m1</t>
  </si>
  <si>
    <t>Ir187</t>
  </si>
  <si>
    <t>Ir187_m1</t>
  </si>
  <si>
    <t>Ir188</t>
  </si>
  <si>
    <t>Ir188_m1</t>
  </si>
  <si>
    <t>Ir189</t>
  </si>
  <si>
    <t>Ir189_m1</t>
  </si>
  <si>
    <t>Ir189_m2</t>
  </si>
  <si>
    <t>Ir190</t>
  </si>
  <si>
    <t>Ir190_m1</t>
  </si>
  <si>
    <t>Ir190_m2</t>
  </si>
  <si>
    <t>Ir191</t>
  </si>
  <si>
    <t>Ir191_m1</t>
  </si>
  <si>
    <t>Ir191_m2</t>
  </si>
  <si>
    <t>Ir192</t>
  </si>
  <si>
    <t>Ir192_m1</t>
  </si>
  <si>
    <t>Ir192_m2</t>
  </si>
  <si>
    <t>Ir193</t>
  </si>
  <si>
    <t>Ir193_m1</t>
  </si>
  <si>
    <t>Ir194</t>
  </si>
  <si>
    <t>Ir194_m1</t>
  </si>
  <si>
    <t>Ir194_m2</t>
  </si>
  <si>
    <t>Ir195</t>
  </si>
  <si>
    <t>Ir195_m1</t>
  </si>
  <si>
    <t>Ir196</t>
  </si>
  <si>
    <t>Ir196_m1</t>
  </si>
  <si>
    <t>Ir197</t>
  </si>
  <si>
    <t>Ir197_m1</t>
  </si>
  <si>
    <t>Ir198</t>
  </si>
  <si>
    <t>Ir199</t>
  </si>
  <si>
    <t>Pt166</t>
  </si>
  <si>
    <t>Pt</t>
  </si>
  <si>
    <t>Pt167</t>
  </si>
  <si>
    <t>Pt168</t>
  </si>
  <si>
    <t>Pt169</t>
  </si>
  <si>
    <t>Pt170</t>
  </si>
  <si>
    <t>Pt171</t>
  </si>
  <si>
    <t>Pt172</t>
  </si>
  <si>
    <t>Pt173</t>
  </si>
  <si>
    <t>Pt174</t>
  </si>
  <si>
    <t>Pt175</t>
  </si>
  <si>
    <t>Pt176</t>
  </si>
  <si>
    <t>Pt177</t>
  </si>
  <si>
    <t>Pt178</t>
  </si>
  <si>
    <t>Pt179</t>
  </si>
  <si>
    <t>Pt180</t>
  </si>
  <si>
    <t>Pt181</t>
  </si>
  <si>
    <t>Pt182</t>
  </si>
  <si>
    <t>Pt183</t>
  </si>
  <si>
    <t>Pt183_m1</t>
  </si>
  <si>
    <t>Pt184</t>
  </si>
  <si>
    <t>Pt184_m1</t>
  </si>
  <si>
    <t>Pt185</t>
  </si>
  <si>
    <t>Pt185_m1</t>
  </si>
  <si>
    <t>Pt186</t>
  </si>
  <si>
    <t>Pt187</t>
  </si>
  <si>
    <t>Pt188</t>
  </si>
  <si>
    <t>Pt189</t>
  </si>
  <si>
    <t>Pt190</t>
  </si>
  <si>
    <t>Pt191</t>
  </si>
  <si>
    <t>Pt192</t>
  </si>
  <si>
    <t>Pt193</t>
  </si>
  <si>
    <t>Pt193_m1</t>
  </si>
  <si>
    <t>Pt194</t>
  </si>
  <si>
    <t>Pt195</t>
  </si>
  <si>
    <t>Pt195_m1</t>
  </si>
  <si>
    <t>Pt196</t>
  </si>
  <si>
    <t>Pt197</t>
  </si>
  <si>
    <t>Pt197_m1</t>
  </si>
  <si>
    <t>Pt198</t>
  </si>
  <si>
    <t>Pt199</t>
  </si>
  <si>
    <t>Pt199_m1</t>
  </si>
  <si>
    <t>Pt200</t>
  </si>
  <si>
    <t>Pt201</t>
  </si>
  <si>
    <t>Pt202</t>
  </si>
  <si>
    <t>Au169</t>
  </si>
  <si>
    <t>Au</t>
  </si>
  <si>
    <t>Au170</t>
  </si>
  <si>
    <t>Au170_m1</t>
  </si>
  <si>
    <t>Au171</t>
  </si>
  <si>
    <t>Au171_m1</t>
  </si>
  <si>
    <t>Au172</t>
  </si>
  <si>
    <t>Au173</t>
  </si>
  <si>
    <t>Au173_m1</t>
  </si>
  <si>
    <t>Au174</t>
  </si>
  <si>
    <t>Au174_m1</t>
  </si>
  <si>
    <t>Au175</t>
  </si>
  <si>
    <t>Au175_m1</t>
  </si>
  <si>
    <t>Au176</t>
  </si>
  <si>
    <t>Au176_m1</t>
  </si>
  <si>
    <t>Au177</t>
  </si>
  <si>
    <t>Au177_m1</t>
  </si>
  <si>
    <t>Au178</t>
  </si>
  <si>
    <t>Au179</t>
  </si>
  <si>
    <t>Au180</t>
  </si>
  <si>
    <t>Au181</t>
  </si>
  <si>
    <t>Au182</t>
  </si>
  <si>
    <t>Au183</t>
  </si>
  <si>
    <t>Au184</t>
  </si>
  <si>
    <t>Au184_m1</t>
  </si>
  <si>
    <t>Au185</t>
  </si>
  <si>
    <t>Au186</t>
  </si>
  <si>
    <t>Au187</t>
  </si>
  <si>
    <t>Au187_m1</t>
  </si>
  <si>
    <t>Au188</t>
  </si>
  <si>
    <t>Au189</t>
  </si>
  <si>
    <t>Au189_m1</t>
  </si>
  <si>
    <t>Au190</t>
  </si>
  <si>
    <t>Au190_m1</t>
  </si>
  <si>
    <t>Au191</t>
  </si>
  <si>
    <t>Au191_m1</t>
  </si>
  <si>
    <t>Au192</t>
  </si>
  <si>
    <t>Au192_m1</t>
  </si>
  <si>
    <t>Au192_m2</t>
  </si>
  <si>
    <t>Au193</t>
  </si>
  <si>
    <t>Au193_m1</t>
  </si>
  <si>
    <t>Au194</t>
  </si>
  <si>
    <t>Au194_m1</t>
  </si>
  <si>
    <t>Au194_m2</t>
  </si>
  <si>
    <t>Au195</t>
  </si>
  <si>
    <t>Au195_m1</t>
  </si>
  <si>
    <t>Au196</t>
  </si>
  <si>
    <t>Au196_m1</t>
  </si>
  <si>
    <t>Au196_m2</t>
  </si>
  <si>
    <t>Au197</t>
  </si>
  <si>
    <t>Au197_m1</t>
  </si>
  <si>
    <t>Au198</t>
  </si>
  <si>
    <t>Au198_m1</t>
  </si>
  <si>
    <t>Au199</t>
  </si>
  <si>
    <t>Au200</t>
  </si>
  <si>
    <t>Au200_m1</t>
  </si>
  <si>
    <t>Au201</t>
  </si>
  <si>
    <t>Au202</t>
  </si>
  <si>
    <t>Au203</t>
  </si>
  <si>
    <t>Au204</t>
  </si>
  <si>
    <t>Au205</t>
  </si>
  <si>
    <t>Hg171</t>
  </si>
  <si>
    <t>Hg</t>
  </si>
  <si>
    <t>Hg172</t>
  </si>
  <si>
    <t>Hg173</t>
  </si>
  <si>
    <t>Hg174</t>
  </si>
  <si>
    <t>Hg175</t>
  </si>
  <si>
    <t>Hg176</t>
  </si>
  <si>
    <t>Hg177</t>
  </si>
  <si>
    <t>Hg178</t>
  </si>
  <si>
    <t>Hg179</t>
  </si>
  <si>
    <t>Hg180</t>
  </si>
  <si>
    <t>Hg181</t>
  </si>
  <si>
    <t>Hg182</t>
  </si>
  <si>
    <t>Hg183</t>
  </si>
  <si>
    <t>Hg184</t>
  </si>
  <si>
    <t>Hg185</t>
  </si>
  <si>
    <t>Hg185_m1</t>
  </si>
  <si>
    <t>Hg186</t>
  </si>
  <si>
    <t>Hg187</t>
  </si>
  <si>
    <t>Hg187_m1</t>
  </si>
  <si>
    <t>Hg188</t>
  </si>
  <si>
    <t>Hg189</t>
  </si>
  <si>
    <t>Hg189_m1</t>
  </si>
  <si>
    <t>Hg190</t>
  </si>
  <si>
    <t>Hg191</t>
  </si>
  <si>
    <t>Hg191_m1</t>
  </si>
  <si>
    <t>Hg192</t>
  </si>
  <si>
    <t>Hg193</t>
  </si>
  <si>
    <t>Hg193_m1</t>
  </si>
  <si>
    <t>Hg194</t>
  </si>
  <si>
    <t>Hg195</t>
  </si>
  <si>
    <t>Hg195_m1</t>
  </si>
  <si>
    <t>Hg196</t>
  </si>
  <si>
    <t>Hg197</t>
  </si>
  <si>
    <t>Hg197_m1</t>
  </si>
  <si>
    <t>Hg198</t>
  </si>
  <si>
    <t>Hg199</t>
  </si>
  <si>
    <t>Hg199_m1</t>
  </si>
  <si>
    <t>Hg200</t>
  </si>
  <si>
    <t>Hg201</t>
  </si>
  <si>
    <t>Hg202</t>
  </si>
  <si>
    <t>Hg203</t>
  </si>
  <si>
    <t>Hg204</t>
  </si>
  <si>
    <t>Hg205</t>
  </si>
  <si>
    <t>Hg205_m1</t>
  </si>
  <si>
    <t>Hg206</t>
  </si>
  <si>
    <t>Hg207</t>
  </si>
  <si>
    <t>Hg208</t>
  </si>
  <si>
    <t>Hg209</t>
  </si>
  <si>
    <t>Hg210</t>
  </si>
  <si>
    <t>Tl176</t>
  </si>
  <si>
    <t>Tl</t>
  </si>
  <si>
    <t>Tl177</t>
  </si>
  <si>
    <t>Tl178</t>
  </si>
  <si>
    <t>Tl179</t>
  </si>
  <si>
    <t>Tl179_m1</t>
  </si>
  <si>
    <t>Tl180</t>
  </si>
  <si>
    <t>Tl181</t>
  </si>
  <si>
    <t>Tl181_m1</t>
  </si>
  <si>
    <t>Tl182</t>
  </si>
  <si>
    <t>Tl183</t>
  </si>
  <si>
    <t>Tl183_m1</t>
  </si>
  <si>
    <t>Tl184</t>
  </si>
  <si>
    <t>Tl185</t>
  </si>
  <si>
    <t>Tl185_m1</t>
  </si>
  <si>
    <t>Tl186</t>
  </si>
  <si>
    <t>Tl186_m1</t>
  </si>
  <si>
    <t>Tl187</t>
  </si>
  <si>
    <t>Tl187_m1</t>
  </si>
  <si>
    <t>Tl188</t>
  </si>
  <si>
    <t>Tl188_m1</t>
  </si>
  <si>
    <t>Tl188_m2</t>
  </si>
  <si>
    <t>Tl189</t>
  </si>
  <si>
    <t>Tl189_m1</t>
  </si>
  <si>
    <t>Tl190</t>
  </si>
  <si>
    <t>Tl190_m1</t>
  </si>
  <si>
    <t>Tl191</t>
  </si>
  <si>
    <t>Tl191_m1</t>
  </si>
  <si>
    <t>Tl192</t>
  </si>
  <si>
    <t>Tl192_m1</t>
  </si>
  <si>
    <t>Tl193</t>
  </si>
  <si>
    <t>Tl193_m1</t>
  </si>
  <si>
    <t>Tl194</t>
  </si>
  <si>
    <t>Tl194_m1</t>
  </si>
  <si>
    <t>Tl195</t>
  </si>
  <si>
    <t>Tl195_m1</t>
  </si>
  <si>
    <t>Tl196</t>
  </si>
  <si>
    <t>Tl196_m1</t>
  </si>
  <si>
    <t>Tl197</t>
  </si>
  <si>
    <t>Tl197_m1</t>
  </si>
  <si>
    <t>Tl198</t>
  </si>
  <si>
    <t>Tl198_m1</t>
  </si>
  <si>
    <t>Tl198_m2</t>
  </si>
  <si>
    <t>Tl199</t>
  </si>
  <si>
    <t>Tl199_m1</t>
  </si>
  <si>
    <t>Tl200</t>
  </si>
  <si>
    <t>Tl200_m1</t>
  </si>
  <si>
    <t>Tl201</t>
  </si>
  <si>
    <t>Tl201_m1</t>
  </si>
  <si>
    <t>Tl202</t>
  </si>
  <si>
    <t>Tl203</t>
  </si>
  <si>
    <t>Tl204</t>
  </si>
  <si>
    <t>Tl205</t>
  </si>
  <si>
    <t>Tl206</t>
  </si>
  <si>
    <t>Tl206_m1</t>
  </si>
  <si>
    <t>Tl207</t>
  </si>
  <si>
    <t>Tl207_m1</t>
  </si>
  <si>
    <t>Tl208</t>
  </si>
  <si>
    <t>Tl209</t>
  </si>
  <si>
    <t>Tl210</t>
  </si>
  <si>
    <t>Tl211</t>
  </si>
  <si>
    <t>Tl212</t>
  </si>
  <si>
    <t>Pb178</t>
  </si>
  <si>
    <t>Pb</t>
  </si>
  <si>
    <t>Pb179</t>
  </si>
  <si>
    <t>Pb180</t>
  </si>
  <si>
    <t>Pb181</t>
  </si>
  <si>
    <t>Pb181_m1</t>
  </si>
  <si>
    <t>Pb182</t>
  </si>
  <si>
    <t>Pb183</t>
  </si>
  <si>
    <t>Pb183_m1</t>
  </si>
  <si>
    <t>Pb184</t>
  </si>
  <si>
    <t>Pb185</t>
  </si>
  <si>
    <t>Pb185_m1</t>
  </si>
  <si>
    <t>Pb186</t>
  </si>
  <si>
    <t>Pb187</t>
  </si>
  <si>
    <t>Pb187_m1</t>
  </si>
  <si>
    <t>Pb188</t>
  </si>
  <si>
    <t>Pb189</t>
  </si>
  <si>
    <t>Pb189_m1</t>
  </si>
  <si>
    <t>Pb190</t>
  </si>
  <si>
    <t>Pb191</t>
  </si>
  <si>
    <t>Pb191_m1</t>
  </si>
  <si>
    <t>Pb192</t>
  </si>
  <si>
    <t>Pb193</t>
  </si>
  <si>
    <t>Pb193_m1</t>
  </si>
  <si>
    <t>Pb194</t>
  </si>
  <si>
    <t>Pb195</t>
  </si>
  <si>
    <t>Pb195_m1</t>
  </si>
  <si>
    <t>Pb196</t>
  </si>
  <si>
    <t>Pb197</t>
  </si>
  <si>
    <t>Pb197_m1</t>
  </si>
  <si>
    <t>Pb198</t>
  </si>
  <si>
    <t>Pb199</t>
  </si>
  <si>
    <t>Pb199_m1</t>
  </si>
  <si>
    <t>Pb200</t>
  </si>
  <si>
    <t>Pb201</t>
  </si>
  <si>
    <t>Pb201_m1</t>
  </si>
  <si>
    <t>Pb202</t>
  </si>
  <si>
    <t>Pb202_m1</t>
  </si>
  <si>
    <t>Pb203</t>
  </si>
  <si>
    <t>Pb203_m1</t>
  </si>
  <si>
    <t>Pb203_m2</t>
  </si>
  <si>
    <t>Pb204</t>
  </si>
  <si>
    <t>Pb204_m1</t>
  </si>
  <si>
    <t>Pb205</t>
  </si>
  <si>
    <t>Pb205_m1</t>
  </si>
  <si>
    <t>Pb206</t>
  </si>
  <si>
    <t>Pb207</t>
  </si>
  <si>
    <t>Pb207_m1</t>
  </si>
  <si>
    <t>Pb208</t>
  </si>
  <si>
    <t>Pb209</t>
  </si>
  <si>
    <t>Pb210</t>
  </si>
  <si>
    <t>Pb211</t>
  </si>
  <si>
    <t>Pb212</t>
  </si>
  <si>
    <t>Pb213</t>
  </si>
  <si>
    <t>Pb214</t>
  </si>
  <si>
    <t>Pb215</t>
  </si>
  <si>
    <t>Bi184</t>
  </si>
  <si>
    <t>Bi</t>
  </si>
  <si>
    <t>Bi184_m1</t>
  </si>
  <si>
    <t>Bi185</t>
  </si>
  <si>
    <t>Bi186</t>
  </si>
  <si>
    <t>Bi186_m1</t>
  </si>
  <si>
    <t>Bi187</t>
  </si>
  <si>
    <t>Bi187_m1</t>
  </si>
  <si>
    <t>Bi188</t>
  </si>
  <si>
    <t>Bi188_m1</t>
  </si>
  <si>
    <t>Bi189</t>
  </si>
  <si>
    <t>Bi189_m1</t>
  </si>
  <si>
    <t>Bi190</t>
  </si>
  <si>
    <t>Bi190_m1</t>
  </si>
  <si>
    <t>Bi191</t>
  </si>
  <si>
    <t>Bi191_m1</t>
  </si>
  <si>
    <t>Bi192</t>
  </si>
  <si>
    <t>Bi192_m1</t>
  </si>
  <si>
    <t>Bi193</t>
  </si>
  <si>
    <t>Bi193_m1</t>
  </si>
  <si>
    <t>Bi194</t>
  </si>
  <si>
    <t>Bi194_m1</t>
  </si>
  <si>
    <t>Bi194_m2</t>
  </si>
  <si>
    <t>Bi195</t>
  </si>
  <si>
    <t>Bi195_m1</t>
  </si>
  <si>
    <t>Bi196</t>
  </si>
  <si>
    <t>Bi196_m1</t>
  </si>
  <si>
    <t>Bi196_m2</t>
  </si>
  <si>
    <t>Bi197</t>
  </si>
  <si>
    <t>Bi197_m1</t>
  </si>
  <si>
    <t>Bi198</t>
  </si>
  <si>
    <t>Bi198_m1</t>
  </si>
  <si>
    <t>Bi198_m2</t>
  </si>
  <si>
    <t>Bi199</t>
  </si>
  <si>
    <t>Bi199_m1</t>
  </si>
  <si>
    <t>Bi200</t>
  </si>
  <si>
    <t>Bi200_m1</t>
  </si>
  <si>
    <t>Bi200_m2</t>
  </si>
  <si>
    <t>Bi201</t>
  </si>
  <si>
    <t>Bi201_m1</t>
  </si>
  <si>
    <t>Bi202</t>
  </si>
  <si>
    <t>Bi203</t>
  </si>
  <si>
    <t>Bi203_m1</t>
  </si>
  <si>
    <t>Bi204</t>
  </si>
  <si>
    <t>Bi204_m1</t>
  </si>
  <si>
    <t>Bi204_m2</t>
  </si>
  <si>
    <t>Bi205</t>
  </si>
  <si>
    <t>Bi206</t>
  </si>
  <si>
    <t>Bi207</t>
  </si>
  <si>
    <t>Bi208</t>
  </si>
  <si>
    <t>Bi208_m1</t>
  </si>
  <si>
    <t>Bi209</t>
  </si>
  <si>
    <t>Bi210</t>
  </si>
  <si>
    <t>Bi210_m1</t>
  </si>
  <si>
    <t>Bi211</t>
  </si>
  <si>
    <t>Bi212</t>
  </si>
  <si>
    <t>Bi212_m1</t>
  </si>
  <si>
    <t>Bi212_m2</t>
  </si>
  <si>
    <t>Bi213</t>
  </si>
  <si>
    <t>Bi214</t>
  </si>
  <si>
    <t>Bi215</t>
  </si>
  <si>
    <t>Bi215_m1</t>
  </si>
  <si>
    <t>Bi216</t>
  </si>
  <si>
    <t>Bi217</t>
  </si>
  <si>
    <t>Bi218</t>
  </si>
  <si>
    <t>Po188</t>
  </si>
  <si>
    <t>Po</t>
  </si>
  <si>
    <t>Po189</t>
  </si>
  <si>
    <t>Po190</t>
  </si>
  <si>
    <t>Po191</t>
  </si>
  <si>
    <t>Po191_m1</t>
  </si>
  <si>
    <t>Po192</t>
  </si>
  <si>
    <t>Po193</t>
  </si>
  <si>
    <t>Po193_m1</t>
  </si>
  <si>
    <t>Po194</t>
  </si>
  <si>
    <t>Po195</t>
  </si>
  <si>
    <t>Po195_m1</t>
  </si>
  <si>
    <t>Po196</t>
  </si>
  <si>
    <t>Po197</t>
  </si>
  <si>
    <t>Po197_m1</t>
  </si>
  <si>
    <t>Po198</t>
  </si>
  <si>
    <t>Po199</t>
  </si>
  <si>
    <t>Po199_m1</t>
  </si>
  <si>
    <t>Po200</t>
  </si>
  <si>
    <t>Po201</t>
  </si>
  <si>
    <t>Po201_m1</t>
  </si>
  <si>
    <t>Po202</t>
  </si>
  <si>
    <t>Po203</t>
  </si>
  <si>
    <t>Po203_m1</t>
  </si>
  <si>
    <t>Po204</t>
  </si>
  <si>
    <t>Po205</t>
  </si>
  <si>
    <t>Po205_m1</t>
  </si>
  <si>
    <t>Po205_m2</t>
  </si>
  <si>
    <t>Po206</t>
  </si>
  <si>
    <t>Po207</t>
  </si>
  <si>
    <t>Po207_m1</t>
  </si>
  <si>
    <t>Po208</t>
  </si>
  <si>
    <t>Po209</t>
  </si>
  <si>
    <t>Po210</t>
  </si>
  <si>
    <t>Po211</t>
  </si>
  <si>
    <t>Po211_m1</t>
  </si>
  <si>
    <t>Po212</t>
  </si>
  <si>
    <t>Po212_m1</t>
  </si>
  <si>
    <t>Po213</t>
  </si>
  <si>
    <t>Po214</t>
  </si>
  <si>
    <t>Po215</t>
  </si>
  <si>
    <t>Po216</t>
  </si>
  <si>
    <t>Po217</t>
  </si>
  <si>
    <t>Po218</t>
  </si>
  <si>
    <t>Po219</t>
  </si>
  <si>
    <t>Po220</t>
  </si>
  <si>
    <t>At193</t>
  </si>
  <si>
    <t>At</t>
  </si>
  <si>
    <t>At194</t>
  </si>
  <si>
    <t>At194_m1</t>
  </si>
  <si>
    <t>At195</t>
  </si>
  <si>
    <t>At195_m1</t>
  </si>
  <si>
    <t>At196</t>
  </si>
  <si>
    <t>At196_m1</t>
  </si>
  <si>
    <t>At197</t>
  </si>
  <si>
    <t>At197_m1</t>
  </si>
  <si>
    <t>At198</t>
  </si>
  <si>
    <t>At198_m1</t>
  </si>
  <si>
    <t>At199</t>
  </si>
  <si>
    <t>At200</t>
  </si>
  <si>
    <t>At200_m1</t>
  </si>
  <si>
    <t>At200_m2</t>
  </si>
  <si>
    <t>At201</t>
  </si>
  <si>
    <t>At202</t>
  </si>
  <si>
    <t>At202_m1</t>
  </si>
  <si>
    <t>At202_m2</t>
  </si>
  <si>
    <t>At203</t>
  </si>
  <si>
    <t>At204</t>
  </si>
  <si>
    <t>At204_m1</t>
  </si>
  <si>
    <t>At205</t>
  </si>
  <si>
    <t>At206</t>
  </si>
  <si>
    <t>At207</t>
  </si>
  <si>
    <t>At208</t>
  </si>
  <si>
    <t>At209</t>
  </si>
  <si>
    <t>At210</t>
  </si>
  <si>
    <t>At211</t>
  </si>
  <si>
    <t>At212</t>
  </si>
  <si>
    <t>At212_m1</t>
  </si>
  <si>
    <t>At213</t>
  </si>
  <si>
    <t>At214</t>
  </si>
  <si>
    <t>At215</t>
  </si>
  <si>
    <t>At216</t>
  </si>
  <si>
    <t>At217</t>
  </si>
  <si>
    <t>At218</t>
  </si>
  <si>
    <t>At219</t>
  </si>
  <si>
    <t>At220</t>
  </si>
  <si>
    <t>At221</t>
  </si>
  <si>
    <t>At222</t>
  </si>
  <si>
    <t>At223</t>
  </si>
  <si>
    <t>Rn195</t>
  </si>
  <si>
    <t>Rn</t>
  </si>
  <si>
    <t>Rn195_m1</t>
  </si>
  <si>
    <t>Rn196</t>
  </si>
  <si>
    <t>Rn197</t>
  </si>
  <si>
    <t>Rn197_m1</t>
  </si>
  <si>
    <t>Rn198</t>
  </si>
  <si>
    <t>Rn199</t>
  </si>
  <si>
    <t>Rn199_m1</t>
  </si>
  <si>
    <t>Rn200</t>
  </si>
  <si>
    <t>Rn201</t>
  </si>
  <si>
    <t>Rn201_m1</t>
  </si>
  <si>
    <t>Rn202</t>
  </si>
  <si>
    <t>Rn203</t>
  </si>
  <si>
    <t>Rn203_m1</t>
  </si>
  <si>
    <t>Rn204</t>
  </si>
  <si>
    <t>Rn205</t>
  </si>
  <si>
    <t>Rn206</t>
  </si>
  <si>
    <t>Rn207</t>
  </si>
  <si>
    <t>Rn208</t>
  </si>
  <si>
    <t>Rn209</t>
  </si>
  <si>
    <t>Rn210</t>
  </si>
  <si>
    <t>Rn211</t>
  </si>
  <si>
    <t>Rn212</t>
  </si>
  <si>
    <t>Rn213</t>
  </si>
  <si>
    <t>Rn214</t>
  </si>
  <si>
    <t>Rn215</t>
  </si>
  <si>
    <t>Rn216</t>
  </si>
  <si>
    <t>Rn217</t>
  </si>
  <si>
    <t>Rn218</t>
  </si>
  <si>
    <t>Rn219</t>
  </si>
  <si>
    <t>Rn220</t>
  </si>
  <si>
    <t>Rn221</t>
  </si>
  <si>
    <t>Rn222</t>
  </si>
  <si>
    <t>Rn223</t>
  </si>
  <si>
    <t>Rn224</t>
  </si>
  <si>
    <t>Rn225</t>
  </si>
  <si>
    <t>Rn226</t>
  </si>
  <si>
    <t>Rn227</t>
  </si>
  <si>
    <t>Rn228</t>
  </si>
  <si>
    <t>Fr199</t>
  </si>
  <si>
    <t>Fr</t>
  </si>
  <si>
    <t>Fr200</t>
  </si>
  <si>
    <t>Fr201</t>
  </si>
  <si>
    <t>Fr202</t>
  </si>
  <si>
    <t>Fr202_m1</t>
  </si>
  <si>
    <t>Fr203</t>
  </si>
  <si>
    <t>Fr204</t>
  </si>
  <si>
    <t>Fr204_m1</t>
  </si>
  <si>
    <t>Fr204_m2</t>
  </si>
  <si>
    <t>Fr205</t>
  </si>
  <si>
    <t>Fr206</t>
  </si>
  <si>
    <t>Fr206_m1</t>
  </si>
  <si>
    <t>Fr206_m2</t>
  </si>
  <si>
    <t>Fr207</t>
  </si>
  <si>
    <t>Fr208</t>
  </si>
  <si>
    <t>Fr209</t>
  </si>
  <si>
    <t>Fr210</t>
  </si>
  <si>
    <t>Fr211</t>
  </si>
  <si>
    <t>Fr212</t>
  </si>
  <si>
    <t>Fr213</t>
  </si>
  <si>
    <t>Fr214</t>
  </si>
  <si>
    <t>Fr214_m1</t>
  </si>
  <si>
    <t>Fr215</t>
  </si>
  <si>
    <t>Fr216</t>
  </si>
  <si>
    <t>Fr217</t>
  </si>
  <si>
    <t>Fr218</t>
  </si>
  <si>
    <t>Fr218_m1</t>
  </si>
  <si>
    <t>Fr219</t>
  </si>
  <si>
    <t>Fr220</t>
  </si>
  <si>
    <t>Fr221</t>
  </si>
  <si>
    <t>Fr222</t>
  </si>
  <si>
    <t>Fr223</t>
  </si>
  <si>
    <t>Fr224</t>
  </si>
  <si>
    <t>Fr225</t>
  </si>
  <si>
    <t>Fr226</t>
  </si>
  <si>
    <t>Fr227</t>
  </si>
  <si>
    <t>Fr228</t>
  </si>
  <si>
    <t>Fr229</t>
  </si>
  <si>
    <t>Fr230</t>
  </si>
  <si>
    <t>Fr231</t>
  </si>
  <si>
    <t>Fr232</t>
  </si>
  <si>
    <t>Ra202</t>
  </si>
  <si>
    <t>Ra</t>
  </si>
  <si>
    <t>Ra203</t>
  </si>
  <si>
    <t>Ra203_m1</t>
  </si>
  <si>
    <t>Ra204</t>
  </si>
  <si>
    <t>Ra205</t>
  </si>
  <si>
    <t>Ra205_m1</t>
  </si>
  <si>
    <t>Ra206</t>
  </si>
  <si>
    <t>Ra207</t>
  </si>
  <si>
    <t>Ra207_m1</t>
  </si>
  <si>
    <t>Ra208</t>
  </si>
  <si>
    <t>Ra209</t>
  </si>
  <si>
    <t>Ra210</t>
  </si>
  <si>
    <t>Ra211</t>
  </si>
  <si>
    <t>Ra212</t>
  </si>
  <si>
    <t>Ra213</t>
  </si>
  <si>
    <t>Ra213_m1</t>
  </si>
  <si>
    <t>Ra214</t>
  </si>
  <si>
    <t>Ra215</t>
  </si>
  <si>
    <t>Ra216</t>
  </si>
  <si>
    <t>Ra217</t>
  </si>
  <si>
    <t>Ra218</t>
  </si>
  <si>
    <t>Ra219</t>
  </si>
  <si>
    <t>Ra220</t>
  </si>
  <si>
    <t>Ra221</t>
  </si>
  <si>
    <t>Ra222</t>
  </si>
  <si>
    <t>Ra223</t>
  </si>
  <si>
    <t>Ra224</t>
  </si>
  <si>
    <t>Ra225</t>
  </si>
  <si>
    <t>Ra226</t>
  </si>
  <si>
    <t>Ra227</t>
  </si>
  <si>
    <t>Ra228</t>
  </si>
  <si>
    <t>Ra229</t>
  </si>
  <si>
    <t>Ra230</t>
  </si>
  <si>
    <t>Ra231</t>
  </si>
  <si>
    <t>Ra232</t>
  </si>
  <si>
    <t>Ra233</t>
  </si>
  <si>
    <t>Ra234</t>
  </si>
  <si>
    <t>Ac206</t>
  </si>
  <si>
    <t>Ac</t>
  </si>
  <si>
    <t>Ac206_m1</t>
  </si>
  <si>
    <t>Ac207</t>
  </si>
  <si>
    <t>Ac208</t>
  </si>
  <si>
    <t>Ac208_m1</t>
  </si>
  <si>
    <t>Ac209</t>
  </si>
  <si>
    <t>Ac210</t>
  </si>
  <si>
    <t>Ac211</t>
  </si>
  <si>
    <t>Ac212</t>
  </si>
  <si>
    <t>Ac213</t>
  </si>
  <si>
    <t>Ac214</t>
  </si>
  <si>
    <t>Ac215</t>
  </si>
  <si>
    <t>Ac216</t>
  </si>
  <si>
    <t>Ac216_m1</t>
  </si>
  <si>
    <t>Ac217</t>
  </si>
  <si>
    <t>Ac218</t>
  </si>
  <si>
    <t>Ac219</t>
  </si>
  <si>
    <t>Ac220</t>
  </si>
  <si>
    <t>Ac221</t>
  </si>
  <si>
    <t>Ac222</t>
  </si>
  <si>
    <t>Ac222_m1</t>
  </si>
  <si>
    <t>Ac223</t>
  </si>
  <si>
    <t>Ac224</t>
  </si>
  <si>
    <t>Ac225</t>
  </si>
  <si>
    <t>Ac226</t>
  </si>
  <si>
    <t>Ac227</t>
  </si>
  <si>
    <t>Ac228</t>
  </si>
  <si>
    <t>Ac229</t>
  </si>
  <si>
    <t>Ac230</t>
  </si>
  <si>
    <t>Ac231</t>
  </si>
  <si>
    <t>Ac232</t>
  </si>
  <si>
    <t>Ac233</t>
  </si>
  <si>
    <t>Ac234</t>
  </si>
  <si>
    <t>Ac235</t>
  </si>
  <si>
    <t>Ac236</t>
  </si>
  <si>
    <t>Th209</t>
  </si>
  <si>
    <t>Th</t>
  </si>
  <si>
    <t>Th210</t>
  </si>
  <si>
    <t>Th211</t>
  </si>
  <si>
    <t>Th212</t>
  </si>
  <si>
    <t>Th213</t>
  </si>
  <si>
    <t>Th214</t>
  </si>
  <si>
    <t>Th215</t>
  </si>
  <si>
    <t>Th216</t>
  </si>
  <si>
    <t>Th217</t>
  </si>
  <si>
    <t>Th218</t>
  </si>
  <si>
    <t>Th219</t>
  </si>
  <si>
    <t>Th220</t>
  </si>
  <si>
    <t>Th221</t>
  </si>
  <si>
    <t>Th222</t>
  </si>
  <si>
    <t>Th223</t>
  </si>
  <si>
    <t>Th224</t>
  </si>
  <si>
    <t>Th225</t>
  </si>
  <si>
    <t>Th226</t>
  </si>
  <si>
    <t>Th227</t>
  </si>
  <si>
    <t>Th228</t>
  </si>
  <si>
    <t>Th229</t>
  </si>
  <si>
    <t>Th230</t>
  </si>
  <si>
    <t>Th231</t>
  </si>
  <si>
    <t>Th232</t>
  </si>
  <si>
    <t>Th233</t>
  </si>
  <si>
    <t>Th234</t>
  </si>
  <si>
    <t>Th235</t>
  </si>
  <si>
    <t>Th236</t>
  </si>
  <si>
    <t>Th237</t>
  </si>
  <si>
    <t>Th238</t>
  </si>
  <si>
    <t>Pa212</t>
  </si>
  <si>
    <t>Pa</t>
  </si>
  <si>
    <t>Pa213</t>
  </si>
  <si>
    <t>Pa214</t>
  </si>
  <si>
    <t>Pa215</t>
  </si>
  <si>
    <t>Pa216</t>
  </si>
  <si>
    <t>Pa217</t>
  </si>
  <si>
    <t>Pa217_m1</t>
  </si>
  <si>
    <t>Pa218</t>
  </si>
  <si>
    <t>Pa219</t>
  </si>
  <si>
    <t>Pa220</t>
  </si>
  <si>
    <t>Pa221</t>
  </si>
  <si>
    <t>Pa222</t>
  </si>
  <si>
    <t>Pa223</t>
  </si>
  <si>
    <t>Pa224</t>
  </si>
  <si>
    <t>Pa225</t>
  </si>
  <si>
    <t>Pa226</t>
  </si>
  <si>
    <t>Pa227</t>
  </si>
  <si>
    <t>Pa228</t>
  </si>
  <si>
    <t>Pa229</t>
  </si>
  <si>
    <t>Pa230</t>
  </si>
  <si>
    <t>Pa231</t>
  </si>
  <si>
    <t>Pa232</t>
  </si>
  <si>
    <t>Pa233</t>
  </si>
  <si>
    <t>Pa234</t>
  </si>
  <si>
    <t>Pa234_m1</t>
  </si>
  <si>
    <t>Pa235</t>
  </si>
  <si>
    <t>Pa236</t>
  </si>
  <si>
    <t>Pa237</t>
  </si>
  <si>
    <t>Pa238</t>
  </si>
  <si>
    <t>Pa239</t>
  </si>
  <si>
    <t>Pa240</t>
  </si>
  <si>
    <t>U217</t>
  </si>
  <si>
    <t>U</t>
  </si>
  <si>
    <t>U218</t>
  </si>
  <si>
    <t>U219</t>
  </si>
  <si>
    <t>U220</t>
  </si>
  <si>
    <t>U222</t>
  </si>
  <si>
    <t>U223</t>
  </si>
  <si>
    <t>U224</t>
  </si>
  <si>
    <t>U225</t>
  </si>
  <si>
    <t>U226</t>
  </si>
  <si>
    <t>U227</t>
  </si>
  <si>
    <t>U228</t>
  </si>
  <si>
    <t>U229</t>
  </si>
  <si>
    <t>U230</t>
  </si>
  <si>
    <t>U231</t>
  </si>
  <si>
    <t>U232</t>
  </si>
  <si>
    <t>U233</t>
  </si>
  <si>
    <t>U234</t>
  </si>
  <si>
    <t>U235</t>
  </si>
  <si>
    <t>U235_m1</t>
  </si>
  <si>
    <t>U236</t>
  </si>
  <si>
    <t>U237</t>
  </si>
  <si>
    <t>U238</t>
  </si>
  <si>
    <t>U239</t>
  </si>
  <si>
    <t>U240</t>
  </si>
  <si>
    <t>U241</t>
  </si>
  <si>
    <t>U242</t>
  </si>
  <si>
    <t>Np225</t>
  </si>
  <si>
    <t>Np</t>
  </si>
  <si>
    <t>Np226</t>
  </si>
  <si>
    <t>Np227</t>
  </si>
  <si>
    <t>Np228</t>
  </si>
  <si>
    <t>Np229</t>
  </si>
  <si>
    <t>Np230</t>
  </si>
  <si>
    <t>Np231</t>
  </si>
  <si>
    <t>Np232</t>
  </si>
  <si>
    <t>Np233</t>
  </si>
  <si>
    <t>Np234</t>
  </si>
  <si>
    <t>Np235</t>
  </si>
  <si>
    <t>Np236</t>
  </si>
  <si>
    <t>Np236_m1</t>
  </si>
  <si>
    <t>Np237</t>
  </si>
  <si>
    <t>Np238</t>
  </si>
  <si>
    <t>Np239</t>
  </si>
  <si>
    <t>Np240</t>
  </si>
  <si>
    <t>Np240_m1</t>
  </si>
  <si>
    <t>Np241</t>
  </si>
  <si>
    <t>Np242</t>
  </si>
  <si>
    <t>Np242_m1</t>
  </si>
  <si>
    <t>Np243</t>
  </si>
  <si>
    <t>Np244</t>
  </si>
  <si>
    <t>Pu228</t>
  </si>
  <si>
    <t>Pu</t>
  </si>
  <si>
    <t>Pu229</t>
  </si>
  <si>
    <t>Pu230</t>
  </si>
  <si>
    <t>Pu231</t>
  </si>
  <si>
    <t>Pu232</t>
  </si>
  <si>
    <t>Pu233</t>
  </si>
  <si>
    <t>Pu234</t>
  </si>
  <si>
    <t>Pu235</t>
  </si>
  <si>
    <t>Pu236</t>
  </si>
  <si>
    <t>Pu237</t>
  </si>
  <si>
    <t>Pu237_m1</t>
  </si>
  <si>
    <t>Pu238</t>
  </si>
  <si>
    <t>Pu239</t>
  </si>
  <si>
    <t>Pu240</t>
  </si>
  <si>
    <t>Pu241</t>
  </si>
  <si>
    <t>Pu242</t>
  </si>
  <si>
    <t>Pu243</t>
  </si>
  <si>
    <t>Pu244</t>
  </si>
  <si>
    <t>Pu245</t>
  </si>
  <si>
    <t>Pu246</t>
  </si>
  <si>
    <t>Pu247</t>
  </si>
  <si>
    <t>Am231</t>
  </si>
  <si>
    <t>Am</t>
  </si>
  <si>
    <t>Am232</t>
  </si>
  <si>
    <t>Am233</t>
  </si>
  <si>
    <t>Am234</t>
  </si>
  <si>
    <t>Am235</t>
  </si>
  <si>
    <t>Am236</t>
  </si>
  <si>
    <t>Am237</t>
  </si>
  <si>
    <t>Am238</t>
  </si>
  <si>
    <t>Am239</t>
  </si>
  <si>
    <t>Am240</t>
  </si>
  <si>
    <t>Am241</t>
  </si>
  <si>
    <t>Am242</t>
  </si>
  <si>
    <t>Am242_m1</t>
  </si>
  <si>
    <t>Am242_m2</t>
  </si>
  <si>
    <t>Am243</t>
  </si>
  <si>
    <t>Am244</t>
  </si>
  <si>
    <t>Am244_m1</t>
  </si>
  <si>
    <t>Am245</t>
  </si>
  <si>
    <t>Am246</t>
  </si>
  <si>
    <t>Am246_m1</t>
  </si>
  <si>
    <t>Am247</t>
  </si>
  <si>
    <t>Am248</t>
  </si>
  <si>
    <t>Am249</t>
  </si>
  <si>
    <t>Cm233</t>
  </si>
  <si>
    <t>Cm</t>
  </si>
  <si>
    <t>Cm234</t>
  </si>
  <si>
    <t>Cm235</t>
  </si>
  <si>
    <t>Cm236</t>
  </si>
  <si>
    <t>Cm237</t>
  </si>
  <si>
    <t>Cm238</t>
  </si>
  <si>
    <t>Cm239</t>
  </si>
  <si>
    <t>Cm240</t>
  </si>
  <si>
    <t>Cm241</t>
  </si>
  <si>
    <t>Cm242</t>
  </si>
  <si>
    <t>Cm243</t>
  </si>
  <si>
    <t>Cm244</t>
  </si>
  <si>
    <t>Cm244_m1</t>
  </si>
  <si>
    <t>Cm245</t>
  </si>
  <si>
    <t>Cm246</t>
  </si>
  <si>
    <t>Cm247</t>
  </si>
  <si>
    <t>Cm248</t>
  </si>
  <si>
    <t>Cm249</t>
  </si>
  <si>
    <t>Cm250</t>
  </si>
  <si>
    <t>Cm251</t>
  </si>
  <si>
    <t>Bk235</t>
  </si>
  <si>
    <t>Bk</t>
  </si>
  <si>
    <t>Bk237</t>
  </si>
  <si>
    <t>Bk238</t>
  </si>
  <si>
    <t>Bk240</t>
  </si>
  <si>
    <t>Bk241</t>
  </si>
  <si>
    <t>Bk242</t>
  </si>
  <si>
    <t>Bk243</t>
  </si>
  <si>
    <t>Bk244</t>
  </si>
  <si>
    <t>Bk245</t>
  </si>
  <si>
    <t>Bk246</t>
  </si>
  <si>
    <t>Bk247</t>
  </si>
  <si>
    <t>Bk248</t>
  </si>
  <si>
    <t>Bk248_m1</t>
  </si>
  <si>
    <t>Bk249</t>
  </si>
  <si>
    <t>Bk250</t>
  </si>
  <si>
    <t>Bk251</t>
  </si>
  <si>
    <t>Bk253</t>
  </si>
  <si>
    <t>Bk254</t>
  </si>
  <si>
    <t>Cf237</t>
  </si>
  <si>
    <t>Cf</t>
  </si>
  <si>
    <t>Cf238</t>
  </si>
  <si>
    <t>Cf239</t>
  </si>
  <si>
    <t>Cf240</t>
  </si>
  <si>
    <t>Cf241</t>
  </si>
  <si>
    <t>Cf242</t>
  </si>
  <si>
    <t>Cf243</t>
  </si>
  <si>
    <t>Cf244</t>
  </si>
  <si>
    <t>Cf245</t>
  </si>
  <si>
    <t>Cf246</t>
  </si>
  <si>
    <t>Cf247</t>
  </si>
  <si>
    <t>Cf248</t>
  </si>
  <si>
    <t>Cf249</t>
  </si>
  <si>
    <t>Cf250</t>
  </si>
  <si>
    <t>Cf251</t>
  </si>
  <si>
    <t>Cf252</t>
  </si>
  <si>
    <t>Cf253</t>
  </si>
  <si>
    <t>Cf254</t>
  </si>
  <si>
    <t>Cf255</t>
  </si>
  <si>
    <t>Cf256</t>
  </si>
  <si>
    <t>Es240</t>
  </si>
  <si>
    <t>Es</t>
  </si>
  <si>
    <t>Es241</t>
  </si>
  <si>
    <t>Es242</t>
  </si>
  <si>
    <t>Es243</t>
  </si>
  <si>
    <t>Es244</t>
  </si>
  <si>
    <t>Es245</t>
  </si>
  <si>
    <t>Es246</t>
  </si>
  <si>
    <t>Es247</t>
  </si>
  <si>
    <t>Es247_m1</t>
  </si>
  <si>
    <t>Es248</t>
  </si>
  <si>
    <t>Es249</t>
  </si>
  <si>
    <t>Es250</t>
  </si>
  <si>
    <t>Es250_m1</t>
  </si>
  <si>
    <t>Es251</t>
  </si>
  <si>
    <t>Es252</t>
  </si>
  <si>
    <t>Es253</t>
  </si>
  <si>
    <t>Es254</t>
  </si>
  <si>
    <t>Es254_m1</t>
  </si>
  <si>
    <t>Es255</t>
  </si>
  <si>
    <t>Es256</t>
  </si>
  <si>
    <t>Es256_m1</t>
  </si>
  <si>
    <t>Es257</t>
  </si>
  <si>
    <t>Es258</t>
  </si>
  <si>
    <t>Fm242</t>
  </si>
  <si>
    <t>Fm</t>
  </si>
  <si>
    <t>Fm243</t>
  </si>
  <si>
    <t>Fm244</t>
  </si>
  <si>
    <t>Fm245</t>
  </si>
  <si>
    <t>Fm246</t>
  </si>
  <si>
    <t>Fm247</t>
  </si>
  <si>
    <t>Fm248</t>
  </si>
  <si>
    <t>Fm249</t>
  </si>
  <si>
    <t>Fm250</t>
  </si>
  <si>
    <t>Fm250_m1</t>
  </si>
  <si>
    <t>Fm251</t>
  </si>
  <si>
    <t>Fm252</t>
  </si>
  <si>
    <t>Fm253</t>
  </si>
  <si>
    <t>Fm254</t>
  </si>
  <si>
    <t>Fm255</t>
  </si>
  <si>
    <t>Fm256</t>
  </si>
  <si>
    <t>Fm257</t>
  </si>
  <si>
    <t>Fm258</t>
  </si>
  <si>
    <t>Fm259</t>
  </si>
  <si>
    <t>Fm260</t>
  </si>
  <si>
    <t>Md245</t>
  </si>
  <si>
    <t>Md</t>
  </si>
  <si>
    <t>Md245_m1</t>
  </si>
  <si>
    <t>Md246</t>
  </si>
  <si>
    <t>Md247</t>
  </si>
  <si>
    <t>Md247_m1</t>
  </si>
  <si>
    <t>Md248</t>
  </si>
  <si>
    <t>Md249</t>
  </si>
  <si>
    <t>Md249_m1</t>
  </si>
  <si>
    <t>Md250</t>
  </si>
  <si>
    <t>Md251</t>
  </si>
  <si>
    <t>Md252</t>
  </si>
  <si>
    <t>Md253</t>
  </si>
  <si>
    <t>Md254</t>
  </si>
  <si>
    <t>Md254_m1</t>
  </si>
  <si>
    <t>Md255</t>
  </si>
  <si>
    <t>Md256</t>
  </si>
  <si>
    <t>Md257</t>
  </si>
  <si>
    <t>Md258</t>
  </si>
  <si>
    <t>Md258_m1</t>
  </si>
  <si>
    <t>Md259</t>
  </si>
  <si>
    <t>Md260</t>
  </si>
  <si>
    <t>Md261</t>
  </si>
  <si>
    <t>No250</t>
  </si>
  <si>
    <t>No</t>
  </si>
  <si>
    <t>No251</t>
  </si>
  <si>
    <t>No251_m1</t>
  </si>
  <si>
    <t>No252</t>
  </si>
  <si>
    <t>No253</t>
  </si>
  <si>
    <t>No254</t>
  </si>
  <si>
    <t>No254_m1</t>
  </si>
  <si>
    <t>No255</t>
  </si>
  <si>
    <t>No256</t>
  </si>
  <si>
    <t>No257</t>
  </si>
  <si>
    <t>No258</t>
  </si>
  <si>
    <t>No259</t>
  </si>
  <si>
    <t>No260</t>
  </si>
  <si>
    <t>No261</t>
  </si>
  <si>
    <t>No262</t>
  </si>
  <si>
    <t>Lr251</t>
  </si>
  <si>
    <t>Lr</t>
  </si>
  <si>
    <t>Lr252</t>
  </si>
  <si>
    <t>Lr253</t>
  </si>
  <si>
    <t>Lr253_m1</t>
  </si>
  <si>
    <t>Lr254</t>
  </si>
  <si>
    <t>Lr255</t>
  </si>
  <si>
    <t>Lr255_m1</t>
  </si>
  <si>
    <t>Lr256</t>
  </si>
  <si>
    <t>Lr257</t>
  </si>
  <si>
    <t>Lr258</t>
  </si>
  <si>
    <t>Lr259</t>
  </si>
  <si>
    <t>Lr260</t>
  </si>
  <si>
    <t>Lr261</t>
  </si>
  <si>
    <t>Lr262</t>
  </si>
  <si>
    <t>Lr263</t>
  </si>
  <si>
    <t>Rf253</t>
  </si>
  <si>
    <t>Rf</t>
  </si>
  <si>
    <t>Rf254</t>
  </si>
  <si>
    <t>Rf255</t>
  </si>
  <si>
    <t>Rf256</t>
  </si>
  <si>
    <t>Rf257</t>
  </si>
  <si>
    <t>Rf257_m1</t>
  </si>
  <si>
    <t>Rf258</t>
  </si>
  <si>
    <t>Rf259</t>
  </si>
  <si>
    <t>Rf260</t>
  </si>
  <si>
    <t>Rf261</t>
  </si>
  <si>
    <t>Rf261_m1</t>
  </si>
  <si>
    <t>Rf262</t>
  </si>
  <si>
    <t>Rf263</t>
  </si>
  <si>
    <t>Rf264</t>
  </si>
  <si>
    <t>Rf265</t>
  </si>
  <si>
    <t>Db255</t>
  </si>
  <si>
    <t>Db</t>
  </si>
  <si>
    <t>Db256</t>
  </si>
  <si>
    <t>Db257</t>
  </si>
  <si>
    <t>Db257_m1</t>
  </si>
  <si>
    <t>Db258</t>
  </si>
  <si>
    <t>Db258_m1</t>
  </si>
  <si>
    <t>Db259</t>
  </si>
  <si>
    <t>Db260</t>
  </si>
  <si>
    <t>Db261</t>
  </si>
  <si>
    <t>Db262</t>
  </si>
  <si>
    <t>Db263</t>
  </si>
  <si>
    <t>Db264</t>
  </si>
  <si>
    <t>Db265</t>
  </si>
  <si>
    <t>Sg258</t>
  </si>
  <si>
    <t>Sg</t>
  </si>
  <si>
    <t>Sg259</t>
  </si>
  <si>
    <t>Sg260</t>
  </si>
  <si>
    <t>Sg261</t>
  </si>
  <si>
    <t>Sg262</t>
  </si>
  <si>
    <t>Sg263</t>
  </si>
  <si>
    <t>Sg263_m1</t>
  </si>
  <si>
    <t>Sg264</t>
  </si>
  <si>
    <t>Sg265</t>
  </si>
  <si>
    <t>Sg266</t>
  </si>
  <si>
    <t>Sg269</t>
  </si>
  <si>
    <t>Bh260</t>
  </si>
  <si>
    <t>Bh</t>
  </si>
  <si>
    <t>Bh261</t>
  </si>
  <si>
    <t>Bh262</t>
  </si>
  <si>
    <t>Bh262_m1</t>
  </si>
  <si>
    <t>Bh263</t>
  </si>
  <si>
    <t>Bh264</t>
  </si>
  <si>
    <t>Bh265</t>
  </si>
  <si>
    <t>Bh266</t>
  </si>
  <si>
    <t>Bh267</t>
  </si>
  <si>
    <t>Bh269</t>
  </si>
  <si>
    <t>Hs263</t>
  </si>
  <si>
    <t>Hs</t>
  </si>
  <si>
    <t>Hs264</t>
  </si>
  <si>
    <t>Hs265</t>
  </si>
  <si>
    <t>Hs265_m1</t>
  </si>
  <si>
    <t>Hs266</t>
  </si>
  <si>
    <t>Hs267</t>
  </si>
  <si>
    <t>Hs268</t>
  </si>
  <si>
    <t>Hs269</t>
  </si>
  <si>
    <t>Hs273</t>
  </si>
  <si>
    <t>Mt265</t>
  </si>
  <si>
    <t>Mt</t>
  </si>
  <si>
    <t>Mt266</t>
  </si>
  <si>
    <t>Mt266_m1</t>
  </si>
  <si>
    <t>Mt267</t>
  </si>
  <si>
    <t>Mt268</t>
  </si>
  <si>
    <t>Mt269</t>
  </si>
  <si>
    <t>Mt270</t>
  </si>
  <si>
    <t>Mt271</t>
  </si>
  <si>
    <t>Mt273</t>
  </si>
  <si>
    <t>Ds267</t>
  </si>
  <si>
    <t>Ds</t>
  </si>
  <si>
    <t>Ds268</t>
  </si>
  <si>
    <t>Ds269</t>
  </si>
  <si>
    <t>Ds270</t>
  </si>
  <si>
    <t>Ds270_m1</t>
  </si>
  <si>
    <t>Ds271</t>
  </si>
  <si>
    <t>Ds271_m1</t>
  </si>
  <si>
    <t>Ds272</t>
  </si>
  <si>
    <t>Ds273</t>
  </si>
  <si>
    <t>Ds279_m1</t>
  </si>
  <si>
    <t>Rg272</t>
  </si>
  <si>
    <t>Rg</t>
  </si>
  <si>
    <r>
      <rPr>
        <sz val="11"/>
        <color theme="1"/>
        <rFont val="宋体"/>
        <charset val="134"/>
      </rPr>
      <t>核素</t>
    </r>
  </si>
  <si>
    <r>
      <rPr>
        <sz val="11"/>
        <color theme="1"/>
        <rFont val="宋体"/>
        <charset val="134"/>
      </rPr>
      <t>空气浸没</t>
    </r>
  </si>
  <si>
    <r>
      <rPr>
        <sz val="11"/>
        <color theme="1"/>
        <rFont val="宋体"/>
        <charset val="134"/>
      </rPr>
      <t>吸入有效剂量</t>
    </r>
  </si>
  <si>
    <r>
      <rPr>
        <sz val="11"/>
        <color theme="1"/>
        <rFont val="宋体"/>
        <charset val="134"/>
      </rPr>
      <t>地面沉积</t>
    </r>
  </si>
  <si>
    <r>
      <rPr>
        <sz val="11"/>
        <color theme="1"/>
        <rFont val="宋体"/>
        <charset val="134"/>
      </rPr>
      <t>大气弥散因子</t>
    </r>
  </si>
  <si>
    <r>
      <rPr>
        <sz val="11"/>
        <color rgb="FFFF0000"/>
        <rFont val="宋体"/>
        <charset val="134"/>
      </rPr>
      <t>通用厂址</t>
    </r>
  </si>
  <si>
    <r>
      <rPr>
        <sz val="11"/>
        <color theme="1"/>
        <rFont val="宋体"/>
        <charset val="134"/>
      </rPr>
      <t>短期大气弥散因子（</t>
    </r>
    <r>
      <rPr>
        <sz val="11"/>
        <color theme="1"/>
        <rFont val="Times New Roman"/>
        <charset val="134"/>
      </rPr>
      <t>s/m3)</t>
    </r>
  </si>
  <si>
    <r>
      <rPr>
        <sz val="11"/>
        <color theme="1"/>
        <rFont val="宋体"/>
        <charset val="134"/>
      </rPr>
      <t>转换因子</t>
    </r>
  </si>
  <si>
    <r>
      <rPr>
        <sz val="11"/>
        <color theme="1"/>
        <rFont val="宋体"/>
        <charset val="134"/>
      </rPr>
      <t>因子3</t>
    </r>
    <r>
      <rPr>
        <sz val="11"/>
        <color theme="1"/>
        <rFont val="Times New Roman"/>
        <charset val="134"/>
      </rPr>
      <t>0</t>
    </r>
    <r>
      <rPr>
        <sz val="11"/>
        <color theme="1"/>
        <rFont val="宋体"/>
        <charset val="134"/>
      </rPr>
      <t>天</t>
    </r>
  </si>
  <si>
    <r>
      <rPr>
        <sz val="11"/>
        <color theme="1"/>
        <rFont val="宋体"/>
        <charset val="134"/>
      </rPr>
      <t>呼吸率</t>
    </r>
  </si>
  <si>
    <r>
      <rPr>
        <sz val="14"/>
        <color theme="1"/>
        <rFont val="仿宋_GB2312"/>
        <charset val="134"/>
      </rPr>
      <t>表</t>
    </r>
    <r>
      <rPr>
        <sz val="14"/>
        <color theme="1"/>
        <rFont val="Times New Roman"/>
        <charset val="134"/>
      </rPr>
      <t xml:space="preserve"> 3.4_x0</t>
    </r>
    <r>
      <rPr>
        <sz val="14"/>
        <color theme="1"/>
        <rFont val="仿宋_GB2312"/>
        <charset val="134"/>
      </rPr>
      <t>05f_x001e_1 有效剂量转换因子</t>
    </r>
  </si>
  <si>
    <r>
      <rPr>
        <sz val="11"/>
        <color theme="1"/>
        <rFont val="Times New Roman"/>
        <charset val="134"/>
      </rPr>
      <t>0-8H</t>
    </r>
    <r>
      <rPr>
        <sz val="11"/>
        <color theme="1"/>
        <rFont val="宋体"/>
        <charset val="134"/>
      </rPr>
      <t>释放</t>
    </r>
  </si>
  <si>
    <r>
      <rPr>
        <sz val="11"/>
        <color theme="1"/>
        <rFont val="Times New Roman"/>
        <charset val="134"/>
      </rPr>
      <t>8-24H</t>
    </r>
    <r>
      <rPr>
        <sz val="11"/>
        <color theme="1"/>
        <rFont val="宋体"/>
        <charset val="134"/>
      </rPr>
      <t>释放</t>
    </r>
  </si>
  <si>
    <r>
      <rPr>
        <sz val="11"/>
        <color theme="1"/>
        <rFont val="Times New Roman"/>
        <charset val="134"/>
      </rPr>
      <t>1-4</t>
    </r>
    <r>
      <rPr>
        <sz val="11"/>
        <color theme="1"/>
        <rFont val="宋体"/>
        <charset val="134"/>
      </rPr>
      <t>天释放</t>
    </r>
  </si>
  <si>
    <r>
      <rPr>
        <sz val="11"/>
        <color theme="1"/>
        <rFont val="Times New Roman"/>
        <charset val="134"/>
      </rPr>
      <t>4-30</t>
    </r>
    <r>
      <rPr>
        <sz val="11"/>
        <color theme="1"/>
        <rFont val="宋体"/>
        <charset val="134"/>
      </rPr>
      <t>天释放</t>
    </r>
  </si>
  <si>
    <t>(Sv/s)/(Bq/m3)</t>
  </si>
  <si>
    <t>(Sv/Bq)</t>
  </si>
  <si>
    <t>GB18871</t>
  </si>
  <si>
    <r>
      <rPr>
        <sz val="11"/>
        <color theme="1"/>
        <rFont val="宋体"/>
        <charset val="134"/>
      </rPr>
      <t>衰变常数</t>
    </r>
  </si>
  <si>
    <r>
      <rPr>
        <sz val="11"/>
        <color theme="1"/>
        <rFont val="宋体"/>
        <charset val="134"/>
      </rPr>
      <t>干沉积速率</t>
    </r>
  </si>
  <si>
    <t>(METERS)</t>
  </si>
  <si>
    <t>0-2 HOURS</t>
  </si>
  <si>
    <t>0-8 HOURS</t>
  </si>
  <si>
    <t>8-24 HOURS</t>
  </si>
  <si>
    <t>1-4 DAYS</t>
  </si>
  <si>
    <t>4-30 DAYS</t>
  </si>
  <si>
    <r>
      <rPr>
        <sz val="10.5"/>
        <color theme="1"/>
        <rFont val="Times New Roman"/>
        <charset val="134"/>
      </rPr>
      <t>烟云浸没外照射(Sv</t>
    </r>
    <r>
      <rPr>
        <sz val="10.5"/>
        <color theme="1"/>
        <rFont val="Times New Roman"/>
        <charset val="134"/>
      </rPr>
      <t>·</t>
    </r>
    <r>
      <rPr>
        <sz val="10.5"/>
        <color theme="1"/>
        <rFont val="Times New Roman"/>
        <charset val="134"/>
      </rPr>
      <t>m</t>
    </r>
    <r>
      <rPr>
        <vertAlign val="superscript"/>
        <sz val="10.5"/>
        <color theme="1"/>
        <rFont val="Times New Roman"/>
        <charset val="134"/>
      </rPr>
      <t>3</t>
    </r>
    <r>
      <rPr>
        <sz val="10.5"/>
        <color theme="1"/>
        <rFont val="Times New Roman"/>
        <charset val="134"/>
      </rPr>
      <t>/(Bq</t>
    </r>
    <r>
      <rPr>
        <sz val="10.5"/>
        <color theme="1"/>
        <rFont val="Times New Roman"/>
        <charset val="134"/>
      </rPr>
      <t>·</t>
    </r>
    <r>
      <rPr>
        <sz val="10.5"/>
        <color theme="1"/>
        <rFont val="Times New Roman"/>
        <charset val="134"/>
      </rPr>
      <t>s)</t>
    </r>
  </si>
  <si>
    <t>吸入内照射(Sv/Bq)</t>
  </si>
  <si>
    <r>
      <rPr>
        <sz val="10.5"/>
        <color theme="1"/>
        <rFont val="Times New Roman"/>
        <charset val="134"/>
      </rPr>
      <t>地面沉积外照射（Sv</t>
    </r>
    <r>
      <rPr>
        <sz val="10.5"/>
        <color theme="1"/>
        <rFont val="Times New Roman"/>
        <charset val="134"/>
      </rPr>
      <t>·</t>
    </r>
    <r>
      <rPr>
        <sz val="10.5"/>
        <color theme="1"/>
        <rFont val="Times New Roman"/>
        <charset val="134"/>
      </rPr>
      <t>m</t>
    </r>
    <r>
      <rPr>
        <vertAlign val="superscript"/>
        <sz val="10.5"/>
        <color theme="1"/>
        <rFont val="Times New Roman"/>
        <charset val="134"/>
      </rPr>
      <t>2</t>
    </r>
    <r>
      <rPr>
        <sz val="10.5"/>
        <color theme="1"/>
        <rFont val="Times New Roman"/>
        <charset val="134"/>
      </rPr>
      <t>)/(Bq</t>
    </r>
    <r>
      <rPr>
        <sz val="10.5"/>
        <color theme="1"/>
        <rFont val="Times New Roman"/>
        <charset val="134"/>
      </rPr>
      <t>·</t>
    </r>
    <r>
      <rPr>
        <sz val="10.5"/>
        <color theme="1"/>
        <rFont val="Times New Roman"/>
        <charset val="134"/>
      </rPr>
      <t>s)</t>
    </r>
  </si>
  <si>
    <t>0~8h</t>
  </si>
  <si>
    <t>1d-4d</t>
  </si>
  <si>
    <t>4-30d</t>
  </si>
  <si>
    <t>100m</t>
  </si>
  <si>
    <t>2500m</t>
  </si>
  <si>
    <t>5000m</t>
  </si>
  <si>
    <t>4000m</t>
  </si>
  <si>
    <t>25000m</t>
  </si>
  <si>
    <t>7500m</t>
  </si>
  <si>
    <t>15000m</t>
  </si>
  <si>
    <t>Xe-138</t>
  </si>
  <si>
    <t>35000m</t>
  </si>
  <si>
    <t>45000m</t>
  </si>
  <si>
    <t>25m</t>
  </si>
  <si>
    <t>55000m</t>
  </si>
  <si>
    <t>250m</t>
  </si>
  <si>
    <t>65000m</t>
  </si>
  <si>
    <t>75000m</t>
  </si>
  <si>
    <t>Co-58</t>
  </si>
  <si>
    <t>400m</t>
  </si>
  <si>
    <t>3000m</t>
  </si>
  <si>
    <t>7000m</t>
  </si>
  <si>
    <t>10000m</t>
  </si>
  <si>
    <r>
      <rPr>
        <sz val="11"/>
        <color theme="1"/>
        <rFont val="Times New Roman"/>
        <charset val="134"/>
      </rPr>
      <t>16</t>
    </r>
    <r>
      <rPr>
        <sz val="11"/>
        <color theme="1"/>
        <rFont val="宋体"/>
        <charset val="134"/>
      </rPr>
      <t>个方位浸没剂量</t>
    </r>
  </si>
  <si>
    <r>
      <rPr>
        <sz val="11"/>
        <color theme="1"/>
        <rFont val="宋体"/>
        <charset val="134"/>
      </rPr>
      <t>吸入剂量</t>
    </r>
  </si>
  <si>
    <r>
      <rPr>
        <sz val="11"/>
        <color theme="1"/>
        <rFont val="宋体"/>
        <charset val="134"/>
      </rPr>
      <t>总有效剂量</t>
    </r>
  </si>
  <si>
    <t>空气浸没</t>
  </si>
  <si>
    <t>吸入内照射</t>
  </si>
  <si>
    <t>大气弥散因子</t>
  </si>
  <si>
    <t>通用厂址</t>
  </si>
  <si>
    <t>转换因子</t>
  </si>
  <si>
    <r>
      <rPr>
        <sz val="11"/>
        <color theme="1"/>
        <rFont val="宋体"/>
        <charset val="134"/>
      </rPr>
      <t xml:space="preserve">因子 </t>
    </r>
    <r>
      <rPr>
        <sz val="11"/>
        <color theme="1"/>
        <rFont val="Times New Roman"/>
        <charset val="134"/>
      </rPr>
      <t>180</t>
    </r>
    <r>
      <rPr>
        <sz val="11"/>
        <color theme="1"/>
        <rFont val="宋体"/>
        <charset val="134"/>
      </rPr>
      <t>天</t>
    </r>
  </si>
  <si>
    <t>呼吸率</t>
  </si>
  <si>
    <r>
      <rPr>
        <sz val="14"/>
        <color theme="1"/>
        <rFont val="仿宋_GB2312"/>
        <charset val="134"/>
      </rPr>
      <t>表</t>
    </r>
    <r>
      <rPr>
        <sz val="14"/>
        <color theme="1"/>
        <rFont val="Times New Roman"/>
        <charset val="134"/>
      </rPr>
      <t xml:space="preserve"> 3.4</t>
    </r>
    <r>
      <rPr>
        <sz val="14"/>
        <color theme="1"/>
        <rFont val="Arial"/>
        <charset val="134"/>
      </rPr>
      <t>_</t>
    </r>
    <r>
      <rPr>
        <sz val="14"/>
        <color theme="1"/>
        <rFont val="Times New Roman"/>
        <charset val="134"/>
      </rPr>
      <t>x0</t>
    </r>
    <r>
      <rPr>
        <sz val="14"/>
        <color theme="1"/>
        <rFont val="仿宋_GB2312"/>
        <charset val="134"/>
      </rPr>
      <t>05f_x001e_1 甲状腺剂量转换因子</t>
    </r>
  </si>
  <si>
    <t>0-8H释放</t>
  </si>
  <si>
    <t>8-24H释放</t>
  </si>
  <si>
    <t>1-4天释放</t>
  </si>
  <si>
    <t>4-30天释放</t>
  </si>
  <si>
    <t>16个方位浸没剂量</t>
  </si>
  <si>
    <r>
      <rPr>
        <sz val="14"/>
        <color theme="1"/>
        <rFont val="仿宋_GB2312"/>
        <charset val="134"/>
      </rPr>
      <t>表</t>
    </r>
    <r>
      <rPr>
        <sz val="14"/>
        <color theme="1"/>
        <rFont val="Times New Roman"/>
        <charset val="134"/>
      </rPr>
      <t xml:space="preserve"> 3.5_x</t>
    </r>
    <r>
      <rPr>
        <sz val="14"/>
        <color theme="1"/>
        <rFont val="仿宋_GB2312"/>
        <charset val="134"/>
      </rPr>
      <t>0</t>
    </r>
    <r>
      <rPr>
        <sz val="14"/>
        <color theme="1"/>
        <rFont val="仿宋_GB2312"/>
        <charset val="134"/>
      </rPr>
      <t>05f_x005</t>
    </r>
    <r>
      <rPr>
        <sz val="14"/>
        <color theme="1"/>
        <rFont val="Times New Roman"/>
        <charset val="134"/>
      </rPr>
      <t>f_</t>
    </r>
    <r>
      <rPr>
        <vertAlign val="superscript"/>
        <sz val="14"/>
        <color theme="1"/>
        <rFont val="Times New Roman"/>
        <charset val="134"/>
      </rPr>
      <t>x</t>
    </r>
    <r>
      <rPr>
        <sz val="14"/>
        <color theme="1"/>
        <rFont val="Times New Roman"/>
        <charset val="134"/>
      </rPr>
      <t>005f_x005f_x005f_x005f_x005f_x005f_x005f_x005f_x005f_x005f_x005f_x005f_x005f_x005f_x005f_x005f_x005f_x005f_x005f_x005f_x005f_x005f_x005f_x005f_x005f_x005f_x005f_x005f_x005f_x001e_1 短期大气弥散因子χ/Q (s/m3)</t>
    </r>
  </si>
  <si>
    <t>时间间隔</t>
  </si>
  <si>
    <t>(km)</t>
  </si>
  <si>
    <t>8~24h</t>
  </si>
  <si>
    <t>1~4d</t>
  </si>
  <si>
    <t>4~30d</t>
  </si>
  <si>
    <t>吸入剂量</t>
  </si>
  <si>
    <t>地面沉积</t>
  </si>
  <si>
    <t>总有效剂量</t>
  </si>
  <si>
    <t>一回路破口致安全壳压力变化</t>
  </si>
  <si>
    <t>一回路</t>
  </si>
  <si>
    <t>P/MPa</t>
  </si>
  <si>
    <t>V/m^3</t>
  </si>
  <si>
    <r>
      <rPr>
        <sz val="11"/>
        <color theme="1"/>
        <rFont val="宋体"/>
        <charset val="134"/>
      </rPr>
      <t>氦气质量</t>
    </r>
    <r>
      <rPr>
        <sz val="11"/>
        <color theme="1"/>
        <rFont val="Times New Roman"/>
        <charset val="134"/>
      </rPr>
      <t>m/kg</t>
    </r>
  </si>
  <si>
    <t>安全壳</t>
  </si>
  <si>
    <t>混合</t>
  </si>
  <si>
    <t>泄压泄漏比例</t>
  </si>
  <si>
    <t>接近郎明刚老师计算结果</t>
  </si>
</sst>
</file>

<file path=xl/styles.xml><?xml version="1.0" encoding="utf-8"?>
<styleSheet xmlns="http://schemas.openxmlformats.org/spreadsheetml/2006/main" xmlns:xr9="http://schemas.microsoft.com/office/spreadsheetml/2016/revision9">
  <numFmts count="2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0.0_ "/>
    <numFmt numFmtId="178" formatCode="0.000_ "/>
    <numFmt numFmtId="179" formatCode="0.0000_ "/>
    <numFmt numFmtId="180" formatCode="0.0%"/>
    <numFmt numFmtId="181" formatCode="0.000%"/>
    <numFmt numFmtId="182" formatCode="0.00_);[Red]\(0.00\)"/>
    <numFmt numFmtId="183" formatCode="0.00_ "/>
    <numFmt numFmtId="184" formatCode="0_ "/>
    <numFmt numFmtId="185" formatCode="0.0E+00"/>
    <numFmt numFmtId="186" formatCode="0_);[Red]\(0\)"/>
    <numFmt numFmtId="187" formatCode="0.0000E+00"/>
    <numFmt numFmtId="188" formatCode="#,##0.00_ "/>
    <numFmt numFmtId="189" formatCode="#,##0.000_ "/>
    <numFmt numFmtId="190" formatCode="0E+00"/>
    <numFmt numFmtId="191" formatCode="0.000E+00"/>
    <numFmt numFmtId="192" formatCode="0.0000_);[Red]\(0.0000\)"/>
  </numFmts>
  <fonts count="97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Times New Roman"/>
      <charset val="134"/>
    </font>
    <font>
      <sz val="11"/>
      <color rgb="FFFF0000"/>
      <name val="Times New Roman"/>
      <charset val="134"/>
    </font>
    <font>
      <sz val="11"/>
      <name val="Times New Roman"/>
      <charset val="134"/>
    </font>
    <font>
      <sz val="11"/>
      <name val="Times New Roman"/>
      <charset val="1"/>
    </font>
    <font>
      <sz val="11"/>
      <color theme="1"/>
      <name val="Times New Roman"/>
      <charset val="1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theme="1"/>
      <name val="仿宋_GB2312"/>
      <charset val="134"/>
    </font>
    <font>
      <sz val="10.5"/>
      <color theme="1"/>
      <name val="Times New Roman"/>
      <charset val="134"/>
    </font>
    <font>
      <sz val="12"/>
      <color theme="1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b/>
      <sz val="11"/>
      <color theme="1"/>
      <name val="宋体"/>
      <charset val="134"/>
    </font>
    <font>
      <sz val="10"/>
      <color rgb="FF000000"/>
      <name val="Times New Roman"/>
      <charset val="0"/>
    </font>
    <font>
      <b/>
      <sz val="10"/>
      <color rgb="FFFF0000"/>
      <name val="Times New Roman"/>
      <charset val="0"/>
    </font>
    <font>
      <b/>
      <sz val="10.5"/>
      <color indexed="8"/>
      <name val="Times New Roman"/>
      <charset val="0"/>
    </font>
    <font>
      <sz val="11"/>
      <color rgb="FF9C0006"/>
      <name val="Times New Roman"/>
      <charset val="134"/>
    </font>
    <font>
      <sz val="11"/>
      <name val="仿宋"/>
      <charset val="134"/>
    </font>
    <font>
      <b/>
      <sz val="11"/>
      <name val="Times New Roman"/>
      <charset val="0"/>
    </font>
    <font>
      <sz val="11"/>
      <color theme="1"/>
      <name val="仿宋"/>
      <charset val="134"/>
    </font>
    <font>
      <b/>
      <sz val="11"/>
      <color rgb="FF00B050"/>
      <name val="仿宋"/>
      <charset val="134"/>
    </font>
    <font>
      <b/>
      <sz val="11"/>
      <name val="Times New Roman"/>
      <charset val="134"/>
    </font>
    <font>
      <b/>
      <sz val="11"/>
      <color rgb="FF00B050"/>
      <name val="Times New Roman"/>
      <charset val="134"/>
    </font>
    <font>
      <b/>
      <sz val="11"/>
      <color rgb="FFFF0000"/>
      <name val="仿宋"/>
      <charset val="134"/>
    </font>
    <font>
      <b/>
      <sz val="11"/>
      <color rgb="FFFF0000"/>
      <name val="Times New Roman"/>
      <charset val="134"/>
    </font>
    <font>
      <sz val="11"/>
      <color theme="0" tint="-0.15"/>
      <name val="仿宋"/>
      <charset val="134"/>
    </font>
    <font>
      <sz val="11"/>
      <color theme="0" tint="-0.15"/>
      <name val="Times New Roman"/>
      <charset val="134"/>
    </font>
    <font>
      <b/>
      <sz val="11"/>
      <name val="仿宋"/>
      <charset val="134"/>
    </font>
    <font>
      <sz val="11"/>
      <color rgb="FF9C0006"/>
      <name val="仿宋"/>
      <charset val="134"/>
    </font>
    <font>
      <sz val="11"/>
      <color rgb="FF000000"/>
      <name val="Times New Roman"/>
      <charset val="0"/>
    </font>
    <font>
      <sz val="11"/>
      <color rgb="FF000000"/>
      <name val="仿宋"/>
      <charset val="0"/>
    </font>
    <font>
      <sz val="11"/>
      <name val="宋体"/>
      <charset val="134"/>
    </font>
    <font>
      <sz val="10"/>
      <color theme="1"/>
      <name val="Times New Roman"/>
      <charset val="134"/>
    </font>
    <font>
      <sz val="10"/>
      <name val="Times New Roman"/>
      <charset val="134"/>
    </font>
    <font>
      <sz val="10"/>
      <color rgb="FFFF0000"/>
      <name val="Times New Roman"/>
      <charset val="134"/>
    </font>
    <font>
      <sz val="10"/>
      <color rgb="FF9C0006"/>
      <name val="Times New Roman"/>
      <charset val="134"/>
    </font>
    <font>
      <sz val="10"/>
      <name val="仿宋"/>
      <charset val="134"/>
    </font>
    <font>
      <b/>
      <sz val="10"/>
      <color rgb="FFFF0000"/>
      <name val="仿宋"/>
      <charset val="134"/>
    </font>
    <font>
      <sz val="10"/>
      <color theme="1"/>
      <name val="仿宋"/>
      <charset val="134"/>
    </font>
    <font>
      <b/>
      <sz val="10"/>
      <color rgb="FFFF0000"/>
      <name val="Times New Roman"/>
      <charset val="134"/>
    </font>
    <font>
      <b/>
      <sz val="10"/>
      <name val="仿宋"/>
      <charset val="134"/>
    </font>
    <font>
      <b/>
      <sz val="10"/>
      <name val="Times New Roman"/>
      <charset val="0"/>
    </font>
    <font>
      <b/>
      <sz val="10"/>
      <name val="Times New Roman"/>
      <charset val="134"/>
    </font>
    <font>
      <sz val="10"/>
      <color rgb="FF9C0006"/>
      <name val="仿宋"/>
      <charset val="134"/>
    </font>
    <font>
      <sz val="10"/>
      <name val="宋体"/>
      <charset val="134"/>
    </font>
    <font>
      <b/>
      <sz val="10"/>
      <color theme="1"/>
      <name val="仿宋"/>
      <charset val="134"/>
    </font>
    <font>
      <b/>
      <sz val="10"/>
      <color rgb="FF00B050"/>
      <name val="仿宋"/>
      <charset val="134"/>
    </font>
    <font>
      <b/>
      <sz val="10"/>
      <color rgb="FF00B050"/>
      <name val="Times New Roman"/>
      <charset val="134"/>
    </font>
    <font>
      <sz val="10"/>
      <color rgb="FF000000"/>
      <name val="仿宋"/>
      <charset val="0"/>
    </font>
    <font>
      <b/>
      <sz val="10"/>
      <color rgb="FFFF0000"/>
      <name val="宋体"/>
      <charset val="134"/>
    </font>
    <font>
      <sz val="11"/>
      <color rgb="FFFF0000"/>
      <name val="宋体"/>
      <charset val="134"/>
    </font>
    <font>
      <sz val="11"/>
      <color rgb="FF9C0006"/>
      <name val="宋体"/>
      <charset val="134"/>
    </font>
    <font>
      <b/>
      <sz val="11"/>
      <name val="宋体"/>
      <charset val="134"/>
    </font>
    <font>
      <b/>
      <sz val="14"/>
      <color theme="1"/>
      <name val="黑体"/>
      <charset val="134"/>
    </font>
    <font>
      <sz val="12"/>
      <color rgb="FF000000"/>
      <name val="仿宋_GB2312"/>
      <charset val="134"/>
    </font>
    <font>
      <b/>
      <sz val="10.5"/>
      <name val="Times New Roman"/>
      <charset val="0"/>
    </font>
    <font>
      <b/>
      <sz val="11"/>
      <color rgb="FF00B050"/>
      <name val="宋体"/>
      <charset val="134"/>
    </font>
    <font>
      <sz val="11"/>
      <color rgb="FF00B050"/>
      <name val="Times New Roman"/>
      <charset val="134"/>
    </font>
    <font>
      <sz val="11"/>
      <color rgb="FF000000"/>
      <name val="宋体"/>
      <charset val="0"/>
    </font>
    <font>
      <sz val="12"/>
      <color theme="1"/>
      <name val="宋体"/>
      <charset val="134"/>
    </font>
    <font>
      <sz val="10"/>
      <color rgb="FF000000"/>
      <name val="宋体"/>
      <charset val="0"/>
    </font>
    <font>
      <i/>
      <sz val="11"/>
      <color rgb="FFFF0000"/>
      <name val="Times New Roman"/>
      <charset val="134"/>
    </font>
    <font>
      <b/>
      <i/>
      <sz val="11"/>
      <color rgb="FFFF0000"/>
      <name val="Times New Roman"/>
      <charset val="134"/>
    </font>
    <font>
      <sz val="11"/>
      <color rgb="FFFF0000"/>
      <name val="仿宋"/>
      <charset val="134"/>
    </font>
    <font>
      <b/>
      <sz val="10.5"/>
      <name val="Times New Roman"/>
      <charset val="134"/>
    </font>
    <font>
      <b/>
      <vertAlign val="subscript"/>
      <sz val="16"/>
      <color theme="1"/>
      <name val="宋体"/>
      <charset val="134"/>
    </font>
    <font>
      <sz val="11"/>
      <color indexed="8"/>
      <name val="宋体"/>
      <charset val="134"/>
    </font>
    <font>
      <u/>
      <sz val="11"/>
      <color theme="10"/>
      <name val="宋体"/>
      <charset val="134"/>
    </font>
    <font>
      <u/>
      <sz val="11"/>
      <color theme="11"/>
      <name val="宋体"/>
      <charset val="134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4"/>
      <color theme="1"/>
      <name val="Times New Roman"/>
      <charset val="134"/>
    </font>
    <font>
      <sz val="14"/>
      <color theme="1"/>
      <name val="Arial"/>
      <charset val="134"/>
    </font>
    <font>
      <vertAlign val="superscript"/>
      <sz val="10.5"/>
      <color theme="1"/>
      <name val="Times New Roman"/>
      <charset val="134"/>
    </font>
    <font>
      <vertAlign val="superscript"/>
      <sz val="14"/>
      <color theme="1"/>
      <name val="Times New Roman"/>
      <charset val="134"/>
    </font>
    <font>
      <sz val="10"/>
      <color rgb="FF000000"/>
      <name val="仿宋"/>
      <charset val="134"/>
    </font>
    <font>
      <b/>
      <sz val="14"/>
      <color theme="1"/>
      <name val="Times New Roman"/>
      <charset val="134"/>
    </font>
    <font>
      <sz val="12"/>
      <color theme="1"/>
      <name val="仿宋_GB2312"/>
      <charset val="134"/>
    </font>
    <font>
      <sz val="11"/>
      <color rgb="FF00B050"/>
      <name val="宋体"/>
      <charset val="134"/>
    </font>
    <font>
      <sz val="6"/>
      <color indexed="8"/>
      <name val="Times New Roman"/>
      <charset val="134"/>
    </font>
    <font>
      <sz val="11"/>
      <color indexed="8"/>
      <name val="Times New Roman"/>
      <charset val="134"/>
    </font>
    <font>
      <b/>
      <vertAlign val="superscript"/>
      <sz val="16"/>
      <color theme="1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indexed="0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ck">
        <color indexed="8"/>
      </bottom>
      <diagonal/>
    </border>
    <border>
      <left style="medium">
        <color indexed="8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9" fillId="0" borderId="0" applyFont="0" applyFill="0" applyBorder="0" applyAlignment="0" applyProtection="0">
      <alignment vertical="center"/>
    </xf>
    <xf numFmtId="44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>
      <alignment vertical="top"/>
      <protection locked="0"/>
    </xf>
    <xf numFmtId="0" fontId="69" fillId="13" borderId="5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52" applyNumberFormat="0" applyFill="0" applyAlignment="0" applyProtection="0">
      <alignment vertical="center"/>
    </xf>
    <xf numFmtId="0" fontId="75" fillId="0" borderId="53" applyNumberFormat="0" applyFill="0" applyAlignment="0" applyProtection="0">
      <alignment vertical="center"/>
    </xf>
    <xf numFmtId="0" fontId="76" fillId="0" borderId="54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14" borderId="55" applyNumberFormat="0" applyAlignment="0" applyProtection="0">
      <alignment vertical="center"/>
    </xf>
    <xf numFmtId="0" fontId="78" fillId="15" borderId="56" applyNumberFormat="0" applyAlignment="0" applyProtection="0">
      <alignment vertical="center"/>
    </xf>
    <xf numFmtId="0" fontId="79" fillId="15" borderId="55" applyNumberFormat="0" applyAlignment="0" applyProtection="0">
      <alignment vertical="center"/>
    </xf>
    <xf numFmtId="0" fontId="80" fillId="16" borderId="57" applyNumberFormat="0" applyAlignment="0" applyProtection="0">
      <alignment vertical="center"/>
    </xf>
    <xf numFmtId="0" fontId="81" fillId="0" borderId="58" applyNumberFormat="0" applyFill="0" applyAlignment="0" applyProtection="0">
      <alignment vertical="center"/>
    </xf>
    <xf numFmtId="0" fontId="8" fillId="0" borderId="59" applyNumberFormat="0" applyFill="0" applyAlignment="0" applyProtection="0">
      <alignment vertical="center"/>
    </xf>
    <xf numFmtId="0" fontId="82" fillId="17" borderId="0" applyNumberFormat="0" applyBorder="0" applyAlignment="0" applyProtection="0">
      <alignment vertical="center"/>
    </xf>
    <xf numFmtId="0" fontId="83" fillId="10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85" fillId="38" borderId="0" applyNumberFormat="0" applyBorder="0" applyAlignment="0" applyProtection="0">
      <alignment vertical="center"/>
    </xf>
    <xf numFmtId="0" fontId="85" fillId="3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85" fillId="41" borderId="0" applyNumberFormat="0" applyBorder="0" applyAlignment="0" applyProtection="0">
      <alignment vertical="center"/>
    </xf>
  </cellStyleXfs>
  <cellXfs count="904">
    <xf numFmtId="0" fontId="0" fillId="0" borderId="0" xfId="0">
      <alignment vertical="center"/>
    </xf>
    <xf numFmtId="0" fontId="0" fillId="0" borderId="0" xfId="0" applyFont="1" applyBorder="1">
      <alignment vertical="center"/>
    </xf>
    <xf numFmtId="0" fontId="0" fillId="0" borderId="0" xfId="0" applyFont="1" applyFill="1" applyBorder="1">
      <alignment vertical="center"/>
    </xf>
    <xf numFmtId="0" fontId="1" fillId="2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6" fontId="2" fillId="0" borderId="2" xfId="0" applyNumberFormat="1" applyFont="1" applyFill="1" applyBorder="1" applyAlignment="1">
      <alignment horizontal="center" vertical="center"/>
    </xf>
    <xf numFmtId="176" fontId="2" fillId="0" borderId="3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177" fontId="2" fillId="0" borderId="0" xfId="0" applyNumberFormat="1" applyFont="1" applyFill="1" applyBorder="1" applyAlignment="1">
      <alignment horizontal="center" vertical="center"/>
    </xf>
    <xf numFmtId="177" fontId="2" fillId="0" borderId="4" xfId="0" applyNumberFormat="1" applyFont="1" applyFill="1" applyBorder="1" applyAlignment="1">
      <alignment horizontal="center" vertical="center"/>
    </xf>
    <xf numFmtId="177" fontId="2" fillId="0" borderId="5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178" fontId="2" fillId="0" borderId="0" xfId="0" applyNumberFormat="1" applyFont="1" applyFill="1" applyBorder="1" applyAlignment="1">
      <alignment horizontal="center" vertical="center"/>
    </xf>
    <xf numFmtId="179" fontId="2" fillId="0" borderId="4" xfId="0" applyNumberFormat="1" applyFont="1" applyFill="1" applyBorder="1" applyAlignment="1">
      <alignment horizontal="center" vertical="center"/>
    </xf>
    <xf numFmtId="179" fontId="2" fillId="0" borderId="0" xfId="0" applyNumberFormat="1" applyFont="1" applyFill="1" applyBorder="1" applyAlignment="1">
      <alignment horizontal="center" vertical="center"/>
    </xf>
    <xf numFmtId="179" fontId="2" fillId="0" borderId="5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180" fontId="2" fillId="3" borderId="0" xfId="3" applyNumberFormat="1" applyFont="1" applyFill="1" applyBorder="1" applyAlignment="1">
      <alignment horizontal="center" vertical="center"/>
    </xf>
    <xf numFmtId="180" fontId="2" fillId="3" borderId="6" xfId="3" applyNumberFormat="1" applyFont="1" applyFill="1" applyBorder="1" applyAlignment="1">
      <alignment horizontal="center" vertical="center"/>
    </xf>
    <xf numFmtId="180" fontId="2" fillId="3" borderId="7" xfId="3" applyNumberFormat="1" applyFont="1" applyFill="1" applyBorder="1" applyAlignment="1">
      <alignment horizontal="center" vertical="center"/>
    </xf>
    <xf numFmtId="180" fontId="2" fillId="3" borderId="8" xfId="3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181" fontId="0" fillId="0" borderId="0" xfId="3" applyNumberFormat="1" applyFont="1" applyBorder="1">
      <alignment vertical="center"/>
    </xf>
    <xf numFmtId="178" fontId="2" fillId="0" borderId="4" xfId="0" applyNumberFormat="1" applyFont="1" applyFill="1" applyBorder="1" applyAlignment="1">
      <alignment horizontal="center" vertical="center"/>
    </xf>
    <xf numFmtId="178" fontId="2" fillId="0" borderId="5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11" fontId="5" fillId="0" borderId="9" xfId="0" applyNumberFormat="1" applyFont="1" applyFill="1" applyBorder="1" applyAlignment="1">
      <alignment vertical="center"/>
    </xf>
    <xf numFmtId="11" fontId="4" fillId="0" borderId="9" xfId="0" applyNumberFormat="1" applyFont="1" applyFill="1" applyBorder="1" applyAlignment="1">
      <alignment vertical="center"/>
    </xf>
    <xf numFmtId="11" fontId="0" fillId="0" borderId="9" xfId="0" applyNumberFormat="1" applyFill="1" applyBorder="1" applyAlignment="1">
      <alignment vertical="center"/>
    </xf>
    <xf numFmtId="0" fontId="0" fillId="0" borderId="0" xfId="0" applyFill="1" applyAlignment="1">
      <alignment vertical="center"/>
    </xf>
    <xf numFmtId="11" fontId="4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vertical="center"/>
    </xf>
    <xf numFmtId="11" fontId="7" fillId="0" borderId="0" xfId="0" applyNumberFormat="1" applyFont="1" applyFill="1" applyAlignment="1">
      <alignment vertical="center"/>
    </xf>
    <xf numFmtId="0" fontId="8" fillId="0" borderId="0" xfId="0" applyFont="1" applyFill="1" applyAlignment="1">
      <alignment vertical="center"/>
    </xf>
    <xf numFmtId="11" fontId="0" fillId="0" borderId="0" xfId="0" applyNumberFormat="1" applyFill="1" applyAlignment="1">
      <alignment vertical="center"/>
    </xf>
    <xf numFmtId="0" fontId="6" fillId="0" borderId="0" xfId="0" applyFont="1" applyFill="1" applyBorder="1" applyAlignment="1">
      <alignment vertical="center"/>
    </xf>
    <xf numFmtId="11" fontId="7" fillId="0" borderId="0" xfId="0" applyNumberFormat="1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11" fontId="0" fillId="0" borderId="0" xfId="0" applyNumberFormat="1" applyFill="1" applyBorder="1" applyAlignment="1">
      <alignment vertical="center"/>
    </xf>
    <xf numFmtId="0" fontId="0" fillId="0" borderId="9" xfId="0" applyNumberFormat="1" applyFill="1" applyBorder="1" applyAlignment="1">
      <alignment vertical="center"/>
    </xf>
    <xf numFmtId="0" fontId="2" fillId="0" borderId="9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0" fontId="1" fillId="2" borderId="9" xfId="0" applyFont="1" applyFill="1" applyBorder="1" applyAlignment="1">
      <alignment horizontal="center" vertical="center"/>
    </xf>
    <xf numFmtId="0" fontId="0" fillId="4" borderId="9" xfId="0" applyFill="1" applyBorder="1" applyAlignment="1">
      <alignment vertical="center"/>
    </xf>
    <xf numFmtId="0" fontId="2" fillId="2" borderId="9" xfId="0" applyFont="1" applyFill="1" applyBorder="1" applyAlignment="1">
      <alignment horizontal="center" vertical="center"/>
    </xf>
    <xf numFmtId="11" fontId="2" fillId="0" borderId="0" xfId="0" applyNumberFormat="1" applyFont="1" applyFill="1" applyBorder="1" applyAlignment="1">
      <alignment vertical="center"/>
    </xf>
    <xf numFmtId="0" fontId="9" fillId="0" borderId="9" xfId="0" applyFont="1" applyFill="1" applyBorder="1" applyAlignment="1">
      <alignment vertical="center"/>
    </xf>
    <xf numFmtId="0" fontId="0" fillId="0" borderId="10" xfId="0" applyFill="1" applyBorder="1" applyAlignment="1">
      <alignment vertical="center"/>
    </xf>
    <xf numFmtId="0" fontId="9" fillId="5" borderId="9" xfId="0" applyFont="1" applyFill="1" applyBorder="1" applyAlignment="1">
      <alignment vertical="center"/>
    </xf>
    <xf numFmtId="11" fontId="0" fillId="4" borderId="9" xfId="0" applyNumberForma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6" borderId="11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11" fontId="11" fillId="0" borderId="11" xfId="0" applyNumberFormat="1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11" fontId="11" fillId="0" borderId="12" xfId="0" applyNumberFormat="1" applyFont="1" applyBorder="1" applyAlignment="1">
      <alignment horizontal="center" vertical="center" wrapText="1"/>
    </xf>
    <xf numFmtId="11" fontId="0" fillId="0" borderId="10" xfId="0" applyNumberFormat="1" applyFill="1" applyBorder="1" applyAlignment="1">
      <alignment vertical="center"/>
    </xf>
    <xf numFmtId="11" fontId="0" fillId="0" borderId="1" xfId="0" applyNumberFormat="1" applyFill="1" applyBorder="1" applyAlignment="1">
      <alignment vertical="center"/>
    </xf>
    <xf numFmtId="0" fontId="11" fillId="0" borderId="0" xfId="0" applyFont="1" applyBorder="1" applyAlignment="1">
      <alignment horizontal="center" vertical="center" wrapText="1"/>
    </xf>
    <xf numFmtId="11" fontId="11" fillId="0" borderId="0" xfId="0" applyNumberFormat="1" applyFont="1" applyBorder="1" applyAlignment="1">
      <alignment horizontal="center" vertical="center" wrapText="1"/>
    </xf>
    <xf numFmtId="0" fontId="11" fillId="6" borderId="12" xfId="0" applyFont="1" applyFill="1" applyBorder="1" applyAlignment="1">
      <alignment horizontal="center" vertical="center" wrapText="1"/>
    </xf>
    <xf numFmtId="11" fontId="11" fillId="6" borderId="1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11" fontId="12" fillId="0" borderId="12" xfId="0" applyNumberFormat="1" applyFont="1" applyBorder="1" applyAlignment="1">
      <alignment horizontal="center" vertical="center" wrapText="1"/>
    </xf>
    <xf numFmtId="182" fontId="0" fillId="0" borderId="0" xfId="0" applyNumberFormat="1" applyFill="1" applyBorder="1" applyAlignment="1">
      <alignment vertical="center"/>
    </xf>
    <xf numFmtId="0" fontId="11" fillId="6" borderId="14" xfId="0" applyFont="1" applyFill="1" applyBorder="1" applyAlignment="1">
      <alignment horizontal="center" vertical="center" wrapText="1"/>
    </xf>
    <xf numFmtId="11" fontId="11" fillId="0" borderId="14" xfId="0" applyNumberFormat="1" applyFont="1" applyBorder="1" applyAlignment="1">
      <alignment horizontal="center" vertical="center" wrapText="1"/>
    </xf>
    <xf numFmtId="11" fontId="11" fillId="0" borderId="15" xfId="0" applyNumberFormat="1" applyFont="1" applyBorder="1" applyAlignment="1">
      <alignment horizontal="center" vertical="center" wrapText="1"/>
    </xf>
    <xf numFmtId="11" fontId="11" fillId="6" borderId="15" xfId="0" applyNumberFormat="1" applyFont="1" applyFill="1" applyBorder="1" applyAlignment="1">
      <alignment horizontal="center" vertical="center" wrapText="1"/>
    </xf>
    <xf numFmtId="11" fontId="12" fillId="0" borderId="15" xfId="0" applyNumberFormat="1" applyFont="1" applyBorder="1" applyAlignment="1">
      <alignment horizontal="center" vertical="center" wrapText="1"/>
    </xf>
    <xf numFmtId="0" fontId="0" fillId="0" borderId="0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11" fontId="0" fillId="2" borderId="0" xfId="0" applyNumberFormat="1" applyFill="1" applyBorder="1" applyAlignment="1">
      <alignment vertical="center"/>
    </xf>
    <xf numFmtId="11" fontId="9" fillId="0" borderId="0" xfId="0" applyNumberFormat="1" applyFont="1" applyFill="1" applyBorder="1" applyAlignment="1">
      <alignment vertical="center"/>
    </xf>
    <xf numFmtId="182" fontId="0" fillId="0" borderId="0" xfId="0" applyNumberFormat="1" applyFill="1" applyAlignment="1">
      <alignment vertical="center"/>
    </xf>
    <xf numFmtId="176" fontId="0" fillId="0" borderId="0" xfId="0" applyNumberFormat="1" applyFill="1" applyBorder="1" applyAlignment="1">
      <alignment vertical="center"/>
    </xf>
    <xf numFmtId="0" fontId="2" fillId="0" borderId="0" xfId="0" applyFont="1">
      <alignment vertical="center"/>
    </xf>
    <xf numFmtId="0" fontId="2" fillId="0" borderId="9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11" fontId="2" fillId="0" borderId="0" xfId="0" applyNumberFormat="1" applyFont="1" applyFill="1" applyAlignment="1">
      <alignment vertical="center"/>
    </xf>
    <xf numFmtId="0" fontId="7" fillId="0" borderId="0" xfId="0" applyFont="1" applyFill="1" applyBorder="1" applyAlignment="1">
      <alignment vertical="center"/>
    </xf>
    <xf numFmtId="0" fontId="2" fillId="0" borderId="9" xfId="0" applyNumberFormat="1" applyFont="1" applyFill="1" applyBorder="1" applyAlignment="1">
      <alignment vertical="center"/>
    </xf>
    <xf numFmtId="11" fontId="2" fillId="0" borderId="9" xfId="0" applyNumberFormat="1" applyFont="1" applyFill="1" applyBorder="1" applyAlignment="1">
      <alignment vertical="center"/>
    </xf>
    <xf numFmtId="0" fontId="2" fillId="0" borderId="16" xfId="0" applyFont="1" applyBorder="1">
      <alignment vertical="center"/>
    </xf>
    <xf numFmtId="0" fontId="2" fillId="4" borderId="9" xfId="0" applyFont="1" applyFill="1" applyBorder="1" applyAlignment="1">
      <alignment vertical="center"/>
    </xf>
    <xf numFmtId="11" fontId="2" fillId="0" borderId="9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3" fillId="5" borderId="9" xfId="0" applyFont="1" applyFill="1" applyBorder="1" applyAlignment="1">
      <alignment vertical="center"/>
    </xf>
    <xf numFmtId="11" fontId="2" fillId="4" borderId="9" xfId="0" applyNumberFormat="1" applyFont="1" applyFill="1" applyBorder="1" applyAlignment="1">
      <alignment vertical="center"/>
    </xf>
    <xf numFmtId="182" fontId="2" fillId="0" borderId="0" xfId="0" applyNumberFormat="1" applyFont="1" applyFill="1" applyBorder="1" applyAlignment="1">
      <alignment vertical="center"/>
    </xf>
    <xf numFmtId="0" fontId="2" fillId="0" borderId="9" xfId="0" applyFont="1" applyBorder="1">
      <alignment vertical="center"/>
    </xf>
    <xf numFmtId="0" fontId="3" fillId="0" borderId="9" xfId="0" applyFont="1" applyFill="1" applyBorder="1" applyAlignment="1">
      <alignment vertical="center"/>
    </xf>
    <xf numFmtId="11" fontId="14" fillId="0" borderId="9" xfId="0" applyNumberFormat="1" applyFont="1" applyFill="1" applyBorder="1" applyAlignment="1">
      <alignment vertical="center"/>
    </xf>
    <xf numFmtId="0" fontId="14" fillId="0" borderId="9" xfId="0" applyFont="1" applyFill="1" applyBorder="1" applyAlignment="1">
      <alignment vertical="center"/>
    </xf>
    <xf numFmtId="0" fontId="3" fillId="0" borderId="10" xfId="0" applyFont="1" applyFill="1" applyBorder="1" applyAlignment="1">
      <alignment vertical="center"/>
    </xf>
    <xf numFmtId="11" fontId="14" fillId="0" borderId="10" xfId="0" applyNumberFormat="1" applyFont="1" applyFill="1" applyBorder="1" applyAlignment="1">
      <alignment vertical="center"/>
    </xf>
    <xf numFmtId="0" fontId="3" fillId="0" borderId="17" xfId="0" applyFont="1" applyFill="1" applyBorder="1" applyAlignment="1">
      <alignment vertical="center"/>
    </xf>
    <xf numFmtId="11" fontId="14" fillId="0" borderId="17" xfId="0" applyNumberFormat="1" applyFont="1" applyFill="1" applyBorder="1" applyAlignment="1">
      <alignment vertical="center"/>
    </xf>
    <xf numFmtId="0" fontId="2" fillId="0" borderId="10" xfId="0" applyFont="1" applyFill="1" applyBorder="1" applyAlignment="1">
      <alignment vertical="center"/>
    </xf>
    <xf numFmtId="11" fontId="2" fillId="0" borderId="10" xfId="0" applyNumberFormat="1" applyFont="1" applyFill="1" applyBorder="1" applyAlignment="1">
      <alignment vertical="center"/>
    </xf>
    <xf numFmtId="0" fontId="2" fillId="0" borderId="17" xfId="0" applyFont="1" applyFill="1" applyBorder="1" applyAlignment="1">
      <alignment vertical="center"/>
    </xf>
    <xf numFmtId="11" fontId="2" fillId="0" borderId="17" xfId="0" applyNumberFormat="1" applyFont="1" applyFill="1" applyBorder="1" applyAlignment="1">
      <alignment vertical="center"/>
    </xf>
    <xf numFmtId="176" fontId="2" fillId="0" borderId="0" xfId="3" applyNumberFormat="1" applyFont="1" applyFill="1" applyBorder="1" applyAlignment="1">
      <alignment vertical="center"/>
    </xf>
    <xf numFmtId="0" fontId="2" fillId="0" borderId="0" xfId="0" applyFont="1" applyBorder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11" fontId="2" fillId="2" borderId="0" xfId="0" applyNumberFormat="1" applyFont="1" applyFill="1" applyBorder="1" applyAlignment="1">
      <alignment vertical="center"/>
    </xf>
    <xf numFmtId="11" fontId="3" fillId="0" borderId="0" xfId="0" applyNumberFormat="1" applyFont="1" applyFill="1" applyBorder="1" applyAlignment="1">
      <alignment vertical="center"/>
    </xf>
    <xf numFmtId="182" fontId="2" fillId="0" borderId="0" xfId="0" applyNumberFormat="1" applyFont="1" applyFill="1" applyAlignment="1">
      <alignment vertical="center"/>
    </xf>
    <xf numFmtId="176" fontId="2" fillId="0" borderId="0" xfId="0" applyNumberFormat="1" applyFont="1" applyFill="1" applyBorder="1" applyAlignment="1">
      <alignment vertical="center"/>
    </xf>
    <xf numFmtId="11" fontId="2" fillId="0" borderId="0" xfId="0" applyNumberFormat="1" applyFont="1">
      <alignment vertical="center"/>
    </xf>
    <xf numFmtId="0" fontId="7" fillId="0" borderId="0" xfId="0" applyFont="1">
      <alignment vertical="center"/>
    </xf>
    <xf numFmtId="0" fontId="15" fillId="0" borderId="0" xfId="0" applyFont="1">
      <alignment vertical="center"/>
    </xf>
    <xf numFmtId="183" fontId="16" fillId="0" borderId="18" xfId="0" applyNumberFormat="1" applyFont="1" applyBorder="1" applyAlignment="1">
      <alignment vertical="center"/>
    </xf>
    <xf numFmtId="183" fontId="16" fillId="0" borderId="8" xfId="0" applyNumberFormat="1" applyFont="1" applyBorder="1" applyAlignment="1">
      <alignment vertical="center"/>
    </xf>
    <xf numFmtId="183" fontId="16" fillId="0" borderId="19" xfId="0" applyNumberFormat="1" applyFont="1" applyBorder="1" applyAlignment="1">
      <alignment horizontal="center" vertical="center"/>
    </xf>
    <xf numFmtId="183" fontId="16" fillId="0" borderId="17" xfId="0" applyNumberFormat="1" applyFont="1" applyBorder="1">
      <alignment vertical="center"/>
    </xf>
    <xf numFmtId="183" fontId="16" fillId="0" borderId="8" xfId="0" applyNumberFormat="1" applyFont="1" applyBorder="1">
      <alignment vertical="center"/>
    </xf>
    <xf numFmtId="184" fontId="16" fillId="0" borderId="18" xfId="0" applyNumberFormat="1" applyFont="1" applyBorder="1" applyAlignment="1">
      <alignment vertical="center"/>
    </xf>
    <xf numFmtId="183" fontId="16" fillId="0" borderId="20" xfId="0" applyNumberFormat="1" applyFont="1" applyBorder="1">
      <alignment vertical="center"/>
    </xf>
    <xf numFmtId="183" fontId="16" fillId="0" borderId="0" xfId="0" applyNumberFormat="1" applyFont="1" applyAlignment="1">
      <alignment vertical="center"/>
    </xf>
    <xf numFmtId="183" fontId="17" fillId="2" borderId="18" xfId="0" applyNumberFormat="1" applyFont="1" applyFill="1" applyBorder="1" applyAlignment="1">
      <alignment vertical="center"/>
    </xf>
    <xf numFmtId="184" fontId="17" fillId="2" borderId="21" xfId="0" applyNumberFormat="1" applyFont="1" applyFill="1" applyBorder="1" applyAlignment="1">
      <alignment vertical="center"/>
    </xf>
    <xf numFmtId="183" fontId="17" fillId="0" borderId="9" xfId="0" applyNumberFormat="1" applyFont="1" applyFill="1" applyBorder="1" applyAlignment="1">
      <alignment vertical="center"/>
    </xf>
    <xf numFmtId="183" fontId="16" fillId="0" borderId="8" xfId="0" applyNumberFormat="1" applyFont="1" applyBorder="1" applyAlignment="1">
      <alignment horizontal="center" vertical="center"/>
    </xf>
    <xf numFmtId="177" fontId="16" fillId="0" borderId="8" xfId="0" applyNumberFormat="1" applyFont="1" applyBorder="1">
      <alignment vertical="center"/>
    </xf>
    <xf numFmtId="0" fontId="7" fillId="0" borderId="9" xfId="0" applyFont="1" applyFill="1" applyBorder="1" applyAlignment="1">
      <alignment horizontal="right" vertical="center"/>
    </xf>
    <xf numFmtId="184" fontId="17" fillId="0" borderId="9" xfId="0" applyNumberFormat="1" applyFont="1" applyFill="1" applyBorder="1" applyAlignment="1">
      <alignment vertical="center"/>
    </xf>
    <xf numFmtId="183" fontId="17" fillId="0" borderId="8" xfId="0" applyNumberFormat="1" applyFont="1" applyFill="1" applyBorder="1" applyAlignment="1">
      <alignment vertical="center"/>
    </xf>
    <xf numFmtId="184" fontId="17" fillId="0" borderId="8" xfId="0" applyNumberFormat="1" applyFont="1" applyFill="1" applyBorder="1" applyAlignment="1">
      <alignment vertical="center"/>
    </xf>
    <xf numFmtId="0" fontId="15" fillId="2" borderId="0" xfId="0" applyFont="1" applyFill="1" applyBorder="1" applyAlignment="1">
      <alignment horizontal="left" vertical="center"/>
    </xf>
    <xf numFmtId="0" fontId="2" fillId="2" borderId="9" xfId="0" applyFont="1" applyFill="1" applyBorder="1">
      <alignment vertical="center"/>
    </xf>
    <xf numFmtId="0" fontId="2" fillId="0" borderId="9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right" vertical="center"/>
    </xf>
    <xf numFmtId="0" fontId="7" fillId="0" borderId="9" xfId="0" applyFont="1" applyFill="1" applyBorder="1" applyAlignment="1">
      <alignment horizontal="center" vertical="center"/>
    </xf>
    <xf numFmtId="180" fontId="2" fillId="0" borderId="9" xfId="3" applyNumberFormat="1" applyFont="1" applyBorder="1">
      <alignment vertical="center"/>
    </xf>
    <xf numFmtId="177" fontId="2" fillId="0" borderId="9" xfId="0" applyNumberFormat="1" applyFont="1" applyFill="1" applyBorder="1" applyAlignment="1">
      <alignment horizontal="right" vertical="center"/>
    </xf>
    <xf numFmtId="177" fontId="2" fillId="0" borderId="9" xfId="0" applyNumberFormat="1" applyFont="1" applyFill="1" applyBorder="1" applyAlignment="1">
      <alignment vertical="center"/>
    </xf>
    <xf numFmtId="180" fontId="2" fillId="0" borderId="0" xfId="3" applyNumberFormat="1" applyFont="1">
      <alignment vertical="center"/>
    </xf>
    <xf numFmtId="0" fontId="2" fillId="0" borderId="0" xfId="0" applyFont="1" applyBorder="1" applyAlignment="1">
      <alignment horizontal="right" vertical="center"/>
    </xf>
    <xf numFmtId="11" fontId="2" fillId="0" borderId="9" xfId="0" applyNumberFormat="1" applyFont="1" applyBorder="1">
      <alignment vertical="center"/>
    </xf>
    <xf numFmtId="0" fontId="18" fillId="0" borderId="9" xfId="0" applyFont="1" applyFill="1" applyBorder="1" applyAlignment="1">
      <alignment horizontal="center" vertical="center" wrapText="1"/>
    </xf>
    <xf numFmtId="176" fontId="2" fillId="0" borderId="0" xfId="0" applyNumberFormat="1" applyFont="1">
      <alignment vertical="center"/>
    </xf>
    <xf numFmtId="10" fontId="2" fillId="0" borderId="9" xfId="0" applyNumberFormat="1" applyFont="1" applyBorder="1">
      <alignment vertical="center"/>
    </xf>
    <xf numFmtId="183" fontId="2" fillId="0" borderId="9" xfId="0" applyNumberFormat="1" applyFont="1" applyBorder="1">
      <alignment vertical="center"/>
    </xf>
    <xf numFmtId="0" fontId="15" fillId="0" borderId="9" xfId="0" applyFont="1" applyFill="1" applyBorder="1" applyAlignment="1">
      <alignment horizontal="right" vertical="center"/>
    </xf>
    <xf numFmtId="185" fontId="2" fillId="0" borderId="9" xfId="0" applyNumberFormat="1" applyFont="1" applyBorder="1">
      <alignment vertical="center"/>
    </xf>
    <xf numFmtId="0" fontId="2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Fill="1">
      <alignment vertical="center"/>
    </xf>
    <xf numFmtId="0" fontId="19" fillId="0" borderId="0" xfId="23" applyFont="1" applyFill="1">
      <alignment vertical="center"/>
    </xf>
    <xf numFmtId="0" fontId="0" fillId="0" borderId="0" xfId="0" applyFont="1">
      <alignment vertical="center"/>
    </xf>
    <xf numFmtId="0" fontId="20" fillId="7" borderId="1" xfId="0" applyFont="1" applyFill="1" applyBorder="1">
      <alignment vertical="center"/>
    </xf>
    <xf numFmtId="0" fontId="4" fillId="0" borderId="2" xfId="0" applyFont="1" applyBorder="1">
      <alignment vertical="center"/>
    </xf>
    <xf numFmtId="0" fontId="4" fillId="7" borderId="4" xfId="0" applyFont="1" applyFill="1" applyBorder="1">
      <alignment vertical="center"/>
    </xf>
    <xf numFmtId="0" fontId="4" fillId="0" borderId="0" xfId="0" applyFont="1" applyFill="1">
      <alignment vertical="center"/>
    </xf>
    <xf numFmtId="0" fontId="4" fillId="0" borderId="4" xfId="0" applyFont="1" applyBorder="1">
      <alignment vertical="center"/>
    </xf>
    <xf numFmtId="0" fontId="20" fillId="0" borderId="21" xfId="0" applyFont="1" applyBorder="1" applyAlignment="1">
      <alignment vertical="center" wrapText="1"/>
    </xf>
    <xf numFmtId="0" fontId="20" fillId="0" borderId="1" xfId="0" applyFont="1" applyFill="1" applyBorder="1" applyAlignment="1">
      <alignment vertical="center" wrapText="1"/>
    </xf>
    <xf numFmtId="0" fontId="20" fillId="7" borderId="1" xfId="0" applyFont="1" applyFill="1" applyBorder="1" applyAlignment="1">
      <alignment vertical="center" wrapText="1"/>
    </xf>
    <xf numFmtId="0" fontId="20" fillId="7" borderId="2" xfId="0" applyFont="1" applyFill="1" applyBorder="1" applyAlignment="1">
      <alignment vertical="center" wrapText="1"/>
    </xf>
    <xf numFmtId="0" fontId="4" fillId="7" borderId="2" xfId="0" applyFont="1" applyFill="1" applyBorder="1" applyAlignment="1">
      <alignment vertical="center" wrapText="1"/>
    </xf>
    <xf numFmtId="0" fontId="21" fillId="0" borderId="22" xfId="0" applyFont="1" applyBorder="1" applyAlignment="1">
      <alignment horizontal="center" vertical="center" wrapText="1"/>
    </xf>
    <xf numFmtId="11" fontId="4" fillId="0" borderId="4" xfId="0" applyNumberFormat="1" applyFont="1" applyFill="1" applyBorder="1">
      <alignment vertical="center"/>
    </xf>
    <xf numFmtId="11" fontId="3" fillId="7" borderId="4" xfId="0" applyNumberFormat="1" applyFont="1" applyFill="1" applyBorder="1">
      <alignment vertical="center"/>
    </xf>
    <xf numFmtId="11" fontId="4" fillId="7" borderId="0" xfId="0" applyNumberFormat="1" applyFont="1" applyFill="1" applyBorder="1">
      <alignment vertical="center"/>
    </xf>
    <xf numFmtId="11" fontId="3" fillId="7" borderId="0" xfId="0" applyNumberFormat="1" applyFont="1" applyFill="1" applyBorder="1">
      <alignment vertical="center"/>
    </xf>
    <xf numFmtId="182" fontId="3" fillId="7" borderId="0" xfId="0" applyNumberFormat="1" applyFont="1" applyFill="1" applyBorder="1">
      <alignment vertical="center"/>
    </xf>
    <xf numFmtId="0" fontId="21" fillId="0" borderId="23" xfId="0" applyFont="1" applyBorder="1" applyAlignment="1">
      <alignment horizontal="center" vertical="center" wrapText="1"/>
    </xf>
    <xf numFmtId="0" fontId="4" fillId="7" borderId="0" xfId="0" applyFont="1" applyFill="1" applyBorder="1">
      <alignment vertical="center"/>
    </xf>
    <xf numFmtId="11" fontId="3" fillId="8" borderId="0" xfId="0" applyNumberFormat="1" applyFont="1" applyFill="1" applyBorder="1">
      <alignment vertical="center"/>
    </xf>
    <xf numFmtId="182" fontId="3" fillId="8" borderId="0" xfId="0" applyNumberFormat="1" applyFont="1" applyFill="1" applyBorder="1">
      <alignment vertical="center"/>
    </xf>
    <xf numFmtId="0" fontId="21" fillId="0" borderId="24" xfId="0" applyFont="1" applyBorder="1" applyAlignment="1">
      <alignment horizontal="center" vertical="center" wrapText="1"/>
    </xf>
    <xf numFmtId="11" fontId="4" fillId="7" borderId="4" xfId="0" applyNumberFormat="1" applyFont="1" applyFill="1" applyBorder="1">
      <alignment vertical="center"/>
    </xf>
    <xf numFmtId="0" fontId="21" fillId="0" borderId="25" xfId="0" applyFont="1" applyFill="1" applyBorder="1" applyAlignment="1">
      <alignment horizontal="center" vertical="center" wrapText="1"/>
    </xf>
    <xf numFmtId="11" fontId="3" fillId="2" borderId="0" xfId="0" applyNumberFormat="1" applyFont="1" applyFill="1" applyBorder="1">
      <alignment vertical="center"/>
    </xf>
    <xf numFmtId="11" fontId="4" fillId="0" borderId="6" xfId="0" applyNumberFormat="1" applyFont="1" applyFill="1" applyBorder="1">
      <alignment vertical="center"/>
    </xf>
    <xf numFmtId="11" fontId="4" fillId="7" borderId="6" xfId="0" applyNumberFormat="1" applyFont="1" applyFill="1" applyBorder="1">
      <alignment vertical="center"/>
    </xf>
    <xf numFmtId="11" fontId="4" fillId="7" borderId="7" xfId="0" applyNumberFormat="1" applyFont="1" applyFill="1" applyBorder="1">
      <alignment vertical="center"/>
    </xf>
    <xf numFmtId="11" fontId="3" fillId="7" borderId="7" xfId="0" applyNumberFormat="1" applyFont="1" applyFill="1" applyBorder="1">
      <alignment vertical="center"/>
    </xf>
    <xf numFmtId="182" fontId="3" fillId="7" borderId="7" xfId="0" applyNumberFormat="1" applyFont="1" applyFill="1" applyBorder="1">
      <alignment vertical="center"/>
    </xf>
    <xf numFmtId="0" fontId="2" fillId="0" borderId="0" xfId="0" applyFont="1" applyAlignment="1">
      <alignment horizontal="center" vertical="center"/>
    </xf>
    <xf numFmtId="182" fontId="3" fillId="0" borderId="0" xfId="0" applyNumberFormat="1" applyFont="1" applyFill="1">
      <alignment vertical="center"/>
    </xf>
    <xf numFmtId="11" fontId="3" fillId="0" borderId="0" xfId="0" applyNumberFormat="1" applyFont="1" applyFill="1">
      <alignment vertical="center"/>
    </xf>
    <xf numFmtId="0" fontId="4" fillId="0" borderId="3" xfId="0" applyFont="1" applyBorder="1">
      <alignment vertical="center"/>
    </xf>
    <xf numFmtId="0" fontId="20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5" xfId="0" applyFont="1" applyBorder="1">
      <alignment vertical="center"/>
    </xf>
    <xf numFmtId="0" fontId="22" fillId="0" borderId="4" xfId="0" applyFont="1" applyBorder="1">
      <alignment vertical="center"/>
    </xf>
    <xf numFmtId="182" fontId="2" fillId="0" borderId="0" xfId="0" applyNumberFormat="1" applyFont="1">
      <alignment vertical="center"/>
    </xf>
    <xf numFmtId="179" fontId="4" fillId="2" borderId="4" xfId="0" applyNumberFormat="1" applyFont="1" applyFill="1" applyBorder="1" applyAlignment="1">
      <alignment vertical="center" wrapText="1"/>
    </xf>
    <xf numFmtId="49" fontId="2" fillId="0" borderId="0" xfId="0" applyNumberFormat="1" applyFo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>
      <alignment vertical="center"/>
    </xf>
    <xf numFmtId="0" fontId="20" fillId="7" borderId="3" xfId="0" applyFont="1" applyFill="1" applyBorder="1" applyAlignment="1">
      <alignment vertical="center" wrapText="1"/>
    </xf>
    <xf numFmtId="0" fontId="20" fillId="0" borderId="2" xfId="0" applyFont="1" applyBorder="1" applyAlignment="1">
      <alignment vertical="center" wrapText="1"/>
    </xf>
    <xf numFmtId="0" fontId="22" fillId="0" borderId="2" xfId="0" applyFont="1" applyBorder="1" applyAlignment="1">
      <alignment vertical="center" wrapText="1"/>
    </xf>
    <xf numFmtId="0" fontId="4" fillId="7" borderId="5" xfId="0" applyFont="1" applyFill="1" applyBorder="1">
      <alignment vertical="center"/>
    </xf>
    <xf numFmtId="11" fontId="4" fillId="0" borderId="4" xfId="0" applyNumberFormat="1" applyFont="1" applyBorder="1">
      <alignment vertical="center"/>
    </xf>
    <xf numFmtId="11" fontId="4" fillId="0" borderId="0" xfId="0" applyNumberFormat="1" applyFont="1" applyBorder="1">
      <alignment vertical="center"/>
    </xf>
    <xf numFmtId="11" fontId="4" fillId="7" borderId="5" xfId="0" applyNumberFormat="1" applyFont="1" applyFill="1" applyBorder="1">
      <alignment vertical="center"/>
    </xf>
    <xf numFmtId="11" fontId="4" fillId="0" borderId="0" xfId="0" applyNumberFormat="1" applyFont="1" applyFill="1">
      <alignment vertical="center"/>
    </xf>
    <xf numFmtId="11" fontId="4" fillId="0" borderId="9" xfId="0" applyNumberFormat="1" applyFont="1" applyBorder="1">
      <alignment vertical="center"/>
    </xf>
    <xf numFmtId="11" fontId="3" fillId="7" borderId="5" xfId="0" applyNumberFormat="1" applyFont="1" applyFill="1" applyBorder="1">
      <alignment vertical="center"/>
    </xf>
    <xf numFmtId="9" fontId="4" fillId="0" borderId="4" xfId="3" applyFont="1" applyBorder="1">
      <alignment vertical="center"/>
    </xf>
    <xf numFmtId="10" fontId="4" fillId="0" borderId="0" xfId="3" applyNumberFormat="1" applyFont="1" applyBorder="1">
      <alignment vertical="center"/>
    </xf>
    <xf numFmtId="11" fontId="4" fillId="0" borderId="10" xfId="0" applyNumberFormat="1" applyFont="1" applyBorder="1">
      <alignment vertical="center"/>
    </xf>
    <xf numFmtId="11" fontId="4" fillId="0" borderId="26" xfId="0" applyNumberFormat="1" applyFont="1" applyBorder="1">
      <alignment vertical="center"/>
    </xf>
    <xf numFmtId="11" fontId="4" fillId="0" borderId="17" xfId="0" applyNumberFormat="1" applyFont="1" applyBorder="1">
      <alignment vertical="center"/>
    </xf>
    <xf numFmtId="9" fontId="4" fillId="0" borderId="0" xfId="3" applyFont="1" applyBorder="1">
      <alignment vertical="center"/>
    </xf>
    <xf numFmtId="11" fontId="4" fillId="2" borderId="5" xfId="0" applyNumberFormat="1" applyFont="1" applyFill="1" applyBorder="1">
      <alignment vertical="center"/>
    </xf>
    <xf numFmtId="185" fontId="4" fillId="7" borderId="8" xfId="0" applyNumberFormat="1" applyFont="1" applyFill="1" applyBorder="1">
      <alignment vertical="center"/>
    </xf>
    <xf numFmtId="11" fontId="4" fillId="0" borderId="6" xfId="0" applyNumberFormat="1" applyFont="1" applyBorder="1">
      <alignment vertical="center"/>
    </xf>
    <xf numFmtId="11" fontId="4" fillId="0" borderId="7" xfId="0" applyNumberFormat="1" applyFont="1" applyBorder="1">
      <alignment vertical="center"/>
    </xf>
    <xf numFmtId="0" fontId="4" fillId="0" borderId="7" xfId="0" applyFont="1" applyBorder="1">
      <alignment vertical="center"/>
    </xf>
    <xf numFmtId="0" fontId="22" fillId="0" borderId="27" xfId="0" applyFont="1" applyBorder="1">
      <alignment vertical="center"/>
    </xf>
    <xf numFmtId="0" fontId="22" fillId="0" borderId="28" xfId="0" applyFont="1" applyBorder="1">
      <alignment vertical="center"/>
    </xf>
    <xf numFmtId="0" fontId="4" fillId="0" borderId="28" xfId="0" applyFont="1" applyBorder="1" applyAlignment="1">
      <alignment vertical="center" wrapText="1"/>
    </xf>
    <xf numFmtId="0" fontId="2" fillId="0" borderId="28" xfId="0" applyFont="1" applyBorder="1">
      <alignment vertical="center"/>
    </xf>
    <xf numFmtId="0" fontId="2" fillId="0" borderId="29" xfId="0" applyFont="1" applyBorder="1">
      <alignment vertical="center"/>
    </xf>
    <xf numFmtId="9" fontId="4" fillId="0" borderId="0" xfId="0" applyNumberFormat="1" applyFont="1" applyBorder="1">
      <alignment vertical="center"/>
    </xf>
    <xf numFmtId="0" fontId="20" fillId="0" borderId="0" xfId="0" applyFont="1" applyBorder="1" applyAlignment="1">
      <alignment vertical="center" wrapText="1"/>
    </xf>
    <xf numFmtId="0" fontId="2" fillId="2" borderId="0" xfId="0" applyFont="1" applyFill="1" applyBorder="1">
      <alignment vertical="center"/>
    </xf>
    <xf numFmtId="0" fontId="4" fillId="0" borderId="29" xfId="0" applyFont="1" applyBorder="1" applyAlignment="1">
      <alignment vertical="center" wrapText="1"/>
    </xf>
    <xf numFmtId="10" fontId="4" fillId="2" borderId="0" xfId="3" applyNumberFormat="1" applyFont="1" applyFill="1" applyBorder="1">
      <alignment vertical="center"/>
    </xf>
    <xf numFmtId="0" fontId="20" fillId="0" borderId="30" xfId="0" applyFont="1" applyFill="1" applyBorder="1" applyAlignment="1">
      <alignment vertical="center" wrapText="1"/>
    </xf>
    <xf numFmtId="0" fontId="20" fillId="0" borderId="2" xfId="0" applyFont="1" applyFill="1" applyBorder="1" applyAlignment="1">
      <alignment vertical="center" wrapText="1"/>
    </xf>
    <xf numFmtId="11" fontId="4" fillId="0" borderId="29" xfId="0" applyNumberFormat="1" applyFont="1" applyBorder="1">
      <alignment vertical="center"/>
    </xf>
    <xf numFmtId="11" fontId="4" fillId="2" borderId="0" xfId="0" applyNumberFormat="1" applyFont="1" applyFill="1" applyBorder="1">
      <alignment vertical="center"/>
    </xf>
    <xf numFmtId="10" fontId="4" fillId="0" borderId="0" xfId="0" applyNumberFormat="1" applyFont="1" applyFill="1" applyBorder="1">
      <alignment vertical="center"/>
    </xf>
    <xf numFmtId="11" fontId="4" fillId="0" borderId="0" xfId="0" applyNumberFormat="1" applyFont="1" applyFill="1" applyBorder="1">
      <alignment vertical="center"/>
    </xf>
    <xf numFmtId="11" fontId="4" fillId="0" borderId="31" xfId="0" applyNumberFormat="1" applyFont="1" applyBorder="1">
      <alignment vertical="center"/>
    </xf>
    <xf numFmtId="11" fontId="4" fillId="2" borderId="32" xfId="0" applyNumberFormat="1" applyFont="1" applyFill="1" applyBorder="1">
      <alignment vertical="center"/>
    </xf>
    <xf numFmtId="11" fontId="4" fillId="0" borderId="32" xfId="0" applyNumberFormat="1" applyFont="1" applyBorder="1">
      <alignment vertical="center"/>
    </xf>
    <xf numFmtId="10" fontId="4" fillId="0" borderId="32" xfId="0" applyNumberFormat="1" applyFont="1" applyFill="1" applyBorder="1">
      <alignment vertical="center"/>
    </xf>
    <xf numFmtId="11" fontId="4" fillId="0" borderId="32" xfId="0" applyNumberFormat="1" applyFont="1" applyFill="1" applyBorder="1">
      <alignment vertical="center"/>
    </xf>
    <xf numFmtId="178" fontId="2" fillId="0" borderId="0" xfId="0" applyNumberFormat="1" applyFont="1">
      <alignment vertical="center"/>
    </xf>
    <xf numFmtId="177" fontId="2" fillId="0" borderId="0" xfId="0" applyNumberFormat="1" applyFont="1">
      <alignment vertical="center"/>
    </xf>
    <xf numFmtId="0" fontId="4" fillId="0" borderId="28" xfId="0" applyFont="1" applyBorder="1">
      <alignment vertical="center"/>
    </xf>
    <xf numFmtId="0" fontId="4" fillId="0" borderId="33" xfId="0" applyFont="1" applyBorder="1">
      <alignment vertical="center"/>
    </xf>
    <xf numFmtId="0" fontId="23" fillId="0" borderId="28" xfId="0" applyFont="1" applyFill="1" applyBorder="1">
      <alignment vertical="center"/>
    </xf>
    <xf numFmtId="0" fontId="24" fillId="0" borderId="28" xfId="0" applyFont="1" applyFill="1" applyBorder="1">
      <alignment vertical="center"/>
    </xf>
    <xf numFmtId="0" fontId="25" fillId="0" borderId="34" xfId="0" applyFont="1" applyFill="1" applyBorder="1">
      <alignment vertical="center"/>
    </xf>
    <xf numFmtId="0" fontId="23" fillId="0" borderId="27" xfId="0" applyFont="1" applyFill="1" applyBorder="1">
      <alignment vertical="center"/>
    </xf>
    <xf numFmtId="0" fontId="23" fillId="0" borderId="0" xfId="0" applyFont="1" applyFill="1">
      <alignment vertical="center"/>
    </xf>
    <xf numFmtId="0" fontId="24" fillId="0" borderId="0" xfId="0" applyFont="1" applyFill="1" applyBorder="1">
      <alignment vertical="center"/>
    </xf>
    <xf numFmtId="0" fontId="25" fillId="0" borderId="35" xfId="0" applyFont="1" applyFill="1" applyBorder="1">
      <alignment vertical="center"/>
    </xf>
    <xf numFmtId="0" fontId="26" fillId="2" borderId="27" xfId="0" applyFont="1" applyFill="1" applyBorder="1">
      <alignment vertical="center"/>
    </xf>
    <xf numFmtId="9" fontId="2" fillId="2" borderId="0" xfId="0" applyNumberFormat="1" applyFont="1" applyFill="1">
      <alignment vertical="center"/>
    </xf>
    <xf numFmtId="0" fontId="4" fillId="0" borderId="0" xfId="0" applyFont="1" applyFill="1" applyBorder="1">
      <alignment vertical="center"/>
    </xf>
    <xf numFmtId="9" fontId="4" fillId="2" borderId="0" xfId="0" applyNumberFormat="1" applyFont="1" applyFill="1" applyBorder="1">
      <alignment vertical="center"/>
    </xf>
    <xf numFmtId="0" fontId="25" fillId="2" borderId="29" xfId="0" applyFont="1" applyFill="1" applyBorder="1">
      <alignment vertical="center"/>
    </xf>
    <xf numFmtId="0" fontId="20" fillId="0" borderId="2" xfId="23" applyFont="1" applyFill="1" applyBorder="1" applyAlignment="1">
      <alignment vertical="center" wrapText="1"/>
    </xf>
    <xf numFmtId="0" fontId="20" fillId="0" borderId="3" xfId="0" applyFont="1" applyBorder="1" applyAlignment="1">
      <alignment vertical="center" wrapText="1"/>
    </xf>
    <xf numFmtId="0" fontId="23" fillId="0" borderId="2" xfId="0" applyFont="1" applyFill="1" applyBorder="1" applyAlignment="1">
      <alignment vertical="center" wrapText="1"/>
    </xf>
    <xf numFmtId="0" fontId="20" fillId="3" borderId="2" xfId="23" applyFont="1" applyFill="1" applyBorder="1" applyAlignment="1">
      <alignment vertical="center" wrapText="1"/>
    </xf>
    <xf numFmtId="0" fontId="4" fillId="0" borderId="36" xfId="0" applyFont="1" applyFill="1" applyBorder="1" applyAlignment="1">
      <alignment vertical="center" wrapText="1"/>
    </xf>
    <xf numFmtId="0" fontId="20" fillId="0" borderId="29" xfId="0" applyFont="1" applyFill="1" applyBorder="1" applyAlignment="1">
      <alignment vertical="center" wrapText="1"/>
    </xf>
    <xf numFmtId="11" fontId="4" fillId="0" borderId="0" xfId="23" applyNumberFormat="1" applyFont="1" applyFill="1" applyBorder="1">
      <alignment vertical="center"/>
    </xf>
    <xf numFmtId="186" fontId="4" fillId="0" borderId="5" xfId="0" applyNumberFormat="1" applyFont="1" applyBorder="1">
      <alignment vertical="center"/>
    </xf>
    <xf numFmtId="9" fontId="25" fillId="0" borderId="0" xfId="0" applyNumberFormat="1" applyFont="1" applyFill="1" applyBorder="1">
      <alignment vertical="center"/>
    </xf>
    <xf numFmtId="11" fontId="4" fillId="3" borderId="0" xfId="0" applyNumberFormat="1" applyFont="1" applyFill="1" applyBorder="1">
      <alignment vertical="center"/>
    </xf>
    <xf numFmtId="11" fontId="4" fillId="0" borderId="35" xfId="0" applyNumberFormat="1" applyFont="1" applyFill="1" applyBorder="1">
      <alignment vertical="center"/>
    </xf>
    <xf numFmtId="186" fontId="4" fillId="0" borderId="29" xfId="0" applyNumberFormat="1" applyFont="1" applyFill="1" applyBorder="1">
      <alignment vertical="center"/>
    </xf>
    <xf numFmtId="11" fontId="4" fillId="0" borderId="32" xfId="23" applyNumberFormat="1" applyFont="1" applyFill="1" applyBorder="1">
      <alignment vertical="center"/>
    </xf>
    <xf numFmtId="186" fontId="4" fillId="0" borderId="37" xfId="0" applyNumberFormat="1" applyFont="1" applyBorder="1">
      <alignment vertical="center"/>
    </xf>
    <xf numFmtId="9" fontId="25" fillId="0" borderId="32" xfId="0" applyNumberFormat="1" applyFont="1" applyFill="1" applyBorder="1">
      <alignment vertical="center"/>
    </xf>
    <xf numFmtId="11" fontId="4" fillId="3" borderId="32" xfId="0" applyNumberFormat="1" applyFont="1" applyFill="1" applyBorder="1">
      <alignment vertical="center"/>
    </xf>
    <xf numFmtId="11" fontId="4" fillId="0" borderId="38" xfId="0" applyNumberFormat="1" applyFont="1" applyFill="1" applyBorder="1">
      <alignment vertical="center"/>
    </xf>
    <xf numFmtId="186" fontId="4" fillId="0" borderId="31" xfId="0" applyNumberFormat="1" applyFont="1" applyFill="1" applyBorder="1">
      <alignment vertical="center"/>
    </xf>
    <xf numFmtId="187" fontId="2" fillId="0" borderId="0" xfId="0" applyNumberFormat="1" applyFont="1">
      <alignment vertical="center"/>
    </xf>
    <xf numFmtId="0" fontId="25" fillId="0" borderId="28" xfId="0" applyFont="1" applyFill="1" applyBorder="1">
      <alignment vertical="center"/>
    </xf>
    <xf numFmtId="0" fontId="25" fillId="2" borderId="28" xfId="0" applyFont="1" applyFill="1" applyBorder="1">
      <alignment vertical="center"/>
    </xf>
    <xf numFmtId="0" fontId="23" fillId="2" borderId="28" xfId="0" applyFont="1" applyFill="1" applyBorder="1">
      <alignment vertical="center"/>
    </xf>
    <xf numFmtId="0" fontId="25" fillId="2" borderId="0" xfId="0" applyFont="1" applyFill="1" applyBorder="1">
      <alignment vertical="center"/>
    </xf>
    <xf numFmtId="0" fontId="25" fillId="0" borderId="0" xfId="0" applyFont="1" applyFill="1" applyBorder="1">
      <alignment vertical="center"/>
    </xf>
    <xf numFmtId="9" fontId="25" fillId="2" borderId="0" xfId="3" applyFont="1" applyFill="1" applyBorder="1" applyAlignment="1" applyProtection="1">
      <alignment vertical="center"/>
    </xf>
    <xf numFmtId="9" fontId="27" fillId="2" borderId="0" xfId="3" applyNumberFormat="1" applyFont="1" applyFill="1" applyBorder="1" applyAlignment="1" applyProtection="1">
      <alignment vertical="center"/>
    </xf>
    <xf numFmtId="0" fontId="25" fillId="2" borderId="0" xfId="0" applyNumberFormat="1" applyFont="1" applyFill="1" applyBorder="1" applyAlignment="1" applyProtection="1">
      <alignment vertical="center"/>
    </xf>
    <xf numFmtId="0" fontId="20" fillId="0" borderId="0" xfId="0" applyFont="1" applyFill="1" applyBorder="1" applyAlignment="1">
      <alignment vertical="center" wrapText="1"/>
    </xf>
    <xf numFmtId="0" fontId="20" fillId="9" borderId="0" xfId="0" applyFont="1" applyFill="1" applyBorder="1" applyAlignment="1">
      <alignment vertical="center" wrapText="1"/>
    </xf>
    <xf numFmtId="11" fontId="4" fillId="9" borderId="0" xfId="0" applyNumberFormat="1" applyFont="1" applyFill="1" applyBorder="1">
      <alignment vertical="center"/>
    </xf>
    <xf numFmtId="185" fontId="4" fillId="0" borderId="0" xfId="0" applyNumberFormat="1" applyFont="1" applyFill="1" applyBorder="1">
      <alignment vertical="center"/>
    </xf>
    <xf numFmtId="11" fontId="4" fillId="9" borderId="32" xfId="0" applyNumberFormat="1" applyFont="1" applyFill="1" applyBorder="1">
      <alignment vertical="center"/>
    </xf>
    <xf numFmtId="185" fontId="4" fillId="0" borderId="32" xfId="0" applyNumberFormat="1" applyFont="1" applyFill="1" applyBorder="1">
      <alignment vertical="center"/>
    </xf>
    <xf numFmtId="9" fontId="4" fillId="0" borderId="0" xfId="3" applyFont="1" applyFill="1" applyBorder="1">
      <alignment vertical="center"/>
    </xf>
    <xf numFmtId="9" fontId="2" fillId="0" borderId="0" xfId="3" applyFont="1" applyFill="1">
      <alignment vertical="center"/>
    </xf>
    <xf numFmtId="0" fontId="28" fillId="0" borderId="0" xfId="0" applyFont="1" applyFill="1" applyBorder="1" applyAlignment="1">
      <alignment vertical="center" wrapText="1"/>
    </xf>
    <xf numFmtId="0" fontId="20" fillId="10" borderId="35" xfId="0" applyFont="1" applyFill="1" applyBorder="1" applyAlignment="1">
      <alignment vertical="center" wrapText="1"/>
    </xf>
    <xf numFmtId="11" fontId="4" fillId="9" borderId="0" xfId="0" applyNumberFormat="1" applyFont="1" applyFill="1" applyBorder="1" applyAlignment="1">
      <alignment vertical="center" wrapText="1"/>
    </xf>
    <xf numFmtId="11" fontId="29" fillId="0" borderId="0" xfId="0" applyNumberFormat="1" applyFont="1" applyFill="1" applyBorder="1">
      <alignment vertical="center"/>
    </xf>
    <xf numFmtId="11" fontId="4" fillId="10" borderId="35" xfId="0" applyNumberFormat="1" applyFont="1" applyFill="1" applyBorder="1">
      <alignment vertical="center"/>
    </xf>
    <xf numFmtId="11" fontId="4" fillId="9" borderId="32" xfId="0" applyNumberFormat="1" applyFont="1" applyFill="1" applyBorder="1" applyAlignment="1">
      <alignment vertical="center" wrapText="1"/>
    </xf>
    <xf numFmtId="11" fontId="29" fillId="0" borderId="32" xfId="0" applyNumberFormat="1" applyFont="1" applyFill="1" applyBorder="1">
      <alignment vertical="center"/>
    </xf>
    <xf numFmtId="11" fontId="4" fillId="10" borderId="38" xfId="0" applyNumberFormat="1" applyFont="1" applyFill="1" applyBorder="1">
      <alignment vertical="center"/>
    </xf>
    <xf numFmtId="0" fontId="29" fillId="0" borderId="0" xfId="0" applyFont="1">
      <alignment vertical="center"/>
    </xf>
    <xf numFmtId="9" fontId="25" fillId="2" borderId="0" xfId="0" applyNumberFormat="1" applyFont="1" applyFill="1" applyBorder="1">
      <alignment vertical="center"/>
    </xf>
    <xf numFmtId="9" fontId="25" fillId="2" borderId="0" xfId="0" applyNumberFormat="1" applyFont="1" applyFill="1" applyBorder="1" applyAlignment="1" applyProtection="1">
      <alignment vertical="center"/>
    </xf>
    <xf numFmtId="9" fontId="4" fillId="0" borderId="34" xfId="0" applyNumberFormat="1" applyFont="1" applyFill="1" applyBorder="1" applyAlignment="1">
      <alignment vertical="center" wrapText="1"/>
    </xf>
    <xf numFmtId="0" fontId="20" fillId="0" borderId="0" xfId="0" applyFont="1">
      <alignment vertical="center"/>
    </xf>
    <xf numFmtId="9" fontId="4" fillId="0" borderId="35" xfId="0" applyNumberFormat="1" applyFont="1" applyFill="1" applyBorder="1" applyAlignment="1">
      <alignment vertical="center" wrapText="1"/>
    </xf>
    <xf numFmtId="0" fontId="4" fillId="0" borderId="35" xfId="23" applyFont="1" applyFill="1" applyBorder="1" applyAlignment="1">
      <alignment vertical="center" wrapText="1"/>
    </xf>
    <xf numFmtId="0" fontId="30" fillId="5" borderId="27" xfId="0" applyFont="1" applyFill="1" applyBorder="1" applyAlignment="1">
      <alignment horizontal="center" vertical="center" wrapText="1"/>
    </xf>
    <xf numFmtId="0" fontId="24" fillId="5" borderId="28" xfId="0" applyFont="1" applyFill="1" applyBorder="1" applyAlignment="1">
      <alignment vertical="center" wrapText="1"/>
    </xf>
    <xf numFmtId="11" fontId="4" fillId="0" borderId="35" xfId="23" applyNumberFormat="1" applyFont="1" applyFill="1" applyBorder="1">
      <alignment vertical="center"/>
    </xf>
    <xf numFmtId="11" fontId="24" fillId="5" borderId="29" xfId="0" applyNumberFormat="1" applyFont="1" applyFill="1" applyBorder="1">
      <alignment vertical="center"/>
    </xf>
    <xf numFmtId="11" fontId="24" fillId="5" borderId="0" xfId="0" applyNumberFormat="1" applyFont="1" applyFill="1" applyBorder="1">
      <alignment vertical="center"/>
    </xf>
    <xf numFmtId="11" fontId="4" fillId="0" borderId="38" xfId="23" applyNumberFormat="1" applyFont="1" applyFill="1" applyBorder="1">
      <alignment vertical="center"/>
    </xf>
    <xf numFmtId="11" fontId="24" fillId="5" borderId="31" xfId="0" applyNumberFormat="1" applyFont="1" applyFill="1" applyBorder="1">
      <alignment vertical="center"/>
    </xf>
    <xf numFmtId="11" fontId="24" fillId="5" borderId="32" xfId="0" applyNumberFormat="1" applyFont="1" applyFill="1" applyBorder="1">
      <alignment vertical="center"/>
    </xf>
    <xf numFmtId="0" fontId="31" fillId="0" borderId="0" xfId="23" applyFont="1" applyFill="1" applyAlignment="1">
      <alignment horizontal="center" vertical="center"/>
    </xf>
    <xf numFmtId="11" fontId="30" fillId="0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9" fillId="0" borderId="0" xfId="23" applyFont="1" applyFill="1" applyAlignment="1">
      <alignment horizontal="center" vertical="center"/>
    </xf>
    <xf numFmtId="11" fontId="24" fillId="0" borderId="0" xfId="0" applyNumberFormat="1" applyFont="1" applyFill="1" applyAlignment="1">
      <alignment horizontal="center" vertical="center" wrapText="1"/>
    </xf>
    <xf numFmtId="11" fontId="24" fillId="0" borderId="0" xfId="0" applyNumberFormat="1" applyFont="1" applyFill="1" applyAlignment="1">
      <alignment horizontal="center" vertical="center"/>
    </xf>
    <xf numFmtId="182" fontId="2" fillId="0" borderId="0" xfId="0" applyNumberFormat="1" applyFont="1" applyAlignment="1">
      <alignment horizontal="center" vertical="center"/>
    </xf>
    <xf numFmtId="11" fontId="27" fillId="0" borderId="0" xfId="0" applyNumberFormat="1" applyFont="1" applyFill="1" applyAlignment="1">
      <alignment horizontal="center" vertical="center" wrapText="1"/>
    </xf>
    <xf numFmtId="11" fontId="27" fillId="0" borderId="0" xfId="0" applyNumberFormat="1" applyFont="1" applyFill="1" applyAlignment="1">
      <alignment horizontal="center" vertical="center"/>
    </xf>
    <xf numFmtId="182" fontId="3" fillId="0" borderId="0" xfId="0" applyNumberFormat="1" applyFont="1" applyAlignment="1">
      <alignment horizontal="center" vertical="center"/>
    </xf>
    <xf numFmtId="11" fontId="24" fillId="0" borderId="0" xfId="0" applyNumberFormat="1" applyFont="1" applyFill="1" applyAlignment="1">
      <alignment vertical="center" wrapText="1"/>
    </xf>
    <xf numFmtId="11" fontId="24" fillId="0" borderId="0" xfId="0" applyNumberFormat="1" applyFont="1" applyFill="1">
      <alignment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182" fontId="2" fillId="0" borderId="40" xfId="0" applyNumberFormat="1" applyFont="1" applyBorder="1" applyAlignment="1">
      <alignment horizontal="center" vertical="center" wrapText="1"/>
    </xf>
    <xf numFmtId="0" fontId="2" fillId="0" borderId="41" xfId="0" applyFont="1" applyBorder="1">
      <alignment vertical="center"/>
    </xf>
    <xf numFmtId="0" fontId="2" fillId="0" borderId="42" xfId="0" applyFont="1" applyBorder="1">
      <alignment vertical="center"/>
    </xf>
    <xf numFmtId="182" fontId="2" fillId="0" borderId="12" xfId="0" applyNumberFormat="1" applyFont="1" applyBorder="1" applyAlignment="1">
      <alignment horizontal="center" vertical="center" wrapText="1"/>
    </xf>
    <xf numFmtId="182" fontId="2" fillId="0" borderId="43" xfId="0" applyNumberFormat="1" applyFont="1" applyBorder="1" applyAlignment="1">
      <alignment horizontal="center" vertical="center" wrapText="1"/>
    </xf>
    <xf numFmtId="182" fontId="2" fillId="0" borderId="15" xfId="0" applyNumberFormat="1" applyFont="1" applyBorder="1" applyAlignment="1">
      <alignment horizontal="center" vertical="center" wrapText="1"/>
    </xf>
    <xf numFmtId="0" fontId="30" fillId="5" borderId="34" xfId="0" applyFont="1" applyFill="1" applyBorder="1" applyAlignment="1">
      <alignment vertical="center" wrapText="1"/>
    </xf>
    <xf numFmtId="0" fontId="20" fillId="0" borderId="0" xfId="0" applyFont="1" applyAlignment="1">
      <alignment vertical="center" wrapText="1"/>
    </xf>
    <xf numFmtId="11" fontId="32" fillId="0" borderId="9" xfId="0" applyNumberFormat="1" applyFont="1" applyBorder="1" applyAlignment="1">
      <alignment vertical="center" wrapText="1"/>
    </xf>
    <xf numFmtId="0" fontId="32" fillId="0" borderId="16" xfId="0" applyFont="1" applyBorder="1" applyAlignment="1">
      <alignment vertical="center" wrapText="1"/>
    </xf>
    <xf numFmtId="11" fontId="24" fillId="5" borderId="35" xfId="0" applyNumberFormat="1" applyFont="1" applyFill="1" applyBorder="1">
      <alignment vertical="center"/>
    </xf>
    <xf numFmtId="11" fontId="4" fillId="0" borderId="0" xfId="0" applyNumberFormat="1" applyFont="1">
      <alignment vertical="center"/>
    </xf>
    <xf numFmtId="11" fontId="32" fillId="0" borderId="17" xfId="0" applyNumberFormat="1" applyFont="1" applyBorder="1">
      <alignment vertical="center"/>
    </xf>
    <xf numFmtId="11" fontId="32" fillId="0" borderId="8" xfId="0" applyNumberFormat="1" applyFont="1" applyBorder="1">
      <alignment vertical="center"/>
    </xf>
    <xf numFmtId="11" fontId="24" fillId="5" borderId="38" xfId="0" applyNumberFormat="1" applyFont="1" applyFill="1" applyBorder="1">
      <alignment vertical="center"/>
    </xf>
    <xf numFmtId="177" fontId="2" fillId="0" borderId="0" xfId="0" applyNumberFormat="1" applyFont="1" applyAlignment="1">
      <alignment horizontal="center" vertical="center"/>
    </xf>
    <xf numFmtId="0" fontId="2" fillId="0" borderId="44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0" borderId="46" xfId="0" applyFont="1" applyBorder="1">
      <alignment vertical="center"/>
    </xf>
    <xf numFmtId="182" fontId="2" fillId="0" borderId="39" xfId="0" applyNumberFormat="1" applyFont="1" applyBorder="1" applyAlignment="1">
      <alignment horizontal="center" vertical="center" wrapText="1"/>
    </xf>
    <xf numFmtId="0" fontId="22" fillId="0" borderId="0" xfId="0" applyFont="1">
      <alignment vertical="center"/>
    </xf>
    <xf numFmtId="0" fontId="33" fillId="0" borderId="16" xfId="0" applyFont="1" applyBorder="1" applyAlignment="1">
      <alignment vertical="center" wrapText="1"/>
    </xf>
    <xf numFmtId="0" fontId="32" fillId="0" borderId="0" xfId="0" applyFont="1" applyAlignment="1">
      <alignment vertical="center" wrapText="1"/>
    </xf>
    <xf numFmtId="9" fontId="32" fillId="0" borderId="0" xfId="3" applyFont="1">
      <alignment vertical="center"/>
    </xf>
    <xf numFmtId="11" fontId="32" fillId="0" borderId="0" xfId="0" applyNumberFormat="1" applyFont="1">
      <alignment vertical="center"/>
    </xf>
    <xf numFmtId="0" fontId="22" fillId="0" borderId="0" xfId="0" applyFont="1" applyAlignment="1">
      <alignment vertical="center" wrapText="1"/>
    </xf>
    <xf numFmtId="11" fontId="33" fillId="0" borderId="9" xfId="0" applyNumberFormat="1" applyFont="1" applyBorder="1" applyAlignment="1">
      <alignment vertical="center" wrapText="1"/>
    </xf>
    <xf numFmtId="9" fontId="2" fillId="0" borderId="0" xfId="3" applyFont="1">
      <alignment vertical="center"/>
    </xf>
    <xf numFmtId="11" fontId="32" fillId="0" borderId="9" xfId="0" applyNumberFormat="1" applyFont="1" applyBorder="1">
      <alignment vertical="center"/>
    </xf>
    <xf numFmtId="11" fontId="4" fillId="0" borderId="0" xfId="23" applyNumberFormat="1" applyFont="1" applyFill="1">
      <alignment vertical="center"/>
    </xf>
    <xf numFmtId="0" fontId="1" fillId="0" borderId="0" xfId="0" applyFont="1" applyFill="1">
      <alignment vertical="center"/>
    </xf>
    <xf numFmtId="0" fontId="1" fillId="0" borderId="0" xfId="0" applyFont="1">
      <alignment vertical="center"/>
    </xf>
    <xf numFmtId="11" fontId="34" fillId="0" borderId="0" xfId="23" applyNumberFormat="1" applyFont="1" applyFill="1">
      <alignment vertical="center"/>
    </xf>
    <xf numFmtId="0" fontId="22" fillId="0" borderId="15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9" fontId="2" fillId="0" borderId="0" xfId="0" applyNumberFormat="1" applyFont="1" applyFill="1">
      <alignment vertical="center"/>
    </xf>
    <xf numFmtId="9" fontId="2" fillId="0" borderId="14" xfId="0" applyNumberFormat="1" applyFont="1" applyBorder="1" applyAlignment="1">
      <alignment horizontal="center" vertical="center" wrapText="1"/>
    </xf>
    <xf numFmtId="188" fontId="2" fillId="0" borderId="15" xfId="0" applyNumberFormat="1" applyFont="1" applyBorder="1" applyAlignment="1">
      <alignment horizontal="center" vertical="center" wrapText="1"/>
    </xf>
    <xf numFmtId="188" fontId="2" fillId="0" borderId="39" xfId="0" applyNumberFormat="1" applyFont="1" applyBorder="1" applyAlignment="1">
      <alignment horizontal="center" vertical="center" wrapText="1"/>
    </xf>
    <xf numFmtId="189" fontId="2" fillId="0" borderId="15" xfId="0" applyNumberFormat="1" applyFont="1" applyBorder="1" applyAlignment="1">
      <alignment horizontal="center" vertical="center" wrapText="1"/>
    </xf>
    <xf numFmtId="189" fontId="2" fillId="0" borderId="39" xfId="0" applyNumberFormat="1" applyFont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188" fontId="2" fillId="0" borderId="39" xfId="0" applyNumberFormat="1" applyFont="1" applyBorder="1" applyAlignment="1">
      <alignment vertical="center" wrapText="1"/>
    </xf>
    <xf numFmtId="188" fontId="3" fillId="0" borderId="39" xfId="0" applyNumberFormat="1" applyFont="1" applyBorder="1" applyAlignment="1">
      <alignment horizontal="center" vertical="center" wrapText="1"/>
    </xf>
    <xf numFmtId="189" fontId="2" fillId="0" borderId="39" xfId="0" applyNumberFormat="1" applyFont="1" applyBorder="1" applyAlignment="1">
      <alignment vertical="center" wrapText="1"/>
    </xf>
    <xf numFmtId="0" fontId="35" fillId="0" borderId="0" xfId="0" applyFont="1" applyAlignment="1">
      <alignment vertical="center" wrapText="1"/>
    </xf>
    <xf numFmtId="0" fontId="36" fillId="0" borderId="0" xfId="0" applyFont="1">
      <alignment vertical="center"/>
    </xf>
    <xf numFmtId="0" fontId="37" fillId="0" borderId="0" xfId="0" applyFont="1">
      <alignment vertical="center"/>
    </xf>
    <xf numFmtId="0" fontId="35" fillId="0" borderId="0" xfId="0" applyFont="1">
      <alignment vertical="center"/>
    </xf>
    <xf numFmtId="0" fontId="36" fillId="0" borderId="0" xfId="0" applyFont="1" applyAlignment="1">
      <alignment horizontal="right" vertical="center"/>
    </xf>
    <xf numFmtId="0" fontId="38" fillId="0" borderId="0" xfId="23" applyFont="1" applyFill="1">
      <alignment vertical="center"/>
    </xf>
    <xf numFmtId="0" fontId="35" fillId="0" borderId="0" xfId="0" applyFont="1" applyFill="1">
      <alignment vertical="center"/>
    </xf>
    <xf numFmtId="0" fontId="35" fillId="0" borderId="0" xfId="0" applyFont="1" applyFill="1">
      <alignment vertical="center"/>
    </xf>
    <xf numFmtId="0" fontId="39" fillId="2" borderId="0" xfId="0" applyFont="1" applyFill="1" applyAlignment="1">
      <alignment horizontal="right" vertical="center" wrapText="1"/>
    </xf>
    <xf numFmtId="0" fontId="40" fillId="2" borderId="0" xfId="0" applyFont="1" applyFill="1">
      <alignment vertical="center"/>
    </xf>
    <xf numFmtId="9" fontId="36" fillId="0" borderId="34" xfId="0" applyNumberFormat="1" applyFont="1" applyFill="1" applyBorder="1" applyAlignment="1">
      <alignment vertical="center" wrapText="1"/>
    </xf>
    <xf numFmtId="0" fontId="41" fillId="2" borderId="0" xfId="0" applyFont="1" applyFill="1">
      <alignment vertical="center"/>
    </xf>
    <xf numFmtId="0" fontId="39" fillId="2" borderId="0" xfId="0" applyFont="1" applyFill="1" applyAlignment="1">
      <alignment horizontal="right" vertical="center"/>
    </xf>
    <xf numFmtId="0" fontId="42" fillId="2" borderId="0" xfId="0" applyFont="1" applyFill="1">
      <alignment vertical="center"/>
    </xf>
    <xf numFmtId="9" fontId="36" fillId="0" borderId="35" xfId="0" applyNumberFormat="1" applyFont="1" applyFill="1" applyBorder="1" applyAlignment="1">
      <alignment vertical="center" wrapText="1"/>
    </xf>
    <xf numFmtId="0" fontId="43" fillId="0" borderId="9" xfId="0" applyFont="1" applyBorder="1" applyAlignment="1">
      <alignment horizontal="right" vertical="center" wrapText="1"/>
    </xf>
    <xf numFmtId="0" fontId="43" fillId="0" borderId="9" xfId="0" applyFont="1" applyBorder="1" applyAlignment="1">
      <alignment vertical="center" wrapText="1"/>
    </xf>
    <xf numFmtId="0" fontId="39" fillId="0" borderId="9" xfId="0" applyFont="1" applyBorder="1" applyAlignment="1">
      <alignment horizontal="center" vertical="center" wrapText="1"/>
    </xf>
    <xf numFmtId="0" fontId="43" fillId="5" borderId="9" xfId="0" applyFont="1" applyFill="1" applyBorder="1" applyAlignment="1">
      <alignment horizontal="center" vertical="center" wrapText="1"/>
    </xf>
    <xf numFmtId="0" fontId="43" fillId="0" borderId="10" xfId="0" applyFont="1" applyBorder="1" applyAlignment="1">
      <alignment horizontal="right" vertical="center"/>
    </xf>
    <xf numFmtId="0" fontId="43" fillId="0" borderId="9" xfId="0" applyFont="1" applyBorder="1">
      <alignment vertical="center"/>
    </xf>
    <xf numFmtId="9" fontId="42" fillId="0" borderId="9" xfId="0" applyNumberFormat="1" applyFont="1" applyBorder="1" applyAlignment="1">
      <alignment horizontal="right" vertical="center"/>
    </xf>
    <xf numFmtId="0" fontId="39" fillId="0" borderId="9" xfId="0" applyFont="1" applyBorder="1">
      <alignment vertical="center"/>
    </xf>
    <xf numFmtId="0" fontId="36" fillId="0" borderId="9" xfId="0" applyFont="1" applyBorder="1">
      <alignment vertical="center"/>
    </xf>
    <xf numFmtId="0" fontId="44" fillId="0" borderId="9" xfId="0" applyFont="1" applyBorder="1" applyAlignment="1">
      <alignment horizontal="center" vertical="center" wrapText="1"/>
    </xf>
    <xf numFmtId="11" fontId="45" fillId="5" borderId="9" xfId="0" applyNumberFormat="1" applyFont="1" applyFill="1" applyBorder="1" applyAlignment="1">
      <alignment horizontal="center" vertical="center"/>
    </xf>
    <xf numFmtId="0" fontId="45" fillId="0" borderId="26" xfId="0" applyFont="1" applyBorder="1" applyAlignment="1">
      <alignment horizontal="right" vertical="center" wrapText="1"/>
    </xf>
    <xf numFmtId="0" fontId="42" fillId="2" borderId="9" xfId="0" applyFont="1" applyFill="1" applyBorder="1" applyAlignment="1">
      <alignment horizontal="right" vertical="center"/>
    </xf>
    <xf numFmtId="0" fontId="42" fillId="2" borderId="9" xfId="0" applyNumberFormat="1" applyFont="1" applyFill="1" applyBorder="1" applyAlignment="1">
      <alignment horizontal="right" vertical="center"/>
    </xf>
    <xf numFmtId="9" fontId="42" fillId="11" borderId="9" xfId="0" applyNumberFormat="1" applyFont="1" applyFill="1" applyBorder="1" applyAlignment="1">
      <alignment horizontal="right" vertical="center"/>
    </xf>
    <xf numFmtId="9" fontId="42" fillId="4" borderId="9" xfId="3" applyNumberFormat="1" applyFont="1" applyFill="1" applyBorder="1" applyAlignment="1">
      <alignment vertical="center"/>
    </xf>
    <xf numFmtId="0" fontId="42" fillId="4" borderId="9" xfId="0" applyFont="1" applyFill="1" applyBorder="1" applyAlignment="1">
      <alignment horizontal="right" vertical="center"/>
    </xf>
    <xf numFmtId="0" fontId="45" fillId="0" borderId="17" xfId="0" applyFont="1" applyBorder="1" applyAlignment="1">
      <alignment horizontal="right" vertical="center" wrapText="1"/>
    </xf>
    <xf numFmtId="0" fontId="42" fillId="0" borderId="9" xfId="0" applyFont="1" applyBorder="1" applyAlignment="1">
      <alignment horizontal="right" vertical="center"/>
    </xf>
    <xf numFmtId="0" fontId="43" fillId="0" borderId="10" xfId="0" applyFont="1" applyBorder="1" applyAlignment="1">
      <alignment horizontal="right" vertical="center"/>
    </xf>
    <xf numFmtId="0" fontId="42" fillId="2" borderId="9" xfId="0" applyFont="1" applyFill="1" applyBorder="1">
      <alignment vertical="center"/>
    </xf>
    <xf numFmtId="0" fontId="42" fillId="2" borderId="9" xfId="0" applyNumberFormat="1" applyFont="1" applyFill="1" applyBorder="1">
      <alignment vertical="center"/>
    </xf>
    <xf numFmtId="0" fontId="35" fillId="0" borderId="9" xfId="0" applyFont="1" applyBorder="1">
      <alignment vertical="center"/>
    </xf>
    <xf numFmtId="0" fontId="45" fillId="0" borderId="26" xfId="0" applyFont="1" applyBorder="1" applyAlignment="1">
      <alignment horizontal="right" vertical="center" wrapText="1"/>
    </xf>
    <xf numFmtId="9" fontId="42" fillId="2" borderId="9" xfId="0" applyNumberFormat="1" applyFont="1" applyFill="1" applyBorder="1">
      <alignment vertical="center"/>
    </xf>
    <xf numFmtId="0" fontId="45" fillId="0" borderId="9" xfId="0" applyFont="1" applyBorder="1">
      <alignment vertical="center"/>
    </xf>
    <xf numFmtId="0" fontId="42" fillId="0" borderId="9" xfId="0" applyFont="1" applyBorder="1">
      <alignment vertical="center"/>
    </xf>
    <xf numFmtId="11" fontId="42" fillId="0" borderId="9" xfId="3" applyNumberFormat="1" applyFont="1" applyFill="1" applyBorder="1" applyAlignment="1" applyProtection="1">
      <alignment vertical="center"/>
    </xf>
    <xf numFmtId="0" fontId="45" fillId="0" borderId="26" xfId="0" applyFont="1" applyBorder="1" applyAlignment="1">
      <alignment horizontal="right" vertical="center"/>
    </xf>
    <xf numFmtId="185" fontId="42" fillId="2" borderId="9" xfId="0" applyNumberFormat="1" applyFont="1" applyFill="1" applyBorder="1">
      <alignment vertical="center"/>
    </xf>
    <xf numFmtId="0" fontId="45" fillId="0" borderId="26" xfId="0" applyFont="1" applyBorder="1" applyAlignment="1">
      <alignment horizontal="right" vertical="center"/>
    </xf>
    <xf numFmtId="9" fontId="42" fillId="0" borderId="9" xfId="3" applyFont="1" applyBorder="1">
      <alignment vertical="center"/>
    </xf>
    <xf numFmtId="185" fontId="42" fillId="0" borderId="9" xfId="0" applyNumberFormat="1" applyFont="1" applyBorder="1">
      <alignment vertical="center"/>
    </xf>
    <xf numFmtId="0" fontId="44" fillId="0" borderId="9" xfId="0" applyFont="1" applyFill="1" applyBorder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9" fontId="42" fillId="0" borderId="9" xfId="3" applyNumberFormat="1" applyFont="1" applyBorder="1">
      <alignment vertical="center"/>
    </xf>
    <xf numFmtId="0" fontId="46" fillId="0" borderId="0" xfId="23" applyFont="1" applyFill="1" applyAlignment="1">
      <alignment horizontal="center" vertical="center"/>
    </xf>
    <xf numFmtId="11" fontId="43" fillId="0" borderId="0" xfId="0" applyNumberFormat="1" applyFont="1" applyFill="1" applyAlignment="1">
      <alignment horizontal="center" vertical="center"/>
    </xf>
    <xf numFmtId="0" fontId="38" fillId="0" borderId="0" xfId="23" applyFont="1" applyFill="1" applyAlignment="1">
      <alignment horizontal="center" vertical="center"/>
    </xf>
    <xf numFmtId="11" fontId="45" fillId="0" borderId="0" xfId="0" applyNumberFormat="1" applyFont="1" applyFill="1" applyAlignment="1">
      <alignment horizontal="center" vertical="center" wrapText="1"/>
    </xf>
    <xf numFmtId="0" fontId="45" fillId="0" borderId="17" xfId="0" applyFont="1" applyBorder="1" applyAlignment="1">
      <alignment horizontal="right" vertical="center"/>
    </xf>
    <xf numFmtId="11" fontId="42" fillId="0" borderId="0" xfId="0" applyNumberFormat="1" applyFont="1" applyFill="1" applyAlignment="1">
      <alignment horizontal="center" vertical="center" wrapText="1"/>
    </xf>
    <xf numFmtId="0" fontId="43" fillId="0" borderId="10" xfId="0" applyFont="1" applyBorder="1" applyAlignment="1">
      <alignment horizontal="right" vertical="center"/>
    </xf>
    <xf numFmtId="0" fontId="43" fillId="0" borderId="16" xfId="0" applyFont="1" applyBorder="1">
      <alignment vertical="center"/>
    </xf>
    <xf numFmtId="0" fontId="43" fillId="0" borderId="17" xfId="0" applyFont="1" applyBorder="1">
      <alignment vertical="center"/>
    </xf>
    <xf numFmtId="11" fontId="45" fillId="0" borderId="0" xfId="0" applyNumberFormat="1" applyFont="1" applyFill="1" applyAlignment="1">
      <alignment vertical="center" wrapText="1"/>
    </xf>
    <xf numFmtId="0" fontId="45" fillId="5" borderId="9" xfId="0" applyFont="1" applyFill="1" applyBorder="1" applyAlignment="1">
      <alignment horizontal="center" vertical="center" wrapText="1"/>
    </xf>
    <xf numFmtId="0" fontId="39" fillId="0" borderId="0" xfId="0" applyFont="1" applyAlignment="1">
      <alignment vertical="center" wrapText="1"/>
    </xf>
    <xf numFmtId="11" fontId="36" fillId="0" borderId="0" xfId="0" applyNumberFormat="1" applyFont="1">
      <alignment vertical="center"/>
    </xf>
    <xf numFmtId="11" fontId="35" fillId="0" borderId="0" xfId="0" applyNumberFormat="1" applyFont="1">
      <alignment vertical="center"/>
    </xf>
    <xf numFmtId="0" fontId="41" fillId="0" borderId="0" xfId="0" applyFont="1" applyAlignment="1">
      <alignment horizontal="center" vertical="center"/>
    </xf>
    <xf numFmtId="11" fontId="45" fillId="0" borderId="0" xfId="0" applyNumberFormat="1" applyFont="1" applyFill="1" applyAlignment="1">
      <alignment horizontal="center" vertical="center"/>
    </xf>
    <xf numFmtId="182" fontId="35" fillId="0" borderId="0" xfId="0" applyNumberFormat="1" applyFont="1" applyAlignment="1">
      <alignment horizontal="center" vertical="center"/>
    </xf>
    <xf numFmtId="9" fontId="35" fillId="0" borderId="0" xfId="3" applyFont="1">
      <alignment vertical="center"/>
    </xf>
    <xf numFmtId="11" fontId="42" fillId="0" borderId="0" xfId="0" applyNumberFormat="1" applyFont="1" applyFill="1" applyAlignment="1">
      <alignment horizontal="center" vertical="center"/>
    </xf>
    <xf numFmtId="182" fontId="37" fillId="0" borderId="0" xfId="0" applyNumberFormat="1" applyFont="1" applyAlignment="1">
      <alignment horizontal="center" vertical="center"/>
    </xf>
    <xf numFmtId="9" fontId="35" fillId="0" borderId="0" xfId="3" applyFont="1" applyAlignment="1">
      <alignment horizontal="center" vertical="center"/>
    </xf>
    <xf numFmtId="177" fontId="35" fillId="0" borderId="0" xfId="0" applyNumberFormat="1" applyFont="1" applyAlignment="1">
      <alignment horizontal="center" vertical="center"/>
    </xf>
    <xf numFmtId="11" fontId="45" fillId="0" borderId="0" xfId="0" applyNumberFormat="1" applyFont="1" applyFill="1">
      <alignment vertical="center"/>
    </xf>
    <xf numFmtId="182" fontId="35" fillId="0" borderId="0" xfId="0" applyNumberFormat="1" applyFont="1">
      <alignment vertical="center"/>
    </xf>
    <xf numFmtId="0" fontId="35" fillId="0" borderId="14" xfId="0" applyFont="1" applyBorder="1" applyAlignment="1">
      <alignment horizontal="center" vertical="center" wrapText="1"/>
    </xf>
    <xf numFmtId="0" fontId="35" fillId="0" borderId="44" xfId="0" applyFont="1" applyBorder="1" applyAlignment="1">
      <alignment horizontal="center" vertical="center" wrapText="1"/>
    </xf>
    <xf numFmtId="0" fontId="35" fillId="0" borderId="45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39" xfId="0" applyFont="1" applyBorder="1" applyAlignment="1">
      <alignment horizontal="center" vertical="center" wrapText="1"/>
    </xf>
    <xf numFmtId="0" fontId="41" fillId="0" borderId="45" xfId="0" applyFont="1" applyBorder="1" applyAlignment="1">
      <alignment horizontal="center" vertical="center" wrapText="1"/>
    </xf>
    <xf numFmtId="182" fontId="35" fillId="0" borderId="40" xfId="0" applyNumberFormat="1" applyFont="1" applyBorder="1" applyAlignment="1">
      <alignment horizontal="center" vertical="center" wrapText="1"/>
    </xf>
    <xf numFmtId="0" fontId="35" fillId="0" borderId="41" xfId="0" applyFont="1" applyBorder="1">
      <alignment vertical="center"/>
    </xf>
    <xf numFmtId="0" fontId="35" fillId="0" borderId="42" xfId="0" applyFont="1" applyBorder="1">
      <alignment vertical="center"/>
    </xf>
    <xf numFmtId="0" fontId="35" fillId="0" borderId="46" xfId="0" applyFont="1" applyBorder="1">
      <alignment vertical="center"/>
    </xf>
    <xf numFmtId="182" fontId="41" fillId="0" borderId="12" xfId="0" applyNumberFormat="1" applyFont="1" applyBorder="1" applyAlignment="1">
      <alignment horizontal="center" vertical="center" wrapText="1"/>
    </xf>
    <xf numFmtId="182" fontId="35" fillId="0" borderId="43" xfId="0" applyNumberFormat="1" applyFont="1" applyBorder="1" applyAlignment="1">
      <alignment horizontal="center" vertical="center" wrapText="1"/>
    </xf>
    <xf numFmtId="182" fontId="35" fillId="0" borderId="39" xfId="0" applyNumberFormat="1" applyFont="1" applyBorder="1" applyAlignment="1">
      <alignment horizontal="center" vertical="center" wrapText="1"/>
    </xf>
    <xf numFmtId="182" fontId="35" fillId="0" borderId="15" xfId="0" applyNumberFormat="1" applyFont="1" applyBorder="1" applyAlignment="1">
      <alignment horizontal="center" vertical="center" wrapText="1"/>
    </xf>
    <xf numFmtId="0" fontId="47" fillId="0" borderId="9" xfId="23" applyFont="1" applyFill="1" applyBorder="1" applyAlignment="1">
      <alignment horizontal="center" vertical="center" wrapText="1"/>
    </xf>
    <xf numFmtId="11" fontId="36" fillId="0" borderId="9" xfId="23" applyNumberFormat="1" applyFont="1" applyFill="1" applyBorder="1" applyAlignment="1">
      <alignment horizontal="center" vertical="center"/>
    </xf>
    <xf numFmtId="0" fontId="36" fillId="0" borderId="0" xfId="0" applyFont="1" applyFill="1">
      <alignment vertical="center"/>
    </xf>
    <xf numFmtId="0" fontId="39" fillId="7" borderId="27" xfId="0" applyFont="1" applyFill="1" applyBorder="1">
      <alignment vertical="center"/>
    </xf>
    <xf numFmtId="0" fontId="36" fillId="0" borderId="28" xfId="0" applyFont="1" applyBorder="1">
      <alignment vertical="center"/>
    </xf>
    <xf numFmtId="0" fontId="48" fillId="2" borderId="27" xfId="0" applyFont="1" applyFill="1" applyBorder="1">
      <alignment vertical="center"/>
    </xf>
    <xf numFmtId="0" fontId="36" fillId="0" borderId="29" xfId="0" applyFont="1" applyFill="1" applyBorder="1">
      <alignment vertical="center"/>
    </xf>
    <xf numFmtId="0" fontId="36" fillId="0" borderId="0" xfId="0" applyFont="1" applyBorder="1">
      <alignment vertical="center"/>
    </xf>
    <xf numFmtId="0" fontId="35" fillId="0" borderId="29" xfId="0" applyFont="1" applyBorder="1">
      <alignment vertical="center"/>
    </xf>
    <xf numFmtId="0" fontId="36" fillId="0" borderId="0" xfId="0" applyFont="1" applyFill="1">
      <alignment vertical="center"/>
    </xf>
    <xf numFmtId="0" fontId="36" fillId="0" borderId="29" xfId="0" applyFont="1" applyBorder="1">
      <alignment vertical="center"/>
    </xf>
    <xf numFmtId="0" fontId="41" fillId="0" borderId="29" xfId="0" applyFont="1" applyBorder="1">
      <alignment vertical="center"/>
    </xf>
    <xf numFmtId="0" fontId="45" fillId="0" borderId="1" xfId="0" applyFont="1" applyFill="1" applyBorder="1" applyAlignment="1">
      <alignment vertical="center" wrapText="1"/>
    </xf>
    <xf numFmtId="0" fontId="39" fillId="0" borderId="1" xfId="0" applyFont="1" applyFill="1" applyBorder="1" applyAlignment="1">
      <alignment vertical="center" wrapText="1"/>
    </xf>
    <xf numFmtId="0" fontId="39" fillId="7" borderId="30" xfId="0" applyFont="1" applyFill="1" applyBorder="1" applyAlignment="1">
      <alignment vertical="center" wrapText="1"/>
    </xf>
    <xf numFmtId="0" fontId="39" fillId="7" borderId="2" xfId="0" applyFont="1" applyFill="1" applyBorder="1" applyAlignment="1">
      <alignment vertical="center" wrapText="1"/>
    </xf>
    <xf numFmtId="0" fontId="39" fillId="0" borderId="30" xfId="0" applyFont="1" applyBorder="1" applyAlignment="1">
      <alignment vertical="center" wrapText="1"/>
    </xf>
    <xf numFmtId="11" fontId="45" fillId="0" borderId="4" xfId="0" applyNumberFormat="1" applyFont="1" applyFill="1" applyBorder="1">
      <alignment vertical="center"/>
    </xf>
    <xf numFmtId="11" fontId="36" fillId="0" borderId="4" xfId="0" applyNumberFormat="1" applyFont="1" applyFill="1" applyBorder="1">
      <alignment vertical="center"/>
    </xf>
    <xf numFmtId="11" fontId="37" fillId="7" borderId="29" xfId="0" applyNumberFormat="1" applyFont="1" applyFill="1" applyBorder="1">
      <alignment vertical="center"/>
    </xf>
    <xf numFmtId="11" fontId="37" fillId="7" borderId="0" xfId="0" applyNumberFormat="1" applyFont="1" applyFill="1" applyBorder="1">
      <alignment vertical="center"/>
    </xf>
    <xf numFmtId="0" fontId="37" fillId="7" borderId="0" xfId="0" applyFont="1" applyFill="1" applyBorder="1">
      <alignment vertical="center"/>
    </xf>
    <xf numFmtId="11" fontId="36" fillId="0" borderId="29" xfId="0" applyNumberFormat="1" applyFont="1" applyBorder="1">
      <alignment vertical="center"/>
    </xf>
    <xf numFmtId="11" fontId="45" fillId="0" borderId="6" xfId="0" applyNumberFormat="1" applyFont="1" applyFill="1" applyBorder="1">
      <alignment vertical="center"/>
    </xf>
    <xf numFmtId="11" fontId="36" fillId="0" borderId="6" xfId="0" applyNumberFormat="1" applyFont="1" applyFill="1" applyBorder="1">
      <alignment vertical="center"/>
    </xf>
    <xf numFmtId="11" fontId="37" fillId="7" borderId="31" xfId="0" applyNumberFormat="1" applyFont="1" applyFill="1" applyBorder="1">
      <alignment vertical="center"/>
    </xf>
    <xf numFmtId="11" fontId="37" fillId="7" borderId="32" xfId="0" applyNumberFormat="1" applyFont="1" applyFill="1" applyBorder="1">
      <alignment vertical="center"/>
    </xf>
    <xf numFmtId="185" fontId="37" fillId="7" borderId="32" xfId="0" applyNumberFormat="1" applyFont="1" applyFill="1" applyBorder="1">
      <alignment vertical="center"/>
    </xf>
    <xf numFmtId="11" fontId="36" fillId="0" borderId="31" xfId="0" applyNumberFormat="1" applyFont="1" applyBorder="1">
      <alignment vertical="center"/>
    </xf>
    <xf numFmtId="0" fontId="35" fillId="0" borderId="0" xfId="0" applyFont="1" applyFill="1" applyAlignment="1">
      <alignment horizontal="center" vertical="center" wrapText="1"/>
    </xf>
    <xf numFmtId="182" fontId="35" fillId="0" borderId="0" xfId="0" applyNumberFormat="1" applyFont="1" applyFill="1" applyAlignment="1">
      <alignment horizontal="center" vertical="center" wrapText="1"/>
    </xf>
    <xf numFmtId="0" fontId="36" fillId="0" borderId="0" xfId="0" applyFont="1" applyBorder="1" applyAlignment="1">
      <alignment vertical="center" wrapText="1"/>
    </xf>
    <xf numFmtId="0" fontId="36" fillId="0" borderId="28" xfId="0" applyFont="1" applyBorder="1" applyAlignment="1">
      <alignment vertical="center" wrapText="1"/>
    </xf>
    <xf numFmtId="0" fontId="41" fillId="0" borderId="0" xfId="0" applyFont="1" applyBorder="1">
      <alignment vertical="center"/>
    </xf>
    <xf numFmtId="0" fontId="36" fillId="0" borderId="7" xfId="0" applyFont="1" applyBorder="1">
      <alignment vertical="center"/>
    </xf>
    <xf numFmtId="0" fontId="41" fillId="0" borderId="4" xfId="0" applyFont="1" applyBorder="1">
      <alignment vertical="center"/>
    </xf>
    <xf numFmtId="0" fontId="36" fillId="0" borderId="0" xfId="0" applyFont="1" applyFill="1" applyBorder="1" applyAlignment="1">
      <alignment vertical="center" wrapText="1"/>
    </xf>
    <xf numFmtId="0" fontId="36" fillId="0" borderId="0" xfId="0" applyFont="1" applyFill="1" applyBorder="1">
      <alignment vertical="center"/>
    </xf>
    <xf numFmtId="0" fontId="39" fillId="0" borderId="2" xfId="0" applyFont="1" applyBorder="1" applyAlignment="1">
      <alignment vertical="center" wrapText="1"/>
    </xf>
    <xf numFmtId="0" fontId="39" fillId="0" borderId="1" xfId="0" applyFont="1" applyBorder="1" applyAlignment="1">
      <alignment vertical="center" wrapText="1"/>
    </xf>
    <xf numFmtId="0" fontId="41" fillId="0" borderId="2" xfId="0" applyFont="1" applyBorder="1" applyAlignment="1">
      <alignment vertical="center" wrapText="1"/>
    </xf>
    <xf numFmtId="0" fontId="39" fillId="0" borderId="3" xfId="0" applyFont="1" applyBorder="1" applyAlignment="1">
      <alignment vertical="center" wrapText="1"/>
    </xf>
    <xf numFmtId="11" fontId="36" fillId="0" borderId="4" xfId="0" applyNumberFormat="1" applyFont="1" applyBorder="1">
      <alignment vertical="center"/>
    </xf>
    <xf numFmtId="11" fontId="36" fillId="0" borderId="0" xfId="0" applyNumberFormat="1" applyFont="1" applyBorder="1">
      <alignment vertical="center"/>
    </xf>
    <xf numFmtId="11" fontId="36" fillId="0" borderId="5" xfId="0" applyNumberFormat="1" applyFont="1" applyBorder="1">
      <alignment vertical="center"/>
    </xf>
    <xf numFmtId="11" fontId="36" fillId="0" borderId="0" xfId="0" applyNumberFormat="1" applyFont="1" applyFill="1">
      <alignment vertical="center"/>
    </xf>
    <xf numFmtId="11" fontId="36" fillId="0" borderId="9" xfId="0" applyNumberFormat="1" applyFont="1" applyBorder="1">
      <alignment vertical="center"/>
    </xf>
    <xf numFmtId="9" fontId="36" fillId="0" borderId="4" xfId="3" applyFont="1" applyBorder="1">
      <alignment vertical="center"/>
    </xf>
    <xf numFmtId="11" fontId="36" fillId="0" borderId="10" xfId="0" applyNumberFormat="1" applyFont="1" applyBorder="1">
      <alignment vertical="center"/>
    </xf>
    <xf numFmtId="11" fontId="36" fillId="0" borderId="26" xfId="0" applyNumberFormat="1" applyFont="1" applyBorder="1">
      <alignment vertical="center"/>
    </xf>
    <xf numFmtId="11" fontId="36" fillId="0" borderId="17" xfId="0" applyNumberFormat="1" applyFont="1" applyBorder="1">
      <alignment vertical="center"/>
    </xf>
    <xf numFmtId="9" fontId="36" fillId="0" borderId="0" xfId="3" applyFont="1" applyBorder="1">
      <alignment vertical="center"/>
    </xf>
    <xf numFmtId="9" fontId="36" fillId="0" borderId="5" xfId="3" applyFont="1" applyBorder="1">
      <alignment vertical="center"/>
    </xf>
    <xf numFmtId="0" fontId="36" fillId="0" borderId="32" xfId="0" applyFont="1" applyBorder="1">
      <alignment vertical="center"/>
    </xf>
    <xf numFmtId="11" fontId="36" fillId="0" borderId="47" xfId="0" applyNumberFormat="1" applyFont="1" applyBorder="1">
      <alignment vertical="center"/>
    </xf>
    <xf numFmtId="11" fontId="36" fillId="0" borderId="32" xfId="0" applyNumberFormat="1" applyFont="1" applyBorder="1">
      <alignment vertical="center"/>
    </xf>
    <xf numFmtId="11" fontId="36" fillId="0" borderId="37" xfId="0" applyNumberFormat="1" applyFont="1" applyBorder="1">
      <alignment vertical="center"/>
    </xf>
    <xf numFmtId="177" fontId="35" fillId="0" borderId="0" xfId="0" applyNumberFormat="1" applyFont="1">
      <alignment vertical="center"/>
    </xf>
    <xf numFmtId="0" fontId="49" fillId="0" borderId="27" xfId="0" applyFont="1" applyFill="1" applyBorder="1">
      <alignment vertical="center"/>
    </xf>
    <xf numFmtId="0" fontId="35" fillId="0" borderId="28" xfId="0" applyFont="1" applyBorder="1">
      <alignment vertical="center"/>
    </xf>
    <xf numFmtId="0" fontId="49" fillId="0" borderId="28" xfId="0" applyFont="1" applyFill="1" applyBorder="1">
      <alignment vertical="center"/>
    </xf>
    <xf numFmtId="0" fontId="35" fillId="0" borderId="28" xfId="0" applyFont="1" applyBorder="1">
      <alignment vertical="center"/>
    </xf>
    <xf numFmtId="0" fontId="50" fillId="0" borderId="28" xfId="0" applyFont="1" applyFill="1" applyBorder="1">
      <alignment vertical="center"/>
    </xf>
    <xf numFmtId="0" fontId="45" fillId="0" borderId="34" xfId="0" applyFont="1" applyFill="1" applyBorder="1">
      <alignment vertical="center"/>
    </xf>
    <xf numFmtId="0" fontId="35" fillId="0" borderId="0" xfId="0" applyFont="1" applyBorder="1">
      <alignment vertical="center"/>
    </xf>
    <xf numFmtId="0" fontId="36" fillId="0" borderId="29" xfId="0" applyFont="1" applyFill="1" applyBorder="1">
      <alignment vertical="center"/>
    </xf>
    <xf numFmtId="0" fontId="35" fillId="0" borderId="0" xfId="0" applyFont="1" applyFill="1" applyBorder="1">
      <alignment vertical="center"/>
    </xf>
    <xf numFmtId="0" fontId="39" fillId="2" borderId="0" xfId="0" applyFont="1" applyFill="1" applyBorder="1">
      <alignment vertical="center"/>
    </xf>
    <xf numFmtId="0" fontId="36" fillId="0" borderId="0" xfId="0" applyFont="1" applyFill="1" applyBorder="1">
      <alignment vertical="center"/>
    </xf>
    <xf numFmtId="0" fontId="39" fillId="2" borderId="0" xfId="0" applyFont="1" applyFill="1" applyBorder="1">
      <alignment vertical="center"/>
    </xf>
    <xf numFmtId="0" fontId="45" fillId="0" borderId="35" xfId="0" applyFont="1" applyFill="1" applyBorder="1">
      <alignment vertical="center"/>
    </xf>
    <xf numFmtId="0" fontId="40" fillId="2" borderId="28" xfId="0" applyFont="1" applyFill="1" applyBorder="1">
      <alignment vertical="center"/>
    </xf>
    <xf numFmtId="0" fontId="35" fillId="0" borderId="7" xfId="0" applyFont="1" applyFill="1" applyBorder="1">
      <alignment vertical="center"/>
    </xf>
    <xf numFmtId="0" fontId="36" fillId="0" borderId="29" xfId="0" applyFont="1" applyBorder="1">
      <alignment vertical="center"/>
    </xf>
    <xf numFmtId="9" fontId="36" fillId="0" borderId="0" xfId="0" applyNumberFormat="1" applyFont="1" applyFill="1" applyBorder="1">
      <alignment vertical="center"/>
    </xf>
    <xf numFmtId="9" fontId="36" fillId="0" borderId="0" xfId="0" applyNumberFormat="1" applyFont="1" applyFill="1" applyBorder="1">
      <alignment vertical="center"/>
    </xf>
    <xf numFmtId="9" fontId="36" fillId="0" borderId="35" xfId="0" applyNumberFormat="1" applyFont="1" applyFill="1" applyBorder="1">
      <alignment vertical="center"/>
    </xf>
    <xf numFmtId="0" fontId="50" fillId="2" borderId="0" xfId="0" applyFont="1" applyFill="1" applyBorder="1">
      <alignment vertical="center"/>
    </xf>
    <xf numFmtId="0" fontId="39" fillId="10" borderId="30" xfId="23" applyFont="1" applyFill="1" applyBorder="1" applyAlignment="1">
      <alignment vertical="center" wrapText="1"/>
    </xf>
    <xf numFmtId="0" fontId="43" fillId="2" borderId="2" xfId="0" applyFont="1" applyFill="1" applyBorder="1" applyAlignment="1">
      <alignment vertical="center" wrapText="1"/>
    </xf>
    <xf numFmtId="0" fontId="39" fillId="10" borderId="2" xfId="0" applyFont="1" applyFill="1" applyBorder="1" applyAlignment="1">
      <alignment vertical="center" wrapText="1"/>
    </xf>
    <xf numFmtId="0" fontId="39" fillId="2" borderId="2" xfId="23" applyFont="1" applyFill="1" applyBorder="1" applyAlignment="1">
      <alignment vertical="center" wrapText="1"/>
    </xf>
    <xf numFmtId="0" fontId="39" fillId="3" borderId="35" xfId="23" applyFont="1" applyFill="1" applyBorder="1" applyAlignment="1">
      <alignment vertical="center" wrapText="1"/>
    </xf>
    <xf numFmtId="0" fontId="39" fillId="0" borderId="0" xfId="0" applyFont="1" applyFill="1" applyBorder="1" applyAlignment="1">
      <alignment vertical="center" wrapText="1"/>
    </xf>
    <xf numFmtId="11" fontId="36" fillId="10" borderId="29" xfId="0" applyNumberFormat="1" applyFont="1" applyFill="1" applyBorder="1">
      <alignment vertical="center"/>
    </xf>
    <xf numFmtId="11" fontId="45" fillId="2" borderId="0" xfId="23" applyNumberFormat="1" applyFont="1" applyFill="1" applyBorder="1">
      <alignment vertical="center"/>
    </xf>
    <xf numFmtId="11" fontId="36" fillId="10" borderId="0" xfId="0" applyNumberFormat="1" applyFont="1" applyFill="1" applyBorder="1">
      <alignment vertical="center"/>
    </xf>
    <xf numFmtId="11" fontId="36" fillId="2" borderId="0" xfId="23" applyNumberFormat="1" applyFont="1" applyFill="1" applyBorder="1">
      <alignment vertical="center"/>
    </xf>
    <xf numFmtId="11" fontId="36" fillId="3" borderId="35" xfId="0" applyNumberFormat="1" applyFont="1" applyFill="1" applyBorder="1">
      <alignment vertical="center"/>
    </xf>
    <xf numFmtId="186" fontId="36" fillId="0" borderId="0" xfId="0" applyNumberFormat="1" applyFont="1" applyFill="1" applyBorder="1">
      <alignment vertical="center"/>
    </xf>
    <xf numFmtId="11" fontId="36" fillId="10" borderId="31" xfId="0" applyNumberFormat="1" applyFont="1" applyFill="1" applyBorder="1">
      <alignment vertical="center"/>
    </xf>
    <xf numFmtId="11" fontId="45" fillId="2" borderId="32" xfId="23" applyNumberFormat="1" applyFont="1" applyFill="1" applyBorder="1">
      <alignment vertical="center"/>
    </xf>
    <xf numFmtId="11" fontId="36" fillId="10" borderId="32" xfId="0" applyNumberFormat="1" applyFont="1" applyFill="1" applyBorder="1">
      <alignment vertical="center"/>
    </xf>
    <xf numFmtId="11" fontId="36" fillId="2" borderId="32" xfId="23" applyNumberFormat="1" applyFont="1" applyFill="1" applyBorder="1">
      <alignment vertical="center"/>
    </xf>
    <xf numFmtId="11" fontId="36" fillId="3" borderId="38" xfId="0" applyNumberFormat="1" applyFont="1" applyFill="1" applyBorder="1">
      <alignment vertical="center"/>
    </xf>
    <xf numFmtId="186" fontId="36" fillId="0" borderId="32" xfId="0" applyNumberFormat="1" applyFont="1" applyFill="1" applyBorder="1">
      <alignment vertical="center"/>
    </xf>
    <xf numFmtId="187" fontId="35" fillId="0" borderId="0" xfId="0" applyNumberFormat="1" applyFont="1">
      <alignment vertical="center"/>
    </xf>
    <xf numFmtId="0" fontId="50" fillId="2" borderId="28" xfId="0" applyFont="1" applyFill="1" applyBorder="1">
      <alignment vertical="center"/>
    </xf>
    <xf numFmtId="0" fontId="49" fillId="2" borderId="28" xfId="0" applyFont="1" applyFill="1" applyBorder="1">
      <alignment vertical="center"/>
    </xf>
    <xf numFmtId="0" fontId="50" fillId="0" borderId="0" xfId="0" applyFont="1" applyFill="1" applyBorder="1">
      <alignment vertical="center"/>
    </xf>
    <xf numFmtId="9" fontId="50" fillId="2" borderId="0" xfId="0" applyNumberFormat="1" applyFont="1" applyFill="1" applyBorder="1">
      <alignment vertical="center"/>
    </xf>
    <xf numFmtId="11" fontId="50" fillId="2" borderId="0" xfId="0" applyNumberFormat="1" applyFont="1" applyFill="1" applyBorder="1">
      <alignment vertical="center"/>
    </xf>
    <xf numFmtId="0" fontId="50" fillId="0" borderId="0" xfId="0" applyNumberFormat="1" applyFont="1" applyFill="1" applyBorder="1" applyAlignment="1" applyProtection="1">
      <alignment vertical="center"/>
    </xf>
    <xf numFmtId="0" fontId="39" fillId="9" borderId="0" xfId="0" applyFont="1" applyFill="1" applyBorder="1" applyAlignment="1">
      <alignment vertical="center" wrapText="1"/>
    </xf>
    <xf numFmtId="11" fontId="36" fillId="0" borderId="0" xfId="0" applyNumberFormat="1" applyFont="1" applyFill="1" applyBorder="1">
      <alignment vertical="center"/>
    </xf>
    <xf numFmtId="11" fontId="36" fillId="9" borderId="0" xfId="0" applyNumberFormat="1" applyFont="1" applyFill="1" applyBorder="1">
      <alignment vertical="center"/>
    </xf>
    <xf numFmtId="185" fontId="36" fillId="0" borderId="0" xfId="0" applyNumberFormat="1" applyFont="1" applyFill="1" applyBorder="1">
      <alignment vertical="center"/>
    </xf>
    <xf numFmtId="11" fontId="36" fillId="0" borderId="32" xfId="0" applyNumberFormat="1" applyFont="1" applyFill="1" applyBorder="1">
      <alignment vertical="center"/>
    </xf>
    <xf numFmtId="11" fontId="36" fillId="9" borderId="32" xfId="0" applyNumberFormat="1" applyFont="1" applyFill="1" applyBorder="1">
      <alignment vertical="center"/>
    </xf>
    <xf numFmtId="185" fontId="36" fillId="0" borderId="32" xfId="0" applyNumberFormat="1" applyFont="1" applyFill="1" applyBorder="1">
      <alignment vertical="center"/>
    </xf>
    <xf numFmtId="11" fontId="36" fillId="9" borderId="0" xfId="0" applyNumberFormat="1" applyFont="1" applyFill="1" applyBorder="1" applyAlignment="1">
      <alignment vertical="center" wrapText="1"/>
    </xf>
    <xf numFmtId="11" fontId="36" fillId="9" borderId="32" xfId="0" applyNumberFormat="1" applyFont="1" applyFill="1" applyBorder="1" applyAlignment="1">
      <alignment vertical="center" wrapText="1"/>
    </xf>
    <xf numFmtId="0" fontId="50" fillId="0" borderId="34" xfId="0" applyFont="1" applyFill="1" applyBorder="1">
      <alignment vertical="center"/>
    </xf>
    <xf numFmtId="0" fontId="40" fillId="2" borderId="27" xfId="0" applyFont="1" applyFill="1" applyBorder="1">
      <alignment vertical="center"/>
    </xf>
    <xf numFmtId="0" fontId="50" fillId="0" borderId="35" xfId="0" applyFont="1" applyFill="1" applyBorder="1">
      <alignment vertical="center"/>
    </xf>
    <xf numFmtId="0" fontId="50" fillId="2" borderId="29" xfId="0" applyFont="1" applyFill="1" applyBorder="1">
      <alignment vertical="center"/>
    </xf>
    <xf numFmtId="0" fontId="39" fillId="10" borderId="35" xfId="0" applyFont="1" applyFill="1" applyBorder="1" applyAlignment="1">
      <alignment vertical="center" wrapText="1"/>
    </xf>
    <xf numFmtId="0" fontId="39" fillId="0" borderId="29" xfId="0" applyFont="1" applyFill="1" applyBorder="1" applyAlignment="1">
      <alignment vertical="center" wrapText="1"/>
    </xf>
    <xf numFmtId="11" fontId="36" fillId="0" borderId="0" xfId="0" applyNumberFormat="1" applyFont="1" applyFill="1" applyBorder="1" applyAlignment="1">
      <alignment vertical="center" wrapText="1"/>
    </xf>
    <xf numFmtId="11" fontId="36" fillId="10" borderId="35" xfId="0" applyNumberFormat="1" applyFont="1" applyFill="1" applyBorder="1">
      <alignment vertical="center"/>
    </xf>
    <xf numFmtId="186" fontId="36" fillId="0" borderId="29" xfId="0" applyNumberFormat="1" applyFont="1" applyFill="1" applyBorder="1">
      <alignment vertical="center"/>
    </xf>
    <xf numFmtId="11" fontId="36" fillId="0" borderId="32" xfId="0" applyNumberFormat="1" applyFont="1" applyFill="1" applyBorder="1" applyAlignment="1">
      <alignment vertical="center" wrapText="1"/>
    </xf>
    <xf numFmtId="11" fontId="36" fillId="10" borderId="38" xfId="0" applyNumberFormat="1" applyFont="1" applyFill="1" applyBorder="1">
      <alignment vertical="center"/>
    </xf>
    <xf numFmtId="186" fontId="36" fillId="0" borderId="31" xfId="0" applyNumberFormat="1" applyFont="1" applyFill="1" applyBorder="1">
      <alignment vertical="center"/>
    </xf>
    <xf numFmtId="9" fontId="36" fillId="0" borderId="0" xfId="3" applyFont="1" applyFill="1" applyBorder="1">
      <alignment vertical="center"/>
    </xf>
    <xf numFmtId="11" fontId="36" fillId="0" borderId="0" xfId="3" applyNumberFormat="1" applyFont="1" applyFill="1" applyBorder="1">
      <alignment vertical="center"/>
    </xf>
    <xf numFmtId="10" fontId="36" fillId="0" borderId="0" xfId="3" applyNumberFormat="1" applyFont="1" applyFill="1" applyBorder="1">
      <alignment vertical="center"/>
    </xf>
    <xf numFmtId="180" fontId="36" fillId="0" borderId="0" xfId="3" applyNumberFormat="1" applyFont="1" applyFill="1" applyBorder="1">
      <alignment vertical="center"/>
    </xf>
    <xf numFmtId="0" fontId="50" fillId="0" borderId="0" xfId="0" applyFont="1" applyFill="1">
      <alignment vertical="center"/>
    </xf>
    <xf numFmtId="0" fontId="36" fillId="0" borderId="0" xfId="0" applyFont="1" applyFill="1" applyBorder="1" applyAlignment="1">
      <alignment vertical="center" wrapText="1"/>
    </xf>
    <xf numFmtId="11" fontId="51" fillId="0" borderId="9" xfId="0" applyNumberFormat="1" applyFont="1" applyBorder="1" applyAlignment="1">
      <alignment vertical="center" wrapText="1"/>
    </xf>
    <xf numFmtId="0" fontId="16" fillId="0" borderId="16" xfId="0" applyFont="1" applyBorder="1" applyAlignment="1">
      <alignment vertical="center" wrapText="1"/>
    </xf>
    <xf numFmtId="11" fontId="36" fillId="0" borderId="0" xfId="0" applyNumberFormat="1" applyFont="1" applyFill="1" applyBorder="1">
      <alignment vertical="center"/>
    </xf>
    <xf numFmtId="11" fontId="16" fillId="0" borderId="17" xfId="0" applyNumberFormat="1" applyFont="1" applyBorder="1">
      <alignment vertical="center"/>
    </xf>
    <xf numFmtId="11" fontId="16" fillId="0" borderId="8" xfId="0" applyNumberFormat="1" applyFont="1" applyBorder="1">
      <alignment vertical="center"/>
    </xf>
    <xf numFmtId="0" fontId="41" fillId="0" borderId="0" xfId="0" applyFont="1">
      <alignment vertical="center"/>
    </xf>
    <xf numFmtId="0" fontId="51" fillId="0" borderId="16" xfId="0" applyFont="1" applyBorder="1" applyAlignment="1">
      <alignment vertical="center" wrapText="1"/>
    </xf>
    <xf numFmtId="0" fontId="16" fillId="0" borderId="0" xfId="0" applyFont="1" applyAlignment="1">
      <alignment vertical="center" wrapText="1"/>
    </xf>
    <xf numFmtId="9" fontId="16" fillId="0" borderId="0" xfId="3" applyFont="1">
      <alignment vertical="center"/>
    </xf>
    <xf numFmtId="11" fontId="16" fillId="0" borderId="0" xfId="0" applyNumberFormat="1" applyFont="1">
      <alignment vertical="center"/>
    </xf>
    <xf numFmtId="0" fontId="41" fillId="0" borderId="0" xfId="0" applyFont="1" applyAlignment="1">
      <alignment vertical="center" wrapText="1"/>
    </xf>
    <xf numFmtId="11" fontId="16" fillId="0" borderId="9" xfId="0" applyNumberFormat="1" applyFont="1" applyBorder="1">
      <alignment vertical="center"/>
    </xf>
    <xf numFmtId="11" fontId="36" fillId="0" borderId="0" xfId="23" applyNumberFormat="1" applyFont="1" applyFill="1">
      <alignment vertical="center"/>
    </xf>
    <xf numFmtId="11" fontId="39" fillId="0" borderId="0" xfId="23" applyNumberFormat="1" applyFont="1" applyFill="1">
      <alignment vertical="center"/>
    </xf>
    <xf numFmtId="9" fontId="35" fillId="0" borderId="14" xfId="0" applyNumberFormat="1" applyFont="1" applyBorder="1" applyAlignment="1">
      <alignment horizontal="center" vertical="center" wrapText="1"/>
    </xf>
    <xf numFmtId="188" fontId="35" fillId="0" borderId="15" xfId="0" applyNumberFormat="1" applyFont="1" applyBorder="1" applyAlignment="1">
      <alignment horizontal="center" vertical="center" wrapText="1"/>
    </xf>
    <xf numFmtId="188" fontId="35" fillId="0" borderId="39" xfId="0" applyNumberFormat="1" applyFont="1" applyBorder="1" applyAlignment="1">
      <alignment horizontal="center" vertical="center" wrapText="1"/>
    </xf>
    <xf numFmtId="188" fontId="35" fillId="0" borderId="39" xfId="0" applyNumberFormat="1" applyFont="1" applyBorder="1" applyAlignment="1">
      <alignment vertical="center" wrapText="1"/>
    </xf>
    <xf numFmtId="188" fontId="37" fillId="0" borderId="39" xfId="0" applyNumberFormat="1" applyFont="1" applyBorder="1" applyAlignment="1">
      <alignment horizontal="center" vertical="center" wrapText="1"/>
    </xf>
    <xf numFmtId="189" fontId="35" fillId="0" borderId="15" xfId="0" applyNumberFormat="1" applyFont="1" applyBorder="1" applyAlignment="1">
      <alignment horizontal="center" vertical="center" wrapText="1"/>
    </xf>
    <xf numFmtId="189" fontId="35" fillId="0" borderId="39" xfId="0" applyNumberFormat="1" applyFont="1" applyBorder="1" applyAlignment="1">
      <alignment horizontal="center" vertical="center" wrapText="1"/>
    </xf>
    <xf numFmtId="189" fontId="35" fillId="0" borderId="39" xfId="0" applyNumberFormat="1" applyFont="1" applyBorder="1" applyAlignment="1">
      <alignment vertical="center" wrapText="1"/>
    </xf>
    <xf numFmtId="188" fontId="35" fillId="0" borderId="0" xfId="0" applyNumberFormat="1" applyFont="1" applyFill="1" applyAlignment="1">
      <alignment horizontal="center" vertical="center" wrapText="1"/>
    </xf>
    <xf numFmtId="188" fontId="37" fillId="0" borderId="0" xfId="0" applyNumberFormat="1" applyFont="1" applyFill="1" applyAlignment="1">
      <alignment horizontal="center" vertical="center" wrapText="1"/>
    </xf>
    <xf numFmtId="189" fontId="35" fillId="0" borderId="0" xfId="0" applyNumberFormat="1" applyFont="1" applyFill="1" applyAlignment="1">
      <alignment horizontal="center" vertical="center" wrapText="1"/>
    </xf>
    <xf numFmtId="9" fontId="35" fillId="0" borderId="0" xfId="0" applyNumberFormat="1" applyFont="1" applyFill="1">
      <alignment vertical="center"/>
    </xf>
    <xf numFmtId="9" fontId="35" fillId="0" borderId="0" xfId="0" applyNumberFormat="1" applyFont="1" applyFill="1">
      <alignment vertical="center"/>
    </xf>
    <xf numFmtId="0" fontId="52" fillId="2" borderId="0" xfId="0" applyFont="1" applyFill="1">
      <alignment vertical="center"/>
    </xf>
    <xf numFmtId="10" fontId="42" fillId="4" borderId="9" xfId="3" applyNumberFormat="1" applyFont="1" applyFill="1" applyBorder="1" applyAlignment="1">
      <alignment vertical="center"/>
    </xf>
    <xf numFmtId="185" fontId="42" fillId="2" borderId="9" xfId="3" applyNumberFormat="1" applyFont="1" applyFill="1" applyBorder="1" applyAlignment="1" applyProtection="1">
      <alignment vertical="center"/>
    </xf>
    <xf numFmtId="185" fontId="42" fillId="0" borderId="9" xfId="3" applyNumberFormat="1" applyFont="1" applyBorder="1">
      <alignment vertical="center"/>
    </xf>
    <xf numFmtId="0" fontId="2" fillId="0" borderId="9" xfId="0" applyFont="1" applyBorder="1" applyAlignment="1">
      <alignment horizontal="center" vertical="center"/>
    </xf>
    <xf numFmtId="0" fontId="22" fillId="2" borderId="9" xfId="0" applyFont="1" applyFill="1" applyBorder="1" applyAlignment="1">
      <alignment horizontal="center" vertical="center"/>
    </xf>
    <xf numFmtId="0" fontId="53" fillId="2" borderId="0" xfId="0" applyFont="1" applyFill="1" applyAlignment="1">
      <alignment horizontal="center" vertical="center"/>
    </xf>
    <xf numFmtId="10" fontId="3" fillId="2" borderId="0" xfId="0" applyNumberFormat="1" applyFont="1" applyFill="1" applyAlignment="1">
      <alignment horizontal="center" vertical="center"/>
    </xf>
    <xf numFmtId="11" fontId="2" fillId="2" borderId="9" xfId="0" applyNumberFormat="1" applyFont="1" applyFill="1" applyBorder="1" applyAlignment="1">
      <alignment horizontal="center" vertical="center"/>
    </xf>
    <xf numFmtId="11" fontId="3" fillId="0" borderId="9" xfId="0" applyNumberFormat="1" applyFont="1" applyBorder="1" applyAlignment="1">
      <alignment horizontal="center" vertical="center"/>
    </xf>
    <xf numFmtId="185" fontId="2" fillId="2" borderId="9" xfId="0" applyNumberFormat="1" applyFont="1" applyFill="1" applyBorder="1" applyAlignment="1">
      <alignment horizontal="center" vertical="center"/>
    </xf>
    <xf numFmtId="11" fontId="3" fillId="2" borderId="9" xfId="0" applyNumberFormat="1" applyFont="1" applyFill="1" applyBorder="1" applyAlignment="1">
      <alignment horizontal="center" vertical="center"/>
    </xf>
    <xf numFmtId="11" fontId="2" fillId="0" borderId="9" xfId="0" applyNumberFormat="1" applyFont="1" applyBorder="1" applyAlignment="1">
      <alignment horizontal="center" vertical="center"/>
    </xf>
    <xf numFmtId="190" fontId="2" fillId="0" borderId="0" xfId="0" applyNumberFormat="1" applyFont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190" fontId="2" fillId="0" borderId="9" xfId="0" applyNumberFormat="1" applyFont="1" applyBorder="1" applyAlignment="1">
      <alignment horizontal="center" vertical="center"/>
    </xf>
    <xf numFmtId="0" fontId="54" fillId="0" borderId="0" xfId="23" applyFont="1" applyFill="1" applyAlignment="1">
      <alignment horizontal="center" vertical="center"/>
    </xf>
    <xf numFmtId="11" fontId="55" fillId="0" borderId="0" xfId="0" applyNumberFormat="1" applyFont="1" applyFill="1" applyAlignment="1">
      <alignment horizontal="center" vertical="center"/>
    </xf>
    <xf numFmtId="0" fontId="3" fillId="0" borderId="0" xfId="23" applyFont="1" applyFill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82" fontId="2" fillId="0" borderId="9" xfId="3" applyNumberFormat="1" applyFont="1" applyBorder="1" applyAlignment="1">
      <alignment horizontal="center" vertical="center"/>
    </xf>
    <xf numFmtId="177" fontId="2" fillId="0" borderId="9" xfId="0" applyNumberFormat="1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46" xfId="0" applyFont="1" applyBorder="1" applyAlignment="1">
      <alignment horizontal="center" wrapText="1"/>
    </xf>
    <xf numFmtId="0" fontId="12" fillId="0" borderId="48" xfId="0" applyFont="1" applyBorder="1" applyAlignment="1">
      <alignment horizontal="center" vertical="top" wrapText="1"/>
    </xf>
    <xf numFmtId="0" fontId="12" fillId="0" borderId="48" xfId="0" applyFont="1" applyBorder="1" applyAlignment="1">
      <alignment horizontal="center" wrapText="1"/>
    </xf>
    <xf numFmtId="11" fontId="13" fillId="0" borderId="48" xfId="0" applyNumberFormat="1" applyFont="1" applyBorder="1" applyAlignment="1">
      <alignment horizontal="center" vertical="center" wrapText="1"/>
    </xf>
    <xf numFmtId="11" fontId="57" fillId="0" borderId="48" xfId="0" applyNumberFormat="1" applyFont="1" applyBorder="1" applyAlignment="1">
      <alignment horizontal="center" vertical="center" wrapText="1"/>
    </xf>
    <xf numFmtId="0" fontId="13" fillId="0" borderId="48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top" wrapText="1"/>
    </xf>
    <xf numFmtId="11" fontId="57" fillId="0" borderId="41" xfId="0" applyNumberFormat="1" applyFont="1" applyBorder="1" applyAlignment="1">
      <alignment horizontal="center" vertical="center" wrapText="1"/>
    </xf>
    <xf numFmtId="0" fontId="20" fillId="7" borderId="0" xfId="0" applyFont="1" applyFill="1">
      <alignment vertical="center"/>
    </xf>
    <xf numFmtId="0" fontId="34" fillId="7" borderId="0" xfId="0" applyFont="1" applyFill="1">
      <alignment vertical="center"/>
    </xf>
    <xf numFmtId="0" fontId="34" fillId="0" borderId="21" xfId="0" applyFont="1" applyBorder="1" applyAlignment="1">
      <alignment vertical="center" wrapText="1"/>
    </xf>
    <xf numFmtId="0" fontId="34" fillId="7" borderId="1" xfId="0" applyFont="1" applyFill="1" applyBorder="1" applyAlignment="1">
      <alignment vertical="center" wrapText="1"/>
    </xf>
    <xf numFmtId="0" fontId="34" fillId="7" borderId="2" xfId="0" applyFont="1" applyFill="1" applyBorder="1" applyAlignment="1">
      <alignment vertical="center" wrapText="1"/>
    </xf>
    <xf numFmtId="0" fontId="34" fillId="7" borderId="3" xfId="0" applyFont="1" applyFill="1" applyBorder="1" applyAlignment="1">
      <alignment vertical="center" wrapText="1"/>
    </xf>
    <xf numFmtId="0" fontId="34" fillId="0" borderId="2" xfId="0" applyFont="1" applyBorder="1" applyAlignment="1">
      <alignment vertical="center" wrapText="1"/>
    </xf>
    <xf numFmtId="0" fontId="58" fillId="0" borderId="23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76" fontId="4" fillId="0" borderId="0" xfId="0" applyNumberFormat="1" applyFont="1" applyBorder="1">
      <alignment vertical="center"/>
    </xf>
    <xf numFmtId="186" fontId="4" fillId="0" borderId="0" xfId="0" applyNumberFormat="1" applyFont="1" applyBorder="1">
      <alignment vertical="center"/>
    </xf>
    <xf numFmtId="182" fontId="4" fillId="0" borderId="0" xfId="0" applyNumberFormat="1" applyFont="1" applyBorder="1">
      <alignment vertical="center"/>
    </xf>
    <xf numFmtId="183" fontId="2" fillId="0" borderId="0" xfId="0" applyNumberFormat="1" applyFont="1">
      <alignment vertical="center"/>
    </xf>
    <xf numFmtId="0" fontId="4" fillId="0" borderId="2" xfId="0" applyFont="1" applyFill="1" applyBorder="1">
      <alignment vertical="center"/>
    </xf>
    <xf numFmtId="0" fontId="55" fillId="0" borderId="1" xfId="0" applyFont="1" applyBorder="1">
      <alignment vertical="center"/>
    </xf>
    <xf numFmtId="0" fontId="59" fillId="0" borderId="1" xfId="0" applyFont="1" applyFill="1" applyBorder="1">
      <alignment vertical="center"/>
    </xf>
    <xf numFmtId="0" fontId="34" fillId="0" borderId="0" xfId="0" applyFont="1" applyFill="1">
      <alignment vertical="center"/>
    </xf>
    <xf numFmtId="0" fontId="34" fillId="0" borderId="1" xfId="0" applyFont="1" applyBorder="1">
      <alignment vertical="center"/>
    </xf>
    <xf numFmtId="0" fontId="59" fillId="0" borderId="4" xfId="0" applyFont="1" applyFill="1" applyBorder="1">
      <alignment vertical="center"/>
    </xf>
    <xf numFmtId="0" fontId="34" fillId="0" borderId="0" xfId="0" applyFont="1" applyFill="1" applyBorder="1">
      <alignment vertical="center"/>
    </xf>
    <xf numFmtId="0" fontId="34" fillId="0" borderId="2" xfId="0" applyFont="1" applyFill="1" applyBorder="1" applyAlignment="1">
      <alignment vertical="center" wrapText="1"/>
    </xf>
    <xf numFmtId="0" fontId="34" fillId="10" borderId="1" xfId="23" applyFont="1" applyFill="1" applyBorder="1" applyAlignment="1">
      <alignment vertical="center" wrapText="1"/>
    </xf>
    <xf numFmtId="0" fontId="59" fillId="0" borderId="4" xfId="0" applyFont="1" applyFill="1" applyBorder="1" applyAlignment="1">
      <alignment vertical="center" wrapText="1"/>
    </xf>
    <xf numFmtId="0" fontId="34" fillId="0" borderId="0" xfId="23" applyFont="1" applyFill="1" applyBorder="1" applyAlignment="1">
      <alignment vertical="center" wrapText="1"/>
    </xf>
    <xf numFmtId="11" fontId="4" fillId="10" borderId="4" xfId="23" applyNumberFormat="1" applyFont="1" applyFill="1" applyBorder="1">
      <alignment vertical="center"/>
    </xf>
    <xf numFmtId="9" fontId="25" fillId="0" borderId="4" xfId="0" applyNumberFormat="1" applyFont="1" applyFill="1" applyBorder="1">
      <alignment vertical="center"/>
    </xf>
    <xf numFmtId="185" fontId="2" fillId="0" borderId="0" xfId="0" applyNumberFormat="1" applyFont="1" applyFill="1">
      <alignment vertical="center"/>
    </xf>
    <xf numFmtId="182" fontId="2" fillId="0" borderId="0" xfId="0" applyNumberFormat="1" applyFont="1" applyFill="1">
      <alignment vertical="center"/>
    </xf>
    <xf numFmtId="0" fontId="59" fillId="0" borderId="3" xfId="0" applyFont="1" applyFill="1" applyBorder="1">
      <alignment vertical="center"/>
    </xf>
    <xf numFmtId="0" fontId="59" fillId="0" borderId="2" xfId="0" applyFont="1" applyBorder="1" applyAlignment="1">
      <alignment vertical="center"/>
    </xf>
    <xf numFmtId="0" fontId="34" fillId="0" borderId="2" xfId="0" applyFont="1" applyBorder="1" applyAlignment="1">
      <alignment vertical="center"/>
    </xf>
    <xf numFmtId="0" fontId="34" fillId="0" borderId="3" xfId="0" applyFont="1" applyBorder="1" applyAlignment="1">
      <alignment vertical="center"/>
    </xf>
    <xf numFmtId="0" fontId="34" fillId="0" borderId="0" xfId="0" applyFont="1" applyFill="1" applyAlignment="1">
      <alignment vertical="center"/>
    </xf>
    <xf numFmtId="0" fontId="59" fillId="0" borderId="5" xfId="0" applyFont="1" applyFill="1" applyBorder="1">
      <alignment vertical="center"/>
    </xf>
    <xf numFmtId="0" fontId="59" fillId="0" borderId="0" xfId="0" applyFont="1" applyBorder="1" applyAlignment="1">
      <alignment vertical="center"/>
    </xf>
    <xf numFmtId="0" fontId="34" fillId="0" borderId="0" xfId="0" applyFont="1" applyAlignment="1">
      <alignment vertical="center"/>
    </xf>
    <xf numFmtId="0" fontId="34" fillId="0" borderId="5" xfId="0" applyFont="1" applyBorder="1" applyAlignment="1">
      <alignment vertical="center"/>
    </xf>
    <xf numFmtId="0" fontId="53" fillId="0" borderId="5" xfId="0" applyFont="1" applyFill="1" applyBorder="1" applyAlignment="1">
      <alignment vertical="center" wrapText="1"/>
    </xf>
    <xf numFmtId="0" fontId="34" fillId="0" borderId="0" xfId="0" applyFont="1" applyBorder="1" applyAlignment="1">
      <alignment vertical="center" wrapText="1"/>
    </xf>
    <xf numFmtId="0" fontId="34" fillId="10" borderId="0" xfId="0" applyFont="1" applyFill="1" applyAlignment="1">
      <alignment vertical="center" wrapText="1"/>
    </xf>
    <xf numFmtId="0" fontId="34" fillId="10" borderId="5" xfId="0" applyFont="1" applyFill="1" applyBorder="1" applyAlignment="1">
      <alignment vertical="center" wrapText="1"/>
    </xf>
    <xf numFmtId="0" fontId="34" fillId="0" borderId="0" xfId="0" applyFont="1" applyFill="1" applyAlignment="1">
      <alignment vertical="center" wrapText="1"/>
    </xf>
    <xf numFmtId="11" fontId="4" fillId="0" borderId="5" xfId="0" applyNumberFormat="1" applyFont="1" applyFill="1" applyBorder="1">
      <alignment vertical="center"/>
    </xf>
    <xf numFmtId="191" fontId="4" fillId="0" borderId="0" xfId="0" applyNumberFormat="1" applyFont="1" applyBorder="1">
      <alignment vertical="center"/>
    </xf>
    <xf numFmtId="11" fontId="4" fillId="10" borderId="0" xfId="0" applyNumberFormat="1" applyFont="1" applyFill="1">
      <alignment vertical="center"/>
    </xf>
    <xf numFmtId="11" fontId="4" fillId="10" borderId="5" xfId="0" applyNumberFormat="1" applyFont="1" applyFill="1" applyBorder="1">
      <alignment vertical="center"/>
    </xf>
    <xf numFmtId="11" fontId="2" fillId="0" borderId="0" xfId="3" applyNumberFormat="1" applyFont="1">
      <alignment vertical="center"/>
    </xf>
    <xf numFmtId="9" fontId="34" fillId="0" borderId="1" xfId="0" applyNumberFormat="1" applyFont="1" applyBorder="1" applyAlignment="1">
      <alignment vertical="center" wrapText="1"/>
    </xf>
    <xf numFmtId="9" fontId="4" fillId="0" borderId="2" xfId="0" applyNumberFormat="1" applyFont="1" applyBorder="1" applyAlignment="1">
      <alignment vertical="center" wrapText="1"/>
    </xf>
    <xf numFmtId="9" fontId="4" fillId="0" borderId="2" xfId="0" applyNumberFormat="1" applyFont="1" applyFill="1" applyBorder="1" applyAlignment="1">
      <alignment vertical="center" wrapText="1"/>
    </xf>
    <xf numFmtId="9" fontId="34" fillId="0" borderId="4" xfId="0" applyNumberFormat="1" applyFont="1" applyBorder="1" applyAlignment="1">
      <alignment vertical="center" wrapText="1"/>
    </xf>
    <xf numFmtId="9" fontId="4" fillId="0" borderId="0" xfId="0" applyNumberFormat="1" applyFont="1" applyAlignment="1">
      <alignment vertical="center"/>
    </xf>
    <xf numFmtId="9" fontId="4" fillId="0" borderId="0" xfId="0" applyNumberFormat="1" applyFont="1" applyAlignment="1">
      <alignment vertical="center" wrapText="1"/>
    </xf>
    <xf numFmtId="9" fontId="4" fillId="0" borderId="0" xfId="0" applyNumberFormat="1" applyFont="1" applyFill="1" applyAlignment="1">
      <alignment vertical="center" wrapText="1"/>
    </xf>
    <xf numFmtId="0" fontId="4" fillId="0" borderId="49" xfId="0" applyFont="1" applyBorder="1" applyAlignment="1">
      <alignment vertical="center" wrapText="1"/>
    </xf>
    <xf numFmtId="0" fontId="60" fillId="0" borderId="28" xfId="0" applyFont="1" applyBorder="1" applyAlignment="1">
      <alignment vertical="center" wrapText="1"/>
    </xf>
    <xf numFmtId="0" fontId="4" fillId="12" borderId="28" xfId="0" applyFont="1" applyFill="1" applyBorder="1" applyAlignment="1">
      <alignment vertical="center" wrapText="1"/>
    </xf>
    <xf numFmtId="0" fontId="4" fillId="0" borderId="0" xfId="23" applyFont="1" applyFill="1" applyBorder="1">
      <alignment vertical="center"/>
    </xf>
    <xf numFmtId="0" fontId="4" fillId="10" borderId="28" xfId="23" applyFont="1" applyFill="1" applyBorder="1" applyAlignment="1">
      <alignment vertical="center" wrapText="1"/>
    </xf>
    <xf numFmtId="9" fontId="4" fillId="0" borderId="3" xfId="0" applyNumberFormat="1" applyFont="1" applyFill="1" applyBorder="1" applyAlignment="1">
      <alignment vertical="center" wrapText="1"/>
    </xf>
    <xf numFmtId="0" fontId="34" fillId="0" borderId="0" xfId="0" applyFont="1">
      <alignment vertical="center"/>
    </xf>
    <xf numFmtId="9" fontId="4" fillId="0" borderId="5" xfId="0" applyNumberFormat="1" applyFont="1" applyFill="1" applyBorder="1" applyAlignment="1">
      <alignment vertical="center" wrapText="1"/>
    </xf>
    <xf numFmtId="0" fontId="4" fillId="10" borderId="33" xfId="23" applyFont="1" applyFill="1" applyBorder="1" applyAlignment="1">
      <alignment vertical="center" wrapText="1"/>
    </xf>
    <xf numFmtId="0" fontId="55" fillId="5" borderId="1" xfId="0" applyFont="1" applyFill="1" applyBorder="1" applyAlignment="1">
      <alignment horizontal="center" vertical="center" wrapText="1"/>
    </xf>
    <xf numFmtId="0" fontId="55" fillId="5" borderId="2" xfId="0" applyFont="1" applyFill="1" applyBorder="1" applyAlignment="1">
      <alignment vertical="center" wrapText="1"/>
    </xf>
    <xf numFmtId="11" fontId="4" fillId="0" borderId="5" xfId="23" applyNumberFormat="1" applyFont="1" applyFill="1" applyBorder="1">
      <alignment vertical="center"/>
    </xf>
    <xf numFmtId="11" fontId="24" fillId="5" borderId="6" xfId="0" applyNumberFormat="1" applyFont="1" applyFill="1" applyBorder="1">
      <alignment vertical="center"/>
    </xf>
    <xf numFmtId="11" fontId="24" fillId="5" borderId="7" xfId="0" applyNumberFormat="1" applyFont="1" applyFill="1" applyBorder="1">
      <alignment vertical="center"/>
    </xf>
    <xf numFmtId="11" fontId="19" fillId="0" borderId="0" xfId="23" applyNumberFormat="1" applyFont="1" applyFill="1">
      <alignment vertical="center"/>
    </xf>
    <xf numFmtId="0" fontId="54" fillId="0" borderId="0" xfId="23" applyFont="1" applyFill="1">
      <alignment vertical="center"/>
    </xf>
    <xf numFmtId="11" fontId="55" fillId="0" borderId="0" xfId="0" applyNumberFormat="1" applyFont="1" applyFill="1">
      <alignment vertical="center"/>
    </xf>
    <xf numFmtId="0" fontId="3" fillId="0" borderId="0" xfId="23" applyFont="1" applyFill="1">
      <alignment vertical="center"/>
    </xf>
    <xf numFmtId="11" fontId="27" fillId="0" borderId="0" xfId="0" applyNumberFormat="1" applyFont="1" applyFill="1" applyAlignment="1">
      <alignment vertical="center" wrapText="1"/>
    </xf>
    <xf numFmtId="0" fontId="55" fillId="5" borderId="3" xfId="0" applyFont="1" applyFill="1" applyBorder="1" applyAlignment="1">
      <alignment vertical="center" wrapText="1"/>
    </xf>
    <xf numFmtId="0" fontId="34" fillId="0" borderId="0" xfId="0" applyFont="1" applyAlignment="1">
      <alignment vertical="center" wrapText="1"/>
    </xf>
    <xf numFmtId="11" fontId="61" fillId="0" borderId="9" xfId="0" applyNumberFormat="1" applyFont="1" applyBorder="1" applyAlignment="1">
      <alignment vertical="center" wrapText="1"/>
    </xf>
    <xf numFmtId="11" fontId="24" fillId="5" borderId="8" xfId="0" applyNumberFormat="1" applyFont="1" applyFill="1" applyBorder="1">
      <alignment vertical="center"/>
    </xf>
    <xf numFmtId="11" fontId="62" fillId="0" borderId="0" xfId="0" applyNumberFormat="1" applyFont="1" applyAlignment="1">
      <alignment horizontal="justify" vertical="center"/>
    </xf>
    <xf numFmtId="11" fontId="27" fillId="0" borderId="0" xfId="0" applyNumberFormat="1" applyFont="1" applyFill="1">
      <alignment vertical="center"/>
    </xf>
    <xf numFmtId="0" fontId="34" fillId="7" borderId="10" xfId="0" applyFont="1" applyFill="1" applyBorder="1" applyAlignment="1">
      <alignment vertical="center" wrapText="1"/>
    </xf>
    <xf numFmtId="0" fontId="58" fillId="0" borderId="22" xfId="0" applyFont="1" applyBorder="1" applyAlignment="1">
      <alignment horizontal="center" vertical="center" wrapText="1"/>
    </xf>
    <xf numFmtId="11" fontId="4" fillId="7" borderId="26" xfId="0" applyNumberFormat="1" applyFont="1" applyFill="1" applyBorder="1">
      <alignment vertical="center"/>
    </xf>
    <xf numFmtId="0" fontId="58" fillId="0" borderId="24" xfId="0" applyFont="1" applyBorder="1" applyAlignment="1">
      <alignment horizontal="center" vertical="center" wrapText="1"/>
    </xf>
    <xf numFmtId="0" fontId="58" fillId="0" borderId="25" xfId="0" applyFont="1" applyFill="1" applyBorder="1" applyAlignment="1">
      <alignment horizontal="center" vertical="center" wrapText="1"/>
    </xf>
    <xf numFmtId="185" fontId="4" fillId="7" borderId="5" xfId="0" applyNumberFormat="1" applyFont="1" applyFill="1" applyBorder="1">
      <alignment vertical="center"/>
    </xf>
    <xf numFmtId="11" fontId="4" fillId="7" borderId="17" xfId="0" applyNumberFormat="1" applyFont="1" applyFill="1" applyBorder="1">
      <alignment vertical="center"/>
    </xf>
    <xf numFmtId="11" fontId="3" fillId="7" borderId="8" xfId="0" applyNumberFormat="1" applyFont="1" applyFill="1" applyBorder="1">
      <alignment vertical="center"/>
    </xf>
    <xf numFmtId="0" fontId="34" fillId="0" borderId="4" xfId="0" applyFont="1" applyFill="1" applyBorder="1">
      <alignment vertical="center"/>
    </xf>
    <xf numFmtId="0" fontId="53" fillId="0" borderId="1" xfId="0" applyFont="1" applyFill="1" applyBorder="1">
      <alignment vertical="center"/>
    </xf>
    <xf numFmtId="0" fontId="53" fillId="0" borderId="2" xfId="0" applyFont="1" applyFill="1" applyBorder="1">
      <alignment vertical="center"/>
    </xf>
    <xf numFmtId="11" fontId="4" fillId="7" borderId="0" xfId="3" applyNumberFormat="1" applyFont="1" applyFill="1" applyBorder="1">
      <alignment vertical="center"/>
    </xf>
    <xf numFmtId="9" fontId="4" fillId="7" borderId="0" xfId="3" applyFont="1" applyFill="1" applyBorder="1">
      <alignment vertical="center"/>
    </xf>
    <xf numFmtId="11" fontId="3" fillId="0" borderId="4" xfId="0" applyNumberFormat="1" applyFont="1" applyFill="1" applyBorder="1">
      <alignment vertical="center"/>
    </xf>
    <xf numFmtId="11" fontId="3" fillId="0" borderId="0" xfId="0" applyNumberFormat="1" applyFont="1" applyFill="1" applyBorder="1">
      <alignment vertical="center"/>
    </xf>
    <xf numFmtId="11" fontId="4" fillId="7" borderId="7" xfId="3" applyNumberFormat="1" applyFont="1" applyFill="1" applyBorder="1">
      <alignment vertical="center"/>
    </xf>
    <xf numFmtId="9" fontId="4" fillId="7" borderId="7" xfId="3" applyFont="1" applyFill="1" applyBorder="1">
      <alignment vertical="center"/>
    </xf>
    <xf numFmtId="0" fontId="55" fillId="0" borderId="2" xfId="0" applyFont="1" applyBorder="1">
      <alignment vertical="center"/>
    </xf>
    <xf numFmtId="0" fontId="34" fillId="0" borderId="2" xfId="0" applyFont="1" applyBorder="1">
      <alignment vertical="center"/>
    </xf>
    <xf numFmtId="0" fontId="34" fillId="0" borderId="2" xfId="23" applyFont="1" applyFill="1" applyBorder="1" applyAlignment="1">
      <alignment vertical="center" wrapText="1"/>
    </xf>
    <xf numFmtId="0" fontId="34" fillId="0" borderId="5" xfId="0" applyFont="1" applyFill="1" applyBorder="1" applyAlignment="1">
      <alignment vertical="center" wrapText="1"/>
    </xf>
    <xf numFmtId="9" fontId="4" fillId="0" borderId="0" xfId="3" applyFont="1" applyFill="1">
      <alignment vertical="center"/>
    </xf>
    <xf numFmtId="191" fontId="4" fillId="0" borderId="4" xfId="0" applyNumberFormat="1" applyFont="1" applyBorder="1">
      <alignment vertical="center"/>
    </xf>
    <xf numFmtId="11" fontId="4" fillId="10" borderId="0" xfId="0" applyNumberFormat="1" applyFont="1" applyFill="1" applyBorder="1">
      <alignment vertical="center"/>
    </xf>
    <xf numFmtId="10" fontId="60" fillId="0" borderId="0" xfId="0" applyNumberFormat="1" applyFont="1" applyBorder="1">
      <alignment vertical="center"/>
    </xf>
    <xf numFmtId="11" fontId="4" fillId="12" borderId="0" xfId="0" applyNumberFormat="1" applyFont="1" applyFill="1" applyBorder="1">
      <alignment vertical="center"/>
    </xf>
    <xf numFmtId="11" fontId="4" fillId="10" borderId="0" xfId="23" applyNumberFormat="1" applyFont="1" applyFill="1" applyBorder="1">
      <alignment vertical="center"/>
    </xf>
    <xf numFmtId="11" fontId="4" fillId="12" borderId="0" xfId="0" applyNumberFormat="1" applyFont="1" applyFill="1" applyBorder="1" applyAlignment="1">
      <alignment vertical="center"/>
    </xf>
    <xf numFmtId="11" fontId="4" fillId="10" borderId="0" xfId="23" applyNumberFormat="1" applyFont="1" applyFill="1" applyBorder="1" applyAlignment="1">
      <alignment vertical="center" wrapText="1"/>
    </xf>
    <xf numFmtId="0" fontId="4" fillId="0" borderId="7" xfId="23" applyFont="1" applyFill="1" applyBorder="1">
      <alignment vertical="center"/>
    </xf>
    <xf numFmtId="9" fontId="60" fillId="0" borderId="0" xfId="0" applyNumberFormat="1" applyFont="1" applyBorder="1">
      <alignment vertical="center"/>
    </xf>
    <xf numFmtId="11" fontId="4" fillId="12" borderId="0" xfId="0" applyNumberFormat="1" applyFont="1" applyFill="1" applyBorder="1" applyAlignment="1">
      <alignment vertical="center" wrapText="1"/>
    </xf>
    <xf numFmtId="11" fontId="4" fillId="0" borderId="7" xfId="23" applyNumberFormat="1" applyFont="1" applyFill="1" applyBorder="1">
      <alignment vertical="center"/>
    </xf>
    <xf numFmtId="0" fontId="4" fillId="0" borderId="7" xfId="0" applyFont="1" applyFill="1" applyBorder="1">
      <alignment vertical="center"/>
    </xf>
    <xf numFmtId="11" fontId="4" fillId="0" borderId="7" xfId="0" applyNumberFormat="1" applyFont="1" applyFill="1" applyBorder="1">
      <alignment vertical="center"/>
    </xf>
    <xf numFmtId="9" fontId="60" fillId="0" borderId="7" xfId="0" applyNumberFormat="1" applyFont="1" applyFill="1" applyBorder="1">
      <alignment vertical="center"/>
    </xf>
    <xf numFmtId="11" fontId="4" fillId="10" borderId="5" xfId="23" applyNumberFormat="1" applyFont="1" applyFill="1" applyBorder="1">
      <alignment vertical="center"/>
    </xf>
    <xf numFmtId="11" fontId="4" fillId="0" borderId="7" xfId="0" applyNumberFormat="1" applyFont="1" applyFill="1" applyBorder="1" applyAlignment="1">
      <alignment vertical="center" wrapText="1"/>
    </xf>
    <xf numFmtId="11" fontId="24" fillId="5" borderId="4" xfId="0" applyNumberFormat="1" applyFont="1" applyFill="1" applyBorder="1">
      <alignment vertical="center"/>
    </xf>
    <xf numFmtId="0" fontId="34" fillId="5" borderId="3" xfId="0" applyFont="1" applyFill="1" applyBorder="1" applyAlignment="1">
      <alignment vertical="center" wrapText="1"/>
    </xf>
    <xf numFmtId="11" fontId="4" fillId="5" borderId="5" xfId="0" applyNumberFormat="1" applyFont="1" applyFill="1" applyBorder="1">
      <alignment vertical="center"/>
    </xf>
    <xf numFmtId="11" fontId="62" fillId="0" borderId="14" xfId="0" applyNumberFormat="1" applyFont="1" applyBorder="1" applyAlignment="1">
      <alignment horizontal="center" vertical="center"/>
    </xf>
    <xf numFmtId="11" fontId="62" fillId="0" borderId="15" xfId="0" applyNumberFormat="1" applyFont="1" applyBorder="1" applyAlignment="1">
      <alignment horizontal="center" vertical="center"/>
    </xf>
    <xf numFmtId="11" fontId="4" fillId="5" borderId="8" xfId="0" applyNumberFormat="1" applyFont="1" applyFill="1" applyBorder="1">
      <alignment vertical="center"/>
    </xf>
    <xf numFmtId="0" fontId="11" fillId="0" borderId="46" xfId="0" applyFont="1" applyBorder="1" applyAlignment="1">
      <alignment horizontal="center" vertical="center" wrapText="1"/>
    </xf>
    <xf numFmtId="11" fontId="11" fillId="0" borderId="46" xfId="0" applyNumberFormat="1" applyFont="1" applyBorder="1" applyAlignment="1">
      <alignment horizontal="center" vertical="center" wrapText="1"/>
    </xf>
    <xf numFmtId="0" fontId="11" fillId="0" borderId="38" xfId="0" applyFont="1" applyBorder="1" applyAlignment="1">
      <alignment horizontal="center" vertical="center" wrapText="1"/>
    </xf>
    <xf numFmtId="11" fontId="11" fillId="0" borderId="38" xfId="0" applyNumberFormat="1" applyFont="1" applyBorder="1" applyAlignment="1">
      <alignment horizontal="center" vertical="center" wrapText="1"/>
    </xf>
    <xf numFmtId="0" fontId="4" fillId="0" borderId="9" xfId="0" applyFont="1" applyBorder="1">
      <alignment vertical="center"/>
    </xf>
    <xf numFmtId="0" fontId="3" fillId="0" borderId="9" xfId="0" applyFont="1" applyBorder="1">
      <alignment vertical="center"/>
    </xf>
    <xf numFmtId="11" fontId="3" fillId="0" borderId="9" xfId="0" applyNumberFormat="1" applyFont="1" applyBorder="1">
      <alignment vertical="center"/>
    </xf>
    <xf numFmtId="0" fontId="3" fillId="0" borderId="10" xfId="0" applyFont="1" applyBorder="1">
      <alignment vertical="center"/>
    </xf>
    <xf numFmtId="11" fontId="2" fillId="0" borderId="10" xfId="0" applyNumberFormat="1" applyFont="1" applyBorder="1">
      <alignment vertical="center"/>
    </xf>
    <xf numFmtId="0" fontId="11" fillId="0" borderId="35" xfId="0" applyFont="1" applyBorder="1" applyAlignment="1">
      <alignment horizontal="center" vertical="center" wrapText="1"/>
    </xf>
    <xf numFmtId="11" fontId="11" fillId="0" borderId="35" xfId="0" applyNumberFormat="1" applyFont="1" applyBorder="1" applyAlignment="1">
      <alignment horizontal="center" vertical="center" wrapText="1"/>
    </xf>
    <xf numFmtId="11" fontId="3" fillId="0" borderId="0" xfId="0" applyNumberFormat="1" applyFont="1" applyBorder="1">
      <alignment vertical="center"/>
    </xf>
    <xf numFmtId="0" fontId="11" fillId="0" borderId="0" xfId="0" applyFont="1" applyBorder="1" applyAlignment="1">
      <alignment horizontal="center" vertical="top" wrapText="1"/>
    </xf>
    <xf numFmtId="0" fontId="11" fillId="0" borderId="38" xfId="0" applyFont="1" applyBorder="1" applyAlignment="1">
      <alignment horizontal="center" vertical="top" wrapText="1"/>
    </xf>
    <xf numFmtId="0" fontId="3" fillId="0" borderId="0" xfId="0" applyFont="1" applyBorder="1">
      <alignment vertical="center"/>
    </xf>
    <xf numFmtId="11" fontId="42" fillId="2" borderId="9" xfId="3" applyNumberFormat="1" applyFont="1" applyFill="1" applyBorder="1" applyAlignment="1" applyProtection="1">
      <alignment vertical="center"/>
    </xf>
    <xf numFmtId="183" fontId="63" fillId="2" borderId="18" xfId="0" applyNumberFormat="1" applyFont="1" applyFill="1" applyBorder="1" applyAlignment="1">
      <alignment vertical="center" wrapText="1"/>
    </xf>
    <xf numFmtId="0" fontId="15" fillId="2" borderId="0" xfId="0" applyFont="1" applyFill="1">
      <alignment vertical="center"/>
    </xf>
    <xf numFmtId="0" fontId="7" fillId="2" borderId="9" xfId="0" applyFont="1" applyFill="1" applyBorder="1" applyAlignment="1">
      <alignment horizontal="center" vertical="center"/>
    </xf>
    <xf numFmtId="180" fontId="2" fillId="2" borderId="9" xfId="3" applyNumberFormat="1" applyFont="1" applyFill="1" applyBorder="1">
      <alignment vertical="center"/>
    </xf>
    <xf numFmtId="11" fontId="2" fillId="2" borderId="9" xfId="0" applyNumberFormat="1" applyFont="1" applyFill="1" applyBorder="1">
      <alignment vertical="center"/>
    </xf>
    <xf numFmtId="11" fontId="3" fillId="2" borderId="9" xfId="0" applyNumberFormat="1" applyFont="1" applyFill="1" applyBorder="1">
      <alignment vertical="center"/>
    </xf>
    <xf numFmtId="10" fontId="2" fillId="0" borderId="0" xfId="3" applyNumberFormat="1" applyFont="1">
      <alignment vertical="center"/>
    </xf>
    <xf numFmtId="192" fontId="2" fillId="0" borderId="0" xfId="0" applyNumberFormat="1" applyFont="1">
      <alignment vertical="center"/>
    </xf>
    <xf numFmtId="180" fontId="1" fillId="0" borderId="0" xfId="3" applyNumberFormat="1" applyFont="1">
      <alignment vertical="center"/>
    </xf>
    <xf numFmtId="192" fontId="2" fillId="0" borderId="0" xfId="3" applyNumberFormat="1" applyFont="1">
      <alignment vertical="center"/>
    </xf>
    <xf numFmtId="0" fontId="7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64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7" fillId="0" borderId="9" xfId="0" applyFont="1" applyBorder="1" applyAlignment="1">
      <alignment horizontal="center" vertical="center"/>
    </xf>
    <xf numFmtId="0" fontId="65" fillId="0" borderId="9" xfId="0" applyFont="1" applyBorder="1" applyAlignment="1">
      <alignment horizontal="center" vertical="center"/>
    </xf>
    <xf numFmtId="11" fontId="64" fillId="0" borderId="9" xfId="0" applyNumberFormat="1" applyFont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27" xfId="0" applyFont="1" applyFill="1" applyBorder="1" applyAlignment="1">
      <alignment horizontal="center" vertical="center"/>
    </xf>
    <xf numFmtId="0" fontId="7" fillId="0" borderId="28" xfId="0" applyFont="1" applyFill="1" applyBorder="1" applyAlignment="1">
      <alignment horizontal="center" vertical="center"/>
    </xf>
    <xf numFmtId="0" fontId="7" fillId="0" borderId="29" xfId="0" applyFont="1" applyFill="1" applyBorder="1" applyAlignment="1">
      <alignment horizontal="center" vertical="center"/>
    </xf>
    <xf numFmtId="11" fontId="2" fillId="0" borderId="0" xfId="0" applyNumberFormat="1" applyFont="1" applyBorder="1" applyAlignment="1">
      <alignment horizontal="center" vertical="center"/>
    </xf>
    <xf numFmtId="191" fontId="2" fillId="0" borderId="0" xfId="0" applyNumberFormat="1" applyFont="1" applyFill="1" applyBorder="1" applyAlignment="1">
      <alignment horizontal="center" vertical="center"/>
    </xf>
    <xf numFmtId="0" fontId="2" fillId="0" borderId="29" xfId="0" applyFont="1" applyFill="1" applyBorder="1" applyAlignment="1">
      <alignment horizontal="center" vertical="center"/>
    </xf>
    <xf numFmtId="11" fontId="2" fillId="0" borderId="0" xfId="0" applyNumberFormat="1" applyFont="1" applyFill="1" applyBorder="1" applyAlignment="1">
      <alignment horizontal="center" vertical="center"/>
    </xf>
    <xf numFmtId="11" fontId="64" fillId="0" borderId="0" xfId="0" applyNumberFormat="1" applyFont="1" applyBorder="1" applyAlignment="1">
      <alignment horizontal="center" vertical="center"/>
    </xf>
    <xf numFmtId="0" fontId="64" fillId="0" borderId="29" xfId="0" applyFont="1" applyFill="1" applyBorder="1" applyAlignment="1">
      <alignment horizontal="center" vertical="center"/>
    </xf>
    <xf numFmtId="11" fontId="64" fillId="0" borderId="0" xfId="0" applyNumberFormat="1" applyFont="1" applyFill="1" applyBorder="1" applyAlignment="1">
      <alignment horizontal="center" vertical="center"/>
    </xf>
    <xf numFmtId="11" fontId="2" fillId="0" borderId="29" xfId="0" applyNumberFormat="1" applyFont="1" applyFill="1" applyBorder="1" applyAlignment="1">
      <alignment horizontal="center" vertical="center"/>
    </xf>
    <xf numFmtId="11" fontId="3" fillId="0" borderId="0" xfId="0" applyNumberFormat="1" applyFont="1" applyBorder="1" applyAlignment="1">
      <alignment horizontal="center" vertical="center"/>
    </xf>
    <xf numFmtId="11" fontId="2" fillId="0" borderId="31" xfId="0" applyNumberFormat="1" applyFont="1" applyFill="1" applyBorder="1" applyAlignment="1">
      <alignment horizontal="center" vertical="center"/>
    </xf>
    <xf numFmtId="11" fontId="2" fillId="0" borderId="32" xfId="0" applyNumberFormat="1" applyFont="1" applyFill="1" applyBorder="1" applyAlignment="1">
      <alignment horizontal="center" vertical="center"/>
    </xf>
    <xf numFmtId="0" fontId="7" fillId="0" borderId="28" xfId="0" applyFont="1" applyBorder="1" applyAlignment="1">
      <alignment horizontal="left" vertical="center"/>
    </xf>
    <xf numFmtId="0" fontId="7" fillId="0" borderId="28" xfId="0" applyFont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11" fontId="2" fillId="0" borderId="32" xfId="0" applyNumberFormat="1" applyFont="1" applyBorder="1" applyAlignment="1">
      <alignment horizontal="center" vertical="center"/>
    </xf>
    <xf numFmtId="0" fontId="7" fillId="0" borderId="34" xfId="0" applyFont="1" applyFill="1" applyBorder="1" applyAlignment="1">
      <alignment horizontal="center" vertical="center"/>
    </xf>
    <xf numFmtId="0" fontId="7" fillId="0" borderId="35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left" vertical="center"/>
    </xf>
    <xf numFmtId="11" fontId="2" fillId="0" borderId="35" xfId="0" applyNumberFormat="1" applyFont="1" applyFill="1" applyBorder="1" applyAlignment="1">
      <alignment horizontal="center" vertical="center"/>
    </xf>
    <xf numFmtId="11" fontId="64" fillId="0" borderId="35" xfId="0" applyNumberFormat="1" applyFont="1" applyFill="1" applyBorder="1" applyAlignment="1">
      <alignment horizontal="center" vertical="center"/>
    </xf>
    <xf numFmtId="0" fontId="2" fillId="0" borderId="35" xfId="0" applyFont="1" applyFill="1" applyBorder="1" applyAlignment="1">
      <alignment horizontal="center" vertical="center"/>
    </xf>
    <xf numFmtId="0" fontId="2" fillId="0" borderId="38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183" fontId="2" fillId="0" borderId="0" xfId="0" applyNumberFormat="1" applyFont="1" applyBorder="1" applyAlignment="1">
      <alignment horizontal="center" vertical="center"/>
    </xf>
    <xf numFmtId="0" fontId="20" fillId="0" borderId="9" xfId="0" applyFont="1" applyBorder="1" applyAlignment="1">
      <alignment vertical="center" wrapText="1"/>
    </xf>
    <xf numFmtId="0" fontId="34" fillId="0" borderId="9" xfId="23" applyFont="1" applyFill="1" applyBorder="1" applyAlignment="1">
      <alignment vertical="center" wrapText="1"/>
    </xf>
    <xf numFmtId="0" fontId="21" fillId="0" borderId="9" xfId="0" applyFont="1" applyBorder="1" applyAlignment="1">
      <alignment horizontal="center" vertical="center" wrapText="1"/>
    </xf>
    <xf numFmtId="180" fontId="4" fillId="0" borderId="9" xfId="3" applyNumberFormat="1" applyFont="1" applyFill="1" applyBorder="1">
      <alignment vertical="center"/>
    </xf>
    <xf numFmtId="0" fontId="21" fillId="0" borderId="9" xfId="0" applyFont="1" applyFill="1" applyBorder="1" applyAlignment="1">
      <alignment horizontal="center" vertical="center" wrapText="1"/>
    </xf>
    <xf numFmtId="10" fontId="4" fillId="0" borderId="9" xfId="23" applyNumberFormat="1" applyFont="1" applyFill="1" applyBorder="1">
      <alignment vertical="center"/>
    </xf>
    <xf numFmtId="0" fontId="20" fillId="0" borderId="10" xfId="0" applyFont="1" applyFill="1" applyBorder="1" applyAlignment="1">
      <alignment horizontal="center" vertical="center" wrapText="1"/>
    </xf>
    <xf numFmtId="0" fontId="66" fillId="7" borderId="2" xfId="0" applyFont="1" applyFill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 vertical="center" wrapText="1"/>
    </xf>
    <xf numFmtId="11" fontId="4" fillId="0" borderId="26" xfId="0" applyNumberFormat="1" applyFont="1" applyFill="1" applyBorder="1" applyAlignment="1">
      <alignment horizontal="center" vertical="center"/>
    </xf>
    <xf numFmtId="11" fontId="3" fillId="7" borderId="0" xfId="0" applyNumberFormat="1" applyFont="1" applyFill="1" applyBorder="1" applyAlignment="1">
      <alignment horizontal="center" vertical="center"/>
    </xf>
    <xf numFmtId="11" fontId="4" fillId="7" borderId="0" xfId="0" applyNumberFormat="1" applyFont="1" applyFill="1" applyBorder="1" applyAlignment="1">
      <alignment horizontal="center" vertical="center"/>
    </xf>
    <xf numFmtId="182" fontId="4" fillId="7" borderId="0" xfId="0" applyNumberFormat="1" applyFont="1" applyFill="1" applyBorder="1" applyAlignment="1">
      <alignment horizontal="center" vertical="center"/>
    </xf>
    <xf numFmtId="11" fontId="4" fillId="0" borderId="17" xfId="0" applyNumberFormat="1" applyFont="1" applyFill="1" applyBorder="1" applyAlignment="1">
      <alignment horizontal="center" vertical="center"/>
    </xf>
    <xf numFmtId="11" fontId="4" fillId="7" borderId="7" xfId="0" applyNumberFormat="1" applyFont="1" applyFill="1" applyBorder="1" applyAlignment="1">
      <alignment horizontal="center" vertical="center"/>
    </xf>
    <xf numFmtId="11" fontId="3" fillId="7" borderId="7" xfId="0" applyNumberFormat="1" applyFont="1" applyFill="1" applyBorder="1" applyAlignment="1">
      <alignment horizontal="center" vertical="center"/>
    </xf>
    <xf numFmtId="182" fontId="4" fillId="7" borderId="7" xfId="0" applyNumberFormat="1" applyFont="1" applyFill="1" applyBorder="1" applyAlignment="1">
      <alignment horizontal="center" vertical="center"/>
    </xf>
    <xf numFmtId="0" fontId="67" fillId="0" borderId="9" xfId="0" applyFont="1" applyFill="1" applyBorder="1" applyAlignment="1">
      <alignment horizontal="center" vertical="center" wrapText="1"/>
    </xf>
    <xf numFmtId="11" fontId="4" fillId="0" borderId="10" xfId="0" applyNumberFormat="1" applyFont="1" applyFill="1" applyBorder="1" applyAlignment="1">
      <alignment horizontal="center" vertical="center"/>
    </xf>
    <xf numFmtId="11" fontId="3" fillId="7" borderId="2" xfId="0" applyNumberFormat="1" applyFont="1" applyFill="1" applyBorder="1" applyAlignment="1">
      <alignment horizontal="center" vertical="center"/>
    </xf>
    <xf numFmtId="11" fontId="4" fillId="7" borderId="2" xfId="0" applyNumberFormat="1" applyFont="1" applyFill="1" applyBorder="1" applyAlignment="1">
      <alignment horizontal="center" vertical="center"/>
    </xf>
    <xf numFmtId="182" fontId="4" fillId="7" borderId="2" xfId="0" applyNumberFormat="1" applyFont="1" applyFill="1" applyBorder="1" applyAlignment="1">
      <alignment horizontal="center" vertical="center"/>
    </xf>
    <xf numFmtId="11" fontId="3" fillId="7" borderId="0" xfId="0" applyNumberFormat="1" applyFont="1" applyFill="1" applyAlignment="1">
      <alignment horizontal="center" vertical="center"/>
    </xf>
    <xf numFmtId="11" fontId="4" fillId="7" borderId="0" xfId="0" applyNumberFormat="1" applyFont="1" applyFill="1" applyAlignment="1">
      <alignment horizontal="center" vertical="center"/>
    </xf>
    <xf numFmtId="182" fontId="4" fillId="7" borderId="0" xfId="0" applyNumberFormat="1" applyFont="1" applyFill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center" vertical="center"/>
    </xf>
    <xf numFmtId="185" fontId="4" fillId="7" borderId="0" xfId="0" applyNumberFormat="1" applyFont="1" applyFill="1" applyBorder="1" applyAlignment="1">
      <alignment horizontal="center" vertical="center"/>
    </xf>
    <xf numFmtId="185" fontId="3" fillId="7" borderId="7" xfId="0" applyNumberFormat="1" applyFont="1" applyFill="1" applyBorder="1" applyAlignment="1">
      <alignment horizontal="center" vertical="center"/>
    </xf>
    <xf numFmtId="185" fontId="3" fillId="7" borderId="2" xfId="0" applyNumberFormat="1" applyFont="1" applyFill="1" applyBorder="1" applyAlignment="1">
      <alignment horizontal="center" vertical="center"/>
    </xf>
    <xf numFmtId="185" fontId="3" fillId="7" borderId="0" xfId="0" applyNumberFormat="1" applyFont="1" applyFill="1" applyAlignment="1">
      <alignment horizontal="center" vertical="center"/>
    </xf>
    <xf numFmtId="0" fontId="66" fillId="7" borderId="1" xfId="0" applyFont="1" applyFill="1" applyBorder="1" applyAlignment="1">
      <alignment horizontal="center" vertical="center" wrapText="1"/>
    </xf>
    <xf numFmtId="0" fontId="66" fillId="7" borderId="3" xfId="0" applyFont="1" applyFill="1" applyBorder="1" applyAlignment="1">
      <alignment horizontal="center" vertical="center" wrapText="1"/>
    </xf>
    <xf numFmtId="11" fontId="3" fillId="7" borderId="4" xfId="0" applyNumberFormat="1" applyFont="1" applyFill="1" applyBorder="1" applyAlignment="1">
      <alignment horizontal="center" vertical="center"/>
    </xf>
    <xf numFmtId="11" fontId="3" fillId="7" borderId="5" xfId="0" applyNumberFormat="1" applyFont="1" applyFill="1" applyBorder="1" applyAlignment="1">
      <alignment horizontal="center" vertical="center"/>
    </xf>
    <xf numFmtId="11" fontId="3" fillId="7" borderId="6" xfId="0" applyNumberFormat="1" applyFont="1" applyFill="1" applyBorder="1" applyAlignment="1">
      <alignment horizontal="center" vertical="center"/>
    </xf>
    <xf numFmtId="11" fontId="3" fillId="7" borderId="8" xfId="0" applyNumberFormat="1" applyFont="1" applyFill="1" applyBorder="1" applyAlignment="1">
      <alignment horizontal="center" vertical="center"/>
    </xf>
    <xf numFmtId="11" fontId="3" fillId="7" borderId="1" xfId="0" applyNumberFormat="1" applyFont="1" applyFill="1" applyBorder="1" applyAlignment="1">
      <alignment horizontal="center" vertical="center"/>
    </xf>
    <xf numFmtId="11" fontId="3" fillId="7" borderId="3" xfId="0" applyNumberFormat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8" fillId="2" borderId="0" xfId="0" applyFont="1" applyFill="1">
      <alignment vertical="center"/>
    </xf>
    <xf numFmtId="0" fontId="68" fillId="0" borderId="50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8" fillId="0" borderId="9" xfId="0" applyFont="1" applyBorder="1">
      <alignment vertical="center"/>
    </xf>
    <xf numFmtId="0" fontId="0" fillId="0" borderId="9" xfId="0" applyBorder="1" applyAlignment="1">
      <alignment horizontal="left" vertical="center" wrapText="1"/>
    </xf>
    <xf numFmtId="0" fontId="8" fillId="0" borderId="9" xfId="0" applyFont="1" applyBorder="1">
      <alignment vertical="center"/>
    </xf>
    <xf numFmtId="9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95B3D7"/>
      <color rgb="00FFFFFF"/>
      <color rgb="00E26B0A"/>
      <color rgb="009C0006"/>
      <color rgb="0000B0F0"/>
      <color rgb="0000B050"/>
      <color rgb="00000000"/>
      <color rgb="00FFC7CE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haredStrings" Target="sharedStrings.xml"/><Relationship Id="rId24" Type="http://schemas.openxmlformats.org/officeDocument/2006/relationships/styles" Target="styles.xml"/><Relationship Id="rId23" Type="http://schemas.openxmlformats.org/officeDocument/2006/relationships/theme" Target="theme/theme1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64073577313662"/>
          <c:y val="0.0388916708395927"/>
          <c:w val="0.848847161014243"/>
          <c:h val="0.88255716908696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事故释放率!$A$4</c:f>
              <c:strCache>
                <c:ptCount val="1"/>
                <c:pt idx="0">
                  <c:v>Kr-83m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事故释放率!$B$3:$O$3</c:f>
              <c:numCache>
                <c:formatCode>General</c:formatCode>
                <c:ptCount val="14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1100</c:v>
                </c:pt>
                <c:pt idx="8">
                  <c:v>1200</c:v>
                </c:pt>
                <c:pt idx="9">
                  <c:v>1300</c:v>
                </c:pt>
                <c:pt idx="10">
                  <c:v>1400</c:v>
                </c:pt>
                <c:pt idx="11">
                  <c:v>1500</c:v>
                </c:pt>
                <c:pt idx="12">
                  <c:v>1570</c:v>
                </c:pt>
                <c:pt idx="13">
                  <c:v>1620</c:v>
                </c:pt>
              </c:numCache>
            </c:numRef>
          </c:xVal>
          <c:yVal>
            <c:numRef>
              <c:f>事故释放率!$B$4:$O$4</c:f>
              <c:numCache>
                <c:formatCode>0.00E+00</c:formatCode>
                <c:ptCount val="14"/>
                <c:pt idx="0">
                  <c:v>1.83904418869703e-11</c:v>
                </c:pt>
                <c:pt idx="1">
                  <c:v>2.98715022259392e-11</c:v>
                </c:pt>
                <c:pt idx="2">
                  <c:v>4.34254783899466e-11</c:v>
                </c:pt>
                <c:pt idx="3">
                  <c:v>5.84639633990174e-11</c:v>
                </c:pt>
                <c:pt idx="4">
                  <c:v>7.44725842394859e-11</c:v>
                </c:pt>
                <c:pt idx="5">
                  <c:v>9.10346295206234e-11</c:v>
                </c:pt>
                <c:pt idx="6">
                  <c:v>1.07827650874121e-10</c:v>
                </c:pt>
                <c:pt idx="7">
                  <c:v>1.24610012558364e-10</c:v>
                </c:pt>
                <c:pt idx="8">
                  <c:v>2.08333609825958e-10</c:v>
                </c:pt>
                <c:pt idx="9">
                  <c:v>4.93548742662049e-10</c:v>
                </c:pt>
                <c:pt idx="10">
                  <c:v>1.36149773551758e-9</c:v>
                </c:pt>
                <c:pt idx="11">
                  <c:v>4.15122678326508e-9</c:v>
                </c:pt>
                <c:pt idx="12">
                  <c:v>1.38605482318994e-8</c:v>
                </c:pt>
                <c:pt idx="13">
                  <c:v>1.38605482318994e-8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事故释放率!$A$5</c:f>
              <c:strCache>
                <c:ptCount val="1"/>
                <c:pt idx="0">
                  <c:v>Kr-85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事故释放率!$B$3:$O$3</c:f>
              <c:numCache>
                <c:formatCode>General</c:formatCode>
                <c:ptCount val="14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1100</c:v>
                </c:pt>
                <c:pt idx="8">
                  <c:v>1200</c:v>
                </c:pt>
                <c:pt idx="9">
                  <c:v>1300</c:v>
                </c:pt>
                <c:pt idx="10">
                  <c:v>1400</c:v>
                </c:pt>
                <c:pt idx="11">
                  <c:v>1500</c:v>
                </c:pt>
                <c:pt idx="12">
                  <c:v>1570</c:v>
                </c:pt>
                <c:pt idx="13">
                  <c:v>1620</c:v>
                </c:pt>
              </c:numCache>
            </c:numRef>
          </c:xVal>
          <c:yVal>
            <c:numRef>
              <c:f>事故释放率!$B$5:$O$5</c:f>
              <c:numCache>
                <c:formatCode>0.00E+00</c:formatCode>
                <c:ptCount val="14"/>
                <c:pt idx="0">
                  <c:v>3.996e-14</c:v>
                </c:pt>
                <c:pt idx="1">
                  <c:v>3.996e-14</c:v>
                </c:pt>
                <c:pt idx="2">
                  <c:v>3.996e-14</c:v>
                </c:pt>
                <c:pt idx="3">
                  <c:v>1.324e-13</c:v>
                </c:pt>
                <c:pt idx="4">
                  <c:v>1.987e-13</c:v>
                </c:pt>
                <c:pt idx="5">
                  <c:v>4.04e-13</c:v>
                </c:pt>
                <c:pt idx="6">
                  <c:v>9.44e-13</c:v>
                </c:pt>
                <c:pt idx="7">
                  <c:v>2.12e-12</c:v>
                </c:pt>
                <c:pt idx="8">
                  <c:v>1.15e-11</c:v>
                </c:pt>
                <c:pt idx="9">
                  <c:v>2.99e-11</c:v>
                </c:pt>
                <c:pt idx="10">
                  <c:v>5.6e-11</c:v>
                </c:pt>
                <c:pt idx="11">
                  <c:v>1.27e-10</c:v>
                </c:pt>
                <c:pt idx="12">
                  <c:v>1.77e-10</c:v>
                </c:pt>
                <c:pt idx="13">
                  <c:v>2.31e-10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事故释放率!$A$6</c:f>
              <c:strCache>
                <c:ptCount val="1"/>
                <c:pt idx="0">
                  <c:v>Kr-85m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事故释放率!$B$3:$O$3</c:f>
              <c:numCache>
                <c:formatCode>General</c:formatCode>
                <c:ptCount val="14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1100</c:v>
                </c:pt>
                <c:pt idx="8">
                  <c:v>1200</c:v>
                </c:pt>
                <c:pt idx="9">
                  <c:v>1300</c:v>
                </c:pt>
                <c:pt idx="10">
                  <c:v>1400</c:v>
                </c:pt>
                <c:pt idx="11">
                  <c:v>1500</c:v>
                </c:pt>
                <c:pt idx="12">
                  <c:v>1570</c:v>
                </c:pt>
                <c:pt idx="13">
                  <c:v>1620</c:v>
                </c:pt>
              </c:numCache>
            </c:numRef>
          </c:xVal>
          <c:yVal>
            <c:numRef>
              <c:f>事故释放率!$B$6:$O$6</c:f>
              <c:numCache>
                <c:formatCode>0.00E+00</c:formatCode>
                <c:ptCount val="14"/>
                <c:pt idx="0">
                  <c:v>1.18214316742238e-11</c:v>
                </c:pt>
                <c:pt idx="1">
                  <c:v>1.91989988172013e-11</c:v>
                </c:pt>
                <c:pt idx="2">
                  <c:v>2.79061004558631e-11</c:v>
                </c:pt>
                <c:pt idx="3">
                  <c:v>3.75636613061218e-11</c:v>
                </c:pt>
                <c:pt idx="4">
                  <c:v>4.78404961082809e-11</c:v>
                </c:pt>
                <c:pt idx="5">
                  <c:v>5.84684916197883e-11</c:v>
                </c:pt>
                <c:pt idx="6">
                  <c:v>6.92403712666981e-11</c:v>
                </c:pt>
                <c:pt idx="7">
                  <c:v>8.00009858327205e-11</c:v>
                </c:pt>
                <c:pt idx="8">
                  <c:v>1.33626331826802e-10</c:v>
                </c:pt>
                <c:pt idx="9">
                  <c:v>3.16294457174653e-10</c:v>
                </c:pt>
                <c:pt idx="10">
                  <c:v>8.69834190420314e-10</c:v>
                </c:pt>
                <c:pt idx="11">
                  <c:v>2.62818035377729e-9</c:v>
                </c:pt>
                <c:pt idx="12">
                  <c:v>8.51857624360806e-9</c:v>
                </c:pt>
                <c:pt idx="13">
                  <c:v>8.51857624360806e-9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事故释放率!$A$7</c:f>
              <c:strCache>
                <c:ptCount val="1"/>
                <c:pt idx="0">
                  <c:v>Kr-87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事故释放率!$B$3:$O$3</c:f>
              <c:numCache>
                <c:formatCode>General</c:formatCode>
                <c:ptCount val="14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1100</c:v>
                </c:pt>
                <c:pt idx="8">
                  <c:v>1200</c:v>
                </c:pt>
                <c:pt idx="9">
                  <c:v>1300</c:v>
                </c:pt>
                <c:pt idx="10">
                  <c:v>1400</c:v>
                </c:pt>
                <c:pt idx="11">
                  <c:v>1500</c:v>
                </c:pt>
                <c:pt idx="12">
                  <c:v>1570</c:v>
                </c:pt>
                <c:pt idx="13">
                  <c:v>1620</c:v>
                </c:pt>
              </c:numCache>
            </c:numRef>
          </c:xVal>
          <c:yVal>
            <c:numRef>
              <c:f>事故释放率!$B$7:$O$7</c:f>
              <c:numCache>
                <c:formatCode>0.00E+00</c:formatCode>
                <c:ptCount val="14"/>
                <c:pt idx="0">
                  <c:v>2.19664513915233e-11</c:v>
                </c:pt>
                <c:pt idx="1">
                  <c:v>3.56813613470428e-11</c:v>
                </c:pt>
                <c:pt idx="2">
                  <c:v>5.18738748871189e-11</c:v>
                </c:pt>
                <c:pt idx="3">
                  <c:v>6.98416325396002e-11</c:v>
                </c:pt>
                <c:pt idx="4">
                  <c:v>8.89705400019579e-11</c:v>
                </c:pt>
                <c:pt idx="5">
                  <c:v>1.08762993430284e-10</c:v>
                </c:pt>
                <c:pt idx="6">
                  <c:v>1.28833847748353e-10</c:v>
                </c:pt>
                <c:pt idx="7">
                  <c:v>1.48894385515064e-10</c:v>
                </c:pt>
                <c:pt idx="8">
                  <c:v>2.49003329973349e-10</c:v>
                </c:pt>
                <c:pt idx="9">
                  <c:v>5.90044615040151e-10</c:v>
                </c:pt>
                <c:pt idx="10">
                  <c:v>1.62916381405172e-9</c:v>
                </c:pt>
                <c:pt idx="11">
                  <c:v>4.98045976898713e-9</c:v>
                </c:pt>
                <c:pt idx="12">
                  <c:v>1.6769788500363e-8</c:v>
                </c:pt>
                <c:pt idx="13">
                  <c:v>1.6769788500363e-8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事故释放率!$A$8</c:f>
              <c:strCache>
                <c:ptCount val="1"/>
                <c:pt idx="0">
                  <c:v>Kr-88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xVal>
            <c:numRef>
              <c:f>事故释放率!$B$3:$O$3</c:f>
              <c:numCache>
                <c:formatCode>General</c:formatCode>
                <c:ptCount val="14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1100</c:v>
                </c:pt>
                <c:pt idx="8">
                  <c:v>1200</c:v>
                </c:pt>
                <c:pt idx="9">
                  <c:v>1300</c:v>
                </c:pt>
                <c:pt idx="10">
                  <c:v>1400</c:v>
                </c:pt>
                <c:pt idx="11">
                  <c:v>1500</c:v>
                </c:pt>
                <c:pt idx="12">
                  <c:v>1570</c:v>
                </c:pt>
                <c:pt idx="13">
                  <c:v>1620</c:v>
                </c:pt>
              </c:numCache>
            </c:numRef>
          </c:xVal>
          <c:yVal>
            <c:numRef>
              <c:f>事故释放率!$B$8:$O$8</c:f>
              <c:numCache>
                <c:formatCode>0.00E+00</c:formatCode>
                <c:ptCount val="14"/>
                <c:pt idx="0">
                  <c:v>1.48138488211115e-11</c:v>
                </c:pt>
                <c:pt idx="1">
                  <c:v>2.40607004215317e-11</c:v>
                </c:pt>
                <c:pt idx="2">
                  <c:v>3.49757204374575e-11</c:v>
                </c:pt>
                <c:pt idx="3">
                  <c:v>4.70844748131562e-11</c:v>
                </c:pt>
                <c:pt idx="4">
                  <c:v>5.9972329280272e-11</c:v>
                </c:pt>
                <c:pt idx="5">
                  <c:v>7.33034786446996e-11</c:v>
                </c:pt>
                <c:pt idx="6">
                  <c:v>8.68181814899556e-11</c:v>
                </c:pt>
                <c:pt idx="7">
                  <c:v>1.00321891077048e-10</c:v>
                </c:pt>
                <c:pt idx="8">
                  <c:v>1.67657885230619e-10</c:v>
                </c:pt>
                <c:pt idx="9">
                  <c:v>3.97039208794722e-10</c:v>
                </c:pt>
                <c:pt idx="10">
                  <c:v>1.09379957696547e-9</c:v>
                </c:pt>
                <c:pt idx="11">
                  <c:v>3.32194587896692e-9</c:v>
                </c:pt>
                <c:pt idx="12">
                  <c:v>1.09516825181983e-8</c:v>
                </c:pt>
                <c:pt idx="13">
                  <c:v>1.09516825181983e-8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事故释放率!$A$9</c:f>
              <c:strCache>
                <c:ptCount val="1"/>
                <c:pt idx="0">
                  <c:v>Xe-131m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numRef>
              <c:f>事故释放率!$B$3:$O$3</c:f>
              <c:numCache>
                <c:formatCode>General</c:formatCode>
                <c:ptCount val="14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1100</c:v>
                </c:pt>
                <c:pt idx="8">
                  <c:v>1200</c:v>
                </c:pt>
                <c:pt idx="9">
                  <c:v>1300</c:v>
                </c:pt>
                <c:pt idx="10">
                  <c:v>1400</c:v>
                </c:pt>
                <c:pt idx="11">
                  <c:v>1500</c:v>
                </c:pt>
                <c:pt idx="12">
                  <c:v>1570</c:v>
                </c:pt>
                <c:pt idx="13">
                  <c:v>1620</c:v>
                </c:pt>
              </c:numCache>
            </c:numRef>
          </c:xVal>
          <c:yVal>
            <c:numRef>
              <c:f>事故释放率!$B$9:$O$9</c:f>
              <c:numCache>
                <c:formatCode>0.00E+00</c:formatCode>
                <c:ptCount val="14"/>
                <c:pt idx="0">
                  <c:v>1.48803456265524e-12</c:v>
                </c:pt>
                <c:pt idx="1">
                  <c:v>2.40701934360337e-12</c:v>
                </c:pt>
                <c:pt idx="2">
                  <c:v>3.48329890701822e-12</c:v>
                </c:pt>
                <c:pt idx="3">
                  <c:v>4.66708453792175e-12</c:v>
                </c:pt>
                <c:pt idx="4">
                  <c:v>5.91569222701845e-12</c:v>
                </c:pt>
                <c:pt idx="5">
                  <c:v>7.19528943704062e-12</c:v>
                </c:pt>
                <c:pt idx="6">
                  <c:v>8.48036882976437e-12</c:v>
                </c:pt>
                <c:pt idx="7">
                  <c:v>9.75241574192534e-12</c:v>
                </c:pt>
                <c:pt idx="8">
                  <c:v>1.60043205924332e-11</c:v>
                </c:pt>
                <c:pt idx="9">
                  <c:v>3.7300291390096e-11</c:v>
                </c:pt>
                <c:pt idx="10">
                  <c:v>9.61349819296256e-11</c:v>
                </c:pt>
                <c:pt idx="11">
                  <c:v>2.33559567549092e-10</c:v>
                </c:pt>
                <c:pt idx="12">
                  <c:v>4.14507588093715e-10</c:v>
                </c:pt>
                <c:pt idx="13">
                  <c:v>4.14507588093715e-10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事故释放率!$A$10</c:f>
              <c:strCache>
                <c:ptCount val="1"/>
                <c:pt idx="0">
                  <c:v>Xe-133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事故释放率!$B$3:$O$3</c:f>
              <c:numCache>
                <c:formatCode>General</c:formatCode>
                <c:ptCount val="14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1100</c:v>
                </c:pt>
                <c:pt idx="8">
                  <c:v>1200</c:v>
                </c:pt>
                <c:pt idx="9">
                  <c:v>1300</c:v>
                </c:pt>
                <c:pt idx="10">
                  <c:v>1400</c:v>
                </c:pt>
                <c:pt idx="11">
                  <c:v>1500</c:v>
                </c:pt>
                <c:pt idx="12">
                  <c:v>1570</c:v>
                </c:pt>
                <c:pt idx="13">
                  <c:v>1620</c:v>
                </c:pt>
              </c:numCache>
            </c:numRef>
          </c:xVal>
          <c:yVal>
            <c:numRef>
              <c:f>事故释放率!$B$10:$O$10</c:f>
              <c:numCache>
                <c:formatCode>0.00E+00</c:formatCode>
                <c:ptCount val="14"/>
                <c:pt idx="0">
                  <c:v>2.23936040182472e-12</c:v>
                </c:pt>
                <c:pt idx="1">
                  <c:v>3.62584911522823e-12</c:v>
                </c:pt>
                <c:pt idx="2">
                  <c:v>5.25312219586717e-12</c:v>
                </c:pt>
                <c:pt idx="3">
                  <c:v>7.04735118069201e-12</c:v>
                </c:pt>
                <c:pt idx="4">
                  <c:v>8.94495351289886e-12</c:v>
                </c:pt>
                <c:pt idx="5">
                  <c:v>1.08952462413802e-11</c:v>
                </c:pt>
                <c:pt idx="6">
                  <c:v>1.28597399582403e-11</c:v>
                </c:pt>
                <c:pt idx="7">
                  <c:v>1.48102324239309e-11</c:v>
                </c:pt>
                <c:pt idx="8">
                  <c:v>2.44864246530056e-11</c:v>
                </c:pt>
                <c:pt idx="9">
                  <c:v>5.74711234518532e-11</c:v>
                </c:pt>
                <c:pt idx="10">
                  <c:v>1.52159958857739e-10</c:v>
                </c:pt>
                <c:pt idx="11">
                  <c:v>4.05730198370885e-10</c:v>
                </c:pt>
                <c:pt idx="12">
                  <c:v>8.61909380134982e-10</c:v>
                </c:pt>
                <c:pt idx="13">
                  <c:v>8.61909380134982e-10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事故释放率!$A$11</c:f>
              <c:strCache>
                <c:ptCount val="1"/>
                <c:pt idx="0">
                  <c:v>Xe-133m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事故释放率!$B$3:$O$3</c:f>
              <c:numCache>
                <c:formatCode>General</c:formatCode>
                <c:ptCount val="14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1100</c:v>
                </c:pt>
                <c:pt idx="8">
                  <c:v>1200</c:v>
                </c:pt>
                <c:pt idx="9">
                  <c:v>1300</c:v>
                </c:pt>
                <c:pt idx="10">
                  <c:v>1400</c:v>
                </c:pt>
                <c:pt idx="11">
                  <c:v>1500</c:v>
                </c:pt>
                <c:pt idx="12">
                  <c:v>1570</c:v>
                </c:pt>
                <c:pt idx="13">
                  <c:v>1620</c:v>
                </c:pt>
              </c:numCache>
            </c:numRef>
          </c:xVal>
          <c:yVal>
            <c:numRef>
              <c:f>事故释放率!$B$11:$O$11</c:f>
              <c:numCache>
                <c:formatCode>0.00E+00</c:formatCode>
                <c:ptCount val="14"/>
                <c:pt idx="0">
                  <c:v>3.46777687768015e-12</c:v>
                </c:pt>
                <c:pt idx="1">
                  <c:v>5.61863434295315e-12</c:v>
                </c:pt>
                <c:pt idx="2">
                  <c:v>8.14678221882815e-12</c:v>
                </c:pt>
                <c:pt idx="3">
                  <c:v>1.09390872875458e-11</c:v>
                </c:pt>
                <c:pt idx="4">
                  <c:v>1.38977980169931e-11</c:v>
                </c:pt>
                <c:pt idx="5">
                  <c:v>1.69446810986248e-11</c:v>
                </c:pt>
                <c:pt idx="6">
                  <c:v>2.00200214445164e-11</c:v>
                </c:pt>
                <c:pt idx="7">
                  <c:v>2.30797775847954e-11</c:v>
                </c:pt>
                <c:pt idx="8">
                  <c:v>3.8354720807427e-11</c:v>
                </c:pt>
                <c:pt idx="9">
                  <c:v>9.04506342461901e-11</c:v>
                </c:pt>
                <c:pt idx="10">
                  <c:v>2.43762191258528e-10</c:v>
                </c:pt>
                <c:pt idx="11">
                  <c:v>6.89518786183153e-10</c:v>
                </c:pt>
                <c:pt idx="12">
                  <c:v>1.75498364567178e-9</c:v>
                </c:pt>
                <c:pt idx="13">
                  <c:v>1.75498364567178e-9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事故释放率!$A$12</c:f>
              <c:strCache>
                <c:ptCount val="1"/>
                <c:pt idx="0">
                  <c:v>Xe-135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事故释放率!$B$3:$O$3</c:f>
              <c:numCache>
                <c:formatCode>General</c:formatCode>
                <c:ptCount val="14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1100</c:v>
                </c:pt>
                <c:pt idx="8">
                  <c:v>1200</c:v>
                </c:pt>
                <c:pt idx="9">
                  <c:v>1300</c:v>
                </c:pt>
                <c:pt idx="10">
                  <c:v>1400</c:v>
                </c:pt>
                <c:pt idx="11">
                  <c:v>1500</c:v>
                </c:pt>
                <c:pt idx="12">
                  <c:v>1570</c:v>
                </c:pt>
                <c:pt idx="13">
                  <c:v>1620</c:v>
                </c:pt>
              </c:numCache>
            </c:numRef>
          </c:xVal>
          <c:yVal>
            <c:numRef>
              <c:f>事故释放率!$B$12:$O$12</c:f>
              <c:numCache>
                <c:formatCode>0.00E+00</c:formatCode>
                <c:ptCount val="14"/>
                <c:pt idx="0">
                  <c:v>8.30810169545155e-12</c:v>
                </c:pt>
                <c:pt idx="1">
                  <c:v>1.3470805901711e-11</c:v>
                </c:pt>
                <c:pt idx="2">
                  <c:v>1.95486834050942e-11</c:v>
                </c:pt>
                <c:pt idx="3">
                  <c:v>2.62737309436016e-11</c:v>
                </c:pt>
                <c:pt idx="4">
                  <c:v>3.34135624864288e-11</c:v>
                </c:pt>
                <c:pt idx="5">
                  <c:v>4.07813886477347e-11</c:v>
                </c:pt>
                <c:pt idx="6">
                  <c:v>4.8233858653577e-11</c:v>
                </c:pt>
                <c:pt idx="7">
                  <c:v>5.56645190542776e-11</c:v>
                </c:pt>
                <c:pt idx="8">
                  <c:v>9.30007677704099e-11</c:v>
                </c:pt>
                <c:pt idx="9">
                  <c:v>2.20402515241227e-10</c:v>
                </c:pt>
                <c:pt idx="10">
                  <c:v>6.0471801067254e-10</c:v>
                </c:pt>
                <c:pt idx="11">
                  <c:v>1.80827929147159e-9</c:v>
                </c:pt>
                <c:pt idx="12">
                  <c:v>5.64575718381784e-9</c:v>
                </c:pt>
                <c:pt idx="13">
                  <c:v>5.64575718381784e-9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事故释放率!$A$13</c:f>
              <c:strCache>
                <c:ptCount val="1"/>
                <c:pt idx="0">
                  <c:v>I-131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事故释放率!$B$3:$O$3</c:f>
              <c:numCache>
                <c:formatCode>General</c:formatCode>
                <c:ptCount val="14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1100</c:v>
                </c:pt>
                <c:pt idx="8">
                  <c:v>1200</c:v>
                </c:pt>
                <c:pt idx="9">
                  <c:v>1300</c:v>
                </c:pt>
                <c:pt idx="10">
                  <c:v>1400</c:v>
                </c:pt>
                <c:pt idx="11">
                  <c:v>1500</c:v>
                </c:pt>
                <c:pt idx="12">
                  <c:v>1570</c:v>
                </c:pt>
                <c:pt idx="13">
                  <c:v>1620</c:v>
                </c:pt>
              </c:numCache>
            </c:numRef>
          </c:xVal>
          <c:yVal>
            <c:numRef>
              <c:f>事故释放率!$B$13:$O$13</c:f>
              <c:numCache>
                <c:formatCode>0.00E+00</c:formatCode>
                <c:ptCount val="14"/>
                <c:pt idx="0">
                  <c:v>2.90109691746309e-14</c:v>
                </c:pt>
                <c:pt idx="1">
                  <c:v>1.23358370924436e-13</c:v>
                </c:pt>
                <c:pt idx="2">
                  <c:v>3.76753252337639e-13</c:v>
                </c:pt>
                <c:pt idx="3">
                  <c:v>9.14468190280045e-13</c:v>
                </c:pt>
                <c:pt idx="4">
                  <c:v>1.87980514864473e-12</c:v>
                </c:pt>
                <c:pt idx="5">
                  <c:v>3.41251258748617e-12</c:v>
                </c:pt>
                <c:pt idx="6">
                  <c:v>5.62997764639666e-12</c:v>
                </c:pt>
                <c:pt idx="7">
                  <c:v>8.61438901718372e-12</c:v>
                </c:pt>
                <c:pt idx="8">
                  <c:v>1.95325987081703e-11</c:v>
                </c:pt>
                <c:pt idx="9">
                  <c:v>4.58046501680261e-11</c:v>
                </c:pt>
                <c:pt idx="10">
                  <c:v>1.1992062816466e-10</c:v>
                </c:pt>
                <c:pt idx="11">
                  <c:v>3.06445898378216e-10</c:v>
                </c:pt>
                <c:pt idx="12">
                  <c:v>5.91565261420097e-10</c:v>
                </c:pt>
                <c:pt idx="13">
                  <c:v>5.91565261420097e-10</c:v>
                </c:pt>
              </c:numCache>
            </c:numRef>
          </c:yVal>
          <c:smooth val="1"/>
        </c:ser>
        <c:ser>
          <c:idx val="10"/>
          <c:order val="10"/>
          <c:tx>
            <c:strRef>
              <c:f>事故释放率!$A$14</c:f>
              <c:strCache>
                <c:ptCount val="1"/>
                <c:pt idx="0">
                  <c:v>I-132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事故释放率!$B$3:$O$3</c:f>
              <c:numCache>
                <c:formatCode>General</c:formatCode>
                <c:ptCount val="14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1100</c:v>
                </c:pt>
                <c:pt idx="8">
                  <c:v>1200</c:v>
                </c:pt>
                <c:pt idx="9">
                  <c:v>1300</c:v>
                </c:pt>
                <c:pt idx="10">
                  <c:v>1400</c:v>
                </c:pt>
                <c:pt idx="11">
                  <c:v>1500</c:v>
                </c:pt>
                <c:pt idx="12">
                  <c:v>1570</c:v>
                </c:pt>
                <c:pt idx="13">
                  <c:v>1620</c:v>
                </c:pt>
              </c:numCache>
            </c:numRef>
          </c:xVal>
          <c:yVal>
            <c:numRef>
              <c:f>事故释放率!$B$14:$O$14</c:f>
              <c:numCache>
                <c:formatCode>0.00E+00</c:formatCode>
                <c:ptCount val="14"/>
                <c:pt idx="0">
                  <c:v>2.57374149755557e-13</c:v>
                </c:pt>
                <c:pt idx="1">
                  <c:v>1.09457879230122e-12</c:v>
                </c:pt>
                <c:pt idx="2">
                  <c:v>3.34456152523527e-12</c:v>
                </c:pt>
                <c:pt idx="3">
                  <c:v>8.12614766618798e-12</c:v>
                </c:pt>
                <c:pt idx="4">
                  <c:v>1.67344836374566e-11</c:v>
                </c:pt>
                <c:pt idx="5">
                  <c:v>3.04669107013866e-11</c:v>
                </c:pt>
                <c:pt idx="6">
                  <c:v>5.04776949897511e-11</c:v>
                </c:pt>
                <c:pt idx="7">
                  <c:v>7.7684904898935e-11</c:v>
                </c:pt>
                <c:pt idx="8">
                  <c:v>1.8012241543116e-10</c:v>
                </c:pt>
                <c:pt idx="9">
                  <c:v>4.28662996539263e-10</c:v>
                </c:pt>
                <c:pt idx="10">
                  <c:v>1.1849086266774e-9</c:v>
                </c:pt>
                <c:pt idx="11">
                  <c:v>3.61024180254114e-9</c:v>
                </c:pt>
                <c:pt idx="12">
                  <c:v>1.19858794904708e-8</c:v>
                </c:pt>
                <c:pt idx="13">
                  <c:v>1.19858794904708e-8</c:v>
                </c:pt>
              </c:numCache>
            </c:numRef>
          </c:yVal>
          <c:smooth val="1"/>
        </c:ser>
        <c:ser>
          <c:idx val="11"/>
          <c:order val="11"/>
          <c:tx>
            <c:strRef>
              <c:f>事故释放率!$A$15</c:f>
              <c:strCache>
                <c:ptCount val="1"/>
                <c:pt idx="0">
                  <c:v>I-133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事故释放率!$B$3:$O$3</c:f>
              <c:numCache>
                <c:formatCode>General</c:formatCode>
                <c:ptCount val="14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1100</c:v>
                </c:pt>
                <c:pt idx="8">
                  <c:v>1200</c:v>
                </c:pt>
                <c:pt idx="9">
                  <c:v>1300</c:v>
                </c:pt>
                <c:pt idx="10">
                  <c:v>1400</c:v>
                </c:pt>
                <c:pt idx="11">
                  <c:v>1500</c:v>
                </c:pt>
                <c:pt idx="12">
                  <c:v>1570</c:v>
                </c:pt>
                <c:pt idx="13">
                  <c:v>1620</c:v>
                </c:pt>
              </c:numCache>
            </c:numRef>
          </c:xVal>
          <c:yVal>
            <c:numRef>
              <c:f>事故释放率!$B$15:$O$15</c:f>
              <c:numCache>
                <c:formatCode>0.00E+00</c:formatCode>
                <c:ptCount val="14"/>
                <c:pt idx="0">
                  <c:v>8.79939547471332e-14</c:v>
                </c:pt>
                <c:pt idx="1">
                  <c:v>3.74210776334973e-13</c:v>
                </c:pt>
                <c:pt idx="2">
                  <c:v>1.14329489992658e-12</c:v>
                </c:pt>
                <c:pt idx="3">
                  <c:v>2.77713493849292e-12</c:v>
                </c:pt>
                <c:pt idx="4">
                  <c:v>5.71652328440237e-12</c:v>
                </c:pt>
                <c:pt idx="5">
                  <c:v>1.04001626906414e-11</c:v>
                </c:pt>
                <c:pt idx="6">
                  <c:v>1.72131817171483e-11</c:v>
                </c:pt>
                <c:pt idx="7">
                  <c:v>2.64535481585606e-11</c:v>
                </c:pt>
                <c:pt idx="8">
                  <c:v>6.10064535640374e-11</c:v>
                </c:pt>
                <c:pt idx="9">
                  <c:v>1.44677765139795e-10</c:v>
                </c:pt>
                <c:pt idx="10">
                  <c:v>3.94917153799737e-10</c:v>
                </c:pt>
                <c:pt idx="11">
                  <c:v>1.15883299578451e-9</c:v>
                </c:pt>
                <c:pt idx="12">
                  <c:v>3.37306602458913e-9</c:v>
                </c:pt>
                <c:pt idx="13">
                  <c:v>3.37306602458913e-9</c:v>
                </c:pt>
              </c:numCache>
            </c:numRef>
          </c:yVal>
          <c:smooth val="1"/>
        </c:ser>
        <c:ser>
          <c:idx val="12"/>
          <c:order val="12"/>
          <c:tx>
            <c:strRef>
              <c:f>事故释放率!$A$16</c:f>
              <c:strCache>
                <c:ptCount val="1"/>
                <c:pt idx="0">
                  <c:v>I-134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事故释放率!$B$3:$O$3</c:f>
              <c:numCache>
                <c:formatCode>General</c:formatCode>
                <c:ptCount val="14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1100</c:v>
                </c:pt>
                <c:pt idx="8">
                  <c:v>1200</c:v>
                </c:pt>
                <c:pt idx="9">
                  <c:v>1300</c:v>
                </c:pt>
                <c:pt idx="10">
                  <c:v>1400</c:v>
                </c:pt>
                <c:pt idx="11">
                  <c:v>1500</c:v>
                </c:pt>
                <c:pt idx="12">
                  <c:v>1570</c:v>
                </c:pt>
                <c:pt idx="13">
                  <c:v>1620</c:v>
                </c:pt>
              </c:numCache>
            </c:numRef>
          </c:xVal>
          <c:yVal>
            <c:numRef>
              <c:f>事故释放率!$B$16:$O$16</c:f>
              <c:numCache>
                <c:formatCode>0.00E+00</c:formatCode>
                <c:ptCount val="14"/>
                <c:pt idx="0">
                  <c:v>3.96924176655644e-13</c:v>
                </c:pt>
                <c:pt idx="1">
                  <c:v>1.68808070398451e-12</c:v>
                </c:pt>
                <c:pt idx="2">
                  <c:v>5.15816122896257e-12</c:v>
                </c:pt>
                <c:pt idx="3">
                  <c:v>1.25331647195952e-11</c:v>
                </c:pt>
                <c:pt idx="4">
                  <c:v>2.58121971546663e-11</c:v>
                </c:pt>
                <c:pt idx="5">
                  <c:v>4.70001868601657e-11</c:v>
                </c:pt>
                <c:pt idx="6">
                  <c:v>7.78854084830759e-11</c:v>
                </c:pt>
                <c:pt idx="7">
                  <c:v>1.19897369550869e-10</c:v>
                </c:pt>
                <c:pt idx="8">
                  <c:v>2.78280212715893e-10</c:v>
                </c:pt>
                <c:pt idx="9">
                  <c:v>6.62699085388379e-10</c:v>
                </c:pt>
                <c:pt idx="10">
                  <c:v>1.83612201870813e-9</c:v>
                </c:pt>
                <c:pt idx="11">
                  <c:v>5.63251737529546e-9</c:v>
                </c:pt>
                <c:pt idx="12">
                  <c:v>1.91088879457482e-8</c:v>
                </c:pt>
                <c:pt idx="13">
                  <c:v>1.91088879457482e-8</c:v>
                </c:pt>
              </c:numCache>
            </c:numRef>
          </c:yVal>
          <c:smooth val="1"/>
        </c:ser>
        <c:ser>
          <c:idx val="13"/>
          <c:order val="13"/>
          <c:tx>
            <c:strRef>
              <c:f>事故释放率!$A$17</c:f>
              <c:strCache>
                <c:ptCount val="1"/>
                <c:pt idx="0">
                  <c:v>I-135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事故释放率!$B$3:$O$3</c:f>
              <c:numCache>
                <c:formatCode>General</c:formatCode>
                <c:ptCount val="14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1100</c:v>
                </c:pt>
                <c:pt idx="8">
                  <c:v>1200</c:v>
                </c:pt>
                <c:pt idx="9">
                  <c:v>1300</c:v>
                </c:pt>
                <c:pt idx="10">
                  <c:v>1400</c:v>
                </c:pt>
                <c:pt idx="11">
                  <c:v>1500</c:v>
                </c:pt>
                <c:pt idx="12">
                  <c:v>1570</c:v>
                </c:pt>
                <c:pt idx="13">
                  <c:v>1620</c:v>
                </c:pt>
              </c:numCache>
            </c:numRef>
          </c:xVal>
          <c:yVal>
            <c:numRef>
              <c:f>事故释放率!$B$17:$O$17</c:f>
              <c:numCache>
                <c:formatCode>0.00E+00</c:formatCode>
                <c:ptCount val="14"/>
                <c:pt idx="0">
                  <c:v>1.55335913451487e-13</c:v>
                </c:pt>
                <c:pt idx="1">
                  <c:v>6.60613677093289e-13</c:v>
                </c:pt>
                <c:pt idx="2">
                  <c:v>2.01847070358602e-12</c:v>
                </c:pt>
                <c:pt idx="3">
                  <c:v>4.90378271741157e-12</c:v>
                </c:pt>
                <c:pt idx="4">
                  <c:v>1.00970047583671e-11</c:v>
                </c:pt>
                <c:pt idx="5">
                  <c:v>1.83781910366016e-11</c:v>
                </c:pt>
                <c:pt idx="6">
                  <c:v>3.04382139430134e-11</c:v>
                </c:pt>
                <c:pt idx="7">
                  <c:v>4.68214982232073e-11</c:v>
                </c:pt>
                <c:pt idx="8">
                  <c:v>1.08361461748338e-10</c:v>
                </c:pt>
                <c:pt idx="9">
                  <c:v>2.57574584434082e-10</c:v>
                </c:pt>
                <c:pt idx="10">
                  <c:v>7.08948513939703e-10</c:v>
                </c:pt>
                <c:pt idx="11">
                  <c:v>2.13307271204339e-9</c:v>
                </c:pt>
                <c:pt idx="12">
                  <c:v>6.79211210887751e-9</c:v>
                </c:pt>
                <c:pt idx="13">
                  <c:v>6.79211210887751e-9</c:v>
                </c:pt>
              </c:numCache>
            </c:numRef>
          </c:yVal>
          <c:smooth val="1"/>
        </c:ser>
        <c:ser>
          <c:idx val="14"/>
          <c:order val="14"/>
          <c:tx>
            <c:strRef>
              <c:f>事故释放率!$A$18</c:f>
              <c:strCache>
                <c:ptCount val="1"/>
                <c:pt idx="0">
                  <c:v>Sr-89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事故释放率!$B$3:$O$3</c:f>
              <c:numCache>
                <c:formatCode>General</c:formatCode>
                <c:ptCount val="14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1100</c:v>
                </c:pt>
                <c:pt idx="8">
                  <c:v>1200</c:v>
                </c:pt>
                <c:pt idx="9">
                  <c:v>1300</c:v>
                </c:pt>
                <c:pt idx="10">
                  <c:v>1400</c:v>
                </c:pt>
                <c:pt idx="11">
                  <c:v>1500</c:v>
                </c:pt>
                <c:pt idx="12">
                  <c:v>1570</c:v>
                </c:pt>
                <c:pt idx="13">
                  <c:v>1620</c:v>
                </c:pt>
              </c:numCache>
            </c:numRef>
          </c:xVal>
          <c:yVal>
            <c:numRef>
              <c:f>事故释放率!$B$18:$O$18</c:f>
              <c:numCache>
                <c:formatCode>0.00E+00</c:formatCode>
                <c:ptCount val="14"/>
                <c:pt idx="0">
                  <c:v>4.167e-21</c:v>
                </c:pt>
                <c:pt idx="1">
                  <c:v>4.167e-21</c:v>
                </c:pt>
                <c:pt idx="2">
                  <c:v>4.167e-21</c:v>
                </c:pt>
                <c:pt idx="3">
                  <c:v>3.041e-19</c:v>
                </c:pt>
                <c:pt idx="4">
                  <c:v>9.908e-18</c:v>
                </c:pt>
                <c:pt idx="5">
                  <c:v>9.45e-17</c:v>
                </c:pt>
                <c:pt idx="6">
                  <c:v>5.07e-16</c:v>
                </c:pt>
                <c:pt idx="7">
                  <c:v>3.12e-15</c:v>
                </c:pt>
                <c:pt idx="8">
                  <c:v>1.58e-14</c:v>
                </c:pt>
                <c:pt idx="9">
                  <c:v>8.74e-14</c:v>
                </c:pt>
                <c:pt idx="10">
                  <c:v>2.35e-13</c:v>
                </c:pt>
                <c:pt idx="11">
                  <c:v>1.04e-12</c:v>
                </c:pt>
                <c:pt idx="12">
                  <c:v>1.36e-12</c:v>
                </c:pt>
                <c:pt idx="13">
                  <c:v>1.448e-12</c:v>
                </c:pt>
              </c:numCache>
            </c:numRef>
          </c:yVal>
          <c:smooth val="1"/>
        </c:ser>
        <c:ser>
          <c:idx val="15"/>
          <c:order val="15"/>
          <c:tx>
            <c:strRef>
              <c:f>事故释放率!$A$19</c:f>
              <c:strCache>
                <c:ptCount val="1"/>
                <c:pt idx="0">
                  <c:v>Sr-90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事故释放率!$B$3:$O$3</c:f>
              <c:numCache>
                <c:formatCode>General</c:formatCode>
                <c:ptCount val="14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1100</c:v>
                </c:pt>
                <c:pt idx="8">
                  <c:v>1200</c:v>
                </c:pt>
                <c:pt idx="9">
                  <c:v>1300</c:v>
                </c:pt>
                <c:pt idx="10">
                  <c:v>1400</c:v>
                </c:pt>
                <c:pt idx="11">
                  <c:v>1500</c:v>
                </c:pt>
                <c:pt idx="12">
                  <c:v>1570</c:v>
                </c:pt>
                <c:pt idx="13">
                  <c:v>1620</c:v>
                </c:pt>
              </c:numCache>
            </c:numRef>
          </c:xVal>
          <c:yVal>
            <c:numRef>
              <c:f>事故释放率!$B$19:$O$19</c:f>
              <c:numCache>
                <c:formatCode>0.00E+00</c:formatCode>
                <c:ptCount val="14"/>
                <c:pt idx="0">
                  <c:v>4.167e-21</c:v>
                </c:pt>
                <c:pt idx="1">
                  <c:v>4.167e-21</c:v>
                </c:pt>
                <c:pt idx="2">
                  <c:v>4.167e-21</c:v>
                </c:pt>
                <c:pt idx="3">
                  <c:v>3.037e-19</c:v>
                </c:pt>
                <c:pt idx="4">
                  <c:v>9.496e-18</c:v>
                </c:pt>
                <c:pt idx="5">
                  <c:v>9.06e-17</c:v>
                </c:pt>
                <c:pt idx="6">
                  <c:v>4.86e-16</c:v>
                </c:pt>
                <c:pt idx="7">
                  <c:v>3e-15</c:v>
                </c:pt>
                <c:pt idx="8">
                  <c:v>1.52e-14</c:v>
                </c:pt>
                <c:pt idx="9">
                  <c:v>8.45e-14</c:v>
                </c:pt>
                <c:pt idx="10">
                  <c:v>2.3e-13</c:v>
                </c:pt>
                <c:pt idx="11">
                  <c:v>1.04e-12</c:v>
                </c:pt>
                <c:pt idx="12">
                  <c:v>1.38e-12</c:v>
                </c:pt>
                <c:pt idx="13">
                  <c:v>1.482e-12</c:v>
                </c:pt>
              </c:numCache>
            </c:numRef>
          </c:yVal>
          <c:smooth val="1"/>
        </c:ser>
        <c:ser>
          <c:idx val="16"/>
          <c:order val="16"/>
          <c:tx>
            <c:strRef>
              <c:f>事故释放率!$A$20</c:f>
              <c:strCache>
                <c:ptCount val="1"/>
                <c:pt idx="0">
                  <c:v>Cs-134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事故释放率!$B$3:$O$3</c:f>
              <c:numCache>
                <c:formatCode>General</c:formatCode>
                <c:ptCount val="14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1100</c:v>
                </c:pt>
                <c:pt idx="8">
                  <c:v>1200</c:v>
                </c:pt>
                <c:pt idx="9">
                  <c:v>1300</c:v>
                </c:pt>
                <c:pt idx="10">
                  <c:v>1400</c:v>
                </c:pt>
                <c:pt idx="11">
                  <c:v>1500</c:v>
                </c:pt>
                <c:pt idx="12">
                  <c:v>1570</c:v>
                </c:pt>
                <c:pt idx="13">
                  <c:v>1620</c:v>
                </c:pt>
              </c:numCache>
            </c:numRef>
          </c:xVal>
          <c:yVal>
            <c:numRef>
              <c:f>事故释放率!$B$20:$O$20</c:f>
              <c:numCache>
                <c:formatCode>0.00E+00</c:formatCode>
                <c:ptCount val="14"/>
                <c:pt idx="0">
                  <c:v>3.321e-16</c:v>
                </c:pt>
                <c:pt idx="1">
                  <c:v>3.321e-16</c:v>
                </c:pt>
                <c:pt idx="2">
                  <c:v>3.321e-16</c:v>
                </c:pt>
                <c:pt idx="3">
                  <c:v>1.455e-15</c:v>
                </c:pt>
                <c:pt idx="4">
                  <c:v>3.91e-14</c:v>
                </c:pt>
                <c:pt idx="5">
                  <c:v>1.39e-13</c:v>
                </c:pt>
                <c:pt idx="6">
                  <c:v>4.17e-13</c:v>
                </c:pt>
                <c:pt idx="7">
                  <c:v>1.11e-12</c:v>
                </c:pt>
                <c:pt idx="8">
                  <c:v>2.85e-12</c:v>
                </c:pt>
                <c:pt idx="9">
                  <c:v>9.77e-12</c:v>
                </c:pt>
                <c:pt idx="10">
                  <c:v>3.05e-11</c:v>
                </c:pt>
                <c:pt idx="11">
                  <c:v>8.37e-10</c:v>
                </c:pt>
                <c:pt idx="12">
                  <c:v>3.42e-9</c:v>
                </c:pt>
                <c:pt idx="13">
                  <c:v>4.566e-9</c:v>
                </c:pt>
              </c:numCache>
            </c:numRef>
          </c:yVal>
          <c:smooth val="1"/>
        </c:ser>
        <c:ser>
          <c:idx val="17"/>
          <c:order val="17"/>
          <c:tx>
            <c:strRef>
              <c:f>事故释放率!$A$21</c:f>
              <c:strCache>
                <c:ptCount val="1"/>
                <c:pt idx="0">
                  <c:v>Cs-137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事故释放率!$B$3:$O$3</c:f>
              <c:numCache>
                <c:formatCode>General</c:formatCode>
                <c:ptCount val="14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1100</c:v>
                </c:pt>
                <c:pt idx="8">
                  <c:v>1200</c:v>
                </c:pt>
                <c:pt idx="9">
                  <c:v>1300</c:v>
                </c:pt>
                <c:pt idx="10">
                  <c:v>1400</c:v>
                </c:pt>
                <c:pt idx="11">
                  <c:v>1500</c:v>
                </c:pt>
                <c:pt idx="12">
                  <c:v>1570</c:v>
                </c:pt>
                <c:pt idx="13">
                  <c:v>1620</c:v>
                </c:pt>
              </c:numCache>
            </c:numRef>
          </c:xVal>
          <c:yVal>
            <c:numRef>
              <c:f>事故释放率!$B$21:$O$21</c:f>
              <c:numCache>
                <c:formatCode>0.00E+00</c:formatCode>
                <c:ptCount val="14"/>
                <c:pt idx="0">
                  <c:v>2.948e-16</c:v>
                </c:pt>
                <c:pt idx="1">
                  <c:v>2.948e-16</c:v>
                </c:pt>
                <c:pt idx="2">
                  <c:v>2.948e-16</c:v>
                </c:pt>
                <c:pt idx="3">
                  <c:v>1.273e-15</c:v>
                </c:pt>
                <c:pt idx="4">
                  <c:v>4.496e-14</c:v>
                </c:pt>
                <c:pt idx="5">
                  <c:v>1.59e-13</c:v>
                </c:pt>
                <c:pt idx="6">
                  <c:v>4.17e-13</c:v>
                </c:pt>
                <c:pt idx="7">
                  <c:v>1.3e-12</c:v>
                </c:pt>
                <c:pt idx="8">
                  <c:v>3.33e-12</c:v>
                </c:pt>
                <c:pt idx="9">
                  <c:v>1.13e-11</c:v>
                </c:pt>
                <c:pt idx="10">
                  <c:v>3.4e-11</c:v>
                </c:pt>
                <c:pt idx="11">
                  <c:v>8.63e-10</c:v>
                </c:pt>
                <c:pt idx="12">
                  <c:v>3.44e-9</c:v>
                </c:pt>
                <c:pt idx="13">
                  <c:v>4.563e-9</c:v>
                </c:pt>
              </c:numCache>
            </c:numRef>
          </c:yVal>
          <c:smooth val="1"/>
        </c:ser>
        <c:ser>
          <c:idx val="18"/>
          <c:order val="18"/>
          <c:tx>
            <c:strRef>
              <c:f>事故释放率!$A$22</c:f>
              <c:strCache>
                <c:ptCount val="1"/>
                <c:pt idx="0">
                  <c:v>Ag-110m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事故释放率!$B$3:$O$3</c:f>
              <c:numCache>
                <c:formatCode>General</c:formatCode>
                <c:ptCount val="14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  <c:pt idx="5">
                  <c:v>900</c:v>
                </c:pt>
                <c:pt idx="6">
                  <c:v>1000</c:v>
                </c:pt>
                <c:pt idx="7">
                  <c:v>1100</c:v>
                </c:pt>
                <c:pt idx="8">
                  <c:v>1200</c:v>
                </c:pt>
                <c:pt idx="9">
                  <c:v>1300</c:v>
                </c:pt>
                <c:pt idx="10">
                  <c:v>1400</c:v>
                </c:pt>
                <c:pt idx="11">
                  <c:v>1500</c:v>
                </c:pt>
                <c:pt idx="12">
                  <c:v>1570</c:v>
                </c:pt>
                <c:pt idx="13">
                  <c:v>1620</c:v>
                </c:pt>
              </c:numCache>
            </c:numRef>
          </c:xVal>
          <c:yVal>
            <c:numRef>
              <c:f>事故释放率!$B$22:$O$22</c:f>
              <c:numCache>
                <c:formatCode>0.00E+00</c:formatCode>
                <c:ptCount val="14"/>
                <c:pt idx="0">
                  <c:v>1.39e-15</c:v>
                </c:pt>
                <c:pt idx="1">
                  <c:v>1.39e-15</c:v>
                </c:pt>
                <c:pt idx="2">
                  <c:v>1.39e-15</c:v>
                </c:pt>
                <c:pt idx="3">
                  <c:v>2.254e-13</c:v>
                </c:pt>
                <c:pt idx="4">
                  <c:v>1.923e-12</c:v>
                </c:pt>
                <c:pt idx="5">
                  <c:v>1.27e-11</c:v>
                </c:pt>
                <c:pt idx="6">
                  <c:v>5.28e-11</c:v>
                </c:pt>
                <c:pt idx="7">
                  <c:v>2.34e-10</c:v>
                </c:pt>
                <c:pt idx="8">
                  <c:v>1.18e-9</c:v>
                </c:pt>
                <c:pt idx="9">
                  <c:v>4.08e-9</c:v>
                </c:pt>
                <c:pt idx="10">
                  <c:v>5.9e-9</c:v>
                </c:pt>
                <c:pt idx="11">
                  <c:v>8.01e-9</c:v>
                </c:pt>
                <c:pt idx="12">
                  <c:v>5.84e-8</c:v>
                </c:pt>
                <c:pt idx="13">
                  <c:v>4.89e-7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867711"/>
        <c:axId val="717847444"/>
      </c:scatterChart>
      <c:valAx>
        <c:axId val="426867711"/>
        <c:scaling>
          <c:orientation val="minMax"/>
          <c:max val="165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7847444"/>
        <c:crossesAt val="0"/>
        <c:crossBetween val="midCat"/>
        <c:minorUnit val="50"/>
      </c:valAx>
      <c:valAx>
        <c:axId val="717847444"/>
        <c:scaling>
          <c:logBase val="10"/>
          <c:orientation val="minMax"/>
          <c:max val="1e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6867711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堆芯温度沿径向变化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'DN65-事故进程'!$B$4:$I$4</c:f>
              <c:numCache>
                <c:formatCode>0.00_ </c:formatCode>
                <c:ptCount val="8"/>
                <c:pt idx="0">
                  <c:v>17.68</c:v>
                </c:pt>
                <c:pt idx="1">
                  <c:v>31.58</c:v>
                </c:pt>
                <c:pt idx="2">
                  <c:v>54.25</c:v>
                </c:pt>
                <c:pt idx="3">
                  <c:v>82.31</c:v>
                </c:pt>
                <c:pt idx="4">
                  <c:v>106.26</c:v>
                </c:pt>
                <c:pt idx="5">
                  <c:v>125.73</c:v>
                </c:pt>
                <c:pt idx="6">
                  <c:v>142.56</c:v>
                </c:pt>
                <c:pt idx="7">
                  <c:v>150.78</c:v>
                </c:pt>
              </c:numCache>
            </c:numRef>
          </c:xVal>
          <c:yVal>
            <c:numRef>
              <c:f>'DN65-事故进程'!$B$5:$I$5</c:f>
              <c:numCache>
                <c:formatCode>0.00_ </c:formatCode>
                <c:ptCount val="8"/>
                <c:pt idx="0">
                  <c:v>280.89</c:v>
                </c:pt>
                <c:pt idx="1">
                  <c:v>280.56</c:v>
                </c:pt>
                <c:pt idx="2">
                  <c:v>279.65</c:v>
                </c:pt>
                <c:pt idx="3">
                  <c:v>278.05</c:v>
                </c:pt>
                <c:pt idx="4">
                  <c:v>276.31</c:v>
                </c:pt>
                <c:pt idx="5">
                  <c:v>274.93</c:v>
                </c:pt>
                <c:pt idx="6">
                  <c:v>274.66</c:v>
                </c:pt>
                <c:pt idx="7">
                  <c:v>270.37</c:v>
                </c:pt>
              </c:numCache>
            </c:numRef>
          </c:yVal>
          <c:smooth val="1"/>
        </c:ser>
        <c:ser>
          <c:idx val="2"/>
          <c:order val="1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'DN65-事故进程'!$B$4:$I$4</c:f>
              <c:numCache>
                <c:formatCode>0.00_ </c:formatCode>
                <c:ptCount val="8"/>
                <c:pt idx="0">
                  <c:v>17.68</c:v>
                </c:pt>
                <c:pt idx="1">
                  <c:v>31.58</c:v>
                </c:pt>
                <c:pt idx="2">
                  <c:v>54.25</c:v>
                </c:pt>
                <c:pt idx="3">
                  <c:v>82.31</c:v>
                </c:pt>
                <c:pt idx="4">
                  <c:v>106.26</c:v>
                </c:pt>
                <c:pt idx="5">
                  <c:v>125.73</c:v>
                </c:pt>
                <c:pt idx="6">
                  <c:v>142.56</c:v>
                </c:pt>
                <c:pt idx="7">
                  <c:v>150.78</c:v>
                </c:pt>
              </c:numCache>
            </c:numRef>
          </c:xVal>
          <c:yVal>
            <c:numRef>
              <c:f>'DN65-事故进程'!$B$6:$I$6</c:f>
              <c:numCache>
                <c:formatCode>0.00_ </c:formatCode>
                <c:ptCount val="8"/>
                <c:pt idx="0">
                  <c:v>310.73</c:v>
                </c:pt>
                <c:pt idx="1">
                  <c:v>309.79</c:v>
                </c:pt>
                <c:pt idx="2">
                  <c:v>307.32</c:v>
                </c:pt>
                <c:pt idx="3">
                  <c:v>302.79</c:v>
                </c:pt>
                <c:pt idx="4">
                  <c:v>297.88</c:v>
                </c:pt>
                <c:pt idx="5">
                  <c:v>294.08</c:v>
                </c:pt>
                <c:pt idx="6">
                  <c:v>292.75</c:v>
                </c:pt>
                <c:pt idx="7">
                  <c:v>283.93</c:v>
                </c:pt>
              </c:numCache>
            </c:numRef>
          </c:yVal>
          <c:smooth val="1"/>
        </c:ser>
        <c:ser>
          <c:idx val="3"/>
          <c:order val="2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'DN65-事故进程'!$B$4:$I$4</c:f>
              <c:numCache>
                <c:formatCode>0.00_ </c:formatCode>
                <c:ptCount val="8"/>
                <c:pt idx="0">
                  <c:v>17.68</c:v>
                </c:pt>
                <c:pt idx="1">
                  <c:v>31.58</c:v>
                </c:pt>
                <c:pt idx="2">
                  <c:v>54.25</c:v>
                </c:pt>
                <c:pt idx="3">
                  <c:v>82.31</c:v>
                </c:pt>
                <c:pt idx="4">
                  <c:v>106.26</c:v>
                </c:pt>
                <c:pt idx="5">
                  <c:v>125.73</c:v>
                </c:pt>
                <c:pt idx="6">
                  <c:v>142.56</c:v>
                </c:pt>
                <c:pt idx="7">
                  <c:v>150.78</c:v>
                </c:pt>
              </c:numCache>
            </c:numRef>
          </c:xVal>
          <c:yVal>
            <c:numRef>
              <c:f>'DN65-事故进程'!$B$7:$I$7</c:f>
              <c:numCache>
                <c:formatCode>0.00_ </c:formatCode>
                <c:ptCount val="8"/>
                <c:pt idx="0">
                  <c:v>349.36</c:v>
                </c:pt>
                <c:pt idx="1">
                  <c:v>347.62</c:v>
                </c:pt>
                <c:pt idx="2">
                  <c:v>343.16</c:v>
                </c:pt>
                <c:pt idx="3">
                  <c:v>335.01</c:v>
                </c:pt>
                <c:pt idx="4">
                  <c:v>326.28</c:v>
                </c:pt>
                <c:pt idx="5">
                  <c:v>319.56</c:v>
                </c:pt>
                <c:pt idx="6">
                  <c:v>316.87</c:v>
                </c:pt>
                <c:pt idx="7">
                  <c:v>304.88</c:v>
                </c:pt>
              </c:numCache>
            </c:numRef>
          </c:yVal>
          <c:smooth val="1"/>
        </c:ser>
        <c:ser>
          <c:idx val="4"/>
          <c:order val="3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xVal>
            <c:numRef>
              <c:f>'DN65-事故进程'!$B$4:$I$4</c:f>
              <c:numCache>
                <c:formatCode>0.00_ </c:formatCode>
                <c:ptCount val="8"/>
                <c:pt idx="0">
                  <c:v>17.68</c:v>
                </c:pt>
                <c:pt idx="1">
                  <c:v>31.58</c:v>
                </c:pt>
                <c:pt idx="2">
                  <c:v>54.25</c:v>
                </c:pt>
                <c:pt idx="3">
                  <c:v>82.31</c:v>
                </c:pt>
                <c:pt idx="4">
                  <c:v>106.26</c:v>
                </c:pt>
                <c:pt idx="5">
                  <c:v>125.73</c:v>
                </c:pt>
                <c:pt idx="6">
                  <c:v>142.56</c:v>
                </c:pt>
                <c:pt idx="7">
                  <c:v>150.78</c:v>
                </c:pt>
              </c:numCache>
            </c:numRef>
          </c:xVal>
          <c:yVal>
            <c:numRef>
              <c:f>'DN65-事故进程'!$B$8:$I$8</c:f>
              <c:numCache>
                <c:formatCode>0.00_ </c:formatCode>
                <c:ptCount val="8"/>
                <c:pt idx="0">
                  <c:v>395.14</c:v>
                </c:pt>
                <c:pt idx="1">
                  <c:v>392.45</c:v>
                </c:pt>
                <c:pt idx="2">
                  <c:v>385.74</c:v>
                </c:pt>
                <c:pt idx="3">
                  <c:v>373.61</c:v>
                </c:pt>
                <c:pt idx="4">
                  <c:v>360.68</c:v>
                </c:pt>
                <c:pt idx="5">
                  <c:v>350.76</c:v>
                </c:pt>
                <c:pt idx="6">
                  <c:v>346.58</c:v>
                </c:pt>
                <c:pt idx="7">
                  <c:v>330.95</c:v>
                </c:pt>
              </c:numCache>
            </c:numRef>
          </c:yVal>
          <c:smooth val="1"/>
        </c:ser>
        <c:ser>
          <c:idx val="5"/>
          <c:order val="4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numRef>
              <c:f>'DN65-事故进程'!$B$4:$I$4</c:f>
              <c:numCache>
                <c:formatCode>0.00_ </c:formatCode>
                <c:ptCount val="8"/>
                <c:pt idx="0">
                  <c:v>17.68</c:v>
                </c:pt>
                <c:pt idx="1">
                  <c:v>31.58</c:v>
                </c:pt>
                <c:pt idx="2">
                  <c:v>54.25</c:v>
                </c:pt>
                <c:pt idx="3">
                  <c:v>82.31</c:v>
                </c:pt>
                <c:pt idx="4">
                  <c:v>106.26</c:v>
                </c:pt>
                <c:pt idx="5">
                  <c:v>125.73</c:v>
                </c:pt>
                <c:pt idx="6">
                  <c:v>142.56</c:v>
                </c:pt>
                <c:pt idx="7">
                  <c:v>150.78</c:v>
                </c:pt>
              </c:numCache>
            </c:numRef>
          </c:xVal>
          <c:yVal>
            <c:numRef>
              <c:f>'DN65-事故进程'!$B$9:$I$9</c:f>
              <c:numCache>
                <c:formatCode>0.00_ </c:formatCode>
                <c:ptCount val="8"/>
                <c:pt idx="0">
                  <c:v>440.29</c:v>
                </c:pt>
                <c:pt idx="1">
                  <c:v>436.65</c:v>
                </c:pt>
                <c:pt idx="2">
                  <c:v>427.88</c:v>
                </c:pt>
                <c:pt idx="3">
                  <c:v>412.28</c:v>
                </c:pt>
                <c:pt idx="4">
                  <c:v>395.78</c:v>
                </c:pt>
                <c:pt idx="5">
                  <c:v>383.35</c:v>
                </c:pt>
                <c:pt idx="6">
                  <c:v>378.2</c:v>
                </c:pt>
                <c:pt idx="7">
                  <c:v>358.93</c:v>
                </c:pt>
              </c:numCache>
            </c:numRef>
          </c:yVal>
          <c:smooth val="1"/>
        </c:ser>
        <c:ser>
          <c:idx val="6"/>
          <c:order val="5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'DN65-事故进程'!$B$4:$I$4</c:f>
              <c:numCache>
                <c:formatCode>0.00_ </c:formatCode>
                <c:ptCount val="8"/>
                <c:pt idx="0">
                  <c:v>17.68</c:v>
                </c:pt>
                <c:pt idx="1">
                  <c:v>31.58</c:v>
                </c:pt>
                <c:pt idx="2">
                  <c:v>54.25</c:v>
                </c:pt>
                <c:pt idx="3">
                  <c:v>82.31</c:v>
                </c:pt>
                <c:pt idx="4">
                  <c:v>106.26</c:v>
                </c:pt>
                <c:pt idx="5">
                  <c:v>125.73</c:v>
                </c:pt>
                <c:pt idx="6">
                  <c:v>142.56</c:v>
                </c:pt>
                <c:pt idx="7">
                  <c:v>150.78</c:v>
                </c:pt>
              </c:numCache>
            </c:numRef>
          </c:xVal>
          <c:yVal>
            <c:numRef>
              <c:f>'DN65-事故进程'!$B$10:$I$10</c:f>
              <c:numCache>
                <c:formatCode>0.00_ </c:formatCode>
                <c:ptCount val="8"/>
                <c:pt idx="0">
                  <c:v>499.84</c:v>
                </c:pt>
                <c:pt idx="1">
                  <c:v>495.05</c:v>
                </c:pt>
                <c:pt idx="2">
                  <c:v>483.75</c:v>
                </c:pt>
                <c:pt idx="3">
                  <c:v>464.01</c:v>
                </c:pt>
                <c:pt idx="4">
                  <c:v>443.62</c:v>
                </c:pt>
                <c:pt idx="5">
                  <c:v>429.12</c:v>
                </c:pt>
                <c:pt idx="6">
                  <c:v>423.34</c:v>
                </c:pt>
                <c:pt idx="7">
                  <c:v>391.86</c:v>
                </c:pt>
              </c:numCache>
            </c:numRef>
          </c:yVal>
          <c:smooth val="1"/>
        </c:ser>
        <c:ser>
          <c:idx val="7"/>
          <c:order val="6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'DN65-事故进程'!$B$4:$I$4</c:f>
              <c:numCache>
                <c:formatCode>0.00_ </c:formatCode>
                <c:ptCount val="8"/>
                <c:pt idx="0">
                  <c:v>17.68</c:v>
                </c:pt>
                <c:pt idx="1">
                  <c:v>31.58</c:v>
                </c:pt>
                <c:pt idx="2">
                  <c:v>54.25</c:v>
                </c:pt>
                <c:pt idx="3">
                  <c:v>82.31</c:v>
                </c:pt>
                <c:pt idx="4">
                  <c:v>106.26</c:v>
                </c:pt>
                <c:pt idx="5">
                  <c:v>125.73</c:v>
                </c:pt>
                <c:pt idx="6">
                  <c:v>142.56</c:v>
                </c:pt>
                <c:pt idx="7">
                  <c:v>150.78</c:v>
                </c:pt>
              </c:numCache>
            </c:numRef>
          </c:xVal>
          <c:yVal>
            <c:numRef>
              <c:f>'DN65-事故进程'!$B$11:$I$11</c:f>
              <c:numCache>
                <c:formatCode>0.00_ </c:formatCode>
                <c:ptCount val="8"/>
                <c:pt idx="0">
                  <c:v>561.89</c:v>
                </c:pt>
                <c:pt idx="1">
                  <c:v>555.9</c:v>
                </c:pt>
                <c:pt idx="2">
                  <c:v>542.07</c:v>
                </c:pt>
                <c:pt idx="3">
                  <c:v>518.34</c:v>
                </c:pt>
                <c:pt idx="4">
                  <c:v>494.26</c:v>
                </c:pt>
                <c:pt idx="5">
                  <c:v>477.45</c:v>
                </c:pt>
                <c:pt idx="6">
                  <c:v>470.72</c:v>
                </c:pt>
                <c:pt idx="7">
                  <c:v>439.49</c:v>
                </c:pt>
              </c:numCache>
            </c:numRef>
          </c:yVal>
          <c:smooth val="1"/>
        </c:ser>
        <c:ser>
          <c:idx val="8"/>
          <c:order val="7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'DN65-事故进程'!$B$4:$I$4</c:f>
              <c:numCache>
                <c:formatCode>0.00_ </c:formatCode>
                <c:ptCount val="8"/>
                <c:pt idx="0">
                  <c:v>17.68</c:v>
                </c:pt>
                <c:pt idx="1">
                  <c:v>31.58</c:v>
                </c:pt>
                <c:pt idx="2">
                  <c:v>54.25</c:v>
                </c:pt>
                <c:pt idx="3">
                  <c:v>82.31</c:v>
                </c:pt>
                <c:pt idx="4">
                  <c:v>106.26</c:v>
                </c:pt>
                <c:pt idx="5">
                  <c:v>125.73</c:v>
                </c:pt>
                <c:pt idx="6">
                  <c:v>142.56</c:v>
                </c:pt>
                <c:pt idx="7">
                  <c:v>150.78</c:v>
                </c:pt>
              </c:numCache>
            </c:numRef>
          </c:xVal>
          <c:yVal>
            <c:numRef>
              <c:f>'DN65-事故进程'!$B$12:$I$12</c:f>
              <c:numCache>
                <c:formatCode>0.00_ </c:formatCode>
                <c:ptCount val="8"/>
                <c:pt idx="0">
                  <c:v>619.11</c:v>
                </c:pt>
                <c:pt idx="1">
                  <c:v>611.97</c:v>
                </c:pt>
                <c:pt idx="2">
                  <c:v>595.81</c:v>
                </c:pt>
                <c:pt idx="3">
                  <c:v>568.63</c:v>
                </c:pt>
                <c:pt idx="4">
                  <c:v>541.42</c:v>
                </c:pt>
                <c:pt idx="5">
                  <c:v>522.52</c:v>
                </c:pt>
                <c:pt idx="6">
                  <c:v>515.17</c:v>
                </c:pt>
                <c:pt idx="7">
                  <c:v>485.16</c:v>
                </c:pt>
              </c:numCache>
            </c:numRef>
          </c:yVal>
          <c:smooth val="1"/>
        </c:ser>
        <c:ser>
          <c:idx val="0"/>
          <c:order val="8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'DN65-事故进程'!$B$4:$I$4</c:f>
              <c:numCache>
                <c:formatCode>0.00_ </c:formatCode>
                <c:ptCount val="8"/>
                <c:pt idx="0">
                  <c:v>17.68</c:v>
                </c:pt>
                <c:pt idx="1">
                  <c:v>31.58</c:v>
                </c:pt>
                <c:pt idx="2">
                  <c:v>54.25</c:v>
                </c:pt>
                <c:pt idx="3">
                  <c:v>82.31</c:v>
                </c:pt>
                <c:pt idx="4">
                  <c:v>106.26</c:v>
                </c:pt>
                <c:pt idx="5">
                  <c:v>125.73</c:v>
                </c:pt>
                <c:pt idx="6">
                  <c:v>142.56</c:v>
                </c:pt>
                <c:pt idx="7">
                  <c:v>150.78</c:v>
                </c:pt>
              </c:numCache>
            </c:numRef>
          </c:xVal>
          <c:yVal>
            <c:numRef>
              <c:f>'DN65-事故进程'!$B$13:$I$13</c:f>
              <c:numCache>
                <c:formatCode>0.00_ </c:formatCode>
                <c:ptCount val="8"/>
                <c:pt idx="0">
                  <c:v>674.13</c:v>
                </c:pt>
                <c:pt idx="1">
                  <c:v>665.84</c:v>
                </c:pt>
                <c:pt idx="2">
                  <c:v>647.5</c:v>
                </c:pt>
                <c:pt idx="3">
                  <c:v>617.17</c:v>
                </c:pt>
                <c:pt idx="4">
                  <c:v>587.15</c:v>
                </c:pt>
                <c:pt idx="5">
                  <c:v>566.41</c:v>
                </c:pt>
                <c:pt idx="6">
                  <c:v>558.07</c:v>
                </c:pt>
                <c:pt idx="7">
                  <c:v>528.95</c:v>
                </c:pt>
              </c:numCache>
            </c:numRef>
          </c:yVal>
          <c:smooth val="1"/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'DN65-事故进程'!$B$4:$I$4</c:f>
              <c:numCache>
                <c:formatCode>0.00_ </c:formatCode>
                <c:ptCount val="8"/>
                <c:pt idx="0">
                  <c:v>17.68</c:v>
                </c:pt>
                <c:pt idx="1">
                  <c:v>31.58</c:v>
                </c:pt>
                <c:pt idx="2">
                  <c:v>54.25</c:v>
                </c:pt>
                <c:pt idx="3">
                  <c:v>82.31</c:v>
                </c:pt>
                <c:pt idx="4">
                  <c:v>106.26</c:v>
                </c:pt>
                <c:pt idx="5">
                  <c:v>125.73</c:v>
                </c:pt>
                <c:pt idx="6">
                  <c:v>142.56</c:v>
                </c:pt>
                <c:pt idx="7">
                  <c:v>150.78</c:v>
                </c:pt>
              </c:numCache>
            </c:numRef>
          </c:xVal>
          <c:yVal>
            <c:numRef>
              <c:f>'DN65-事故进程'!$B$14:$I$14</c:f>
              <c:numCache>
                <c:formatCode>0.00_ </c:formatCode>
                <c:ptCount val="8"/>
                <c:pt idx="0">
                  <c:v>725.42</c:v>
                </c:pt>
                <c:pt idx="1">
                  <c:v>716.06</c:v>
                </c:pt>
                <c:pt idx="2">
                  <c:v>695.72</c:v>
                </c:pt>
                <c:pt idx="3">
                  <c:v>662.65</c:v>
                </c:pt>
                <c:pt idx="4">
                  <c:v>630.25</c:v>
                </c:pt>
                <c:pt idx="5">
                  <c:v>607.89</c:v>
                </c:pt>
                <c:pt idx="6">
                  <c:v>598.48</c:v>
                </c:pt>
                <c:pt idx="7">
                  <c:v>570.97</c:v>
                </c:pt>
              </c:numCache>
            </c:numRef>
          </c:yVal>
          <c:smooth val="1"/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'DN65-事故进程'!$B$4:$I$4</c:f>
              <c:numCache>
                <c:formatCode>0.00_ </c:formatCode>
                <c:ptCount val="8"/>
                <c:pt idx="0">
                  <c:v>17.68</c:v>
                </c:pt>
                <c:pt idx="1">
                  <c:v>31.58</c:v>
                </c:pt>
                <c:pt idx="2">
                  <c:v>54.25</c:v>
                </c:pt>
                <c:pt idx="3">
                  <c:v>82.31</c:v>
                </c:pt>
                <c:pt idx="4">
                  <c:v>106.26</c:v>
                </c:pt>
                <c:pt idx="5">
                  <c:v>125.73</c:v>
                </c:pt>
                <c:pt idx="6">
                  <c:v>142.56</c:v>
                </c:pt>
                <c:pt idx="7">
                  <c:v>150.78</c:v>
                </c:pt>
              </c:numCache>
            </c:numRef>
          </c:xVal>
          <c:yVal>
            <c:numRef>
              <c:f>'DN65-事故进程'!$B$15:$I$15</c:f>
              <c:numCache>
                <c:formatCode>0.00_ </c:formatCode>
                <c:ptCount val="8"/>
                <c:pt idx="0">
                  <c:v>771.98</c:v>
                </c:pt>
                <c:pt idx="1">
                  <c:v>761.69</c:v>
                </c:pt>
                <c:pt idx="2">
                  <c:v>739.65</c:v>
                </c:pt>
                <c:pt idx="3">
                  <c:v>704.32</c:v>
                </c:pt>
                <c:pt idx="4">
                  <c:v>670</c:v>
                </c:pt>
                <c:pt idx="5">
                  <c:v>646.22</c:v>
                </c:pt>
                <c:pt idx="6">
                  <c:v>635.66</c:v>
                </c:pt>
                <c:pt idx="7">
                  <c:v>608.35</c:v>
                </c:pt>
              </c:numCache>
            </c:numRef>
          </c:yVal>
          <c:smooth val="1"/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'DN65-事故进程'!$B$4:$I$4</c:f>
              <c:numCache>
                <c:formatCode>0.00_ </c:formatCode>
                <c:ptCount val="8"/>
                <c:pt idx="0">
                  <c:v>17.68</c:v>
                </c:pt>
                <c:pt idx="1">
                  <c:v>31.58</c:v>
                </c:pt>
                <c:pt idx="2">
                  <c:v>54.25</c:v>
                </c:pt>
                <c:pt idx="3">
                  <c:v>82.31</c:v>
                </c:pt>
                <c:pt idx="4">
                  <c:v>106.26</c:v>
                </c:pt>
                <c:pt idx="5">
                  <c:v>125.73</c:v>
                </c:pt>
                <c:pt idx="6">
                  <c:v>142.56</c:v>
                </c:pt>
                <c:pt idx="7">
                  <c:v>150.78</c:v>
                </c:pt>
              </c:numCache>
            </c:numRef>
          </c:xVal>
          <c:yVal>
            <c:numRef>
              <c:f>'DN65-事故进程'!$B$16:$I$16</c:f>
              <c:numCache>
                <c:formatCode>0.00_ </c:formatCode>
                <c:ptCount val="8"/>
                <c:pt idx="0">
                  <c:v>813.34</c:v>
                </c:pt>
                <c:pt idx="1">
                  <c:v>802.22</c:v>
                </c:pt>
                <c:pt idx="2">
                  <c:v>778.75</c:v>
                </c:pt>
                <c:pt idx="3">
                  <c:v>741.68</c:v>
                </c:pt>
                <c:pt idx="4">
                  <c:v>705.9</c:v>
                </c:pt>
                <c:pt idx="5">
                  <c:v>681</c:v>
                </c:pt>
                <c:pt idx="6">
                  <c:v>669.32</c:v>
                </c:pt>
                <c:pt idx="7">
                  <c:v>643.74</c:v>
                </c:pt>
              </c:numCache>
            </c:numRef>
          </c:yVal>
          <c:smooth val="1"/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'DN65-事故进程'!$B$4:$I$4</c:f>
              <c:numCache>
                <c:formatCode>0.00_ </c:formatCode>
                <c:ptCount val="8"/>
                <c:pt idx="0">
                  <c:v>17.68</c:v>
                </c:pt>
                <c:pt idx="1">
                  <c:v>31.58</c:v>
                </c:pt>
                <c:pt idx="2">
                  <c:v>54.25</c:v>
                </c:pt>
                <c:pt idx="3">
                  <c:v>82.31</c:v>
                </c:pt>
                <c:pt idx="4">
                  <c:v>106.26</c:v>
                </c:pt>
                <c:pt idx="5">
                  <c:v>125.73</c:v>
                </c:pt>
                <c:pt idx="6">
                  <c:v>142.56</c:v>
                </c:pt>
                <c:pt idx="7">
                  <c:v>150.78</c:v>
                </c:pt>
              </c:numCache>
            </c:numRef>
          </c:xVal>
          <c:yVal>
            <c:numRef>
              <c:f>'DN65-事故进程'!$B$17:$I$17</c:f>
              <c:numCache>
                <c:formatCode>0.00_ </c:formatCode>
                <c:ptCount val="8"/>
                <c:pt idx="0">
                  <c:v>849.34</c:v>
                </c:pt>
                <c:pt idx="1">
                  <c:v>837.52</c:v>
                </c:pt>
                <c:pt idx="2">
                  <c:v>812.88</c:v>
                </c:pt>
                <c:pt idx="3">
                  <c:v>774.54</c:v>
                </c:pt>
                <c:pt idx="4">
                  <c:v>737.8</c:v>
                </c:pt>
                <c:pt idx="5">
                  <c:v>712.04</c:v>
                </c:pt>
                <c:pt idx="6">
                  <c:v>699.43</c:v>
                </c:pt>
                <c:pt idx="7">
                  <c:v>675.51</c:v>
                </c:pt>
              </c:numCache>
            </c:numRef>
          </c:yVal>
          <c:smooth val="1"/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'DN65-事故进程'!$B$4:$I$4</c:f>
              <c:numCache>
                <c:formatCode>0.00_ </c:formatCode>
                <c:ptCount val="8"/>
                <c:pt idx="0">
                  <c:v>17.68</c:v>
                </c:pt>
                <c:pt idx="1">
                  <c:v>31.58</c:v>
                </c:pt>
                <c:pt idx="2">
                  <c:v>54.25</c:v>
                </c:pt>
                <c:pt idx="3">
                  <c:v>82.31</c:v>
                </c:pt>
                <c:pt idx="4">
                  <c:v>106.26</c:v>
                </c:pt>
                <c:pt idx="5">
                  <c:v>125.73</c:v>
                </c:pt>
                <c:pt idx="6">
                  <c:v>142.56</c:v>
                </c:pt>
                <c:pt idx="7">
                  <c:v>150.78</c:v>
                </c:pt>
              </c:numCache>
            </c:numRef>
          </c:xVal>
          <c:yVal>
            <c:numRef>
              <c:f>'DN65-事故进程'!$B$18:$I$18</c:f>
              <c:numCache>
                <c:formatCode>0.00_ </c:formatCode>
                <c:ptCount val="8"/>
                <c:pt idx="0">
                  <c:v>880.03</c:v>
                </c:pt>
                <c:pt idx="1">
                  <c:v>867.63</c:v>
                </c:pt>
                <c:pt idx="2">
                  <c:v>842.1</c:v>
                </c:pt>
                <c:pt idx="3">
                  <c:v>802.9</c:v>
                </c:pt>
                <c:pt idx="4">
                  <c:v>765.59</c:v>
                </c:pt>
                <c:pt idx="5">
                  <c:v>739.27</c:v>
                </c:pt>
                <c:pt idx="6">
                  <c:v>725.91</c:v>
                </c:pt>
                <c:pt idx="7">
                  <c:v>703.23</c:v>
                </c:pt>
              </c:numCache>
            </c:numRef>
          </c:yVal>
          <c:smooth val="1"/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'DN65-事故进程'!$B$4:$I$4</c:f>
              <c:numCache>
                <c:formatCode>0.00_ </c:formatCode>
                <c:ptCount val="8"/>
                <c:pt idx="0">
                  <c:v>17.68</c:v>
                </c:pt>
                <c:pt idx="1">
                  <c:v>31.58</c:v>
                </c:pt>
                <c:pt idx="2">
                  <c:v>54.25</c:v>
                </c:pt>
                <c:pt idx="3">
                  <c:v>82.31</c:v>
                </c:pt>
                <c:pt idx="4">
                  <c:v>106.26</c:v>
                </c:pt>
                <c:pt idx="5">
                  <c:v>125.73</c:v>
                </c:pt>
                <c:pt idx="6">
                  <c:v>142.56</c:v>
                </c:pt>
                <c:pt idx="7">
                  <c:v>150.78</c:v>
                </c:pt>
              </c:numCache>
            </c:numRef>
          </c:xVal>
          <c:yVal>
            <c:numRef>
              <c:f>'DN65-事故进程'!$B$19:$I$19</c:f>
              <c:numCache>
                <c:formatCode>0.00_ </c:formatCode>
                <c:ptCount val="8"/>
                <c:pt idx="0">
                  <c:v>905.63</c:v>
                </c:pt>
                <c:pt idx="1">
                  <c:v>892.76</c:v>
                </c:pt>
                <c:pt idx="2">
                  <c:v>866.59</c:v>
                </c:pt>
                <c:pt idx="3">
                  <c:v>826.91</c:v>
                </c:pt>
                <c:pt idx="4">
                  <c:v>789.37</c:v>
                </c:pt>
                <c:pt idx="5">
                  <c:v>762.78</c:v>
                </c:pt>
                <c:pt idx="6">
                  <c:v>748.72</c:v>
                </c:pt>
                <c:pt idx="7">
                  <c:v>726.3</c:v>
                </c:pt>
              </c:numCache>
            </c:numRef>
          </c:yVal>
          <c:smooth val="1"/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'DN65-事故进程'!$B$4:$I$4</c:f>
              <c:numCache>
                <c:formatCode>0.00_ </c:formatCode>
                <c:ptCount val="8"/>
                <c:pt idx="0">
                  <c:v>17.68</c:v>
                </c:pt>
                <c:pt idx="1">
                  <c:v>31.58</c:v>
                </c:pt>
                <c:pt idx="2">
                  <c:v>54.25</c:v>
                </c:pt>
                <c:pt idx="3">
                  <c:v>82.31</c:v>
                </c:pt>
                <c:pt idx="4">
                  <c:v>106.26</c:v>
                </c:pt>
                <c:pt idx="5">
                  <c:v>125.73</c:v>
                </c:pt>
                <c:pt idx="6">
                  <c:v>142.56</c:v>
                </c:pt>
                <c:pt idx="7">
                  <c:v>150.78</c:v>
                </c:pt>
              </c:numCache>
            </c:numRef>
          </c:xVal>
          <c:yVal>
            <c:numRef>
              <c:f>'DN65-事故进程'!$B$20:$I$20</c:f>
              <c:numCache>
                <c:formatCode>0.00_ </c:formatCode>
                <c:ptCount val="8"/>
                <c:pt idx="0">
                  <c:v>926.37</c:v>
                </c:pt>
                <c:pt idx="1">
                  <c:v>913.14</c:v>
                </c:pt>
                <c:pt idx="2">
                  <c:v>886.56</c:v>
                </c:pt>
                <c:pt idx="3">
                  <c:v>846.72</c:v>
                </c:pt>
                <c:pt idx="4">
                  <c:v>809.26</c:v>
                </c:pt>
                <c:pt idx="5">
                  <c:v>782.59</c:v>
                </c:pt>
                <c:pt idx="6">
                  <c:v>767.12</c:v>
                </c:pt>
                <c:pt idx="7">
                  <c:v>740.34</c:v>
                </c:pt>
              </c:numCache>
            </c:numRef>
          </c:yVal>
          <c:smooth val="1"/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'DN65-事故进程'!$B$4:$I$4</c:f>
              <c:numCache>
                <c:formatCode>0.00_ </c:formatCode>
                <c:ptCount val="8"/>
                <c:pt idx="0">
                  <c:v>17.68</c:v>
                </c:pt>
                <c:pt idx="1">
                  <c:v>31.58</c:v>
                </c:pt>
                <c:pt idx="2">
                  <c:v>54.25</c:v>
                </c:pt>
                <c:pt idx="3">
                  <c:v>82.31</c:v>
                </c:pt>
                <c:pt idx="4">
                  <c:v>106.26</c:v>
                </c:pt>
                <c:pt idx="5">
                  <c:v>125.73</c:v>
                </c:pt>
                <c:pt idx="6">
                  <c:v>142.56</c:v>
                </c:pt>
                <c:pt idx="7">
                  <c:v>150.78</c:v>
                </c:pt>
              </c:numCache>
            </c:numRef>
          </c:xVal>
          <c:yVal>
            <c:numRef>
              <c:f>'DN65-事故进程'!$B$21:$I$21</c:f>
              <c:numCache>
                <c:formatCode>0.00_ </c:formatCode>
                <c:ptCount val="8"/>
                <c:pt idx="0">
                  <c:v>943.22</c:v>
                </c:pt>
                <c:pt idx="1">
                  <c:v>929.66</c:v>
                </c:pt>
                <c:pt idx="2">
                  <c:v>902.85</c:v>
                </c:pt>
                <c:pt idx="3">
                  <c:v>863.11</c:v>
                </c:pt>
                <c:pt idx="4">
                  <c:v>825.98</c:v>
                </c:pt>
                <c:pt idx="5">
                  <c:v>799.08</c:v>
                </c:pt>
                <c:pt idx="6">
                  <c:v>778.27</c:v>
                </c:pt>
                <c:pt idx="7">
                  <c:v>738.48</c:v>
                </c:pt>
              </c:numCache>
            </c:numRef>
          </c:yVal>
          <c:smooth val="1"/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'DN65-事故进程'!$B$4:$I$4</c:f>
              <c:numCache>
                <c:formatCode>0.00_ </c:formatCode>
                <c:ptCount val="8"/>
                <c:pt idx="0">
                  <c:v>17.68</c:v>
                </c:pt>
                <c:pt idx="1">
                  <c:v>31.58</c:v>
                </c:pt>
                <c:pt idx="2">
                  <c:v>54.25</c:v>
                </c:pt>
                <c:pt idx="3">
                  <c:v>82.31</c:v>
                </c:pt>
                <c:pt idx="4">
                  <c:v>106.26</c:v>
                </c:pt>
                <c:pt idx="5">
                  <c:v>125.73</c:v>
                </c:pt>
                <c:pt idx="6">
                  <c:v>142.56</c:v>
                </c:pt>
                <c:pt idx="7">
                  <c:v>150.78</c:v>
                </c:pt>
              </c:numCache>
            </c:numRef>
          </c:xVal>
          <c:yVal>
            <c:numRef>
              <c:f>'DN65-事故进程'!$B$22:$I$22</c:f>
              <c:numCache>
                <c:formatCode>0.00_ </c:formatCode>
                <c:ptCount val="8"/>
                <c:pt idx="0">
                  <c:v>954.59</c:v>
                </c:pt>
                <c:pt idx="1">
                  <c:v>940.8</c:v>
                </c:pt>
                <c:pt idx="2">
                  <c:v>913.8</c:v>
                </c:pt>
                <c:pt idx="3">
                  <c:v>874.25</c:v>
                </c:pt>
                <c:pt idx="4">
                  <c:v>837.42</c:v>
                </c:pt>
                <c:pt idx="5">
                  <c:v>808.35</c:v>
                </c:pt>
                <c:pt idx="6">
                  <c:v>767.54</c:v>
                </c:pt>
                <c:pt idx="7">
                  <c:v>691.96</c:v>
                </c:pt>
              </c:numCache>
            </c:numRef>
          </c:yVal>
          <c:smooth val="1"/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'DN65-事故进程'!$B$4:$I$4</c:f>
              <c:numCache>
                <c:formatCode>0.00_ </c:formatCode>
                <c:ptCount val="8"/>
                <c:pt idx="0">
                  <c:v>17.68</c:v>
                </c:pt>
                <c:pt idx="1">
                  <c:v>31.58</c:v>
                </c:pt>
                <c:pt idx="2">
                  <c:v>54.25</c:v>
                </c:pt>
                <c:pt idx="3">
                  <c:v>82.31</c:v>
                </c:pt>
                <c:pt idx="4">
                  <c:v>106.26</c:v>
                </c:pt>
                <c:pt idx="5">
                  <c:v>125.73</c:v>
                </c:pt>
                <c:pt idx="6">
                  <c:v>142.56</c:v>
                </c:pt>
                <c:pt idx="7">
                  <c:v>150.78</c:v>
                </c:pt>
              </c:numCache>
            </c:numRef>
          </c:xVal>
          <c:yVal>
            <c:numRef>
              <c:f>'DN65-事故进程'!$B$23:$I$23</c:f>
              <c:numCache>
                <c:formatCode>0.00_ </c:formatCode>
                <c:ptCount val="8"/>
                <c:pt idx="0">
                  <c:v>961.57</c:v>
                </c:pt>
                <c:pt idx="1">
                  <c:v>947.23</c:v>
                </c:pt>
                <c:pt idx="2">
                  <c:v>921.22</c:v>
                </c:pt>
                <c:pt idx="3">
                  <c:v>881.65</c:v>
                </c:pt>
                <c:pt idx="4">
                  <c:v>843.75</c:v>
                </c:pt>
                <c:pt idx="5">
                  <c:v>802.98</c:v>
                </c:pt>
                <c:pt idx="6">
                  <c:v>705.43</c:v>
                </c:pt>
                <c:pt idx="7">
                  <c:v>572.8</c:v>
                </c:pt>
              </c:numCache>
            </c:numRef>
          </c:yVal>
          <c:smooth val="1"/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'DN65-事故进程'!$B$4:$I$4</c:f>
              <c:numCache>
                <c:formatCode>0.00_ </c:formatCode>
                <c:ptCount val="8"/>
                <c:pt idx="0">
                  <c:v>17.68</c:v>
                </c:pt>
                <c:pt idx="1">
                  <c:v>31.58</c:v>
                </c:pt>
                <c:pt idx="2">
                  <c:v>54.25</c:v>
                </c:pt>
                <c:pt idx="3">
                  <c:v>82.31</c:v>
                </c:pt>
                <c:pt idx="4">
                  <c:v>106.26</c:v>
                </c:pt>
                <c:pt idx="5">
                  <c:v>125.73</c:v>
                </c:pt>
                <c:pt idx="6">
                  <c:v>142.56</c:v>
                </c:pt>
                <c:pt idx="7">
                  <c:v>150.78</c:v>
                </c:pt>
              </c:numCache>
            </c:numRef>
          </c:xVal>
          <c:yVal>
            <c:numRef>
              <c:f>'DN65-事故进程'!$B$24:$I$24</c:f>
              <c:numCache>
                <c:formatCode>0.00_ </c:formatCode>
                <c:ptCount val="8"/>
                <c:pt idx="0">
                  <c:v>973.17</c:v>
                </c:pt>
                <c:pt idx="1">
                  <c:v>963.66</c:v>
                </c:pt>
                <c:pt idx="2">
                  <c:v>934.07</c:v>
                </c:pt>
                <c:pt idx="3">
                  <c:v>890.11</c:v>
                </c:pt>
                <c:pt idx="4">
                  <c:v>843.36</c:v>
                </c:pt>
                <c:pt idx="5">
                  <c:v>767.04</c:v>
                </c:pt>
                <c:pt idx="6">
                  <c:v>604.54</c:v>
                </c:pt>
                <c:pt idx="7">
                  <c:v>458.62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2364146"/>
        <c:axId val="66403673"/>
      </c:scatterChart>
      <c:valAx>
        <c:axId val="75236414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403673"/>
        <c:crosses val="autoZero"/>
        <c:crossBetween val="midCat"/>
      </c:valAx>
      <c:valAx>
        <c:axId val="6640367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236414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堆芯温度沿径向变化</a:t>
            </a:r>
            <a:r>
              <a:rPr lang="en-US" altLang="zh-CN"/>
              <a:t>-</a:t>
            </a:r>
            <a:r>
              <a:rPr altLang="en-US"/>
              <a:t>插值后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'DN65-事故进程'!$L$4:$V$4</c:f>
              <c:numCache>
                <c:formatCode>0.0_ </c:formatCode>
                <c:ptCount val="11"/>
                <c:pt idx="0">
                  <c:v>0</c:v>
                </c:pt>
                <c:pt idx="1">
                  <c:v>47.4341649025257</c:v>
                </c:pt>
                <c:pt idx="2">
                  <c:v>67.0820393249937</c:v>
                </c:pt>
                <c:pt idx="3">
                  <c:v>82.1583836257749</c:v>
                </c:pt>
                <c:pt idx="4">
                  <c:v>94.8683298050514</c:v>
                </c:pt>
                <c:pt idx="5">
                  <c:v>106.066017177982</c:v>
                </c:pt>
                <c:pt idx="6">
                  <c:v>116.189500386223</c:v>
                </c:pt>
                <c:pt idx="7">
                  <c:v>125.499003980111</c:v>
                </c:pt>
                <c:pt idx="8">
                  <c:v>134.164078649987</c:v>
                </c:pt>
                <c:pt idx="9">
                  <c:v>142.302494707577</c:v>
                </c:pt>
                <c:pt idx="10">
                  <c:v>150</c:v>
                </c:pt>
              </c:numCache>
            </c:numRef>
          </c:xVal>
          <c:yVal>
            <c:numRef>
              <c:f>'DN65-事故进程'!$L$5:$V$5</c:f>
              <c:numCache>
                <c:formatCode>0.00_ </c:formatCode>
                <c:ptCount val="11"/>
                <c:pt idx="0">
                  <c:v>281.309741007194</c:v>
                </c:pt>
                <c:pt idx="1">
                  <c:v>279.923595497958</c:v>
                </c:pt>
                <c:pt idx="2">
                  <c:v>278.918308520314</c:v>
                </c:pt>
                <c:pt idx="3">
                  <c:v>278.05864526724</c:v>
                </c:pt>
                <c:pt idx="4">
                  <c:v>277.137620298088</c:v>
                </c:pt>
                <c:pt idx="5">
                  <c:v>276.324093115253</c:v>
                </c:pt>
                <c:pt idx="6">
                  <c:v>275.60621414828</c:v>
                </c:pt>
                <c:pt idx="7">
                  <c:v>274.946372599253</c:v>
                </c:pt>
                <c:pt idx="8">
                  <c:v>274.794693925401</c:v>
                </c:pt>
                <c:pt idx="9">
                  <c:v>274.664131100948</c:v>
                </c:pt>
                <c:pt idx="10">
                  <c:v>270.777080291971</c:v>
                </c:pt>
              </c:numCache>
            </c:numRef>
          </c:yVal>
          <c:smooth val="1"/>
        </c:ser>
        <c:ser>
          <c:idx val="2"/>
          <c:order val="1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'DN65-事故进程'!$L$4:$V$4</c:f>
              <c:numCache>
                <c:formatCode>0.0_ </c:formatCode>
                <c:ptCount val="11"/>
                <c:pt idx="0">
                  <c:v>0</c:v>
                </c:pt>
                <c:pt idx="1">
                  <c:v>47.4341649025257</c:v>
                </c:pt>
                <c:pt idx="2">
                  <c:v>67.0820393249937</c:v>
                </c:pt>
                <c:pt idx="3">
                  <c:v>82.1583836257749</c:v>
                </c:pt>
                <c:pt idx="4">
                  <c:v>94.8683298050514</c:v>
                </c:pt>
                <c:pt idx="5">
                  <c:v>106.066017177982</c:v>
                </c:pt>
                <c:pt idx="6">
                  <c:v>116.189500386223</c:v>
                </c:pt>
                <c:pt idx="7">
                  <c:v>125.499003980111</c:v>
                </c:pt>
                <c:pt idx="8">
                  <c:v>134.164078649987</c:v>
                </c:pt>
                <c:pt idx="9">
                  <c:v>142.302494707577</c:v>
                </c:pt>
                <c:pt idx="10">
                  <c:v>150</c:v>
                </c:pt>
              </c:numCache>
            </c:numRef>
          </c:xVal>
          <c:yVal>
            <c:numRef>
              <c:f>'DN65-事故进程'!$L$6:$V$6</c:f>
              <c:numCache>
                <c:formatCode>0.00_ </c:formatCode>
                <c:ptCount val="11"/>
                <c:pt idx="0">
                  <c:v>311.925625899281</c:v>
                </c:pt>
                <c:pt idx="1">
                  <c:v>308.0626163516</c:v>
                </c:pt>
                <c:pt idx="2">
                  <c:v>305.248398498139</c:v>
                </c:pt>
                <c:pt idx="3">
                  <c:v>302.814476912874</c:v>
                </c:pt>
                <c:pt idx="4">
                  <c:v>300.215411300927</c:v>
                </c:pt>
                <c:pt idx="5">
                  <c:v>297.919768503387</c:v>
                </c:pt>
                <c:pt idx="6">
                  <c:v>295.942038959032</c:v>
                </c:pt>
                <c:pt idx="7">
                  <c:v>294.125083968956</c:v>
                </c:pt>
                <c:pt idx="8">
                  <c:v>293.413492299199</c:v>
                </c:pt>
                <c:pt idx="9">
                  <c:v>292.770349497262</c:v>
                </c:pt>
                <c:pt idx="10">
                  <c:v>284.766934306569</c:v>
                </c:pt>
              </c:numCache>
            </c:numRef>
          </c:yVal>
          <c:smooth val="1"/>
        </c:ser>
        <c:ser>
          <c:idx val="3"/>
          <c:order val="2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'DN65-事故进程'!$L$4:$V$4</c:f>
              <c:numCache>
                <c:formatCode>0.0_ </c:formatCode>
                <c:ptCount val="11"/>
                <c:pt idx="0">
                  <c:v>0</c:v>
                </c:pt>
                <c:pt idx="1">
                  <c:v>47.4341649025257</c:v>
                </c:pt>
                <c:pt idx="2">
                  <c:v>67.0820393249937</c:v>
                </c:pt>
                <c:pt idx="3">
                  <c:v>82.1583836257749</c:v>
                </c:pt>
                <c:pt idx="4">
                  <c:v>94.8683298050514</c:v>
                </c:pt>
                <c:pt idx="5">
                  <c:v>106.066017177982</c:v>
                </c:pt>
                <c:pt idx="6">
                  <c:v>116.189500386223</c:v>
                </c:pt>
                <c:pt idx="7">
                  <c:v>125.499003980111</c:v>
                </c:pt>
                <c:pt idx="8">
                  <c:v>134.164078649987</c:v>
                </c:pt>
                <c:pt idx="9">
                  <c:v>142.302494707577</c:v>
                </c:pt>
                <c:pt idx="10">
                  <c:v>150</c:v>
                </c:pt>
              </c:numCache>
            </c:numRef>
          </c:xVal>
          <c:yVal>
            <c:numRef>
              <c:f>'DN65-事故进程'!$L$7:$V$7</c:f>
              <c:numCache>
                <c:formatCode>0.00_ </c:formatCode>
                <c:ptCount val="11"/>
                <c:pt idx="0">
                  <c:v>351.573179856115</c:v>
                </c:pt>
                <c:pt idx="1">
                  <c:v>344.500918594386</c:v>
                </c:pt>
                <c:pt idx="2">
                  <c:v>339.432946525349</c:v>
                </c:pt>
                <c:pt idx="3">
                  <c:v>335.054036830005</c:v>
                </c:pt>
                <c:pt idx="4">
                  <c:v>330.432370805925</c:v>
                </c:pt>
                <c:pt idx="5">
                  <c:v>326.350708561011</c:v>
                </c:pt>
                <c:pt idx="6">
                  <c:v>322.852868895973</c:v>
                </c:pt>
                <c:pt idx="7">
                  <c:v>319.639727439838</c:v>
                </c:pt>
                <c:pt idx="8">
                  <c:v>318.211950590109</c:v>
                </c:pt>
                <c:pt idx="9">
                  <c:v>316.911158005741</c:v>
                </c:pt>
                <c:pt idx="10">
                  <c:v>306.017737226277</c:v>
                </c:pt>
              </c:numCache>
            </c:numRef>
          </c:yVal>
          <c:smooth val="1"/>
        </c:ser>
        <c:ser>
          <c:idx val="4"/>
          <c:order val="3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xVal>
            <c:numRef>
              <c:f>'DN65-事故进程'!$L$4:$V$4</c:f>
              <c:numCache>
                <c:formatCode>0.0_ </c:formatCode>
                <c:ptCount val="11"/>
                <c:pt idx="0">
                  <c:v>0</c:v>
                </c:pt>
                <c:pt idx="1">
                  <c:v>47.4341649025257</c:v>
                </c:pt>
                <c:pt idx="2">
                  <c:v>67.0820393249937</c:v>
                </c:pt>
                <c:pt idx="3">
                  <c:v>82.1583836257749</c:v>
                </c:pt>
                <c:pt idx="4">
                  <c:v>94.8683298050514</c:v>
                </c:pt>
                <c:pt idx="5">
                  <c:v>106.066017177982</c:v>
                </c:pt>
                <c:pt idx="6">
                  <c:v>116.189500386223</c:v>
                </c:pt>
                <c:pt idx="7">
                  <c:v>125.499003980111</c:v>
                </c:pt>
                <c:pt idx="8">
                  <c:v>134.164078649987</c:v>
                </c:pt>
                <c:pt idx="9">
                  <c:v>142.302494707577</c:v>
                </c:pt>
                <c:pt idx="10">
                  <c:v>150</c:v>
                </c:pt>
              </c:numCache>
            </c:numRef>
          </c:xVal>
          <c:yVal>
            <c:numRef>
              <c:f>'DN65-事故进程'!$L$8:$V$8</c:f>
              <c:numCache>
                <c:formatCode>0.00_ </c:formatCode>
                <c:ptCount val="11"/>
                <c:pt idx="0">
                  <c:v>398.561525179856</c:v>
                </c:pt>
                <c:pt idx="1">
                  <c:v>387.757390979446</c:v>
                </c:pt>
                <c:pt idx="2">
                  <c:v>380.19286396963</c:v>
                </c:pt>
                <c:pt idx="3">
                  <c:v>373.675541932265</c:v>
                </c:pt>
                <c:pt idx="4">
                  <c:v>366.830074973724</c:v>
                </c:pt>
                <c:pt idx="5">
                  <c:v>360.784726425415</c:v>
                </c:pt>
                <c:pt idx="6">
                  <c:v>355.620901703578</c:v>
                </c:pt>
                <c:pt idx="7">
                  <c:v>350.87769288738</c:v>
                </c:pt>
                <c:pt idx="8">
                  <c:v>348.665261511768</c:v>
                </c:pt>
                <c:pt idx="9">
                  <c:v>346.643955562824</c:v>
                </c:pt>
                <c:pt idx="10">
                  <c:v>332.433138686131</c:v>
                </c:pt>
              </c:numCache>
            </c:numRef>
          </c:yVal>
          <c:smooth val="1"/>
        </c:ser>
        <c:ser>
          <c:idx val="5"/>
          <c:order val="4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numRef>
              <c:f>'DN65-事故进程'!$L$4:$V$4</c:f>
              <c:numCache>
                <c:formatCode>0.0_ </c:formatCode>
                <c:ptCount val="11"/>
                <c:pt idx="0">
                  <c:v>0</c:v>
                </c:pt>
                <c:pt idx="1">
                  <c:v>47.4341649025257</c:v>
                </c:pt>
                <c:pt idx="2">
                  <c:v>67.0820393249937</c:v>
                </c:pt>
                <c:pt idx="3">
                  <c:v>82.1583836257749</c:v>
                </c:pt>
                <c:pt idx="4">
                  <c:v>94.8683298050514</c:v>
                </c:pt>
                <c:pt idx="5">
                  <c:v>106.066017177982</c:v>
                </c:pt>
                <c:pt idx="6">
                  <c:v>116.189500386223</c:v>
                </c:pt>
                <c:pt idx="7">
                  <c:v>125.499003980111</c:v>
                </c:pt>
                <c:pt idx="8">
                  <c:v>134.164078649987</c:v>
                </c:pt>
                <c:pt idx="9">
                  <c:v>142.302494707577</c:v>
                </c:pt>
                <c:pt idx="10">
                  <c:v>150</c:v>
                </c:pt>
              </c:numCache>
            </c:numRef>
          </c:xVal>
          <c:yVal>
            <c:numRef>
              <c:f>'DN65-事故进程'!$L$9:$V$9</c:f>
              <c:numCache>
                <c:formatCode>0.00_ </c:formatCode>
                <c:ptCount val="11"/>
                <c:pt idx="0">
                  <c:v>444.919870503597</c:v>
                </c:pt>
                <c:pt idx="1">
                  <c:v>430.516739029768</c:v>
                </c:pt>
                <c:pt idx="2">
                  <c:v>420.746008073061</c:v>
                </c:pt>
                <c:pt idx="3">
                  <c:v>412.364291355592</c:v>
                </c:pt>
                <c:pt idx="4">
                  <c:v>403.628123516353</c:v>
                </c:pt>
                <c:pt idx="5">
                  <c:v>395.913641610158</c:v>
                </c:pt>
                <c:pt idx="6">
                  <c:v>389.440827437044</c:v>
                </c:pt>
                <c:pt idx="7">
                  <c:v>383.497472035296</c:v>
                </c:pt>
                <c:pt idx="8">
                  <c:v>380.769161910432</c:v>
                </c:pt>
                <c:pt idx="9">
                  <c:v>378.278796925489</c:v>
                </c:pt>
                <c:pt idx="10">
                  <c:v>360.758540145985</c:v>
                </c:pt>
              </c:numCache>
            </c:numRef>
          </c:yVal>
          <c:smooth val="1"/>
        </c:ser>
        <c:ser>
          <c:idx val="6"/>
          <c:order val="5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'DN65-事故进程'!$L$4:$V$4</c:f>
              <c:numCache>
                <c:formatCode>0.0_ </c:formatCode>
                <c:ptCount val="11"/>
                <c:pt idx="0">
                  <c:v>0</c:v>
                </c:pt>
                <c:pt idx="1">
                  <c:v>47.4341649025257</c:v>
                </c:pt>
                <c:pt idx="2">
                  <c:v>67.0820393249937</c:v>
                </c:pt>
                <c:pt idx="3">
                  <c:v>82.1583836257749</c:v>
                </c:pt>
                <c:pt idx="4">
                  <c:v>94.8683298050514</c:v>
                </c:pt>
                <c:pt idx="5">
                  <c:v>106.066017177982</c:v>
                </c:pt>
                <c:pt idx="6">
                  <c:v>116.189500386223</c:v>
                </c:pt>
                <c:pt idx="7">
                  <c:v>125.499003980111</c:v>
                </c:pt>
                <c:pt idx="8">
                  <c:v>134.164078649987</c:v>
                </c:pt>
                <c:pt idx="9">
                  <c:v>142.302494707577</c:v>
                </c:pt>
                <c:pt idx="10">
                  <c:v>150</c:v>
                </c:pt>
              </c:numCache>
            </c:numRef>
          </c:xVal>
          <c:yVal>
            <c:numRef>
              <c:f>'DN65-事故进程'!$L$10:$V$10</c:f>
              <c:numCache>
                <c:formatCode>0.00_ </c:formatCode>
                <c:ptCount val="11"/>
                <c:pt idx="0">
                  <c:v>505.932604316547</c:v>
                </c:pt>
                <c:pt idx="1">
                  <c:v>487.14739464497</c:v>
                </c:pt>
                <c:pt idx="2">
                  <c:v>474.722756369374</c:v>
                </c:pt>
                <c:pt idx="3">
                  <c:v>464.116660984576</c:v>
                </c:pt>
                <c:pt idx="4">
                  <c:v>453.318378090814</c:v>
                </c:pt>
                <c:pt idx="5">
                  <c:v>443.78514863219</c:v>
                </c:pt>
                <c:pt idx="6">
                  <c:v>436.225148659465</c:v>
                </c:pt>
                <c:pt idx="7">
                  <c:v>429.292030934175</c:v>
                </c:pt>
                <c:pt idx="8">
                  <c:v>426.223447736368</c:v>
                </c:pt>
                <c:pt idx="9">
                  <c:v>423.428436161034</c:v>
                </c:pt>
                <c:pt idx="10">
                  <c:v>394.847153284672</c:v>
                </c:pt>
              </c:numCache>
            </c:numRef>
          </c:yVal>
          <c:smooth val="1"/>
        </c:ser>
        <c:ser>
          <c:idx val="7"/>
          <c:order val="6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'DN65-事故进程'!$L$4:$V$4</c:f>
              <c:numCache>
                <c:formatCode>0.0_ </c:formatCode>
                <c:ptCount val="11"/>
                <c:pt idx="0">
                  <c:v>0</c:v>
                </c:pt>
                <c:pt idx="1">
                  <c:v>47.4341649025257</c:v>
                </c:pt>
                <c:pt idx="2">
                  <c:v>67.0820393249937</c:v>
                </c:pt>
                <c:pt idx="3">
                  <c:v>82.1583836257749</c:v>
                </c:pt>
                <c:pt idx="4">
                  <c:v>94.8683298050514</c:v>
                </c:pt>
                <c:pt idx="5">
                  <c:v>106.066017177982</c:v>
                </c:pt>
                <c:pt idx="6">
                  <c:v>116.189500386223</c:v>
                </c:pt>
                <c:pt idx="7">
                  <c:v>125.499003980111</c:v>
                </c:pt>
                <c:pt idx="8">
                  <c:v>134.164078649987</c:v>
                </c:pt>
                <c:pt idx="9">
                  <c:v>142.302494707577</c:v>
                </c:pt>
                <c:pt idx="10">
                  <c:v>150</c:v>
                </c:pt>
              </c:numCache>
            </c:numRef>
          </c:xVal>
          <c:yVal>
            <c:numRef>
              <c:f>'DN65-事故进程'!$L$11:$V$11</c:f>
              <c:numCache>
                <c:formatCode>0.00_ </c:formatCode>
                <c:ptCount val="11"/>
                <c:pt idx="0">
                  <c:v>569.508935251799</c:v>
                </c:pt>
                <c:pt idx="1">
                  <c:v>546.228050260171</c:v>
                </c:pt>
                <c:pt idx="2">
                  <c:v>531.218100741907</c:v>
                </c:pt>
                <c:pt idx="3">
                  <c:v>518.468220119756</c:v>
                </c:pt>
                <c:pt idx="4">
                  <c:v>505.71350389538</c:v>
                </c:pt>
                <c:pt idx="5">
                  <c:v>494.455035755916</c:v>
                </c:pt>
                <c:pt idx="6">
                  <c:v>485.687072342455</c:v>
                </c:pt>
                <c:pt idx="7">
                  <c:v>477.649437241619</c:v>
                </c:pt>
                <c:pt idx="8">
                  <c:v>474.077370807224</c:v>
                </c:pt>
                <c:pt idx="9">
                  <c:v>470.822971516221</c:v>
                </c:pt>
                <c:pt idx="10">
                  <c:v>442.453430656934</c:v>
                </c:pt>
              </c:numCache>
            </c:numRef>
          </c:yVal>
          <c:smooth val="1"/>
        </c:ser>
        <c:ser>
          <c:idx val="8"/>
          <c:order val="7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'DN65-事故进程'!$L$4:$V$4</c:f>
              <c:numCache>
                <c:formatCode>0.0_ </c:formatCode>
                <c:ptCount val="11"/>
                <c:pt idx="0">
                  <c:v>0</c:v>
                </c:pt>
                <c:pt idx="1">
                  <c:v>47.4341649025257</c:v>
                </c:pt>
                <c:pt idx="2">
                  <c:v>67.0820393249937</c:v>
                </c:pt>
                <c:pt idx="3">
                  <c:v>82.1583836257749</c:v>
                </c:pt>
                <c:pt idx="4">
                  <c:v>94.8683298050514</c:v>
                </c:pt>
                <c:pt idx="5">
                  <c:v>106.066017177982</c:v>
                </c:pt>
                <c:pt idx="6">
                  <c:v>116.189500386223</c:v>
                </c:pt>
                <c:pt idx="7">
                  <c:v>125.499003980111</c:v>
                </c:pt>
                <c:pt idx="8">
                  <c:v>134.164078649987</c:v>
                </c:pt>
                <c:pt idx="9">
                  <c:v>142.302494707577</c:v>
                </c:pt>
                <c:pt idx="10">
                  <c:v>150</c:v>
                </c:pt>
              </c:numCache>
            </c:numRef>
          </c:xVal>
          <c:yVal>
            <c:numRef>
              <c:f>'DN65-事故进程'!$L$12:$V$12</c:f>
              <c:numCache>
                <c:formatCode>0.00_ </c:formatCode>
                <c:ptCount val="11"/>
                <c:pt idx="0">
                  <c:v>628.191669064748</c:v>
                </c:pt>
                <c:pt idx="1">
                  <c:v>600.6685749967</c:v>
                </c:pt>
                <c:pt idx="2">
                  <c:v>583.380390988834</c:v>
                </c:pt>
                <c:pt idx="3">
                  <c:v>568.776861477243</c:v>
                </c:pt>
                <c:pt idx="4">
                  <c:v>554.36226914424</c:v>
                </c:pt>
                <c:pt idx="5">
                  <c:v>541.640387164388</c:v>
                </c:pt>
                <c:pt idx="6">
                  <c:v>531.781193769923</c:v>
                </c:pt>
                <c:pt idx="7">
                  <c:v>522.744233424545</c:v>
                </c:pt>
                <c:pt idx="8">
                  <c:v>518.836667969257</c:v>
                </c:pt>
                <c:pt idx="9">
                  <c:v>515.282457748028</c:v>
                </c:pt>
                <c:pt idx="10">
                  <c:v>488.007664233577</c:v>
                </c:pt>
              </c:numCache>
            </c:numRef>
          </c:yVal>
          <c:smooth val="1"/>
        </c:ser>
        <c:ser>
          <c:idx val="0"/>
          <c:order val="8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'DN65-事故进程'!$L$4:$V$4</c:f>
              <c:numCache>
                <c:formatCode>0.0_ </c:formatCode>
                <c:ptCount val="11"/>
                <c:pt idx="0">
                  <c:v>0</c:v>
                </c:pt>
                <c:pt idx="1">
                  <c:v>47.4341649025257</c:v>
                </c:pt>
                <c:pt idx="2">
                  <c:v>67.0820393249937</c:v>
                </c:pt>
                <c:pt idx="3">
                  <c:v>82.1583836257749</c:v>
                </c:pt>
                <c:pt idx="4">
                  <c:v>94.8683298050514</c:v>
                </c:pt>
                <c:pt idx="5">
                  <c:v>106.066017177982</c:v>
                </c:pt>
                <c:pt idx="6">
                  <c:v>116.189500386223</c:v>
                </c:pt>
                <c:pt idx="7">
                  <c:v>125.499003980111</c:v>
                </c:pt>
                <c:pt idx="8">
                  <c:v>134.164078649987</c:v>
                </c:pt>
                <c:pt idx="9">
                  <c:v>142.302494707577</c:v>
                </c:pt>
                <c:pt idx="10">
                  <c:v>150</c:v>
                </c:pt>
              </c:numCache>
            </c:numRef>
          </c:xVal>
          <c:yVal>
            <c:numRef>
              <c:f>'DN65-事故进程'!$L$13:$V$13</c:f>
              <c:numCache>
                <c:formatCode>0.00_ </c:formatCode>
                <c:ptCount val="11"/>
                <c:pt idx="0">
                  <c:v>684.674402877698</c:v>
                </c:pt>
                <c:pt idx="1">
                  <c:v>653.014001574225</c:v>
                </c:pt>
                <c:pt idx="2">
                  <c:v>633.629873388202</c:v>
                </c:pt>
                <c:pt idx="3">
                  <c:v>617.333881847122</c:v>
                </c:pt>
                <c:pt idx="4">
                  <c:v>601.428828361268</c:v>
                </c:pt>
                <c:pt idx="5">
                  <c:v>587.393146735573</c:v>
                </c:pt>
                <c:pt idx="6">
                  <c:v>576.572812634296</c:v>
                </c:pt>
                <c:pt idx="7">
                  <c:v>566.656063556882</c:v>
                </c:pt>
                <c:pt idx="8">
                  <c:v>562.230545695728</c:v>
                </c:pt>
                <c:pt idx="9">
                  <c:v>558.19760511817</c:v>
                </c:pt>
                <c:pt idx="10">
                  <c:v>531.713211678832</c:v>
                </c:pt>
              </c:numCache>
            </c:numRef>
          </c:yVal>
          <c:smooth val="1"/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'DN65-事故进程'!$L$4:$V$4</c:f>
              <c:numCache>
                <c:formatCode>0.0_ </c:formatCode>
                <c:ptCount val="11"/>
                <c:pt idx="0">
                  <c:v>0</c:v>
                </c:pt>
                <c:pt idx="1">
                  <c:v>47.4341649025257</c:v>
                </c:pt>
                <c:pt idx="2">
                  <c:v>67.0820393249937</c:v>
                </c:pt>
                <c:pt idx="3">
                  <c:v>82.1583836257749</c:v>
                </c:pt>
                <c:pt idx="4">
                  <c:v>94.8683298050514</c:v>
                </c:pt>
                <c:pt idx="5">
                  <c:v>106.066017177982</c:v>
                </c:pt>
                <c:pt idx="6">
                  <c:v>116.189500386223</c:v>
                </c:pt>
                <c:pt idx="7">
                  <c:v>125.499003980111</c:v>
                </c:pt>
                <c:pt idx="8">
                  <c:v>134.164078649987</c:v>
                </c:pt>
                <c:pt idx="9">
                  <c:v>142.302494707577</c:v>
                </c:pt>
                <c:pt idx="10">
                  <c:v>150</c:v>
                </c:pt>
              </c:numCache>
            </c:numRef>
          </c:xVal>
          <c:yVal>
            <c:numRef>
              <c:f>'DN65-事故进程'!$L$14:$V$14</c:f>
              <c:numCache>
                <c:formatCode>0.00_ </c:formatCode>
                <c:ptCount val="11"/>
                <c:pt idx="0">
                  <c:v>737.325381294964</c:v>
                </c:pt>
                <c:pt idx="1">
                  <c:v>701.835310360945</c:v>
                </c:pt>
                <c:pt idx="2">
                  <c:v>680.596851729239</c:v>
                </c:pt>
                <c:pt idx="3">
                  <c:v>662.828686867271</c:v>
                </c:pt>
                <c:pt idx="4">
                  <c:v>645.66086072302</c:v>
                </c:pt>
                <c:pt idx="5">
                  <c:v>630.512423525402</c:v>
                </c:pt>
                <c:pt idx="6">
                  <c:v>618.846629243147</c:v>
                </c:pt>
                <c:pt idx="7">
                  <c:v>608.1552835647</c:v>
                </c:pt>
                <c:pt idx="8">
                  <c:v>603.17433273343</c:v>
                </c:pt>
                <c:pt idx="9">
                  <c:v>598.623976518223</c:v>
                </c:pt>
                <c:pt idx="10">
                  <c:v>573.580437956204</c:v>
                </c:pt>
              </c:numCache>
            </c:numRef>
          </c:yVal>
          <c:smooth val="1"/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'DN65-事故进程'!$L$4:$V$4</c:f>
              <c:numCache>
                <c:formatCode>0.0_ </c:formatCode>
                <c:ptCount val="11"/>
                <c:pt idx="0">
                  <c:v>0</c:v>
                </c:pt>
                <c:pt idx="1">
                  <c:v>47.4341649025257</c:v>
                </c:pt>
                <c:pt idx="2">
                  <c:v>67.0820393249937</c:v>
                </c:pt>
                <c:pt idx="3">
                  <c:v>82.1583836257749</c:v>
                </c:pt>
                <c:pt idx="4">
                  <c:v>94.8683298050514</c:v>
                </c:pt>
                <c:pt idx="5">
                  <c:v>106.066017177982</c:v>
                </c:pt>
                <c:pt idx="6">
                  <c:v>116.189500386223</c:v>
                </c:pt>
                <c:pt idx="7">
                  <c:v>125.499003980111</c:v>
                </c:pt>
                <c:pt idx="8">
                  <c:v>134.164078649987</c:v>
                </c:pt>
                <c:pt idx="9">
                  <c:v>142.302494707577</c:v>
                </c:pt>
                <c:pt idx="10">
                  <c:v>150</c:v>
                </c:pt>
              </c:numCache>
            </c:numRef>
          </c:xVal>
          <c:yVal>
            <c:numRef>
              <c:f>'DN65-事故进程'!$L$15:$V$15</c:f>
              <c:numCache>
                <c:formatCode>0.00_ </c:formatCode>
                <c:ptCount val="11"/>
                <c:pt idx="0">
                  <c:v>785.068287769784</c:v>
                </c:pt>
                <c:pt idx="1">
                  <c:v>746.276422829657</c:v>
                </c:pt>
                <c:pt idx="2">
                  <c:v>723.493337514183</c:v>
                </c:pt>
                <c:pt idx="3">
                  <c:v>704.510898307248</c:v>
                </c:pt>
                <c:pt idx="4">
                  <c:v>686.324096914014</c:v>
                </c:pt>
                <c:pt idx="5">
                  <c:v>670.27797454913</c:v>
                </c:pt>
                <c:pt idx="6">
                  <c:v>657.872443801522</c:v>
                </c:pt>
                <c:pt idx="7">
                  <c:v>646.502130732047</c:v>
                </c:pt>
                <c:pt idx="8">
                  <c:v>640.928029082361</c:v>
                </c:pt>
                <c:pt idx="9">
                  <c:v>635.821571948187</c:v>
                </c:pt>
                <c:pt idx="10">
                  <c:v>610.941459854015</c:v>
                </c:pt>
              </c:numCache>
            </c:numRef>
          </c:yVal>
          <c:smooth val="1"/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'DN65-事故进程'!$L$4:$V$4</c:f>
              <c:numCache>
                <c:formatCode>0.0_ </c:formatCode>
                <c:ptCount val="11"/>
                <c:pt idx="0">
                  <c:v>0</c:v>
                </c:pt>
                <c:pt idx="1">
                  <c:v>47.4341649025257</c:v>
                </c:pt>
                <c:pt idx="2">
                  <c:v>67.0820393249937</c:v>
                </c:pt>
                <c:pt idx="3">
                  <c:v>82.1583836257749</c:v>
                </c:pt>
                <c:pt idx="4">
                  <c:v>94.8683298050514</c:v>
                </c:pt>
                <c:pt idx="5">
                  <c:v>106.066017177982</c:v>
                </c:pt>
                <c:pt idx="6">
                  <c:v>116.189500386223</c:v>
                </c:pt>
                <c:pt idx="7">
                  <c:v>125.499003980111</c:v>
                </c:pt>
                <c:pt idx="8">
                  <c:v>134.164078649987</c:v>
                </c:pt>
                <c:pt idx="9">
                  <c:v>142.302494707577</c:v>
                </c:pt>
                <c:pt idx="10">
                  <c:v>150</c:v>
                </c:pt>
              </c:numCache>
            </c:numRef>
          </c:xVal>
          <c:yVal>
            <c:numRef>
              <c:f>'DN65-事故进程'!$L$16:$V$16</c:f>
              <c:numCache>
                <c:formatCode>0.00_ </c:formatCode>
                <c:ptCount val="11"/>
                <c:pt idx="0">
                  <c:v>827.484</c:v>
                </c:pt>
                <c:pt idx="1">
                  <c:v>785.806358612163</c:v>
                </c:pt>
                <c:pt idx="2">
                  <c:v>761.797623030024</c:v>
                </c:pt>
                <c:pt idx="3">
                  <c:v>741.880300035371</c:v>
                </c:pt>
                <c:pt idx="4">
                  <c:v>722.918536934249</c:v>
                </c:pt>
                <c:pt idx="5">
                  <c:v>706.189799806756</c:v>
                </c:pt>
                <c:pt idx="6">
                  <c:v>693.201255284184</c:v>
                </c:pt>
                <c:pt idx="7">
                  <c:v>681.295418638687</c:v>
                </c:pt>
                <c:pt idx="8">
                  <c:v>675.146759439581</c:v>
                </c:pt>
                <c:pt idx="9">
                  <c:v>669.498708366934</c:v>
                </c:pt>
                <c:pt idx="10">
                  <c:v>646.167299270073</c:v>
                </c:pt>
              </c:numCache>
            </c:numRef>
          </c:yVal>
          <c:smooth val="1"/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'DN65-事故进程'!$L$4:$V$4</c:f>
              <c:numCache>
                <c:formatCode>0.0_ </c:formatCode>
                <c:ptCount val="11"/>
                <c:pt idx="0">
                  <c:v>0</c:v>
                </c:pt>
                <c:pt idx="1">
                  <c:v>47.4341649025257</c:v>
                </c:pt>
                <c:pt idx="2">
                  <c:v>67.0820393249937</c:v>
                </c:pt>
                <c:pt idx="3">
                  <c:v>82.1583836257749</c:v>
                </c:pt>
                <c:pt idx="4">
                  <c:v>94.8683298050514</c:v>
                </c:pt>
                <c:pt idx="5">
                  <c:v>106.066017177982</c:v>
                </c:pt>
                <c:pt idx="6">
                  <c:v>116.189500386223</c:v>
                </c:pt>
                <c:pt idx="7">
                  <c:v>125.499003980111</c:v>
                </c:pt>
                <c:pt idx="8">
                  <c:v>134.164078649987</c:v>
                </c:pt>
                <c:pt idx="9">
                  <c:v>142.302494707577</c:v>
                </c:pt>
                <c:pt idx="10">
                  <c:v>150</c:v>
                </c:pt>
              </c:numCache>
            </c:numRef>
          </c:xVal>
          <c:yVal>
            <c:numRef>
              <c:f>'DN65-事故进程'!$L$17:$V$17</c:f>
              <c:numCache>
                <c:formatCode>0.00_ </c:formatCode>
                <c:ptCount val="11"/>
                <c:pt idx="0">
                  <c:v>864.37435971223</c:v>
                </c:pt>
                <c:pt idx="1">
                  <c:v>820.288124252394</c:v>
                </c:pt>
                <c:pt idx="2">
                  <c:v>795.346842918024</c:v>
                </c:pt>
                <c:pt idx="3">
                  <c:v>774.747162216243</c:v>
                </c:pt>
                <c:pt idx="4">
                  <c:v>755.275155029746</c:v>
                </c:pt>
                <c:pt idx="5">
                  <c:v>738.09757531862</c:v>
                </c:pt>
                <c:pt idx="6">
                  <c:v>724.662664101228</c:v>
                </c:pt>
                <c:pt idx="7">
                  <c:v>712.345621852713</c:v>
                </c:pt>
                <c:pt idx="8">
                  <c:v>705.72070518263</c:v>
                </c:pt>
                <c:pt idx="9">
                  <c:v>699.622937714644</c:v>
                </c:pt>
                <c:pt idx="10">
                  <c:v>677.779781021898</c:v>
                </c:pt>
              </c:numCache>
            </c:numRef>
          </c:yVal>
          <c:smooth val="1"/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'DN65-事故进程'!$L$4:$V$4</c:f>
              <c:numCache>
                <c:formatCode>0.0_ </c:formatCode>
                <c:ptCount val="11"/>
                <c:pt idx="0">
                  <c:v>0</c:v>
                </c:pt>
                <c:pt idx="1">
                  <c:v>47.4341649025257</c:v>
                </c:pt>
                <c:pt idx="2">
                  <c:v>67.0820393249937</c:v>
                </c:pt>
                <c:pt idx="3">
                  <c:v>82.1583836257749</c:v>
                </c:pt>
                <c:pt idx="4">
                  <c:v>94.8683298050514</c:v>
                </c:pt>
                <c:pt idx="5">
                  <c:v>106.066017177982</c:v>
                </c:pt>
                <c:pt idx="6">
                  <c:v>116.189500386223</c:v>
                </c:pt>
                <c:pt idx="7">
                  <c:v>125.499003980111</c:v>
                </c:pt>
                <c:pt idx="8">
                  <c:v>134.164078649987</c:v>
                </c:pt>
                <c:pt idx="9">
                  <c:v>142.302494707577</c:v>
                </c:pt>
                <c:pt idx="10">
                  <c:v>150</c:v>
                </c:pt>
              </c:numCache>
            </c:numRef>
          </c:xVal>
          <c:yVal>
            <c:numRef>
              <c:f>'DN65-事故进程'!$L$18:$V$18</c:f>
              <c:numCache>
                <c:formatCode>0.00_ </c:formatCode>
                <c:ptCount val="11"/>
                <c:pt idx="0">
                  <c:v>895.802086330935</c:v>
                </c:pt>
                <c:pt idx="1">
                  <c:v>849.775706662484</c:v>
                </c:pt>
                <c:pt idx="2">
                  <c:v>824.173558747692</c:v>
                </c:pt>
                <c:pt idx="3">
                  <c:v>803.111809047385</c:v>
                </c:pt>
                <c:pt idx="4">
                  <c:v>783.336272023947</c:v>
                </c:pt>
                <c:pt idx="5">
                  <c:v>765.892192028789</c:v>
                </c:pt>
                <c:pt idx="6">
                  <c:v>752.167069842559</c:v>
                </c:pt>
                <c:pt idx="7">
                  <c:v>739.582265806033</c:v>
                </c:pt>
                <c:pt idx="8">
                  <c:v>732.574854975411</c:v>
                </c:pt>
                <c:pt idx="9">
                  <c:v>726.114412995055</c:v>
                </c:pt>
                <c:pt idx="10">
                  <c:v>705.382116788321</c:v>
                </c:pt>
              </c:numCache>
            </c:numRef>
          </c:yVal>
          <c:smooth val="1"/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'DN65-事故进程'!$L$4:$V$4</c:f>
              <c:numCache>
                <c:formatCode>0.0_ </c:formatCode>
                <c:ptCount val="11"/>
                <c:pt idx="0">
                  <c:v>0</c:v>
                </c:pt>
                <c:pt idx="1">
                  <c:v>47.4341649025257</c:v>
                </c:pt>
                <c:pt idx="2">
                  <c:v>67.0820393249937</c:v>
                </c:pt>
                <c:pt idx="3">
                  <c:v>82.1583836257749</c:v>
                </c:pt>
                <c:pt idx="4">
                  <c:v>94.8683298050514</c:v>
                </c:pt>
                <c:pt idx="5">
                  <c:v>106.066017177982</c:v>
                </c:pt>
                <c:pt idx="6">
                  <c:v>116.189500386223</c:v>
                </c:pt>
                <c:pt idx="7">
                  <c:v>125.499003980111</c:v>
                </c:pt>
                <c:pt idx="8">
                  <c:v>134.164078649987</c:v>
                </c:pt>
                <c:pt idx="9">
                  <c:v>142.302494707577</c:v>
                </c:pt>
                <c:pt idx="10">
                  <c:v>150</c:v>
                </c:pt>
              </c:numCache>
            </c:numRef>
          </c:xVal>
          <c:yVal>
            <c:numRef>
              <c:f>'DN65-事故进程'!$L$19:$V$19</c:f>
              <c:numCache>
                <c:formatCode>0.00_ </c:formatCode>
                <c:ptCount val="11"/>
                <c:pt idx="0">
                  <c:v>921.999899280576</c:v>
                </c:pt>
                <c:pt idx="1">
                  <c:v>874.458125474235</c:v>
                </c:pt>
                <c:pt idx="2">
                  <c:v>848.444051303787</c:v>
                </c:pt>
                <c:pt idx="3">
                  <c:v>827.124402627557</c:v>
                </c:pt>
                <c:pt idx="4">
                  <c:v>807.225670109327</c:v>
                </c:pt>
                <c:pt idx="5">
                  <c:v>789.674054911839</c:v>
                </c:pt>
                <c:pt idx="6">
                  <c:v>775.809372610701</c:v>
                </c:pt>
                <c:pt idx="7">
                  <c:v>763.09546914067</c:v>
                </c:pt>
                <c:pt idx="8">
                  <c:v>755.734061448674</c:v>
                </c:pt>
                <c:pt idx="9">
                  <c:v>748.935123256772</c:v>
                </c:pt>
                <c:pt idx="10">
                  <c:v>728.427445255474</c:v>
                </c:pt>
              </c:numCache>
            </c:numRef>
          </c:yVal>
          <c:smooth val="1"/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'DN65-事故进程'!$L$4:$V$4</c:f>
              <c:numCache>
                <c:formatCode>0.0_ </c:formatCode>
                <c:ptCount val="11"/>
                <c:pt idx="0">
                  <c:v>0</c:v>
                </c:pt>
                <c:pt idx="1">
                  <c:v>47.4341649025257</c:v>
                </c:pt>
                <c:pt idx="2">
                  <c:v>67.0820393249937</c:v>
                </c:pt>
                <c:pt idx="3">
                  <c:v>82.1583836257749</c:v>
                </c:pt>
                <c:pt idx="4">
                  <c:v>94.8683298050514</c:v>
                </c:pt>
                <c:pt idx="5">
                  <c:v>106.066017177982</c:v>
                </c:pt>
                <c:pt idx="6">
                  <c:v>116.189500386223</c:v>
                </c:pt>
                <c:pt idx="7">
                  <c:v>125.499003980111</c:v>
                </c:pt>
                <c:pt idx="8">
                  <c:v>134.164078649987</c:v>
                </c:pt>
                <c:pt idx="9">
                  <c:v>142.302494707577</c:v>
                </c:pt>
                <c:pt idx="10">
                  <c:v>150</c:v>
                </c:pt>
              </c:numCache>
            </c:numRef>
          </c:xVal>
          <c:yVal>
            <c:numRef>
              <c:f>'DN65-事故进程'!$L$20:$V$20</c:f>
              <c:numCache>
                <c:formatCode>0.00_ </c:formatCode>
                <c:ptCount val="11"/>
                <c:pt idx="0">
                  <c:v>943.197798561151</c:v>
                </c:pt>
                <c:pt idx="1">
                  <c:v>894.551393775512</c:v>
                </c:pt>
                <c:pt idx="2">
                  <c:v>868.340882155818</c:v>
                </c:pt>
                <c:pt idx="3">
                  <c:v>846.935267154281</c:v>
                </c:pt>
                <c:pt idx="4">
                  <c:v>827.077618601369</c:v>
                </c:pt>
                <c:pt idx="5">
                  <c:v>809.563406952517</c:v>
                </c:pt>
                <c:pt idx="6">
                  <c:v>795.658573430891</c:v>
                </c:pt>
                <c:pt idx="7">
                  <c:v>782.906418276858</c:v>
                </c:pt>
                <c:pt idx="8">
                  <c:v>774.837463059102</c:v>
                </c:pt>
                <c:pt idx="9">
                  <c:v>767.356696783944</c:v>
                </c:pt>
                <c:pt idx="10">
                  <c:v>742.881167883212</c:v>
                </c:pt>
              </c:numCache>
            </c:numRef>
          </c:yVal>
          <c:smooth val="1"/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'DN65-事故进程'!$L$4:$V$4</c:f>
              <c:numCache>
                <c:formatCode>0.0_ </c:formatCode>
                <c:ptCount val="11"/>
                <c:pt idx="0">
                  <c:v>0</c:v>
                </c:pt>
                <c:pt idx="1">
                  <c:v>47.4341649025257</c:v>
                </c:pt>
                <c:pt idx="2">
                  <c:v>67.0820393249937</c:v>
                </c:pt>
                <c:pt idx="3">
                  <c:v>82.1583836257749</c:v>
                </c:pt>
                <c:pt idx="4">
                  <c:v>94.8683298050514</c:v>
                </c:pt>
                <c:pt idx="5">
                  <c:v>106.066017177982</c:v>
                </c:pt>
                <c:pt idx="6">
                  <c:v>116.189500386223</c:v>
                </c:pt>
                <c:pt idx="7">
                  <c:v>125.499003980111</c:v>
                </c:pt>
                <c:pt idx="8">
                  <c:v>134.164078649987</c:v>
                </c:pt>
                <c:pt idx="9">
                  <c:v>142.302494707577</c:v>
                </c:pt>
                <c:pt idx="10">
                  <c:v>150</c:v>
                </c:pt>
              </c:numCache>
            </c:numRef>
          </c:xVal>
          <c:yVal>
            <c:numRef>
              <c:f>'DN65-事故进程'!$L$21:$V$21</c:f>
              <c:numCache>
                <c:formatCode>0.00_ </c:formatCode>
                <c:ptCount val="11"/>
                <c:pt idx="0">
                  <c:v>960.467539568345</c:v>
                </c:pt>
                <c:pt idx="1">
                  <c:v>910.910544285985</c:v>
                </c:pt>
                <c:pt idx="2">
                  <c:v>884.676612873298</c:v>
                </c:pt>
                <c:pt idx="3">
                  <c:v>863.324726825079</c:v>
                </c:pt>
                <c:pt idx="4">
                  <c:v>843.640656131042</c:v>
                </c:pt>
                <c:pt idx="5">
                  <c:v>826.280734120314</c:v>
                </c:pt>
                <c:pt idx="6">
                  <c:v>812.261275788938</c:v>
                </c:pt>
                <c:pt idx="7">
                  <c:v>799.3991470434</c:v>
                </c:pt>
                <c:pt idx="8">
                  <c:v>788.651409583705</c:v>
                </c:pt>
                <c:pt idx="9">
                  <c:v>778.588400780471</c:v>
                </c:pt>
                <c:pt idx="10">
                  <c:v>742.255693430657</c:v>
                </c:pt>
              </c:numCache>
            </c:numRef>
          </c:yVal>
          <c:smooth val="1"/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'DN65-事故进程'!$L$4:$V$4</c:f>
              <c:numCache>
                <c:formatCode>0.0_ </c:formatCode>
                <c:ptCount val="11"/>
                <c:pt idx="0">
                  <c:v>0</c:v>
                </c:pt>
                <c:pt idx="1">
                  <c:v>47.4341649025257</c:v>
                </c:pt>
                <c:pt idx="2">
                  <c:v>67.0820393249937</c:v>
                </c:pt>
                <c:pt idx="3">
                  <c:v>82.1583836257749</c:v>
                </c:pt>
                <c:pt idx="4">
                  <c:v>94.8683298050514</c:v>
                </c:pt>
                <c:pt idx="5">
                  <c:v>106.066017177982</c:v>
                </c:pt>
                <c:pt idx="6">
                  <c:v>116.189500386223</c:v>
                </c:pt>
                <c:pt idx="7">
                  <c:v>125.499003980111</c:v>
                </c:pt>
                <c:pt idx="8">
                  <c:v>134.164078649987</c:v>
                </c:pt>
                <c:pt idx="9">
                  <c:v>142.302494707577</c:v>
                </c:pt>
                <c:pt idx="10">
                  <c:v>150</c:v>
                </c:pt>
              </c:numCache>
            </c:numRef>
          </c:xVal>
          <c:yVal>
            <c:numRef>
              <c:f>'DN65-事故进程'!$L$22:$V$22</c:f>
              <c:numCache>
                <c:formatCode>0.00_ </c:formatCode>
                <c:ptCount val="11"/>
                <c:pt idx="0">
                  <c:v>972.130086330935</c:v>
                </c:pt>
                <c:pt idx="1">
                  <c:v>921.917668620724</c:v>
                </c:pt>
                <c:pt idx="2">
                  <c:v>895.713501236511</c:v>
                </c:pt>
                <c:pt idx="3">
                  <c:v>874.463700199594</c:v>
                </c:pt>
                <c:pt idx="4">
                  <c:v>854.937962976199</c:v>
                </c:pt>
                <c:pt idx="5">
                  <c:v>837.718304272857</c:v>
                </c:pt>
                <c:pt idx="6">
                  <c:v>822.594598036595</c:v>
                </c:pt>
                <c:pt idx="7">
                  <c:v>808.694892362515</c:v>
                </c:pt>
                <c:pt idx="8">
                  <c:v>787.898737391207</c:v>
                </c:pt>
                <c:pt idx="9">
                  <c:v>768.164408258097</c:v>
                </c:pt>
                <c:pt idx="10">
                  <c:v>699.131824817518</c:v>
                </c:pt>
              </c:numCache>
            </c:numRef>
          </c:yVal>
          <c:smooth val="1"/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'DN65-事故进程'!$L$4:$V$4</c:f>
              <c:numCache>
                <c:formatCode>0.0_ </c:formatCode>
                <c:ptCount val="11"/>
                <c:pt idx="0">
                  <c:v>0</c:v>
                </c:pt>
                <c:pt idx="1">
                  <c:v>47.4341649025257</c:v>
                </c:pt>
                <c:pt idx="2">
                  <c:v>67.0820393249937</c:v>
                </c:pt>
                <c:pt idx="3">
                  <c:v>82.1583836257749</c:v>
                </c:pt>
                <c:pt idx="4">
                  <c:v>94.8683298050514</c:v>
                </c:pt>
                <c:pt idx="5">
                  <c:v>106.066017177982</c:v>
                </c:pt>
                <c:pt idx="6">
                  <c:v>116.189500386223</c:v>
                </c:pt>
                <c:pt idx="7">
                  <c:v>125.499003980111</c:v>
                </c:pt>
                <c:pt idx="8">
                  <c:v>134.164078649987</c:v>
                </c:pt>
                <c:pt idx="9">
                  <c:v>142.302494707577</c:v>
                </c:pt>
                <c:pt idx="10">
                  <c:v>150</c:v>
                </c:pt>
              </c:numCache>
            </c:numRef>
          </c:xVal>
          <c:yVal>
            <c:numRef>
              <c:f>'DN65-事故进程'!$L$23:$V$23</c:f>
              <c:numCache>
                <c:formatCode>0.00_ </c:formatCode>
                <c:ptCount val="11"/>
                <c:pt idx="0">
                  <c:v>979.809654676259</c:v>
                </c:pt>
                <c:pt idx="1">
                  <c:v>929.040020771297</c:v>
                </c:pt>
                <c:pt idx="2">
                  <c:v>903.124355093015</c:v>
                </c:pt>
                <c:pt idx="3">
                  <c:v>881.863808265434</c:v>
                </c:pt>
                <c:pt idx="4">
                  <c:v>861.776901895138</c:v>
                </c:pt>
                <c:pt idx="5">
                  <c:v>844.056970728788</c:v>
                </c:pt>
                <c:pt idx="6">
                  <c:v>822.957717989405</c:v>
                </c:pt>
                <c:pt idx="7">
                  <c:v>803.46370353009</c:v>
                </c:pt>
                <c:pt idx="8">
                  <c:v>754.094416381089</c:v>
                </c:pt>
                <c:pt idx="9">
                  <c:v>706.922551472125</c:v>
                </c:pt>
                <c:pt idx="10">
                  <c:v>585.385328467153</c:v>
                </c:pt>
              </c:numCache>
            </c:numRef>
          </c:yVal>
          <c:smooth val="1"/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'DN65-事故进程'!$L$4:$V$4</c:f>
              <c:numCache>
                <c:formatCode>0.0_ </c:formatCode>
                <c:ptCount val="11"/>
                <c:pt idx="0">
                  <c:v>0</c:v>
                </c:pt>
                <c:pt idx="1">
                  <c:v>47.4341649025257</c:v>
                </c:pt>
                <c:pt idx="2">
                  <c:v>67.0820393249937</c:v>
                </c:pt>
                <c:pt idx="3">
                  <c:v>82.1583836257749</c:v>
                </c:pt>
                <c:pt idx="4">
                  <c:v>94.8683298050514</c:v>
                </c:pt>
                <c:pt idx="5">
                  <c:v>106.066017177982</c:v>
                </c:pt>
                <c:pt idx="6">
                  <c:v>116.189500386223</c:v>
                </c:pt>
                <c:pt idx="7">
                  <c:v>125.499003980111</c:v>
                </c:pt>
                <c:pt idx="8">
                  <c:v>134.164078649987</c:v>
                </c:pt>
                <c:pt idx="9">
                  <c:v>142.302494707577</c:v>
                </c:pt>
                <c:pt idx="10">
                  <c:v>150</c:v>
                </c:pt>
              </c:numCache>
            </c:numRef>
          </c:xVal>
          <c:yVal>
            <c:numRef>
              <c:f>'DN65-事故进程'!$L$24:$V$24</c:f>
              <c:numCache>
                <c:formatCode>0.00_ </c:formatCode>
                <c:ptCount val="11"/>
                <c:pt idx="0">
                  <c:v>985.26617266187</c:v>
                </c:pt>
                <c:pt idx="1">
                  <c:v>942.966363499526</c:v>
                </c:pt>
                <c:pt idx="2">
                  <c:v>913.966776595626</c:v>
                </c:pt>
                <c:pt idx="3">
                  <c:v>890.347528717425</c:v>
                </c:pt>
                <c:pt idx="4">
                  <c:v>865.596349963</c:v>
                </c:pt>
                <c:pt idx="5">
                  <c:v>843.738651228782</c:v>
                </c:pt>
                <c:pt idx="6">
                  <c:v>804.437582461402</c:v>
                </c:pt>
                <c:pt idx="7">
                  <c:v>767.945475923878</c:v>
                </c:pt>
                <c:pt idx="8">
                  <c:v>685.605788435951</c:v>
                </c:pt>
                <c:pt idx="9">
                  <c:v>607.026310755718</c:v>
                </c:pt>
                <c:pt idx="10">
                  <c:v>472.466423357664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2364146"/>
        <c:axId val="66403673"/>
      </c:scatterChart>
      <c:valAx>
        <c:axId val="75236414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403673"/>
        <c:crosses val="autoZero"/>
        <c:crossBetween val="midCat"/>
      </c:valAx>
      <c:valAx>
        <c:axId val="6640367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236414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vmlDrawing1.vml.rels><?xml version="1.0" encoding="UTF-8" standalone="yes"?>
<Relationships xmlns="http://schemas.openxmlformats.org/package/2006/relationships"><Relationship Id="rId9" Type="http://schemas.openxmlformats.org/officeDocument/2006/relationships/image" Target="../media/image10.wmf"/><Relationship Id="rId8" Type="http://schemas.openxmlformats.org/officeDocument/2006/relationships/image" Target="../media/image9.wmf"/><Relationship Id="rId7" Type="http://schemas.openxmlformats.org/officeDocument/2006/relationships/image" Target="../media/image8.wmf"/><Relationship Id="rId6" Type="http://schemas.openxmlformats.org/officeDocument/2006/relationships/image" Target="../media/image7.wmf"/><Relationship Id="rId5" Type="http://schemas.openxmlformats.org/officeDocument/2006/relationships/image" Target="../media/image6.wmf"/><Relationship Id="rId4" Type="http://schemas.openxmlformats.org/officeDocument/2006/relationships/image" Target="../media/image5.wmf"/><Relationship Id="rId3" Type="http://schemas.openxmlformats.org/officeDocument/2006/relationships/image" Target="../media/image4.wmf"/><Relationship Id="rId2" Type="http://schemas.openxmlformats.org/officeDocument/2006/relationships/image" Target="../media/image3.wmf"/><Relationship Id="rId1" Type="http://schemas.openxmlformats.org/officeDocument/2006/relationships/image" Target="../media/image2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344170</xdr:colOff>
      <xdr:row>1</xdr:row>
      <xdr:rowOff>31115</xdr:rowOff>
    </xdr:from>
    <xdr:to>
      <xdr:col>11</xdr:col>
      <xdr:colOff>532130</xdr:colOff>
      <xdr:row>2</xdr:row>
      <xdr:rowOff>485775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54720" y="602615"/>
          <a:ext cx="4725035" cy="1026160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401320</xdr:colOff>
          <xdr:row>3</xdr:row>
          <xdr:rowOff>133350</xdr:rowOff>
        </xdr:from>
        <xdr:to>
          <xdr:col>7</xdr:col>
          <xdr:colOff>186690</xdr:colOff>
          <xdr:row>7</xdr:row>
          <xdr:rowOff>447675</xdr:rowOff>
        </xdr:to>
        <xdr:sp>
          <xdr:nvSpPr>
            <xdr:cNvPr id="4097" name="Object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>
            <a:xfrm>
              <a:off x="8611870" y="1847850"/>
              <a:ext cx="1571625" cy="24860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411480</xdr:colOff>
          <xdr:row>3</xdr:row>
          <xdr:rowOff>133350</xdr:rowOff>
        </xdr:from>
        <xdr:to>
          <xdr:col>14</xdr:col>
          <xdr:colOff>188595</xdr:colOff>
          <xdr:row>7</xdr:row>
          <xdr:rowOff>428625</xdr:rowOff>
        </xdr:to>
        <xdr:sp>
          <xdr:nvSpPr>
            <xdr:cNvPr id="4098" name="Object 2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>
            <a:xfrm>
              <a:off x="10408285" y="1847850"/>
              <a:ext cx="4591050" cy="2466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20320</xdr:colOff>
          <xdr:row>8</xdr:row>
          <xdr:rowOff>390525</xdr:rowOff>
        </xdr:from>
        <xdr:to>
          <xdr:col>6</xdr:col>
          <xdr:colOff>332740</xdr:colOff>
          <xdr:row>9</xdr:row>
          <xdr:rowOff>88900</xdr:rowOff>
        </xdr:to>
        <xdr:sp>
          <xdr:nvSpPr>
            <xdr:cNvPr id="4099" name="Object 3" hidden="1">
              <a:extLst>
                <a:ext uri="{63B3BB69-23CF-44E3-9099-C40C66FF867C}">
                  <a14:compatExt spid="_x0000_s4099"/>
                </a:ext>
              </a:extLst>
            </xdr:cNvPr>
            <xdr:cNvSpPr/>
          </xdr:nvSpPr>
          <xdr:spPr>
            <a:xfrm>
              <a:off x="8641715" y="4733925"/>
              <a:ext cx="1000125" cy="2571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</xdr:colOff>
          <xdr:row>9</xdr:row>
          <xdr:rowOff>339725</xdr:rowOff>
        </xdr:from>
        <xdr:to>
          <xdr:col>9</xdr:col>
          <xdr:colOff>60960</xdr:colOff>
          <xdr:row>10</xdr:row>
          <xdr:rowOff>247650</xdr:rowOff>
        </xdr:to>
        <xdr:sp>
          <xdr:nvSpPr>
            <xdr:cNvPr id="4100" name="Object 4" hidden="1">
              <a:extLst>
                <a:ext uri="{63B3BB69-23CF-44E3-9099-C40C66FF867C}">
                  <a14:compatExt spid="_x0000_s4100"/>
                </a:ext>
              </a:extLst>
            </xdr:cNvPr>
            <xdr:cNvSpPr/>
          </xdr:nvSpPr>
          <xdr:spPr>
            <a:xfrm>
              <a:off x="8632825" y="5241925"/>
              <a:ext cx="2800350" cy="4667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401955</xdr:colOff>
          <xdr:row>10</xdr:row>
          <xdr:rowOff>539750</xdr:rowOff>
        </xdr:from>
        <xdr:to>
          <xdr:col>11</xdr:col>
          <xdr:colOff>132080</xdr:colOff>
          <xdr:row>11</xdr:row>
          <xdr:rowOff>390525</xdr:rowOff>
        </xdr:to>
        <xdr:sp>
          <xdr:nvSpPr>
            <xdr:cNvPr id="4101" name="Object 5" hidden="1">
              <a:extLst>
                <a:ext uri="{63B3BB69-23CF-44E3-9099-C40C66FF867C}">
                  <a14:compatExt spid="_x0000_s4101"/>
                </a:ext>
              </a:extLst>
            </xdr:cNvPr>
            <xdr:cNvSpPr/>
          </xdr:nvSpPr>
          <xdr:spPr>
            <a:xfrm>
              <a:off x="8612505" y="6000750"/>
              <a:ext cx="4267200" cy="10191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401320</xdr:colOff>
          <xdr:row>12</xdr:row>
          <xdr:rowOff>158750</xdr:rowOff>
        </xdr:from>
        <xdr:to>
          <xdr:col>9</xdr:col>
          <xdr:colOff>259080</xdr:colOff>
          <xdr:row>12</xdr:row>
          <xdr:rowOff>415925</xdr:rowOff>
        </xdr:to>
        <xdr:sp>
          <xdr:nvSpPr>
            <xdr:cNvPr id="4102" name="Object 6" hidden="1">
              <a:extLst>
                <a:ext uri="{63B3BB69-23CF-44E3-9099-C40C66FF867C}">
                  <a14:compatExt spid="_x0000_s4102"/>
                </a:ext>
              </a:extLst>
            </xdr:cNvPr>
            <xdr:cNvSpPr/>
          </xdr:nvSpPr>
          <xdr:spPr>
            <a:xfrm>
              <a:off x="8611870" y="7346950"/>
              <a:ext cx="3019425" cy="2571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8</xdr:row>
          <xdr:rowOff>282575</xdr:rowOff>
        </xdr:from>
        <xdr:to>
          <xdr:col>14</xdr:col>
          <xdr:colOff>72390</xdr:colOff>
          <xdr:row>9</xdr:row>
          <xdr:rowOff>142875</xdr:rowOff>
        </xdr:to>
        <xdr:sp>
          <xdr:nvSpPr>
            <xdr:cNvPr id="4103" name="Object 7" hidden="1">
              <a:extLst>
                <a:ext uri="{63B3BB69-23CF-44E3-9099-C40C66FF867C}">
                  <a14:compatExt spid="_x0000_s4103"/>
                </a:ext>
              </a:extLst>
            </xdr:cNvPr>
            <xdr:cNvSpPr/>
          </xdr:nvSpPr>
          <xdr:spPr>
            <a:xfrm>
              <a:off x="13435330" y="4625975"/>
              <a:ext cx="1447800" cy="4191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668655</xdr:colOff>
          <xdr:row>9</xdr:row>
          <xdr:rowOff>368300</xdr:rowOff>
        </xdr:from>
        <xdr:to>
          <xdr:col>19</xdr:col>
          <xdr:colOff>377190</xdr:colOff>
          <xdr:row>10</xdr:row>
          <xdr:rowOff>981075</xdr:rowOff>
        </xdr:to>
        <xdr:sp>
          <xdr:nvSpPr>
            <xdr:cNvPr id="4104" name="Object 8" hidden="1">
              <a:extLst>
                <a:ext uri="{63B3BB69-23CF-44E3-9099-C40C66FF867C}">
                  <a14:compatExt spid="_x0000_s4104"/>
                </a:ext>
              </a:extLst>
            </xdr:cNvPr>
            <xdr:cNvSpPr/>
          </xdr:nvSpPr>
          <xdr:spPr>
            <a:xfrm>
              <a:off x="13416280" y="5270500"/>
              <a:ext cx="5210175" cy="11715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11</xdr:row>
          <xdr:rowOff>25400</xdr:rowOff>
        </xdr:from>
        <xdr:to>
          <xdr:col>17</xdr:col>
          <xdr:colOff>590550</xdr:colOff>
          <xdr:row>13</xdr:row>
          <xdr:rowOff>125730</xdr:rowOff>
        </xdr:to>
        <xdr:sp>
          <xdr:nvSpPr>
            <xdr:cNvPr id="4105" name="Object 9" hidden="1">
              <a:extLst>
                <a:ext uri="{63B3BB69-23CF-44E3-9099-C40C66FF867C}">
                  <a14:compatExt spid="_x0000_s4105"/>
                </a:ext>
              </a:extLst>
            </xdr:cNvPr>
            <xdr:cNvSpPr/>
          </xdr:nvSpPr>
          <xdr:spPr>
            <a:xfrm>
              <a:off x="13435330" y="6654800"/>
              <a:ext cx="4029075" cy="121793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246380</xdr:colOff>
      <xdr:row>26</xdr:row>
      <xdr:rowOff>188595</xdr:rowOff>
    </xdr:from>
    <xdr:to>
      <xdr:col>15</xdr:col>
      <xdr:colOff>581025</xdr:colOff>
      <xdr:row>46</xdr:row>
      <xdr:rowOff>182880</xdr:rowOff>
    </xdr:to>
    <xdr:graphicFrame>
      <xdr:nvGraphicFramePr>
        <xdr:cNvPr id="3" name="图表 2"/>
        <xdr:cNvGraphicFramePr/>
      </xdr:nvGraphicFramePr>
      <xdr:xfrm>
        <a:off x="246380" y="5132070"/>
        <a:ext cx="9945370" cy="38042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38</xdr:col>
      <xdr:colOff>516255</xdr:colOff>
      <xdr:row>3</xdr:row>
      <xdr:rowOff>69850</xdr:rowOff>
    </xdr:from>
    <xdr:to>
      <xdr:col>48</xdr:col>
      <xdr:colOff>678815</xdr:colOff>
      <xdr:row>25</xdr:row>
      <xdr:rowOff>41910</xdr:rowOff>
    </xdr:to>
    <xdr:graphicFrame>
      <xdr:nvGraphicFramePr>
        <xdr:cNvPr id="5" name="图表 4"/>
        <xdr:cNvGraphicFramePr/>
      </xdr:nvGraphicFramePr>
      <xdr:xfrm>
        <a:off x="25005030" y="584200"/>
        <a:ext cx="7430135" cy="4163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516255</xdr:colOff>
      <xdr:row>26</xdr:row>
      <xdr:rowOff>25400</xdr:rowOff>
    </xdr:from>
    <xdr:to>
      <xdr:col>48</xdr:col>
      <xdr:colOff>678815</xdr:colOff>
      <xdr:row>48</xdr:row>
      <xdr:rowOff>16510</xdr:rowOff>
    </xdr:to>
    <xdr:graphicFrame>
      <xdr:nvGraphicFramePr>
        <xdr:cNvPr id="6" name="图表 5"/>
        <xdr:cNvGraphicFramePr/>
      </xdr:nvGraphicFramePr>
      <xdr:xfrm>
        <a:off x="25005030" y="4921250"/>
        <a:ext cx="7430135" cy="41440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oleObject" Target="../embeddings/oleObject4.bin"/><Relationship Id="rId8" Type="http://schemas.openxmlformats.org/officeDocument/2006/relationships/image" Target="../media/image4.wmf"/><Relationship Id="rId7" Type="http://schemas.openxmlformats.org/officeDocument/2006/relationships/oleObject" Target="../embeddings/oleObject3.bin"/><Relationship Id="rId6" Type="http://schemas.openxmlformats.org/officeDocument/2006/relationships/image" Target="../media/image3.w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2.wmf"/><Relationship Id="rId3" Type="http://schemas.openxmlformats.org/officeDocument/2006/relationships/oleObject" Target="../embeddings/oleObject1.bin"/><Relationship Id="rId20" Type="http://schemas.openxmlformats.org/officeDocument/2006/relationships/image" Target="../media/image10.wmf"/><Relationship Id="rId2" Type="http://schemas.openxmlformats.org/officeDocument/2006/relationships/vmlDrawing" Target="../drawings/vmlDrawing1.vml"/><Relationship Id="rId19" Type="http://schemas.openxmlformats.org/officeDocument/2006/relationships/oleObject" Target="../embeddings/oleObject9.bin"/><Relationship Id="rId18" Type="http://schemas.openxmlformats.org/officeDocument/2006/relationships/image" Target="../media/image9.wmf"/><Relationship Id="rId17" Type="http://schemas.openxmlformats.org/officeDocument/2006/relationships/oleObject" Target="../embeddings/oleObject8.bin"/><Relationship Id="rId16" Type="http://schemas.openxmlformats.org/officeDocument/2006/relationships/image" Target="../media/image8.wmf"/><Relationship Id="rId15" Type="http://schemas.openxmlformats.org/officeDocument/2006/relationships/oleObject" Target="../embeddings/oleObject7.bin"/><Relationship Id="rId14" Type="http://schemas.openxmlformats.org/officeDocument/2006/relationships/image" Target="../media/image7.wmf"/><Relationship Id="rId13" Type="http://schemas.openxmlformats.org/officeDocument/2006/relationships/oleObject" Target="../embeddings/oleObject6.bin"/><Relationship Id="rId12" Type="http://schemas.openxmlformats.org/officeDocument/2006/relationships/image" Target="../media/image6.wmf"/><Relationship Id="rId11" Type="http://schemas.openxmlformats.org/officeDocument/2006/relationships/oleObject" Target="../embeddings/oleObject5.bin"/><Relationship Id="rId10" Type="http://schemas.openxmlformats.org/officeDocument/2006/relationships/image" Target="../media/image5.wmf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topLeftCell="A7" workbookViewId="0">
      <selection activeCell="B28" sqref="B28"/>
    </sheetView>
  </sheetViews>
  <sheetFormatPr defaultColWidth="9.025" defaultRowHeight="13.5" outlineLevelCol="3"/>
  <cols>
    <col min="1" max="1" width="20.75" customWidth="1"/>
    <col min="2" max="4" width="29" customWidth="1"/>
    <col min="5" max="5" width="5.39166666666667" customWidth="1"/>
  </cols>
  <sheetData>
    <row r="1" ht="45" customHeight="1" spans="1:1">
      <c r="A1" s="893" t="s">
        <v>0</v>
      </c>
    </row>
    <row r="2" ht="45" customHeight="1" spans="1:4">
      <c r="A2" s="894" t="s">
        <v>1</v>
      </c>
      <c r="B2" s="821" t="s">
        <v>2</v>
      </c>
      <c r="C2" s="895" t="s">
        <v>3</v>
      </c>
      <c r="D2" s="821" t="s">
        <v>4</v>
      </c>
    </row>
    <row r="3" ht="45" customHeight="1" spans="1:4">
      <c r="A3" s="821" t="s">
        <v>5</v>
      </c>
      <c r="B3" s="896" t="s">
        <v>6</v>
      </c>
      <c r="C3" s="637" t="s">
        <v>7</v>
      </c>
      <c r="D3" s="896" t="s">
        <v>8</v>
      </c>
    </row>
    <row r="4" ht="45" customHeight="1" spans="1:4">
      <c r="A4" s="821" t="s">
        <v>9</v>
      </c>
      <c r="B4" s="637" t="s">
        <v>7</v>
      </c>
      <c r="C4" s="896" t="s">
        <v>10</v>
      </c>
      <c r="D4" s="896" t="s">
        <v>11</v>
      </c>
    </row>
    <row r="5" ht="45" customHeight="1" spans="1:4">
      <c r="A5" s="897" t="s">
        <v>12</v>
      </c>
      <c r="B5" s="896" t="s">
        <v>10</v>
      </c>
      <c r="C5" s="896" t="s">
        <v>13</v>
      </c>
      <c r="D5" s="896" t="s">
        <v>14</v>
      </c>
    </row>
    <row r="6" ht="45" customHeight="1" spans="1:4">
      <c r="A6" s="821" t="s">
        <v>15</v>
      </c>
      <c r="B6" s="637" t="s">
        <v>16</v>
      </c>
      <c r="C6" s="896" t="s">
        <v>17</v>
      </c>
      <c r="D6" s="896" t="s">
        <v>18</v>
      </c>
    </row>
    <row r="7" s="892" customFormat="1" ht="36" customHeight="1"/>
    <row r="8" s="892" customFormat="1" ht="36" customHeight="1"/>
    <row r="9" s="892" customFormat="1" ht="44" customHeight="1" spans="1:4">
      <c r="A9" s="893" t="s">
        <v>19</v>
      </c>
      <c r="B9" s="898"/>
      <c r="C9" s="898"/>
      <c r="D9" s="898"/>
    </row>
    <row r="10" ht="44" customHeight="1" spans="1:4">
      <c r="A10" s="899" t="s">
        <v>20</v>
      </c>
      <c r="B10" s="900" t="s">
        <v>21</v>
      </c>
      <c r="C10" s="900"/>
      <c r="D10" s="900"/>
    </row>
    <row r="11" ht="92" customHeight="1" spans="1:4">
      <c r="A11" s="899" t="s">
        <v>22</v>
      </c>
      <c r="B11" s="900" t="s">
        <v>23</v>
      </c>
      <c r="C11" s="900"/>
      <c r="D11" s="900"/>
    </row>
    <row r="12" ht="44" customHeight="1" spans="1:4">
      <c r="A12" s="901" t="s">
        <v>24</v>
      </c>
      <c r="B12" s="900" t="s">
        <v>25</v>
      </c>
      <c r="C12" s="900"/>
      <c r="D12" s="900"/>
    </row>
    <row r="13" ht="44" customHeight="1" spans="1:4">
      <c r="A13" s="901" t="s">
        <v>26</v>
      </c>
      <c r="B13" s="900" t="s">
        <v>27</v>
      </c>
      <c r="C13" s="900"/>
      <c r="D13" s="900"/>
    </row>
    <row r="14" ht="44" customHeight="1" spans="1:4">
      <c r="A14" s="901" t="s">
        <v>28</v>
      </c>
      <c r="B14" s="900" t="s">
        <v>29</v>
      </c>
      <c r="C14" s="900"/>
      <c r="D14" s="900"/>
    </row>
    <row r="16" ht="39" customHeight="1" spans="1:1">
      <c r="A16" s="893" t="s">
        <v>30</v>
      </c>
    </row>
    <row r="17" spans="1:1">
      <c r="A17" t="s">
        <v>31</v>
      </c>
    </row>
    <row r="23" spans="1:3">
      <c r="A23" s="893" t="s">
        <v>32</v>
      </c>
      <c r="B23" s="902">
        <v>1</v>
      </c>
      <c r="C23" t="s">
        <v>33</v>
      </c>
    </row>
    <row r="24" spans="1:2">
      <c r="A24" s="893" t="s">
        <v>34</v>
      </c>
      <c r="B24" s="902">
        <v>0.01</v>
      </c>
    </row>
    <row r="25" spans="1:1">
      <c r="A25" s="903"/>
    </row>
    <row r="26" spans="1:1">
      <c r="A26" s="903"/>
    </row>
    <row r="27" spans="1:1">
      <c r="A27" s="903"/>
    </row>
    <row r="28" spans="1:1">
      <c r="A28" s="903"/>
    </row>
  </sheetData>
  <mergeCells count="5">
    <mergeCell ref="B10:D10"/>
    <mergeCell ref="B11:D11"/>
    <mergeCell ref="B12:D12"/>
    <mergeCell ref="B13:D13"/>
    <mergeCell ref="B14:D14"/>
  </mergeCells>
  <pageMargins left="0.75" right="0.75" top="1" bottom="1" header="0.5" footer="0.5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4097" progId="Equation.DSMT4" r:id="rId3">
          <objectPr defaultSize="0" r:id="rId4">
            <anchor moveWithCells="1">
              <from>
                <xdr:col>4</xdr:col>
                <xdr:colOff>401320</xdr:colOff>
                <xdr:row>3</xdr:row>
                <xdr:rowOff>133350</xdr:rowOff>
              </from>
              <to>
                <xdr:col>7</xdr:col>
                <xdr:colOff>186690</xdr:colOff>
                <xdr:row>7</xdr:row>
                <xdr:rowOff>447675</xdr:rowOff>
              </to>
            </anchor>
          </objectPr>
        </oleObject>
      </mc:Choice>
      <mc:Fallback>
        <oleObject shapeId="4097" progId="Equation.DSMT4" r:id="rId3"/>
      </mc:Fallback>
    </mc:AlternateContent>
    <mc:AlternateContent xmlns:mc="http://schemas.openxmlformats.org/markup-compatibility/2006">
      <mc:Choice Requires="x14">
        <oleObject shapeId="4098" progId="Equation.DSMT4" r:id="rId5">
          <objectPr defaultSize="0" r:id="rId6">
            <anchor moveWithCells="1">
              <from>
                <xdr:col>7</xdr:col>
                <xdr:colOff>411480</xdr:colOff>
                <xdr:row>3</xdr:row>
                <xdr:rowOff>133350</xdr:rowOff>
              </from>
              <to>
                <xdr:col>14</xdr:col>
                <xdr:colOff>188595</xdr:colOff>
                <xdr:row>7</xdr:row>
                <xdr:rowOff>428625</xdr:rowOff>
              </to>
            </anchor>
          </objectPr>
        </oleObject>
      </mc:Choice>
      <mc:Fallback>
        <oleObject shapeId="4098" progId="Equation.DSMT4" r:id="rId5"/>
      </mc:Fallback>
    </mc:AlternateContent>
    <mc:AlternateContent xmlns:mc="http://schemas.openxmlformats.org/markup-compatibility/2006">
      <mc:Choice Requires="x14">
        <oleObject shapeId="4099" progId="Equation.DSMT4" r:id="rId7">
          <objectPr defaultSize="0" r:id="rId8">
            <anchor moveWithCells="1">
              <from>
                <xdr:col>5</xdr:col>
                <xdr:colOff>20320</xdr:colOff>
                <xdr:row>8</xdr:row>
                <xdr:rowOff>390525</xdr:rowOff>
              </from>
              <to>
                <xdr:col>6</xdr:col>
                <xdr:colOff>332740</xdr:colOff>
                <xdr:row>9</xdr:row>
                <xdr:rowOff>88900</xdr:rowOff>
              </to>
            </anchor>
          </objectPr>
        </oleObject>
      </mc:Choice>
      <mc:Fallback>
        <oleObject shapeId="4099" progId="Equation.DSMT4" r:id="rId7"/>
      </mc:Fallback>
    </mc:AlternateContent>
    <mc:AlternateContent xmlns:mc="http://schemas.openxmlformats.org/markup-compatibility/2006">
      <mc:Choice Requires="x14">
        <oleObject shapeId="4100" progId="Equation.DSMT4" r:id="rId9">
          <objectPr defaultSize="0" r:id="rId10">
            <anchor moveWithCells="1">
              <from>
                <xdr:col>5</xdr:col>
                <xdr:colOff>11430</xdr:colOff>
                <xdr:row>9</xdr:row>
                <xdr:rowOff>339725</xdr:rowOff>
              </from>
              <to>
                <xdr:col>9</xdr:col>
                <xdr:colOff>60960</xdr:colOff>
                <xdr:row>10</xdr:row>
                <xdr:rowOff>247650</xdr:rowOff>
              </to>
            </anchor>
          </objectPr>
        </oleObject>
      </mc:Choice>
      <mc:Fallback>
        <oleObject shapeId="4100" progId="Equation.DSMT4" r:id="rId9"/>
      </mc:Fallback>
    </mc:AlternateContent>
    <mc:AlternateContent xmlns:mc="http://schemas.openxmlformats.org/markup-compatibility/2006">
      <mc:Choice Requires="x14">
        <oleObject shapeId="4101" progId="Equation.DSMT4" r:id="rId11">
          <objectPr defaultSize="0" r:id="rId12">
            <anchor moveWithCells="1">
              <from>
                <xdr:col>4</xdr:col>
                <xdr:colOff>401955</xdr:colOff>
                <xdr:row>10</xdr:row>
                <xdr:rowOff>539750</xdr:rowOff>
              </from>
              <to>
                <xdr:col>11</xdr:col>
                <xdr:colOff>132080</xdr:colOff>
                <xdr:row>11</xdr:row>
                <xdr:rowOff>390525</xdr:rowOff>
              </to>
            </anchor>
          </objectPr>
        </oleObject>
      </mc:Choice>
      <mc:Fallback>
        <oleObject shapeId="4101" progId="Equation.DSMT4" r:id="rId11"/>
      </mc:Fallback>
    </mc:AlternateContent>
    <mc:AlternateContent xmlns:mc="http://schemas.openxmlformats.org/markup-compatibility/2006">
      <mc:Choice Requires="x14">
        <oleObject shapeId="4102" progId="Equation.DSMT4" r:id="rId13">
          <objectPr defaultSize="0" r:id="rId14">
            <anchor moveWithCells="1">
              <from>
                <xdr:col>4</xdr:col>
                <xdr:colOff>401320</xdr:colOff>
                <xdr:row>12</xdr:row>
                <xdr:rowOff>158750</xdr:rowOff>
              </from>
              <to>
                <xdr:col>9</xdr:col>
                <xdr:colOff>259080</xdr:colOff>
                <xdr:row>12</xdr:row>
                <xdr:rowOff>415925</xdr:rowOff>
              </to>
            </anchor>
          </objectPr>
        </oleObject>
      </mc:Choice>
      <mc:Fallback>
        <oleObject shapeId="4102" progId="Equation.DSMT4" r:id="rId13"/>
      </mc:Fallback>
    </mc:AlternateContent>
    <mc:AlternateContent xmlns:mc="http://schemas.openxmlformats.org/markup-compatibility/2006">
      <mc:Choice Requires="x14">
        <oleObject shapeId="4103" progId="Equation.DSMT4" r:id="rId15">
          <objectPr defaultSize="0" r:id="rId16">
            <anchor moveWithCells="1">
              <from>
                <xdr:col>12</xdr:col>
                <xdr:colOff>0</xdr:colOff>
                <xdr:row>8</xdr:row>
                <xdr:rowOff>282575</xdr:rowOff>
              </from>
              <to>
                <xdr:col>14</xdr:col>
                <xdr:colOff>72390</xdr:colOff>
                <xdr:row>9</xdr:row>
                <xdr:rowOff>142875</xdr:rowOff>
              </to>
            </anchor>
          </objectPr>
        </oleObject>
      </mc:Choice>
      <mc:Fallback>
        <oleObject shapeId="4103" progId="Equation.DSMT4" r:id="rId15"/>
      </mc:Fallback>
    </mc:AlternateContent>
    <mc:AlternateContent xmlns:mc="http://schemas.openxmlformats.org/markup-compatibility/2006">
      <mc:Choice Requires="x14">
        <oleObject shapeId="4104" progId="Equation.DSMT4" r:id="rId17">
          <objectPr defaultSize="0" r:id="rId18">
            <anchor moveWithCells="1">
              <from>
                <xdr:col>11</xdr:col>
                <xdr:colOff>668655</xdr:colOff>
                <xdr:row>9</xdr:row>
                <xdr:rowOff>368300</xdr:rowOff>
              </from>
              <to>
                <xdr:col>19</xdr:col>
                <xdr:colOff>377190</xdr:colOff>
                <xdr:row>10</xdr:row>
                <xdr:rowOff>981075</xdr:rowOff>
              </to>
            </anchor>
          </objectPr>
        </oleObject>
      </mc:Choice>
      <mc:Fallback>
        <oleObject shapeId="4104" progId="Equation.DSMT4" r:id="rId17"/>
      </mc:Fallback>
    </mc:AlternateContent>
    <mc:AlternateContent xmlns:mc="http://schemas.openxmlformats.org/markup-compatibility/2006">
      <mc:Choice Requires="x14">
        <oleObject shapeId="4105" progId="Equation.DSMT4" r:id="rId19">
          <objectPr defaultSize="0" r:id="rId20">
            <anchor moveWithCells="1">
              <from>
                <xdr:col>12</xdr:col>
                <xdr:colOff>0</xdr:colOff>
                <xdr:row>11</xdr:row>
                <xdr:rowOff>25400</xdr:rowOff>
              </from>
              <to>
                <xdr:col>17</xdr:col>
                <xdr:colOff>590550</xdr:colOff>
                <xdr:row>13</xdr:row>
                <xdr:rowOff>125730</xdr:rowOff>
              </to>
            </anchor>
          </objectPr>
        </oleObject>
      </mc:Choice>
      <mc:Fallback>
        <oleObject shapeId="4105" progId="Equation.DSMT4" r:id="rId19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9"/>
  <sheetViews>
    <sheetView zoomScale="85" zoomScaleNormal="85" workbookViewId="0">
      <selection activeCell="E31" sqref="E31"/>
    </sheetView>
  </sheetViews>
  <sheetFormatPr defaultColWidth="9" defaultRowHeight="13.5"/>
  <cols>
    <col min="2" max="2" width="8.625" customWidth="1"/>
    <col min="3" max="3" width="10.75" customWidth="1"/>
    <col min="4" max="5" width="8.375" customWidth="1"/>
    <col min="6" max="6" width="10.625" customWidth="1"/>
    <col min="7" max="8" width="8.375" customWidth="1"/>
    <col min="9" max="9" width="10.75" customWidth="1"/>
    <col min="10" max="11" width="8.375" customWidth="1"/>
    <col min="12" max="12" width="10.625" customWidth="1"/>
    <col min="13" max="14" width="8.375" customWidth="1"/>
    <col min="15" max="15" width="10.625" customWidth="1"/>
    <col min="16" max="17" width="8.375" customWidth="1"/>
    <col min="18" max="19" width="8.625" customWidth="1"/>
  </cols>
  <sheetData>
    <row r="1" ht="54" spans="1:19">
      <c r="A1" s="174" t="s">
        <v>35</v>
      </c>
      <c r="B1" s="859" t="s">
        <v>36</v>
      </c>
      <c r="C1" s="860" t="s">
        <v>37</v>
      </c>
      <c r="D1" s="861" t="s">
        <v>38</v>
      </c>
      <c r="E1" s="861" t="s">
        <v>39</v>
      </c>
      <c r="F1" s="860" t="s">
        <v>40</v>
      </c>
      <c r="G1" s="861" t="s">
        <v>38</v>
      </c>
      <c r="H1" s="861" t="s">
        <v>39</v>
      </c>
      <c r="I1" s="860" t="s">
        <v>41</v>
      </c>
      <c r="J1" s="861" t="s">
        <v>38</v>
      </c>
      <c r="K1" s="861" t="s">
        <v>39</v>
      </c>
      <c r="L1" s="860" t="s">
        <v>42</v>
      </c>
      <c r="M1" s="861" t="s">
        <v>38</v>
      </c>
      <c r="N1" s="861" t="s">
        <v>39</v>
      </c>
      <c r="O1" s="860" t="s">
        <v>43</v>
      </c>
      <c r="P1" s="861" t="s">
        <v>38</v>
      </c>
      <c r="Q1" s="861" t="s">
        <v>39</v>
      </c>
      <c r="R1" s="884" t="s">
        <v>44</v>
      </c>
      <c r="S1" s="885" t="s">
        <v>45</v>
      </c>
    </row>
    <row r="2" ht="15.75" spans="1:19">
      <c r="A2" s="179" t="s">
        <v>46</v>
      </c>
      <c r="B2" s="862">
        <f>VLOOKUP(A2,衰变常数!$A$1:$H$3800,7,FALSE)</f>
        <v>0.000105213597534903</v>
      </c>
      <c r="C2" s="863">
        <v>2.35e+16</v>
      </c>
      <c r="D2" s="864">
        <v>2.11e+16</v>
      </c>
      <c r="E2" s="865">
        <f t="shared" ref="E2:E21" si="0">C2/D2</f>
        <v>1.11374407582938</v>
      </c>
      <c r="F2" s="863"/>
      <c r="G2" s="864">
        <v>18316615.7871784</v>
      </c>
      <c r="H2" s="865">
        <f t="shared" ref="H2:H24" si="1">F2/G2</f>
        <v>0</v>
      </c>
      <c r="I2" s="863">
        <v>4250000000</v>
      </c>
      <c r="J2" s="864">
        <v>5400000000</v>
      </c>
      <c r="K2" s="865">
        <f t="shared" ref="K2:K23" si="2">I2/J2</f>
        <v>0.787037037037037</v>
      </c>
      <c r="L2" s="863">
        <v>179000000</v>
      </c>
      <c r="M2" s="864">
        <v>227000000</v>
      </c>
      <c r="N2" s="865">
        <f t="shared" ref="N2:N10" si="3">L2/M2</f>
        <v>0.788546255506608</v>
      </c>
      <c r="O2" s="878"/>
      <c r="P2" s="864"/>
      <c r="Q2" s="865"/>
      <c r="R2" s="886">
        <v>6026574.42747006</v>
      </c>
      <c r="S2" s="887">
        <v>39507824.6971652</v>
      </c>
    </row>
    <row r="3" ht="15.75" spans="1:19">
      <c r="A3" s="185" t="s">
        <v>47</v>
      </c>
      <c r="B3" s="862">
        <f>VLOOKUP(A3,衰变常数!$A$1:$H$3800,7,FALSE)</f>
        <v>2.04207062814938e-9</v>
      </c>
      <c r="C3" s="863">
        <v>1860000000000000</v>
      </c>
      <c r="D3" s="864">
        <v>2100000000000000</v>
      </c>
      <c r="E3" s="865">
        <f t="shared" si="0"/>
        <v>0.885714285714286</v>
      </c>
      <c r="F3" s="863"/>
      <c r="G3" s="864">
        <v>21561995.6888786</v>
      </c>
      <c r="H3" s="865">
        <f t="shared" si="1"/>
        <v>0</v>
      </c>
      <c r="I3" s="863">
        <v>46200000</v>
      </c>
      <c r="J3" s="864">
        <v>73000000</v>
      </c>
      <c r="K3" s="865">
        <f t="shared" si="2"/>
        <v>0.632876712328767</v>
      </c>
      <c r="L3" s="863">
        <v>1030000000</v>
      </c>
      <c r="M3" s="864">
        <v>1630000000</v>
      </c>
      <c r="N3" s="865">
        <f t="shared" si="3"/>
        <v>0.631901840490798</v>
      </c>
      <c r="O3" s="863"/>
      <c r="P3" s="864"/>
      <c r="Q3" s="865"/>
      <c r="R3" s="886">
        <v>44071.4822244075</v>
      </c>
      <c r="S3" s="887">
        <v>293809.78559652</v>
      </c>
    </row>
    <row r="4" ht="15.75" spans="1:19">
      <c r="A4" s="185" t="s">
        <v>48</v>
      </c>
      <c r="B4" s="862">
        <f>VLOOKUP(A4,衰变常数!$A$1:$H$3800,7,FALSE)</f>
        <v>4.29778757787664e-5</v>
      </c>
      <c r="C4" s="863">
        <v>6.59e+16</v>
      </c>
      <c r="D4" s="864">
        <v>6.18e+16</v>
      </c>
      <c r="E4" s="865">
        <f t="shared" si="0"/>
        <v>1.0663430420712</v>
      </c>
      <c r="F4" s="863"/>
      <c r="G4" s="864">
        <v>188718808.974628</v>
      </c>
      <c r="H4" s="865">
        <f t="shared" si="1"/>
        <v>0</v>
      </c>
      <c r="I4" s="863">
        <v>17900000000</v>
      </c>
      <c r="J4" s="864">
        <v>24000000000</v>
      </c>
      <c r="K4" s="865">
        <f t="shared" si="2"/>
        <v>0.745833333333333</v>
      </c>
      <c r="L4" s="863">
        <v>1580000000</v>
      </c>
      <c r="M4" s="864">
        <v>2110000000</v>
      </c>
      <c r="N4" s="865">
        <f t="shared" si="3"/>
        <v>0.748815165876777</v>
      </c>
      <c r="O4" s="878"/>
      <c r="P4" s="864"/>
      <c r="Q4" s="865"/>
      <c r="R4" s="886">
        <v>24396955.9450058</v>
      </c>
      <c r="S4" s="887">
        <v>161531206.492175</v>
      </c>
    </row>
    <row r="5" ht="15.75" spans="1:19">
      <c r="A5" s="185" t="s">
        <v>49</v>
      </c>
      <c r="B5" s="862">
        <f>VLOOKUP(A5,衰变常数!$A$1:$H$3800,7,FALSE)</f>
        <v>0.000151408296321525</v>
      </c>
      <c r="C5" s="863">
        <v>1.29e+17</v>
      </c>
      <c r="D5" s="864">
        <v>1.2e+17</v>
      </c>
      <c r="E5" s="865">
        <f t="shared" si="0"/>
        <v>1.075</v>
      </c>
      <c r="F5" s="863"/>
      <c r="G5" s="864">
        <v>60363985.8249745</v>
      </c>
      <c r="H5" s="865">
        <f t="shared" si="1"/>
        <v>0</v>
      </c>
      <c r="I5" s="863">
        <v>19400000000</v>
      </c>
      <c r="J5" s="864">
        <v>27000000000</v>
      </c>
      <c r="K5" s="865">
        <f t="shared" si="2"/>
        <v>0.718518518518519</v>
      </c>
      <c r="L5" s="863">
        <v>567000000</v>
      </c>
      <c r="M5" s="864">
        <v>787000000</v>
      </c>
      <c r="N5" s="865">
        <f t="shared" si="3"/>
        <v>0.720457433290978</v>
      </c>
      <c r="O5" s="878"/>
      <c r="P5" s="864"/>
      <c r="Q5" s="865"/>
      <c r="R5" s="886">
        <v>26576418.3530928</v>
      </c>
      <c r="S5" s="887">
        <v>172891508.520103</v>
      </c>
    </row>
    <row r="6" ht="15.75" spans="1:19">
      <c r="A6" s="185" t="s">
        <v>50</v>
      </c>
      <c r="B6" s="862">
        <f>VLOOKUP(A6,衰变常数!$A$1:$H$3800,7,FALSE)</f>
        <v>6.77960857355189e-5</v>
      </c>
      <c r="C6" s="863">
        <v>1.88e+17</v>
      </c>
      <c r="D6" s="864">
        <v>1.75e+17</v>
      </c>
      <c r="E6" s="865">
        <f t="shared" si="0"/>
        <v>1.07428571428571</v>
      </c>
      <c r="F6" s="863"/>
      <c r="G6" s="864">
        <v>277946898.906742</v>
      </c>
      <c r="H6" s="865">
        <f t="shared" si="1"/>
        <v>0</v>
      </c>
      <c r="I6" s="863">
        <v>41500000000</v>
      </c>
      <c r="J6" s="864">
        <v>55000000000</v>
      </c>
      <c r="K6" s="865">
        <f t="shared" si="2"/>
        <v>0.754545454545455</v>
      </c>
      <c r="L6" s="863">
        <v>2390000000</v>
      </c>
      <c r="M6" s="864">
        <v>3160000000</v>
      </c>
      <c r="N6" s="865">
        <f t="shared" si="3"/>
        <v>0.756329113924051</v>
      </c>
      <c r="O6" s="878"/>
      <c r="P6" s="864"/>
      <c r="Q6" s="865"/>
      <c r="R6" s="886">
        <v>56447944.0035002</v>
      </c>
      <c r="S6" s="887">
        <v>372199817.272207</v>
      </c>
    </row>
    <row r="7" ht="15.75" spans="1:19">
      <c r="A7" s="185" t="s">
        <v>51</v>
      </c>
      <c r="B7" s="862">
        <f>VLOOKUP(A7,衰变常数!$A$1:$H$3800,7,FALSE)</f>
        <v>6.77579122638209e-7</v>
      </c>
      <c r="C7" s="863">
        <v>2500000000000000</v>
      </c>
      <c r="D7" s="864">
        <v>2900000000000000</v>
      </c>
      <c r="E7" s="865">
        <f t="shared" si="0"/>
        <v>0.862068965517241</v>
      </c>
      <c r="F7" s="863"/>
      <c r="G7" s="864">
        <v>311783910.936264</v>
      </c>
      <c r="H7" s="865">
        <f t="shared" si="1"/>
        <v>0</v>
      </c>
      <c r="I7" s="863">
        <v>939000000</v>
      </c>
      <c r="J7" s="864">
        <v>1600000000</v>
      </c>
      <c r="K7" s="865">
        <f t="shared" si="2"/>
        <v>0.586875</v>
      </c>
      <c r="L7" s="863">
        <v>4820000000</v>
      </c>
      <c r="M7" s="864">
        <v>8210000000</v>
      </c>
      <c r="N7" s="865">
        <f t="shared" si="3"/>
        <v>0.587088915956151</v>
      </c>
      <c r="O7" s="878"/>
      <c r="P7" s="864"/>
      <c r="Q7" s="865"/>
      <c r="R7" s="886">
        <v>1071543.50413292</v>
      </c>
      <c r="S7" s="887">
        <v>7142858.74836437</v>
      </c>
    </row>
    <row r="8" ht="15.75" spans="1:19">
      <c r="A8" s="185" t="s">
        <v>52</v>
      </c>
      <c r="B8" s="862">
        <f>VLOOKUP(A8,衰变常数!$A$1:$H$3800,7,FALSE)</f>
        <v>1.53014243983147e-6</v>
      </c>
      <c r="C8" s="863">
        <v>4.58e+17</v>
      </c>
      <c r="D8" s="864">
        <v>5.33e+17</v>
      </c>
      <c r="E8" s="865">
        <f t="shared" si="0"/>
        <v>0.859287054409006</v>
      </c>
      <c r="F8" s="863"/>
      <c r="G8" s="864">
        <v>43929162072.7674</v>
      </c>
      <c r="H8" s="865">
        <f t="shared" si="1"/>
        <v>0</v>
      </c>
      <c r="I8" s="863">
        <v>216000000000</v>
      </c>
      <c r="J8" s="864">
        <v>340000000000</v>
      </c>
      <c r="K8" s="865">
        <f t="shared" si="2"/>
        <v>0.635294117647059</v>
      </c>
      <c r="L8" s="863">
        <v>492000000000</v>
      </c>
      <c r="M8" s="864">
        <v>775000000000</v>
      </c>
      <c r="N8" s="865">
        <f t="shared" si="3"/>
        <v>0.634838709677419</v>
      </c>
      <c r="O8" s="878"/>
      <c r="P8" s="864"/>
      <c r="Q8" s="865"/>
      <c r="R8" s="886">
        <v>269568397.534947</v>
      </c>
      <c r="S8" s="887">
        <v>1796682768.45193</v>
      </c>
    </row>
    <row r="9" ht="15.75" spans="1:19">
      <c r="A9" s="185" t="s">
        <v>53</v>
      </c>
      <c r="B9" s="862">
        <f>VLOOKUP(A9,衰变常数!$A$1:$H$3800,7,FALSE)</f>
        <v>3.66325881828146e-6</v>
      </c>
      <c r="C9" s="863">
        <v>1.32e+16</v>
      </c>
      <c r="D9" s="864">
        <v>1.43e+16</v>
      </c>
      <c r="E9" s="865">
        <f t="shared" si="0"/>
        <v>0.923076923076923</v>
      </c>
      <c r="F9" s="863"/>
      <c r="G9" s="864">
        <v>808936825.885978</v>
      </c>
      <c r="H9" s="865">
        <f t="shared" si="1"/>
        <v>0</v>
      </c>
      <c r="I9" s="863">
        <v>6770000000</v>
      </c>
      <c r="J9" s="864">
        <v>11000000000</v>
      </c>
      <c r="K9" s="865">
        <f t="shared" si="2"/>
        <v>0.615454545454545</v>
      </c>
      <c r="L9" s="863">
        <v>6490000000</v>
      </c>
      <c r="M9" s="864">
        <v>10600000000</v>
      </c>
      <c r="N9" s="865">
        <f t="shared" si="3"/>
        <v>0.612264150943396</v>
      </c>
      <c r="O9" s="878"/>
      <c r="P9" s="864"/>
      <c r="Q9" s="865"/>
      <c r="R9" s="886">
        <v>8535811.69491106</v>
      </c>
      <c r="S9" s="887">
        <v>56872188.2412855</v>
      </c>
    </row>
    <row r="10" ht="15.75" spans="1:19">
      <c r="A10" s="185" t="s">
        <v>54</v>
      </c>
      <c r="B10" s="862">
        <f>VLOOKUP(A10,衰变常数!$A$1:$H$3800,7,FALSE)</f>
        <v>2.10657421760255e-5</v>
      </c>
      <c r="C10" s="863">
        <v>1.06e+17</v>
      </c>
      <c r="D10" s="864">
        <v>1.11e+17</v>
      </c>
      <c r="E10" s="865">
        <f t="shared" si="0"/>
        <v>0.954954954954955</v>
      </c>
      <c r="F10" s="863"/>
      <c r="G10" s="864">
        <v>807587178.000497</v>
      </c>
      <c r="H10" s="865">
        <f t="shared" si="1"/>
        <v>0</v>
      </c>
      <c r="I10" s="863">
        <v>37900000000</v>
      </c>
      <c r="J10" s="864">
        <v>51000000000</v>
      </c>
      <c r="K10" s="865">
        <f t="shared" si="2"/>
        <v>0.743137254901961</v>
      </c>
      <c r="L10" s="863">
        <v>6490000000</v>
      </c>
      <c r="M10" s="864">
        <v>8730000000</v>
      </c>
      <c r="N10" s="865">
        <f t="shared" si="3"/>
        <v>0.743413516609393</v>
      </c>
      <c r="O10" s="878"/>
      <c r="P10" s="864"/>
      <c r="Q10" s="865"/>
      <c r="R10" s="886">
        <v>69788277.7603274</v>
      </c>
      <c r="S10" s="887">
        <v>463679712.992308</v>
      </c>
    </row>
    <row r="11" ht="15.75" spans="1:19">
      <c r="A11" s="185" t="s">
        <v>55</v>
      </c>
      <c r="B11" s="862">
        <f>VLOOKUP(A11,衰变常数!$A$1:$H$3800,7,FALSE)</f>
        <v>9.99668118007245e-7</v>
      </c>
      <c r="C11" s="863">
        <v>2.27e+17</v>
      </c>
      <c r="D11" s="864">
        <v>2.73e+17</v>
      </c>
      <c r="E11" s="865">
        <f t="shared" si="0"/>
        <v>0.831501831501832</v>
      </c>
      <c r="F11" s="863"/>
      <c r="G11" s="864">
        <v>17406178.5487115</v>
      </c>
      <c r="H11" s="865">
        <f t="shared" si="1"/>
        <v>0</v>
      </c>
      <c r="I11" s="863">
        <v>19600000</v>
      </c>
      <c r="J11" s="864">
        <v>110000000</v>
      </c>
      <c r="K11" s="865">
        <f t="shared" si="2"/>
        <v>0.178181818181818</v>
      </c>
      <c r="L11" s="878"/>
      <c r="M11" s="879"/>
      <c r="N11" s="865"/>
      <c r="O11" s="863">
        <v>435000000000</v>
      </c>
      <c r="P11" s="880">
        <v>720000000000</v>
      </c>
      <c r="Q11" s="865">
        <f t="shared" ref="Q11:Q20" si="4">O11/P11</f>
        <v>0.604166666666667</v>
      </c>
      <c r="R11" s="886">
        <v>1362608472.36422</v>
      </c>
      <c r="S11" s="887"/>
    </row>
    <row r="12" ht="15.75" spans="1:19">
      <c r="A12" s="185" t="s">
        <v>56</v>
      </c>
      <c r="B12" s="862">
        <f>VLOOKUP(A12,衰变常数!$A$1:$H$3800,7,FALSE)</f>
        <v>8.38958097990735e-5</v>
      </c>
      <c r="C12" s="863">
        <v>3.35e+17</v>
      </c>
      <c r="D12" s="864">
        <v>3.69e+17</v>
      </c>
      <c r="E12" s="865">
        <f t="shared" si="0"/>
        <v>0.907859078590786</v>
      </c>
      <c r="F12" s="863"/>
      <c r="G12" s="864">
        <v>5728564.25812365</v>
      </c>
      <c r="H12" s="865">
        <f t="shared" si="1"/>
        <v>0</v>
      </c>
      <c r="I12" s="863">
        <v>261000000</v>
      </c>
      <c r="J12" s="864">
        <v>1400000000</v>
      </c>
      <c r="K12" s="865">
        <f t="shared" si="2"/>
        <v>0.186428571428571</v>
      </c>
      <c r="L12" s="878"/>
      <c r="M12" s="879"/>
      <c r="N12" s="865"/>
      <c r="O12" s="863">
        <v>69400000000</v>
      </c>
      <c r="P12" s="880">
        <v>120000000000</v>
      </c>
      <c r="Q12" s="865">
        <f t="shared" si="4"/>
        <v>0.578333333333333</v>
      </c>
      <c r="R12" s="886">
        <v>220165612.810934</v>
      </c>
      <c r="S12" s="887"/>
    </row>
    <row r="13" ht="15.75" spans="1:19">
      <c r="A13" s="185" t="s">
        <v>57</v>
      </c>
      <c r="B13" s="862">
        <f>VLOOKUP(A13,衰变常数!$A$1:$H$3800,7,FALSE)</f>
        <v>9.25677324465738e-6</v>
      </c>
      <c r="C13" s="863">
        <v>4.55e+17</v>
      </c>
      <c r="D13" s="864">
        <v>4.56e+17</v>
      </c>
      <c r="E13" s="865">
        <f t="shared" si="0"/>
        <v>0.99780701754386</v>
      </c>
      <c r="F13" s="863"/>
      <c r="G13" s="864">
        <v>18665339.353646</v>
      </c>
      <c r="H13" s="865">
        <f t="shared" si="1"/>
        <v>0</v>
      </c>
      <c r="I13" s="863">
        <v>119000000</v>
      </c>
      <c r="J13" s="864">
        <v>570000000</v>
      </c>
      <c r="K13" s="865">
        <f t="shared" si="2"/>
        <v>0.208771929824561</v>
      </c>
      <c r="L13" s="878"/>
      <c r="M13" s="879"/>
      <c r="N13" s="865"/>
      <c r="O13" s="863">
        <v>286000000000</v>
      </c>
      <c r="P13" s="880">
        <v>400000000000</v>
      </c>
      <c r="Q13" s="865">
        <f t="shared" si="4"/>
        <v>0.715</v>
      </c>
      <c r="R13" s="886">
        <v>941343359.047426</v>
      </c>
      <c r="S13" s="887"/>
    </row>
    <row r="14" ht="15.75" spans="1:19">
      <c r="A14" s="185" t="s">
        <v>58</v>
      </c>
      <c r="B14" s="862">
        <f>VLOOKUP(A14,衰变常数!$A$1:$H$3800,7,FALSE)</f>
        <v>0.000220046723987284</v>
      </c>
      <c r="C14" s="863">
        <v>5.26e+17</v>
      </c>
      <c r="D14" s="864">
        <v>5.22e+17</v>
      </c>
      <c r="E14" s="865">
        <f t="shared" si="0"/>
        <v>1.00766283524904</v>
      </c>
      <c r="F14" s="863"/>
      <c r="G14" s="864">
        <v>4772870.00209336</v>
      </c>
      <c r="H14" s="865">
        <f t="shared" si="1"/>
        <v>0</v>
      </c>
      <c r="I14" s="863">
        <v>653000000</v>
      </c>
      <c r="J14" s="864">
        <v>3000000000</v>
      </c>
      <c r="K14" s="865">
        <f t="shared" si="2"/>
        <v>0.217666666666667</v>
      </c>
      <c r="L14" s="878"/>
      <c r="M14" s="879"/>
      <c r="N14" s="865"/>
      <c r="O14" s="863">
        <v>66500000000</v>
      </c>
      <c r="P14" s="880">
        <v>95000000000</v>
      </c>
      <c r="Q14" s="865">
        <f t="shared" si="4"/>
        <v>0.7</v>
      </c>
      <c r="R14" s="886">
        <v>214415514.271903</v>
      </c>
      <c r="S14" s="887"/>
    </row>
    <row r="15" ht="15.75" spans="1:19">
      <c r="A15" s="185" t="s">
        <v>59</v>
      </c>
      <c r="B15" s="862">
        <f>VLOOKUP(A15,衰变常数!$A$1:$H$3800,7,FALSE)</f>
        <v>2.93060705462517e-5</v>
      </c>
      <c r="C15" s="863">
        <v>3.77e+17</v>
      </c>
      <c r="D15" s="864">
        <v>3.8e+17</v>
      </c>
      <c r="E15" s="865">
        <f t="shared" si="0"/>
        <v>0.992105263157895</v>
      </c>
      <c r="F15" s="863"/>
      <c r="G15" s="864">
        <v>9768653.47640017</v>
      </c>
      <c r="H15" s="865">
        <f t="shared" si="1"/>
        <v>0</v>
      </c>
      <c r="I15" s="863">
        <v>173000000</v>
      </c>
      <c r="J15" s="864">
        <v>840000000</v>
      </c>
      <c r="K15" s="865">
        <f t="shared" si="2"/>
        <v>0.205952380952381</v>
      </c>
      <c r="L15" s="878"/>
      <c r="M15" s="879"/>
      <c r="N15" s="865"/>
      <c r="O15" s="863">
        <v>134000000000</v>
      </c>
      <c r="P15" s="880">
        <v>180000000000</v>
      </c>
      <c r="Q15" s="865">
        <f t="shared" si="4"/>
        <v>0.744444444444444</v>
      </c>
      <c r="R15" s="886">
        <v>441559173.518677</v>
      </c>
      <c r="S15" s="887"/>
    </row>
    <row r="16" ht="15.75" spans="1:19">
      <c r="A16" s="185" t="s">
        <v>60</v>
      </c>
      <c r="B16" s="862">
        <f>VLOOKUP(A16,衰变常数!$A$1:$H$3800,7,FALSE)</f>
        <v>1.58767797586313e-7</v>
      </c>
      <c r="C16" s="863">
        <v>2.39e+17</v>
      </c>
      <c r="D16" s="864">
        <v>2.51e+17</v>
      </c>
      <c r="E16" s="865">
        <f t="shared" si="0"/>
        <v>0.952191235059761</v>
      </c>
      <c r="F16" s="863"/>
      <c r="G16" s="864">
        <v>6963.39644937118</v>
      </c>
      <c r="H16" s="865">
        <f t="shared" si="1"/>
        <v>0</v>
      </c>
      <c r="I16" s="863">
        <v>2860</v>
      </c>
      <c r="J16" s="864">
        <v>26000</v>
      </c>
      <c r="K16" s="865">
        <f t="shared" si="2"/>
        <v>0.11</v>
      </c>
      <c r="L16" s="878"/>
      <c r="M16" s="879"/>
      <c r="N16" s="865"/>
      <c r="O16" s="863">
        <v>5990000000</v>
      </c>
      <c r="P16" s="880">
        <v>21000000000</v>
      </c>
      <c r="Q16" s="865">
        <f t="shared" si="4"/>
        <v>0.285238095238095</v>
      </c>
      <c r="R16" s="886">
        <v>930899.200390589</v>
      </c>
      <c r="S16" s="887"/>
    </row>
    <row r="17" ht="15.75" spans="1:19">
      <c r="A17" s="185" t="s">
        <v>61</v>
      </c>
      <c r="B17" s="862">
        <f>VLOOKUP(A17,衰变常数!$A$1:$H$3800,7,FALSE)</f>
        <v>7.62921459615568e-10</v>
      </c>
      <c r="C17" s="863">
        <v>1.12e+16</v>
      </c>
      <c r="D17" s="864">
        <v>1.25e+16</v>
      </c>
      <c r="E17" s="865">
        <f t="shared" si="0"/>
        <v>0.896</v>
      </c>
      <c r="F17" s="863"/>
      <c r="G17" s="864">
        <v>51.565160102707</v>
      </c>
      <c r="H17" s="865">
        <f t="shared" si="1"/>
        <v>0</v>
      </c>
      <c r="I17" s="863">
        <v>39.4</v>
      </c>
      <c r="J17" s="864">
        <v>170</v>
      </c>
      <c r="K17" s="865">
        <f t="shared" si="2"/>
        <v>0.231764705882353</v>
      </c>
      <c r="L17" s="878"/>
      <c r="M17" s="879"/>
      <c r="N17" s="865"/>
      <c r="O17" s="863">
        <v>1790000000</v>
      </c>
      <c r="P17" s="880">
        <v>3300000000</v>
      </c>
      <c r="Q17" s="865">
        <f t="shared" si="4"/>
        <v>0.542424242424242</v>
      </c>
      <c r="R17" s="886">
        <v>311901.378479791</v>
      </c>
      <c r="S17" s="887"/>
    </row>
    <row r="18" ht="15.75" spans="1:19">
      <c r="A18" s="185" t="s">
        <v>62</v>
      </c>
      <c r="B18" s="862">
        <f>VLOOKUP(A18,衰变常数!$A$1:$H$3800,7,FALSE)</f>
        <v>1.06355351616218e-8</v>
      </c>
      <c r="C18" s="863">
        <v>1.46e+16</v>
      </c>
      <c r="D18" s="864">
        <v>1.53e+16</v>
      </c>
      <c r="E18" s="865">
        <f t="shared" si="0"/>
        <v>0.954248366013072</v>
      </c>
      <c r="F18" s="863"/>
      <c r="G18" s="864">
        <v>45186.1670080733</v>
      </c>
      <c r="H18" s="865">
        <f t="shared" si="1"/>
        <v>0</v>
      </c>
      <c r="I18" s="863">
        <v>385000</v>
      </c>
      <c r="J18" s="864">
        <v>150000</v>
      </c>
      <c r="K18" s="865">
        <f t="shared" si="2"/>
        <v>2.56666666666667</v>
      </c>
      <c r="L18" s="878"/>
      <c r="M18" s="879"/>
      <c r="N18" s="865"/>
      <c r="O18" s="863">
        <v>806000000000</v>
      </c>
      <c r="P18" s="880">
        <v>230000000000</v>
      </c>
      <c r="Q18" s="865">
        <f t="shared" si="4"/>
        <v>3.50434782608696</v>
      </c>
      <c r="R18" s="886">
        <v>87961200.8019982</v>
      </c>
      <c r="S18" s="887"/>
    </row>
    <row r="19" ht="15.75" spans="1:19">
      <c r="A19" s="185" t="s">
        <v>63</v>
      </c>
      <c r="B19" s="862">
        <f>VLOOKUP(A19,衰变常数!$A$1:$H$3800,7,FALSE)</f>
        <v>7.302030887879e-10</v>
      </c>
      <c r="C19" s="863">
        <v>1.74e+16</v>
      </c>
      <c r="D19" s="864">
        <v>1.91e+16</v>
      </c>
      <c r="E19" s="865">
        <f t="shared" si="0"/>
        <v>0.910994764397906</v>
      </c>
      <c r="F19" s="863"/>
      <c r="G19" s="864">
        <v>58762.9877795691</v>
      </c>
      <c r="H19" s="865">
        <f t="shared" si="1"/>
        <v>0</v>
      </c>
      <c r="I19" s="863">
        <v>544000</v>
      </c>
      <c r="J19" s="864">
        <v>250000</v>
      </c>
      <c r="K19" s="865">
        <f t="shared" si="2"/>
        <v>2.176</v>
      </c>
      <c r="L19" s="878"/>
      <c r="M19" s="879"/>
      <c r="N19" s="865"/>
      <c r="O19" s="863">
        <v>12400000000000</v>
      </c>
      <c r="P19" s="880">
        <v>3000000000000</v>
      </c>
      <c r="Q19" s="865">
        <f t="shared" si="4"/>
        <v>4.13333333333333</v>
      </c>
      <c r="R19" s="886">
        <v>420941263.495375</v>
      </c>
      <c r="S19" s="887"/>
    </row>
    <row r="20" ht="15.75" spans="1:19">
      <c r="A20" s="189" t="s">
        <v>64</v>
      </c>
      <c r="B20" s="862">
        <f>VLOOKUP(A20,衰变常数!$A$1:$H$3800,7,FALSE)</f>
        <v>3.21209893462493e-8</v>
      </c>
      <c r="C20" s="863">
        <v>242000000000000</v>
      </c>
      <c r="D20" s="864">
        <v>255000000000000</v>
      </c>
      <c r="E20" s="865">
        <f t="shared" si="0"/>
        <v>0.949019607843137</v>
      </c>
      <c r="F20" s="863"/>
      <c r="G20" s="864">
        <v>37363.7391139189</v>
      </c>
      <c r="H20" s="865">
        <f t="shared" si="1"/>
        <v>0</v>
      </c>
      <c r="I20" s="863">
        <v>409000</v>
      </c>
      <c r="J20" s="864">
        <v>130000</v>
      </c>
      <c r="K20" s="865">
        <f t="shared" si="2"/>
        <v>3.14615384615385</v>
      </c>
      <c r="L20" s="878"/>
      <c r="M20" s="879"/>
      <c r="N20" s="865"/>
      <c r="O20" s="863">
        <v>282000000000</v>
      </c>
      <c r="P20" s="880">
        <v>63000000000</v>
      </c>
      <c r="Q20" s="865">
        <f t="shared" si="4"/>
        <v>4.47619047619048</v>
      </c>
      <c r="R20" s="886">
        <v>50731204.5319509</v>
      </c>
      <c r="S20" s="887"/>
    </row>
    <row r="21" ht="16.5" spans="1:19">
      <c r="A21" s="185" t="s">
        <v>65</v>
      </c>
      <c r="B21" s="862">
        <f>VLOOKUP(A21,衰变常数!$A$1:$H$3800,7,FALSE)</f>
        <v>1.78283364719618e-9</v>
      </c>
      <c r="C21" s="863">
        <v>111000000000000</v>
      </c>
      <c r="D21" s="864">
        <v>123000000000000</v>
      </c>
      <c r="E21" s="865">
        <f t="shared" si="0"/>
        <v>0.902439024390244</v>
      </c>
      <c r="F21" s="863"/>
      <c r="G21" s="864">
        <v>43133663875.6524</v>
      </c>
      <c r="H21" s="865">
        <f t="shared" si="1"/>
        <v>0</v>
      </c>
      <c r="I21" s="863">
        <v>144000000000</v>
      </c>
      <c r="J21" s="864">
        <v>143000000000</v>
      </c>
      <c r="K21" s="865">
        <f t="shared" si="2"/>
        <v>1.00699300699301</v>
      </c>
      <c r="L21" s="863">
        <v>12900000000000</v>
      </c>
      <c r="M21" s="864">
        <v>12806280671005.7</v>
      </c>
      <c r="N21" s="865">
        <f>L21/M21</f>
        <v>1.00731823168662</v>
      </c>
      <c r="O21" s="863"/>
      <c r="P21" s="880"/>
      <c r="Q21" s="865"/>
      <c r="R21" s="886"/>
      <c r="S21" s="887"/>
    </row>
    <row r="22" ht="15.75" spans="1:19">
      <c r="A22" s="185" t="s">
        <v>66</v>
      </c>
      <c r="B22" s="862">
        <f>VLOOKUP(A22,衰变常数!$A$1:$H$3800,7,FALSE)</f>
        <v>3.8534294386192e-12</v>
      </c>
      <c r="C22" s="863"/>
      <c r="D22" s="864"/>
      <c r="E22" s="864"/>
      <c r="F22" s="863"/>
      <c r="G22" s="864">
        <v>62399792.9724629</v>
      </c>
      <c r="H22" s="865">
        <f t="shared" si="1"/>
        <v>0</v>
      </c>
      <c r="I22" s="863">
        <v>208000000</v>
      </c>
      <c r="J22" s="864">
        <v>210000000</v>
      </c>
      <c r="K22" s="865">
        <f t="shared" si="2"/>
        <v>0.990476190476191</v>
      </c>
      <c r="L22" s="863">
        <v>18700000000</v>
      </c>
      <c r="M22" s="864">
        <v>18914884613.8873</v>
      </c>
      <c r="N22" s="865">
        <f>L22/M22</f>
        <v>0.988639390708758</v>
      </c>
      <c r="O22" s="863">
        <v>22000000000</v>
      </c>
      <c r="P22" s="880">
        <v>22000000000</v>
      </c>
      <c r="Q22" s="865">
        <f>O22/P22</f>
        <v>1</v>
      </c>
      <c r="R22" s="886"/>
      <c r="S22" s="887"/>
    </row>
    <row r="23" ht="15.75" spans="1:19">
      <c r="A23" s="191" t="s">
        <v>67</v>
      </c>
      <c r="B23" s="862">
        <f>VLOOKUP(A23,衰变常数!$A$1:$H$3800,7,FALSE)</f>
        <v>4.16694528910503e-9</v>
      </c>
      <c r="C23" s="863"/>
      <c r="D23" s="864"/>
      <c r="E23" s="864"/>
      <c r="F23" s="863"/>
      <c r="G23" s="864">
        <v>13152.2730316228</v>
      </c>
      <c r="H23" s="865">
        <f t="shared" si="1"/>
        <v>0</v>
      </c>
      <c r="I23" s="863">
        <v>1100</v>
      </c>
      <c r="J23" s="864">
        <v>44000</v>
      </c>
      <c r="K23" s="865">
        <f t="shared" si="2"/>
        <v>0.025</v>
      </c>
      <c r="L23" s="878"/>
      <c r="M23" s="864"/>
      <c r="N23" s="865"/>
      <c r="O23" s="863">
        <v>2120000000</v>
      </c>
      <c r="P23" s="880">
        <v>86000000000</v>
      </c>
      <c r="Q23" s="865">
        <f>O23/P23</f>
        <v>0.0246511627906977</v>
      </c>
      <c r="R23" s="886">
        <v>1103732.61902243</v>
      </c>
      <c r="S23" s="887"/>
    </row>
    <row r="24" ht="15.75" spans="1:19">
      <c r="A24" s="185" t="s">
        <v>68</v>
      </c>
      <c r="B24" s="866">
        <f>VLOOKUP(A24,衰变常数!$A$1:$H$3800,7,FALSE)</f>
        <v>0.000105395976729608</v>
      </c>
      <c r="C24" s="863"/>
      <c r="D24" s="867"/>
      <c r="E24" s="867"/>
      <c r="F24" s="868"/>
      <c r="G24" s="867">
        <v>49908882717.245</v>
      </c>
      <c r="H24" s="869">
        <f t="shared" si="1"/>
        <v>0</v>
      </c>
      <c r="I24" s="868">
        <v>71000000000</v>
      </c>
      <c r="J24" s="867"/>
      <c r="K24" s="869"/>
      <c r="L24" s="868"/>
      <c r="M24" s="867"/>
      <c r="N24" s="869"/>
      <c r="O24" s="881"/>
      <c r="P24" s="867"/>
      <c r="Q24" s="869"/>
      <c r="R24" s="888">
        <v>52688182.5683569</v>
      </c>
      <c r="S24" s="889">
        <v>345347506.603798</v>
      </c>
    </row>
    <row r="25" ht="15" spans="1:19">
      <c r="A25" s="870" t="s">
        <v>69</v>
      </c>
      <c r="B25" s="871">
        <f>VLOOKUP(A25,衰变常数!$A$1:$H$3800,7,FALSE)</f>
        <v>8.00455898020643e-9</v>
      </c>
      <c r="C25" s="872"/>
      <c r="D25" s="873"/>
      <c r="E25" s="873"/>
      <c r="F25" s="872"/>
      <c r="G25" s="873"/>
      <c r="H25" s="874"/>
      <c r="I25" s="872">
        <v>3000</v>
      </c>
      <c r="J25" s="873"/>
      <c r="K25" s="874"/>
      <c r="L25" s="872"/>
      <c r="M25" s="873"/>
      <c r="N25" s="874"/>
      <c r="O25" s="882">
        <v>3200000000</v>
      </c>
      <c r="P25" s="873"/>
      <c r="Q25" s="874"/>
      <c r="R25" s="890">
        <v>1734971.98620273</v>
      </c>
      <c r="S25" s="891"/>
    </row>
    <row r="26" ht="15" spans="1:19">
      <c r="A26" s="870" t="s">
        <v>70</v>
      </c>
      <c r="B26" s="862">
        <f>VLOOKUP(A26,衰变常数!$A$1:$H$3800,7,FALSE)</f>
        <v>2.17040540250418e-10</v>
      </c>
      <c r="C26" s="875"/>
      <c r="D26" s="876"/>
      <c r="E26" s="876"/>
      <c r="F26" s="875"/>
      <c r="G26" s="876"/>
      <c r="H26" s="877"/>
      <c r="I26" s="875">
        <v>39</v>
      </c>
      <c r="J26" s="876"/>
      <c r="K26" s="877"/>
      <c r="L26" s="875"/>
      <c r="M26" s="876"/>
      <c r="N26" s="877"/>
      <c r="O26" s="883">
        <v>460000000</v>
      </c>
      <c r="P26" s="876"/>
      <c r="Q26" s="865"/>
      <c r="R26" s="886">
        <v>57843.8142823393</v>
      </c>
      <c r="S26" s="887"/>
    </row>
    <row r="27" ht="15" spans="1:19">
      <c r="A27" s="870" t="s">
        <v>71</v>
      </c>
      <c r="B27" s="862">
        <f>VLOOKUP(A27,衰变常数!$A$1:$H$3800,7,FALSE)</f>
        <v>0.000650000169320453</v>
      </c>
      <c r="C27" s="875">
        <v>1.88e+17</v>
      </c>
      <c r="D27" s="876"/>
      <c r="E27" s="876"/>
      <c r="F27" s="875"/>
      <c r="G27" s="876"/>
      <c r="H27" s="877"/>
      <c r="I27" s="875">
        <v>1200000000</v>
      </c>
      <c r="J27" s="876"/>
      <c r="K27" s="877"/>
      <c r="L27" s="875"/>
      <c r="M27" s="876"/>
      <c r="N27" s="877"/>
      <c r="O27" s="883">
        <v>61000000000</v>
      </c>
      <c r="P27" s="876"/>
      <c r="Q27" s="865"/>
      <c r="R27" s="886">
        <v>142197302.751075</v>
      </c>
      <c r="S27" s="887">
        <v>372199817.272207</v>
      </c>
    </row>
    <row r="28" ht="15" spans="1:19">
      <c r="A28" s="870" t="s">
        <v>72</v>
      </c>
      <c r="B28" s="866">
        <f>VLOOKUP(A28,衰变常数!$A$1:$H$3800,7,FALSE)</f>
        <v>0.000345778300189536</v>
      </c>
      <c r="C28" s="868"/>
      <c r="D28" s="867"/>
      <c r="E28" s="867"/>
      <c r="F28" s="868"/>
      <c r="G28" s="867"/>
      <c r="H28" s="869"/>
      <c r="I28" s="868">
        <v>410000000</v>
      </c>
      <c r="J28" s="867"/>
      <c r="K28" s="869"/>
      <c r="L28" s="868"/>
      <c r="M28" s="867"/>
      <c r="N28" s="869"/>
      <c r="O28" s="881">
        <v>39000000000</v>
      </c>
      <c r="P28" s="867"/>
      <c r="Q28" s="869"/>
      <c r="R28" s="888">
        <v>58280367.7632397</v>
      </c>
      <c r="S28" s="889">
        <v>186173211.134388</v>
      </c>
    </row>
    <row r="29" ht="15" spans="1:19">
      <c r="A29" s="198" t="s">
        <v>73</v>
      </c>
      <c r="B29" s="166"/>
      <c r="C29" s="126">
        <f>SUM(C2:C28)</f>
        <v>3.378513e+18</v>
      </c>
      <c r="D29" s="126">
        <f t="shared" ref="D29:S29" si="5">SUM(D2:D28)</f>
        <v>3.339478e+18</v>
      </c>
      <c r="E29" s="126">
        <f t="shared" si="5"/>
        <v>19.1163040396062</v>
      </c>
      <c r="F29" s="126">
        <f t="shared" si="5"/>
        <v>0</v>
      </c>
      <c r="G29" s="126">
        <f t="shared" si="5"/>
        <v>139585827764.41</v>
      </c>
      <c r="H29" s="126">
        <f t="shared" si="5"/>
        <v>0</v>
      </c>
      <c r="I29" s="126">
        <f t="shared" si="5"/>
        <v>562750145038.4</v>
      </c>
      <c r="J29" s="126">
        <f t="shared" si="5"/>
        <v>664203600170</v>
      </c>
      <c r="K29" s="126">
        <f t="shared" si="5"/>
        <v>17.4696277569927</v>
      </c>
      <c r="L29" s="126">
        <f t="shared" si="5"/>
        <v>13434246000000</v>
      </c>
      <c r="M29" s="126">
        <f t="shared" si="5"/>
        <v>13635649555619.6</v>
      </c>
      <c r="N29" s="126">
        <f t="shared" si="5"/>
        <v>8.21961272467095</v>
      </c>
      <c r="O29" s="126">
        <f t="shared" si="5"/>
        <v>14614460000000</v>
      </c>
      <c r="P29" s="126">
        <f t="shared" si="5"/>
        <v>4940300000000</v>
      </c>
      <c r="Q29" s="126">
        <f t="shared" si="5"/>
        <v>17.3081295805082</v>
      </c>
      <c r="R29" s="126">
        <f t="shared" si="5"/>
        <v>4459486997.62915</v>
      </c>
      <c r="S29" s="126">
        <f t="shared" si="5"/>
        <v>3974522230.21153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"/>
  <sheetViews>
    <sheetView workbookViewId="0">
      <selection activeCell="E39" sqref="E39"/>
    </sheetView>
  </sheetViews>
  <sheetFormatPr defaultColWidth="9" defaultRowHeight="13.5" outlineLevelCol="1"/>
  <sheetData>
    <row r="1" spans="1:2">
      <c r="A1" s="853" t="s">
        <v>35</v>
      </c>
      <c r="B1" s="854" t="s">
        <v>74</v>
      </c>
    </row>
    <row r="2" ht="15" spans="1:2">
      <c r="A2" s="855" t="s">
        <v>46</v>
      </c>
      <c r="B2" s="856">
        <v>0</v>
      </c>
    </row>
    <row r="3" ht="15" spans="1:2">
      <c r="A3" s="855" t="s">
        <v>47</v>
      </c>
      <c r="B3" s="856">
        <v>0</v>
      </c>
    </row>
    <row r="4" ht="15" spans="1:2">
      <c r="A4" s="855" t="s">
        <v>48</v>
      </c>
      <c r="B4" s="856">
        <v>0</v>
      </c>
    </row>
    <row r="5" ht="15" spans="1:2">
      <c r="A5" s="855" t="s">
        <v>49</v>
      </c>
      <c r="B5" s="856">
        <v>0</v>
      </c>
    </row>
    <row r="6" ht="15" spans="1:2">
      <c r="A6" s="855" t="s">
        <v>50</v>
      </c>
      <c r="B6" s="856">
        <v>0</v>
      </c>
    </row>
    <row r="7" ht="15" spans="1:2">
      <c r="A7" s="855" t="s">
        <v>51</v>
      </c>
      <c r="B7" s="856">
        <v>0</v>
      </c>
    </row>
    <row r="8" ht="15" spans="1:2">
      <c r="A8" s="855" t="s">
        <v>52</v>
      </c>
      <c r="B8" s="856">
        <v>0</v>
      </c>
    </row>
    <row r="9" ht="15" spans="1:2">
      <c r="A9" s="855" t="s">
        <v>53</v>
      </c>
      <c r="B9" s="856">
        <v>0</v>
      </c>
    </row>
    <row r="10" ht="15" spans="1:2">
      <c r="A10" s="855" t="s">
        <v>54</v>
      </c>
      <c r="B10" s="856">
        <v>0</v>
      </c>
    </row>
    <row r="11" ht="15" spans="1:2">
      <c r="A11" s="855" t="s">
        <v>55</v>
      </c>
      <c r="B11" s="856">
        <v>0.95</v>
      </c>
    </row>
    <row r="12" ht="15" spans="1:2">
      <c r="A12" s="855" t="s">
        <v>56</v>
      </c>
      <c r="B12" s="856">
        <v>0.95</v>
      </c>
    </row>
    <row r="13" ht="15" spans="1:2">
      <c r="A13" s="855" t="s">
        <v>57</v>
      </c>
      <c r="B13" s="856">
        <v>0.95</v>
      </c>
    </row>
    <row r="14" ht="15" spans="1:2">
      <c r="A14" s="855" t="s">
        <v>58</v>
      </c>
      <c r="B14" s="856">
        <v>0.95</v>
      </c>
    </row>
    <row r="15" ht="15" spans="1:2">
      <c r="A15" s="855" t="s">
        <v>59</v>
      </c>
      <c r="B15" s="856">
        <v>0.95</v>
      </c>
    </row>
    <row r="16" ht="15" spans="1:2">
      <c r="A16" s="855" t="s">
        <v>60</v>
      </c>
      <c r="B16" s="856">
        <v>0.999</v>
      </c>
    </row>
    <row r="17" ht="15" spans="1:2">
      <c r="A17" s="855" t="s">
        <v>61</v>
      </c>
      <c r="B17" s="856">
        <v>0.999</v>
      </c>
    </row>
    <row r="18" ht="15" spans="1:2">
      <c r="A18" s="855" t="s">
        <v>62</v>
      </c>
      <c r="B18" s="856">
        <v>0.999</v>
      </c>
    </row>
    <row r="19" ht="15" spans="1:2">
      <c r="A19" s="855" t="s">
        <v>63</v>
      </c>
      <c r="B19" s="856">
        <v>0.999</v>
      </c>
    </row>
    <row r="20" ht="15" spans="1:2">
      <c r="A20" s="855" t="s">
        <v>64</v>
      </c>
      <c r="B20" s="856">
        <v>0.999</v>
      </c>
    </row>
    <row r="21" ht="15" spans="1:2">
      <c r="A21" s="855" t="s">
        <v>65</v>
      </c>
      <c r="B21" s="856">
        <v>0</v>
      </c>
    </row>
    <row r="22" ht="15" spans="1:2">
      <c r="A22" s="855" t="s">
        <v>66</v>
      </c>
      <c r="B22" s="856">
        <v>0</v>
      </c>
    </row>
    <row r="23" ht="15" spans="1:2">
      <c r="A23" s="857" t="s">
        <v>67</v>
      </c>
      <c r="B23" s="856">
        <v>0.999</v>
      </c>
    </row>
    <row r="24" ht="15" spans="1:2">
      <c r="A24" s="855" t="s">
        <v>68</v>
      </c>
      <c r="B24" s="858">
        <v>0</v>
      </c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F27"/>
  <sheetViews>
    <sheetView workbookViewId="0">
      <pane xSplit="1" topLeftCell="B1" activePane="topRight" state="frozen"/>
      <selection/>
      <selection pane="topRight" activeCell="E8" sqref="E8"/>
    </sheetView>
  </sheetViews>
  <sheetFormatPr defaultColWidth="9" defaultRowHeight="15"/>
  <cols>
    <col min="1" max="1" width="8.875" style="817" customWidth="1"/>
    <col min="2" max="17" width="8.375" style="818" customWidth="1"/>
    <col min="18" max="18" width="9.125" style="5" customWidth="1"/>
    <col min="19" max="36" width="7.71666666666667" style="5" customWidth="1"/>
    <col min="37" max="48" width="7.71666666666667" style="818" customWidth="1"/>
    <col min="49" max="49" width="7.71666666666667" style="5" customWidth="1"/>
    <col min="50" max="50" width="9" style="818"/>
    <col min="51" max="51" width="9.45" style="818" customWidth="1"/>
    <col min="52" max="110" width="5.45" style="818" customWidth="1"/>
    <col min="111" max="16384" width="9" style="820"/>
  </cols>
  <sheetData>
    <row r="1" s="817" customFormat="1" ht="14.25" spans="18:49">
      <c r="R1" s="824" t="s">
        <v>75</v>
      </c>
      <c r="S1" s="825"/>
      <c r="T1" s="826" t="s">
        <v>76</v>
      </c>
      <c r="U1" s="826"/>
      <c r="V1" s="826"/>
      <c r="W1" s="826"/>
      <c r="X1" s="826"/>
      <c r="Y1" s="826"/>
      <c r="Z1" s="826"/>
      <c r="AA1" s="826"/>
      <c r="AB1" s="826"/>
      <c r="AC1" s="826"/>
      <c r="AD1" s="826" t="s">
        <v>77</v>
      </c>
      <c r="AE1" s="826"/>
      <c r="AF1" s="826"/>
      <c r="AG1" s="826"/>
      <c r="AH1" s="826" t="s">
        <v>78</v>
      </c>
      <c r="AI1" s="826"/>
      <c r="AJ1" s="826"/>
      <c r="AK1" s="839" t="s">
        <v>79</v>
      </c>
      <c r="AL1" s="840"/>
      <c r="AM1" s="840"/>
      <c r="AN1" s="840"/>
      <c r="AO1" s="840"/>
      <c r="AP1" s="840"/>
      <c r="AQ1" s="840"/>
      <c r="AR1" s="840"/>
      <c r="AS1" s="840"/>
      <c r="AT1" s="840"/>
      <c r="AU1" s="840"/>
      <c r="AV1" s="840"/>
      <c r="AW1" s="844"/>
    </row>
    <row r="2" s="817" customFormat="1" spans="18:96">
      <c r="R2" s="824"/>
      <c r="S2" s="827"/>
      <c r="T2" s="824" t="s">
        <v>80</v>
      </c>
      <c r="U2" s="824"/>
      <c r="V2" s="824"/>
      <c r="W2" s="824"/>
      <c r="X2" s="824"/>
      <c r="Y2" s="824" t="s">
        <v>81</v>
      </c>
      <c r="Z2" s="824"/>
      <c r="AA2" s="824"/>
      <c r="AB2" s="824"/>
      <c r="AC2" s="824"/>
      <c r="AD2" s="824"/>
      <c r="AE2" s="824"/>
      <c r="AF2" s="824"/>
      <c r="AG2" s="824"/>
      <c r="AH2" s="824"/>
      <c r="AI2" s="824"/>
      <c r="AJ2" s="824"/>
      <c r="AK2" s="841">
        <v>1620</v>
      </c>
      <c r="AO2" s="30" t="s">
        <v>82</v>
      </c>
      <c r="AP2" s="817" t="s">
        <v>83</v>
      </c>
      <c r="AQ2" s="817" t="s">
        <v>84</v>
      </c>
      <c r="AR2" s="30"/>
      <c r="AW2" s="845"/>
      <c r="AY2" s="846" t="s">
        <v>85</v>
      </c>
      <c r="BN2" s="851" t="s">
        <v>86</v>
      </c>
      <c r="CD2" s="851" t="s">
        <v>87</v>
      </c>
      <c r="CR2" s="851" t="s">
        <v>86</v>
      </c>
    </row>
    <row r="3" s="817" customFormat="1" ht="14.25" spans="1:110">
      <c r="A3" s="821" t="s">
        <v>88</v>
      </c>
      <c r="B3" s="821">
        <v>400</v>
      </c>
      <c r="C3" s="821">
        <v>500</v>
      </c>
      <c r="D3" s="821">
        <v>600</v>
      </c>
      <c r="E3" s="821">
        <v>700</v>
      </c>
      <c r="F3" s="821">
        <v>800</v>
      </c>
      <c r="G3" s="821">
        <v>900</v>
      </c>
      <c r="H3" s="821">
        <v>1000</v>
      </c>
      <c r="I3" s="821">
        <v>1100</v>
      </c>
      <c r="J3" s="821">
        <v>1200</v>
      </c>
      <c r="K3" s="821">
        <v>1300</v>
      </c>
      <c r="L3" s="821">
        <v>1400</v>
      </c>
      <c r="M3" s="821">
        <v>1500</v>
      </c>
      <c r="N3" s="821">
        <v>1570</v>
      </c>
      <c r="O3" s="821">
        <v>1620</v>
      </c>
      <c r="P3" s="821"/>
      <c r="R3" s="824" t="s">
        <v>89</v>
      </c>
      <c r="S3" s="827" t="s">
        <v>90</v>
      </c>
      <c r="T3" s="824" t="s">
        <v>91</v>
      </c>
      <c r="U3" s="824" t="s">
        <v>92</v>
      </c>
      <c r="V3" s="824" t="s">
        <v>93</v>
      </c>
      <c r="W3" s="824" t="s">
        <v>94</v>
      </c>
      <c r="X3" s="824" t="s">
        <v>95</v>
      </c>
      <c r="Y3" s="824" t="s">
        <v>91</v>
      </c>
      <c r="Z3" s="824" t="s">
        <v>92</v>
      </c>
      <c r="AA3" s="824" t="s">
        <v>93</v>
      </c>
      <c r="AB3" s="824" t="s">
        <v>94</v>
      </c>
      <c r="AC3" s="824" t="s">
        <v>95</v>
      </c>
      <c r="AD3" s="824" t="s">
        <v>96</v>
      </c>
      <c r="AE3" s="824" t="s">
        <v>97</v>
      </c>
      <c r="AF3" s="824" t="s">
        <v>95</v>
      </c>
      <c r="AG3" s="824" t="s">
        <v>98</v>
      </c>
      <c r="AH3" s="824" t="s">
        <v>96</v>
      </c>
      <c r="AI3" s="824" t="s">
        <v>97</v>
      </c>
      <c r="AJ3" s="824" t="s">
        <v>95</v>
      </c>
      <c r="AK3" s="817" t="s">
        <v>99</v>
      </c>
      <c r="AL3" s="817" t="s">
        <v>100</v>
      </c>
      <c r="AM3" s="817" t="s">
        <v>101</v>
      </c>
      <c r="AN3" s="817" t="s">
        <v>102</v>
      </c>
      <c r="AO3" s="817" t="s">
        <v>103</v>
      </c>
      <c r="AP3" s="817" t="s">
        <v>104</v>
      </c>
      <c r="AQ3" s="817" t="s">
        <v>105</v>
      </c>
      <c r="AR3" s="817" t="s">
        <v>106</v>
      </c>
      <c r="AS3" s="817" t="s">
        <v>107</v>
      </c>
      <c r="AT3" s="817" t="s">
        <v>108</v>
      </c>
      <c r="AU3" s="817" t="s">
        <v>109</v>
      </c>
      <c r="AV3" s="817" t="s">
        <v>110</v>
      </c>
      <c r="AW3" s="845" t="s">
        <v>111</v>
      </c>
      <c r="AZ3" s="817">
        <v>400</v>
      </c>
      <c r="BA3" s="817">
        <v>500</v>
      </c>
      <c r="BB3" s="817">
        <v>600</v>
      </c>
      <c r="BC3" s="817">
        <v>700</v>
      </c>
      <c r="BD3" s="817">
        <v>800</v>
      </c>
      <c r="BE3" s="817">
        <v>900</v>
      </c>
      <c r="BF3" s="817">
        <v>1000</v>
      </c>
      <c r="BG3" s="817">
        <v>1100</v>
      </c>
      <c r="BH3" s="817">
        <v>1200</v>
      </c>
      <c r="BI3" s="817">
        <v>1300</v>
      </c>
      <c r="BJ3" s="817">
        <v>1400</v>
      </c>
      <c r="BK3" s="817">
        <v>1500</v>
      </c>
      <c r="BL3" s="817">
        <v>1570</v>
      </c>
      <c r="BM3" s="817">
        <v>1620</v>
      </c>
      <c r="BO3" s="817">
        <v>400</v>
      </c>
      <c r="BP3" s="817">
        <v>500</v>
      </c>
      <c r="BQ3" s="817">
        <v>600</v>
      </c>
      <c r="BR3" s="817">
        <v>700</v>
      </c>
      <c r="BS3" s="817">
        <v>800</v>
      </c>
      <c r="BT3" s="817">
        <v>900</v>
      </c>
      <c r="BU3" s="817">
        <v>1000</v>
      </c>
      <c r="BV3" s="817">
        <v>1100</v>
      </c>
      <c r="BW3" s="817">
        <v>1200</v>
      </c>
      <c r="BX3" s="817">
        <v>1300</v>
      </c>
      <c r="BY3" s="817">
        <v>1400</v>
      </c>
      <c r="BZ3" s="817">
        <v>1500</v>
      </c>
      <c r="CA3" s="817">
        <v>1570</v>
      </c>
      <c r="CB3" s="817">
        <v>1620</v>
      </c>
      <c r="CS3" s="817">
        <v>400</v>
      </c>
      <c r="CT3" s="817">
        <v>500</v>
      </c>
      <c r="CU3" s="817">
        <v>600</v>
      </c>
      <c r="CV3" s="817">
        <v>700</v>
      </c>
      <c r="CW3" s="817">
        <v>800</v>
      </c>
      <c r="CX3" s="817">
        <v>900</v>
      </c>
      <c r="CY3" s="817">
        <v>1000</v>
      </c>
      <c r="CZ3" s="817">
        <v>1100</v>
      </c>
      <c r="DA3" s="817">
        <v>1200</v>
      </c>
      <c r="DB3" s="817">
        <v>1300</v>
      </c>
      <c r="DC3" s="817">
        <v>1400</v>
      </c>
      <c r="DD3" s="817">
        <v>1500</v>
      </c>
      <c r="DE3" s="817">
        <v>1570</v>
      </c>
      <c r="DF3" s="817">
        <v>1620</v>
      </c>
    </row>
    <row r="4" s="818" customFormat="1" spans="1:110">
      <c r="A4" s="821" t="s">
        <v>46</v>
      </c>
      <c r="B4" s="645">
        <v>1.83904418869703e-11</v>
      </c>
      <c r="C4" s="645">
        <v>2.98715022259392e-11</v>
      </c>
      <c r="D4" s="645">
        <v>4.34254783899466e-11</v>
      </c>
      <c r="E4" s="645">
        <v>5.84639633990174e-11</v>
      </c>
      <c r="F4" s="645">
        <v>7.44725842394859e-11</v>
      </c>
      <c r="G4" s="645">
        <v>9.10346295206234e-11</v>
      </c>
      <c r="H4" s="645">
        <v>1.07827650874121e-10</v>
      </c>
      <c r="I4" s="645">
        <v>1.24610012558364e-10</v>
      </c>
      <c r="J4" s="645">
        <v>2.08333609825958e-10</v>
      </c>
      <c r="K4" s="645">
        <v>4.93548742662049e-10</v>
      </c>
      <c r="L4" s="645">
        <v>1.36149773551758e-9</v>
      </c>
      <c r="M4" s="645">
        <v>4.15122678326508e-9</v>
      </c>
      <c r="N4" s="645">
        <v>1.38605482318994e-8</v>
      </c>
      <c r="O4" s="645">
        <v>1.38605482318994e-8</v>
      </c>
      <c r="P4" s="645" t="s">
        <v>75</v>
      </c>
      <c r="Q4" s="828"/>
      <c r="R4" s="829">
        <f>VLOOKUP(A4,衰变常数!$A$1:$H$3800,7,FALSE)</f>
        <v>0.000105213597534903</v>
      </c>
      <c r="S4" s="830">
        <v>8.3143</v>
      </c>
      <c r="T4" s="831">
        <v>2.5e-18</v>
      </c>
      <c r="U4" s="831">
        <v>41870</v>
      </c>
      <c r="V4" s="831">
        <v>0</v>
      </c>
      <c r="W4" s="831">
        <v>0</v>
      </c>
      <c r="X4" s="831">
        <v>1e-5</v>
      </c>
      <c r="Y4" s="831">
        <v>8.8e-15</v>
      </c>
      <c r="Z4" s="831">
        <v>54000</v>
      </c>
      <c r="AA4" s="831">
        <v>0.6</v>
      </c>
      <c r="AB4" s="831">
        <v>480000</v>
      </c>
      <c r="AC4" s="831">
        <v>0.00025</v>
      </c>
      <c r="AD4" s="831">
        <v>6e-17</v>
      </c>
      <c r="AE4" s="831">
        <v>62800</v>
      </c>
      <c r="AF4" s="831">
        <v>6e-6</v>
      </c>
      <c r="AG4" s="831">
        <v>7e-7</v>
      </c>
      <c r="AH4" s="831">
        <v>6.2e-7</v>
      </c>
      <c r="AI4" s="831">
        <v>0</v>
      </c>
      <c r="AJ4" s="831">
        <v>0.03</v>
      </c>
      <c r="AK4" s="818">
        <f t="shared" ref="AK4:AK17" si="0">AK$2</f>
        <v>1620</v>
      </c>
      <c r="AL4" s="818">
        <f t="shared" ref="AL4:AL17" si="1">AK4+273.15</f>
        <v>1893.15</v>
      </c>
      <c r="AM4" s="828">
        <f t="shared" ref="AM4:AM17" si="2">0.00016+0.0005*MAX(0,$AK4-1200)/(1620-1200)</f>
        <v>0.00066</v>
      </c>
      <c r="AN4" s="828">
        <f t="shared" ref="AN4:AN17" si="3">IF(AK4&lt;1200,$X4,$AC4)</f>
        <v>0.00025</v>
      </c>
      <c r="AO4" s="828">
        <f t="shared" ref="AO4:AO17" si="4">IF($AK4&lt;1200,$T4*EXP(-$U4/$S4/AL4)+$V4*EXP(-$W4/$S4/AL4),$Y4*EXP(-$Z4/$S4/AL4)+$AA4*EXP(-$AB4/$S4/AL4))</f>
        <v>3.45050883135056e-14</v>
      </c>
      <c r="AP4" s="828">
        <f t="shared" ref="AP4:AP17" si="5">SQRT($R4*AN4*AN4/AO4)</f>
        <v>13.8049351963972</v>
      </c>
      <c r="AQ4" s="828">
        <f t="shared" ref="AQ4:AQ17" si="6">$R4*AM4*3/AP4*(IFERROR(COSH(AP4)/SINH(AP4),1)-1/AP4)</f>
        <v>1.39973460993076e-8</v>
      </c>
      <c r="AR4" s="828">
        <f t="shared" ref="AR4:AR17" si="7">$AD4*EXP(-$AE4/$S4/AL4)</f>
        <v>1.11022729329485e-18</v>
      </c>
      <c r="AS4" s="828">
        <f t="shared" ref="AS4:AS17" si="8">SQRT($R4*$AF4*$AF4/AR4)</f>
        <v>58.4091970239934</v>
      </c>
      <c r="AT4" s="828">
        <f t="shared" ref="AT4:AT17" si="9">$R4*$AG4*3/AS4*(IFERROR(COSH(AS4)/SINH(AS4),1)-1/AS4)</f>
        <v>3.71800668296043e-12</v>
      </c>
      <c r="AU4" s="828">
        <f t="shared" ref="AU4:AU17" si="10">$AH4*EXP(-$AI4/$S4/AL4)</f>
        <v>6.2e-7</v>
      </c>
      <c r="AV4" s="828">
        <f t="shared" ref="AV4:AV17" si="11">SQRT($R4*$AJ4*$AJ4/AU4)</f>
        <v>0.390806110208722</v>
      </c>
      <c r="AW4" s="847">
        <f t="shared" ref="AW4:AW17" si="12">(AQ4+AT4)*3/AV4*(IFERROR(COSH(AV4)/SINH(AV4),1)-1/AV4)</f>
        <v>1.38605482318994e-8</v>
      </c>
      <c r="AY4" s="818" t="s">
        <v>46</v>
      </c>
      <c r="AZ4" s="818">
        <v>1.8363515013494e-11</v>
      </c>
      <c r="BA4" s="818">
        <v>2.98406419876927e-11</v>
      </c>
      <c r="BB4" s="818">
        <v>4.33983800118506e-11</v>
      </c>
      <c r="BC4" s="818">
        <v>5.84509509483288e-11</v>
      </c>
      <c r="BD4" s="818">
        <v>1.92e-11</v>
      </c>
      <c r="BE4" s="818">
        <v>3.51e-11</v>
      </c>
      <c r="BF4" s="818">
        <v>5.83e-11</v>
      </c>
      <c r="BG4" s="818">
        <v>9e-11</v>
      </c>
      <c r="BH4" s="818">
        <v>1.31e-10</v>
      </c>
      <c r="BI4" s="818">
        <v>5.09e-10</v>
      </c>
      <c r="BJ4" s="818">
        <v>1.43e-9</v>
      </c>
      <c r="BK4" s="818">
        <v>4.44e-9</v>
      </c>
      <c r="BL4" s="818">
        <v>1.51e-8</v>
      </c>
      <c r="BM4" s="818">
        <v>1.51e-8</v>
      </c>
      <c r="BO4" s="852">
        <f t="shared" ref="BO4:CB4" si="13">B4/AZ4</f>
        <v>1.001466324582</v>
      </c>
      <c r="BP4" s="852">
        <f t="shared" si="13"/>
        <v>1.00103416804033</v>
      </c>
      <c r="BQ4" s="852">
        <f t="shared" si="13"/>
        <v>1.00062440989937</v>
      </c>
      <c r="BR4" s="852">
        <f t="shared" si="13"/>
        <v>1.00022262171064</v>
      </c>
      <c r="BS4" s="852">
        <f t="shared" si="13"/>
        <v>3.87878042913989</v>
      </c>
      <c r="BT4" s="852">
        <f t="shared" si="13"/>
        <v>2.59357918862175</v>
      </c>
      <c r="BU4" s="852">
        <f t="shared" si="13"/>
        <v>1.84953088977909</v>
      </c>
      <c r="BV4" s="852">
        <f t="shared" si="13"/>
        <v>1.38455569509293</v>
      </c>
      <c r="BW4" s="852">
        <f t="shared" si="13"/>
        <v>1.59033289943479</v>
      </c>
      <c r="BX4" s="852">
        <f t="shared" si="13"/>
        <v>0.969643895210312</v>
      </c>
      <c r="BY4" s="852">
        <f t="shared" si="13"/>
        <v>0.952096318543762</v>
      </c>
      <c r="BZ4" s="852">
        <f t="shared" si="13"/>
        <v>0.934960987221865</v>
      </c>
      <c r="CA4" s="852">
        <f t="shared" si="13"/>
        <v>0.917917101450291</v>
      </c>
      <c r="CB4" s="852">
        <f t="shared" si="13"/>
        <v>0.917917101450291</v>
      </c>
      <c r="CD4" s="818">
        <v>1.8363515013494e-11</v>
      </c>
      <c r="CE4" s="818">
        <v>2.98406419876927e-11</v>
      </c>
      <c r="CF4" s="818">
        <v>4.33983800118506e-11</v>
      </c>
      <c r="CG4" s="818">
        <v>5.84509509483288e-11</v>
      </c>
      <c r="CH4" s="818">
        <v>7.44856671704135e-11</v>
      </c>
      <c r="CI4" s="818">
        <v>9.10866203503085e-11</v>
      </c>
      <c r="CJ4" s="818">
        <v>1.07931449331437e-10</v>
      </c>
      <c r="CK4" s="818">
        <v>1.24778080020918e-10</v>
      </c>
      <c r="CL4" s="818">
        <v>2.08938175173039e-10</v>
      </c>
      <c r="CM4" s="818">
        <v>5.03195775767348e-10</v>
      </c>
      <c r="CN4" s="818">
        <v>1.39904578795032e-9</v>
      </c>
      <c r="CO4" s="818">
        <v>4.28462630224913e-9</v>
      </c>
      <c r="CP4" s="818">
        <v>1.38304212303565e-8</v>
      </c>
      <c r="CQ4" s="818">
        <v>1.38304212303565e-8</v>
      </c>
      <c r="CS4" s="852">
        <f t="shared" ref="CS4:DF4" si="14">B4/CD4</f>
        <v>1.001466324582</v>
      </c>
      <c r="CT4" s="852">
        <f t="shared" si="14"/>
        <v>1.00103416804033</v>
      </c>
      <c r="CU4" s="852">
        <f t="shared" si="14"/>
        <v>1.00062440989937</v>
      </c>
      <c r="CV4" s="852">
        <f t="shared" si="14"/>
        <v>1.00022262171064</v>
      </c>
      <c r="CW4" s="852">
        <f t="shared" si="14"/>
        <v>0.99982435639735</v>
      </c>
      <c r="CX4" s="852">
        <f t="shared" si="14"/>
        <v>0.999429215515021</v>
      </c>
      <c r="CY4" s="852">
        <f t="shared" si="14"/>
        <v>0.999038292750084</v>
      </c>
      <c r="CZ4" s="852">
        <f t="shared" si="14"/>
        <v>0.998653069012395</v>
      </c>
      <c r="DA4" s="852">
        <f t="shared" si="14"/>
        <v>0.997106486899389</v>
      </c>
      <c r="DB4" s="852">
        <f t="shared" si="14"/>
        <v>0.980828469613864</v>
      </c>
      <c r="DC4" s="852">
        <f t="shared" si="14"/>
        <v>0.973161670078182</v>
      </c>
      <c r="DD4" s="852">
        <f t="shared" si="14"/>
        <v>0.968865541689359</v>
      </c>
      <c r="DE4" s="852">
        <f t="shared" si="14"/>
        <v>1.00217831409768</v>
      </c>
      <c r="DF4" s="852">
        <f t="shared" si="14"/>
        <v>1.00217831409768</v>
      </c>
    </row>
    <row r="5" s="819" customFormat="1" spans="1:110">
      <c r="A5" s="822" t="s">
        <v>47</v>
      </c>
      <c r="B5" s="823">
        <f>AZ5</f>
        <v>3.996e-14</v>
      </c>
      <c r="C5" s="823">
        <f t="shared" ref="C5:O5" si="15">BA5</f>
        <v>3.996e-14</v>
      </c>
      <c r="D5" s="823">
        <f t="shared" si="15"/>
        <v>3.996e-14</v>
      </c>
      <c r="E5" s="823">
        <f t="shared" si="15"/>
        <v>1.324e-13</v>
      </c>
      <c r="F5" s="823">
        <f t="shared" si="15"/>
        <v>1.987e-13</v>
      </c>
      <c r="G5" s="823">
        <f t="shared" si="15"/>
        <v>4.04e-13</v>
      </c>
      <c r="H5" s="823">
        <f t="shared" si="15"/>
        <v>9.44e-13</v>
      </c>
      <c r="I5" s="823">
        <f t="shared" si="15"/>
        <v>2.12e-12</v>
      </c>
      <c r="J5" s="823">
        <f t="shared" si="15"/>
        <v>1.15e-11</v>
      </c>
      <c r="K5" s="823">
        <f t="shared" si="15"/>
        <v>2.99e-11</v>
      </c>
      <c r="L5" s="823">
        <f t="shared" si="15"/>
        <v>5.6e-11</v>
      </c>
      <c r="M5" s="823">
        <f t="shared" si="15"/>
        <v>1.27e-10</v>
      </c>
      <c r="N5" s="823">
        <f t="shared" si="15"/>
        <v>1.77e-10</v>
      </c>
      <c r="O5" s="823">
        <f t="shared" si="15"/>
        <v>2.31e-10</v>
      </c>
      <c r="P5" s="823" t="s">
        <v>112</v>
      </c>
      <c r="Q5" s="832"/>
      <c r="R5" s="829">
        <f>VLOOKUP(A5,衰变常数!$A$1:$H$3800,7,FALSE)</f>
        <v>2.04207062814938e-9</v>
      </c>
      <c r="S5" s="833">
        <v>8.3143</v>
      </c>
      <c r="T5" s="834">
        <v>2.5e-18</v>
      </c>
      <c r="U5" s="834">
        <v>41870</v>
      </c>
      <c r="V5" s="834">
        <v>0</v>
      </c>
      <c r="W5" s="834">
        <v>0</v>
      </c>
      <c r="X5" s="834">
        <v>1e-5</v>
      </c>
      <c r="Y5" s="834">
        <v>8.8e-15</v>
      </c>
      <c r="Z5" s="834">
        <v>54000</v>
      </c>
      <c r="AA5" s="834">
        <v>0.6</v>
      </c>
      <c r="AB5" s="834">
        <v>480000</v>
      </c>
      <c r="AC5" s="834">
        <v>0.00025</v>
      </c>
      <c r="AD5" s="834">
        <v>6e-17</v>
      </c>
      <c r="AE5" s="834">
        <v>62800</v>
      </c>
      <c r="AF5" s="834">
        <v>6e-6</v>
      </c>
      <c r="AG5" s="834">
        <v>7e-7</v>
      </c>
      <c r="AH5" s="834">
        <v>6.2e-7</v>
      </c>
      <c r="AI5" s="834">
        <v>0</v>
      </c>
      <c r="AJ5" s="834">
        <v>0.03</v>
      </c>
      <c r="AK5" s="819">
        <f t="shared" si="0"/>
        <v>1620</v>
      </c>
      <c r="AL5" s="819">
        <f t="shared" si="1"/>
        <v>1893.15</v>
      </c>
      <c r="AM5" s="832">
        <f t="shared" si="2"/>
        <v>0.00066</v>
      </c>
      <c r="AN5" s="832">
        <f t="shared" si="3"/>
        <v>0.00025</v>
      </c>
      <c r="AO5" s="832">
        <f t="shared" si="4"/>
        <v>3.45050883135056e-14</v>
      </c>
      <c r="AP5" s="832">
        <f t="shared" si="5"/>
        <v>0.0608182355641849</v>
      </c>
      <c r="AQ5" s="832">
        <f t="shared" si="6"/>
        <v>1.34743438514326e-12</v>
      </c>
      <c r="AR5" s="832">
        <f t="shared" si="7"/>
        <v>1.11022729329485e-18</v>
      </c>
      <c r="AS5" s="832">
        <f t="shared" si="8"/>
        <v>0.257324228848767</v>
      </c>
      <c r="AT5" s="832">
        <f t="shared" si="9"/>
        <v>1.42317883273571e-15</v>
      </c>
      <c r="AU5" s="832">
        <f t="shared" si="10"/>
        <v>6.2e-7</v>
      </c>
      <c r="AV5" s="832">
        <f t="shared" si="11"/>
        <v>0.00172171312160884</v>
      </c>
      <c r="AW5" s="848">
        <f t="shared" si="12"/>
        <v>1.34885729746809e-12</v>
      </c>
      <c r="AY5" s="819" t="s">
        <v>113</v>
      </c>
      <c r="AZ5" s="818">
        <v>3.996e-14</v>
      </c>
      <c r="BA5" s="818">
        <v>3.996e-14</v>
      </c>
      <c r="BB5" s="818">
        <v>3.996e-14</v>
      </c>
      <c r="BC5" s="818">
        <v>1.324e-13</v>
      </c>
      <c r="BD5" s="818">
        <v>1.987e-13</v>
      </c>
      <c r="BE5" s="818">
        <v>4.04e-13</v>
      </c>
      <c r="BF5" s="818">
        <v>9.44e-13</v>
      </c>
      <c r="BG5" s="818">
        <v>2.12e-12</v>
      </c>
      <c r="BH5" s="818">
        <v>1.15e-11</v>
      </c>
      <c r="BI5" s="818">
        <v>2.99e-11</v>
      </c>
      <c r="BJ5" s="818">
        <v>5.6e-11</v>
      </c>
      <c r="BK5" s="818">
        <v>1.27e-10</v>
      </c>
      <c r="BL5" s="818">
        <v>1.77e-10</v>
      </c>
      <c r="BM5" s="818">
        <v>2.31e-10</v>
      </c>
      <c r="BO5" s="852">
        <f t="shared" ref="BO5:CB5" si="16">B5/AZ5</f>
        <v>1</v>
      </c>
      <c r="BP5" s="852">
        <f t="shared" si="16"/>
        <v>1</v>
      </c>
      <c r="BQ5" s="852">
        <f t="shared" si="16"/>
        <v>1</v>
      </c>
      <c r="BR5" s="852">
        <f t="shared" si="16"/>
        <v>1</v>
      </c>
      <c r="BS5" s="852">
        <f t="shared" si="16"/>
        <v>1</v>
      </c>
      <c r="BT5" s="852">
        <f t="shared" si="16"/>
        <v>1</v>
      </c>
      <c r="BU5" s="852">
        <f t="shared" si="16"/>
        <v>1</v>
      </c>
      <c r="BV5" s="852">
        <f t="shared" si="16"/>
        <v>1</v>
      </c>
      <c r="BW5" s="852">
        <f t="shared" si="16"/>
        <v>1</v>
      </c>
      <c r="BX5" s="852">
        <f t="shared" si="16"/>
        <v>1</v>
      </c>
      <c r="BY5" s="852">
        <f t="shared" si="16"/>
        <v>1</v>
      </c>
      <c r="BZ5" s="852">
        <f t="shared" si="16"/>
        <v>1</v>
      </c>
      <c r="CA5" s="852">
        <f t="shared" si="16"/>
        <v>1</v>
      </c>
      <c r="CB5" s="852">
        <f t="shared" si="16"/>
        <v>1</v>
      </c>
      <c r="CD5" s="818"/>
      <c r="CE5" s="818"/>
      <c r="CF5" s="818"/>
      <c r="CG5" s="818"/>
      <c r="CH5" s="818"/>
      <c r="CI5" s="818"/>
      <c r="CJ5" s="818"/>
      <c r="CK5" s="818"/>
      <c r="CL5" s="818"/>
      <c r="CM5" s="818"/>
      <c r="CN5" s="818"/>
      <c r="CO5" s="818"/>
      <c r="CP5" s="818"/>
      <c r="CQ5" s="818"/>
      <c r="CS5" s="852"/>
      <c r="CT5" s="852"/>
      <c r="CU5" s="852"/>
      <c r="CV5" s="852"/>
      <c r="CW5" s="852"/>
      <c r="CX5" s="852"/>
      <c r="CY5" s="852"/>
      <c r="CZ5" s="852"/>
      <c r="DA5" s="852"/>
      <c r="DB5" s="852"/>
      <c r="DC5" s="852"/>
      <c r="DD5" s="852"/>
      <c r="DE5" s="852"/>
      <c r="DF5" s="852"/>
    </row>
    <row r="6" s="818" customFormat="1" spans="1:110">
      <c r="A6" s="821" t="s">
        <v>48</v>
      </c>
      <c r="B6" s="645">
        <v>1.18214316742238e-11</v>
      </c>
      <c r="C6" s="645">
        <v>1.91989988172013e-11</v>
      </c>
      <c r="D6" s="645">
        <v>2.79061004558631e-11</v>
      </c>
      <c r="E6" s="645">
        <v>3.75636613061218e-11</v>
      </c>
      <c r="F6" s="645">
        <v>4.78404961082809e-11</v>
      </c>
      <c r="G6" s="645">
        <v>5.84684916197883e-11</v>
      </c>
      <c r="H6" s="645">
        <v>6.92403712666981e-11</v>
      </c>
      <c r="I6" s="645">
        <v>8.00009858327205e-11</v>
      </c>
      <c r="J6" s="645">
        <v>1.33626331826802e-10</v>
      </c>
      <c r="K6" s="645">
        <v>3.16294457174653e-10</v>
      </c>
      <c r="L6" s="645">
        <v>8.69834190420314e-10</v>
      </c>
      <c r="M6" s="645">
        <v>2.62818035377729e-9</v>
      </c>
      <c r="N6" s="645">
        <v>8.51857624360806e-9</v>
      </c>
      <c r="O6" s="645">
        <v>8.51857624360806e-9</v>
      </c>
      <c r="P6" s="645" t="s">
        <v>75</v>
      </c>
      <c r="Q6" s="828"/>
      <c r="R6" s="829">
        <f>VLOOKUP(A6,衰变常数!$A$1:$H$3800,7,FALSE)</f>
        <v>4.29778757787664e-5</v>
      </c>
      <c r="S6" s="830">
        <v>8.3143</v>
      </c>
      <c r="T6" s="831">
        <v>2.5e-18</v>
      </c>
      <c r="U6" s="831">
        <v>41870</v>
      </c>
      <c r="V6" s="831">
        <v>0</v>
      </c>
      <c r="W6" s="831">
        <v>0</v>
      </c>
      <c r="X6" s="831">
        <v>1e-5</v>
      </c>
      <c r="Y6" s="831">
        <v>8.8e-15</v>
      </c>
      <c r="Z6" s="831">
        <v>54000</v>
      </c>
      <c r="AA6" s="831">
        <v>0.6</v>
      </c>
      <c r="AB6" s="831">
        <v>480000</v>
      </c>
      <c r="AC6" s="831">
        <v>0.00025</v>
      </c>
      <c r="AD6" s="831">
        <v>6e-17</v>
      </c>
      <c r="AE6" s="831">
        <v>62800</v>
      </c>
      <c r="AF6" s="831">
        <v>6e-6</v>
      </c>
      <c r="AG6" s="831">
        <v>7e-7</v>
      </c>
      <c r="AH6" s="831">
        <v>6.2e-7</v>
      </c>
      <c r="AI6" s="831">
        <v>0</v>
      </c>
      <c r="AJ6" s="831">
        <v>0.03</v>
      </c>
      <c r="AK6" s="818">
        <f t="shared" si="0"/>
        <v>1620</v>
      </c>
      <c r="AL6" s="818">
        <f t="shared" si="1"/>
        <v>1893.15</v>
      </c>
      <c r="AM6" s="828">
        <f t="shared" si="2"/>
        <v>0.00066</v>
      </c>
      <c r="AN6" s="828">
        <f t="shared" si="3"/>
        <v>0.00025</v>
      </c>
      <c r="AO6" s="828">
        <f t="shared" si="4"/>
        <v>3.45050883135056e-14</v>
      </c>
      <c r="AP6" s="828">
        <f t="shared" si="5"/>
        <v>8.82309408131445</v>
      </c>
      <c r="AQ6" s="828">
        <f t="shared" si="6"/>
        <v>8.55159039093067e-9</v>
      </c>
      <c r="AR6" s="828">
        <f t="shared" si="7"/>
        <v>1.11022729329485e-18</v>
      </c>
      <c r="AS6" s="828">
        <f t="shared" si="8"/>
        <v>37.3308409800591</v>
      </c>
      <c r="AT6" s="828">
        <f t="shared" si="9"/>
        <v>2.3529036559243e-12</v>
      </c>
      <c r="AU6" s="828">
        <f t="shared" si="10"/>
        <v>6.2e-7</v>
      </c>
      <c r="AV6" s="828">
        <f t="shared" si="11"/>
        <v>0.249774376255238</v>
      </c>
      <c r="AW6" s="847">
        <f t="shared" si="12"/>
        <v>8.51857624360806e-9</v>
      </c>
      <c r="AY6" s="818" t="s">
        <v>48</v>
      </c>
      <c r="AZ6" s="818">
        <v>1.18213463828677e-11</v>
      </c>
      <c r="BA6" s="818">
        <v>1.92096428687234e-11</v>
      </c>
      <c r="BB6" s="818">
        <v>2.79373138638448e-11</v>
      </c>
      <c r="BC6" s="818">
        <v>3.76272700003492e-11</v>
      </c>
      <c r="BD6" s="818">
        <v>1.23e-11</v>
      </c>
      <c r="BE6" s="818">
        <v>2.25e-11</v>
      </c>
      <c r="BF6" s="818">
        <v>3.73e-11</v>
      </c>
      <c r="BG6" s="818">
        <v>5.76e-11</v>
      </c>
      <c r="BH6" s="818">
        <v>8.37e-11</v>
      </c>
      <c r="BI6" s="818">
        <v>3.26e-10</v>
      </c>
      <c r="BJ6" s="818">
        <v>9.13e-10</v>
      </c>
      <c r="BK6" s="818">
        <v>2.84e-9</v>
      </c>
      <c r="BL6" s="818">
        <v>9.64e-9</v>
      </c>
      <c r="BM6" s="818">
        <v>9.64e-9</v>
      </c>
      <c r="BO6" s="852">
        <f t="shared" ref="BO6:CB6" si="17">B6/AZ6</f>
        <v>1.00000721502893</v>
      </c>
      <c r="BP6" s="852">
        <f t="shared" si="17"/>
        <v>0.999445900603419</v>
      </c>
      <c r="BQ6" s="852">
        <f t="shared" si="17"/>
        <v>0.998882734104867</v>
      </c>
      <c r="BR6" s="852">
        <f t="shared" si="17"/>
        <v>0.998309505466998</v>
      </c>
      <c r="BS6" s="852">
        <f t="shared" si="17"/>
        <v>3.88947122831552</v>
      </c>
      <c r="BT6" s="852">
        <f t="shared" si="17"/>
        <v>2.59859962754615</v>
      </c>
      <c r="BU6" s="852">
        <f t="shared" si="17"/>
        <v>1.85631022162729</v>
      </c>
      <c r="BV6" s="852">
        <f t="shared" si="17"/>
        <v>1.38890600404029</v>
      </c>
      <c r="BW6" s="852">
        <f t="shared" si="17"/>
        <v>1.59649141967505</v>
      </c>
      <c r="BX6" s="852">
        <f t="shared" si="17"/>
        <v>0.970228396241267</v>
      </c>
      <c r="BY6" s="852">
        <f t="shared" si="17"/>
        <v>0.952720909551275</v>
      </c>
      <c r="BZ6" s="852">
        <f t="shared" si="17"/>
        <v>0.925415617527215</v>
      </c>
      <c r="CA6" s="852">
        <f t="shared" si="17"/>
        <v>0.883669734814114</v>
      </c>
      <c r="CB6" s="852">
        <f t="shared" si="17"/>
        <v>0.883669734814114</v>
      </c>
      <c r="CD6" s="818">
        <v>1.18213463828678e-11</v>
      </c>
      <c r="CE6" s="818">
        <v>1.92096428687237e-11</v>
      </c>
      <c r="CF6" s="818">
        <v>2.79373138638451e-11</v>
      </c>
      <c r="CG6" s="818">
        <v>3.76272700003496e-11</v>
      </c>
      <c r="CH6" s="818">
        <v>4.79494732644286e-11</v>
      </c>
      <c r="CI6" s="818">
        <v>5.86361864389545e-11</v>
      </c>
      <c r="CJ6" s="818">
        <v>6.94798924505634e-11</v>
      </c>
      <c r="CK6" s="818">
        <v>8.03247582955972e-11</v>
      </c>
      <c r="CL6" s="818">
        <v>1.34502056905219e-10</v>
      </c>
      <c r="CM6" s="818">
        <v>3.22894345404662e-10</v>
      </c>
      <c r="CN6" s="818">
        <v>8.94977020704783e-10</v>
      </c>
      <c r="CO6" s="818">
        <v>2.71621184998819e-9</v>
      </c>
      <c r="CP6" s="818">
        <v>8.51218726996136e-9</v>
      </c>
      <c r="CQ6" s="818">
        <v>8.51218726996136e-9</v>
      </c>
      <c r="CS6" s="852">
        <f t="shared" ref="CS6:DF6" si="18">B6/CD6</f>
        <v>1.00000721502892</v>
      </c>
      <c r="CT6" s="852">
        <f t="shared" si="18"/>
        <v>0.999445900603403</v>
      </c>
      <c r="CU6" s="852">
        <f t="shared" si="18"/>
        <v>0.998882734104856</v>
      </c>
      <c r="CV6" s="852">
        <f t="shared" si="18"/>
        <v>0.998309505466987</v>
      </c>
      <c r="CW6" s="852">
        <f t="shared" si="18"/>
        <v>0.997727250192161</v>
      </c>
      <c r="CX6" s="852">
        <f t="shared" si="18"/>
        <v>0.997140079712708</v>
      </c>
      <c r="CY6" s="852">
        <f t="shared" si="18"/>
        <v>0.996552654654212</v>
      </c>
      <c r="CZ6" s="852">
        <f t="shared" si="18"/>
        <v>0.995969207131813</v>
      </c>
      <c r="DA6" s="852">
        <f t="shared" si="18"/>
        <v>0.993489132444762</v>
      </c>
      <c r="DB6" s="852">
        <f t="shared" si="18"/>
        <v>0.979560223571776</v>
      </c>
      <c r="DC6" s="852">
        <f t="shared" si="18"/>
        <v>0.971906730896097</v>
      </c>
      <c r="DD6" s="852">
        <f t="shared" si="18"/>
        <v>0.967590342332362</v>
      </c>
      <c r="DE6" s="852">
        <f t="shared" si="18"/>
        <v>1.00075056779698</v>
      </c>
      <c r="DF6" s="852">
        <f t="shared" si="18"/>
        <v>1.00075056779698</v>
      </c>
    </row>
    <row r="7" s="818" customFormat="1" spans="1:110">
      <c r="A7" s="821" t="s">
        <v>49</v>
      </c>
      <c r="B7" s="645">
        <v>2.19664513915233e-11</v>
      </c>
      <c r="C7" s="645">
        <v>3.56813613470428e-11</v>
      </c>
      <c r="D7" s="645">
        <v>5.18738748871189e-11</v>
      </c>
      <c r="E7" s="645">
        <v>6.98416325396002e-11</v>
      </c>
      <c r="F7" s="645">
        <v>8.89705400019579e-11</v>
      </c>
      <c r="G7" s="645">
        <v>1.08762993430284e-10</v>
      </c>
      <c r="H7" s="645">
        <v>1.28833847748353e-10</v>
      </c>
      <c r="I7" s="645">
        <v>1.48894385515064e-10</v>
      </c>
      <c r="J7" s="645">
        <v>2.49003329973349e-10</v>
      </c>
      <c r="K7" s="645">
        <v>5.90044615040151e-10</v>
      </c>
      <c r="L7" s="645">
        <v>1.62916381405172e-9</v>
      </c>
      <c r="M7" s="645">
        <v>4.98045976898713e-9</v>
      </c>
      <c r="N7" s="645">
        <v>1.6769788500363e-8</v>
      </c>
      <c r="O7" s="645">
        <v>1.6769788500363e-8</v>
      </c>
      <c r="P7" s="645" t="s">
        <v>75</v>
      </c>
      <c r="Q7" s="828"/>
      <c r="R7" s="829">
        <f>VLOOKUP(A7,衰变常数!$A$1:$H$3800,7,FALSE)</f>
        <v>0.000151408296321525</v>
      </c>
      <c r="S7" s="830">
        <v>8.3143</v>
      </c>
      <c r="T7" s="831">
        <v>2.5e-18</v>
      </c>
      <c r="U7" s="831">
        <v>41870</v>
      </c>
      <c r="V7" s="831">
        <v>0</v>
      </c>
      <c r="W7" s="831">
        <v>0</v>
      </c>
      <c r="X7" s="831">
        <v>1e-5</v>
      </c>
      <c r="Y7" s="831">
        <v>8.8e-15</v>
      </c>
      <c r="Z7" s="831">
        <v>54000</v>
      </c>
      <c r="AA7" s="831">
        <v>0.6</v>
      </c>
      <c r="AB7" s="831">
        <v>480000</v>
      </c>
      <c r="AC7" s="831">
        <v>0.00025</v>
      </c>
      <c r="AD7" s="831">
        <v>6e-17</v>
      </c>
      <c r="AE7" s="831">
        <v>62800</v>
      </c>
      <c r="AF7" s="831">
        <v>6e-6</v>
      </c>
      <c r="AG7" s="831">
        <v>7e-7</v>
      </c>
      <c r="AH7" s="831">
        <v>6.2e-7</v>
      </c>
      <c r="AI7" s="831">
        <v>0</v>
      </c>
      <c r="AJ7" s="831">
        <v>0.03</v>
      </c>
      <c r="AK7" s="818">
        <f t="shared" si="0"/>
        <v>1620</v>
      </c>
      <c r="AL7" s="818">
        <f t="shared" si="1"/>
        <v>1893.15</v>
      </c>
      <c r="AM7" s="828">
        <f t="shared" si="2"/>
        <v>0.00066</v>
      </c>
      <c r="AN7" s="828">
        <f t="shared" si="3"/>
        <v>0.00025</v>
      </c>
      <c r="AO7" s="828">
        <f t="shared" si="4"/>
        <v>3.45050883135056e-14</v>
      </c>
      <c r="AP7" s="828">
        <f t="shared" si="5"/>
        <v>16.5604934555094</v>
      </c>
      <c r="AQ7" s="828">
        <f t="shared" si="6"/>
        <v>1.70095052440077e-8</v>
      </c>
      <c r="AR7" s="828">
        <f t="shared" si="7"/>
        <v>1.11022729329485e-18</v>
      </c>
      <c r="AS7" s="828">
        <f t="shared" si="8"/>
        <v>70.0680670569059</v>
      </c>
      <c r="AT7" s="828">
        <f t="shared" si="9"/>
        <v>4.47307309993225e-12</v>
      </c>
      <c r="AU7" s="828">
        <f t="shared" si="10"/>
        <v>6.2e-7</v>
      </c>
      <c r="AV7" s="828">
        <f t="shared" si="11"/>
        <v>0.468813648047667</v>
      </c>
      <c r="AW7" s="847">
        <f t="shared" si="12"/>
        <v>1.6769788500363e-8</v>
      </c>
      <c r="AY7" s="818" t="s">
        <v>49</v>
      </c>
      <c r="AZ7" s="818">
        <v>2.19260236925023e-11</v>
      </c>
      <c r="BA7" s="818">
        <v>3.56297050287399e-11</v>
      </c>
      <c r="BB7" s="818">
        <v>5.18176344592431e-11</v>
      </c>
      <c r="BC7" s="818">
        <v>6.979039330981e-11</v>
      </c>
      <c r="BD7" s="818">
        <v>2.32e-11</v>
      </c>
      <c r="BE7" s="818">
        <v>4.24e-11</v>
      </c>
      <c r="BF7" s="818">
        <v>7.04e-11</v>
      </c>
      <c r="BG7" s="818">
        <v>1.09e-10</v>
      </c>
      <c r="BH7" s="818">
        <v>1.58e-10</v>
      </c>
      <c r="BI7" s="818">
        <v>6.14e-10</v>
      </c>
      <c r="BJ7" s="818">
        <v>1.72e-9</v>
      </c>
      <c r="BK7" s="818">
        <v>5.36e-9</v>
      </c>
      <c r="BL7" s="818">
        <v>1.82e-8</v>
      </c>
      <c r="BM7" s="818">
        <v>1.82e-8</v>
      </c>
      <c r="BO7" s="852">
        <f t="shared" ref="BO7:CB7" si="19">B7/AZ7</f>
        <v>1.001843822646</v>
      </c>
      <c r="BP7" s="852">
        <f t="shared" si="19"/>
        <v>1.00144981043939</v>
      </c>
      <c r="BQ7" s="852">
        <f t="shared" si="19"/>
        <v>1.00108535305524</v>
      </c>
      <c r="BR7" s="852">
        <f t="shared" si="19"/>
        <v>1.00073418743412</v>
      </c>
      <c r="BS7" s="852">
        <f t="shared" si="19"/>
        <v>3.83493706904991</v>
      </c>
      <c r="BT7" s="852">
        <f t="shared" si="19"/>
        <v>2.56516493939349</v>
      </c>
      <c r="BU7" s="852">
        <f t="shared" si="19"/>
        <v>1.83002624642547</v>
      </c>
      <c r="BV7" s="852">
        <f t="shared" si="19"/>
        <v>1.36600353683545</v>
      </c>
      <c r="BW7" s="852">
        <f t="shared" si="19"/>
        <v>1.5759704428693</v>
      </c>
      <c r="BX7" s="852">
        <f t="shared" si="19"/>
        <v>0.960984715049106</v>
      </c>
      <c r="BY7" s="852">
        <f t="shared" si="19"/>
        <v>0.947188263983558</v>
      </c>
      <c r="BZ7" s="852">
        <f t="shared" si="19"/>
        <v>0.929190255408047</v>
      </c>
      <c r="CA7" s="852">
        <f t="shared" si="19"/>
        <v>0.921416950569396</v>
      </c>
      <c r="CB7" s="852">
        <f t="shared" si="19"/>
        <v>0.921416950569396</v>
      </c>
      <c r="CD7" s="818">
        <v>2.19260236925023e-11</v>
      </c>
      <c r="CE7" s="818">
        <v>3.56297050287399e-11</v>
      </c>
      <c r="CF7" s="818">
        <v>5.18176344592431e-11</v>
      </c>
      <c r="CG7" s="818">
        <v>6.979039330981e-11</v>
      </c>
      <c r="CH7" s="818">
        <v>8.89358329236111e-11</v>
      </c>
      <c r="CI7" s="818">
        <v>1.08757359056981e-10</v>
      </c>
      <c r="CJ7" s="818">
        <v>1.28870072721276e-10</v>
      </c>
      <c r="CK7" s="818">
        <v>1.48984937624044e-10</v>
      </c>
      <c r="CL7" s="818">
        <v>2.49472030585967e-10</v>
      </c>
      <c r="CM7" s="818">
        <v>6.01381274616202e-10</v>
      </c>
      <c r="CN7" s="818">
        <v>1.67355145244513e-9</v>
      </c>
      <c r="CO7" s="818">
        <v>5.13882778702562e-9</v>
      </c>
      <c r="CP7" s="818">
        <v>1.6727638090791e-8</v>
      </c>
      <c r="CQ7" s="818">
        <v>1.6727638090791e-8</v>
      </c>
      <c r="CS7" s="852">
        <f t="shared" ref="CS7:DF7" si="20">B7/CD7</f>
        <v>1.001843822646</v>
      </c>
      <c r="CT7" s="852">
        <f t="shared" si="20"/>
        <v>1.00144981043939</v>
      </c>
      <c r="CU7" s="852">
        <f t="shared" si="20"/>
        <v>1.00108535305524</v>
      </c>
      <c r="CV7" s="852">
        <f t="shared" si="20"/>
        <v>1.00073418743412</v>
      </c>
      <c r="CW7" s="852">
        <f t="shared" si="20"/>
        <v>1.00039024853319</v>
      </c>
      <c r="CX7" s="852">
        <f t="shared" si="20"/>
        <v>1.00005180682348</v>
      </c>
      <c r="CY7" s="852">
        <f t="shared" si="20"/>
        <v>0.999718903138967</v>
      </c>
      <c r="CZ7" s="852">
        <f t="shared" si="20"/>
        <v>0.999392206283239</v>
      </c>
      <c r="DA7" s="852">
        <f t="shared" si="20"/>
        <v>0.998121229816757</v>
      </c>
      <c r="DB7" s="852">
        <f t="shared" si="20"/>
        <v>0.981148964800598</v>
      </c>
      <c r="DC7" s="852">
        <f t="shared" si="20"/>
        <v>0.973476980149874</v>
      </c>
      <c r="DD7" s="852">
        <f t="shared" si="20"/>
        <v>0.969182073305057</v>
      </c>
      <c r="DE7" s="852">
        <f t="shared" si="20"/>
        <v>1.00251980640322</v>
      </c>
      <c r="DF7" s="852">
        <f t="shared" si="20"/>
        <v>1.00251980640322</v>
      </c>
    </row>
    <row r="8" s="818" customFormat="1" spans="1:110">
      <c r="A8" s="821" t="s">
        <v>50</v>
      </c>
      <c r="B8" s="645">
        <v>1.48138488211115e-11</v>
      </c>
      <c r="C8" s="645">
        <v>2.40607004215317e-11</v>
      </c>
      <c r="D8" s="645">
        <v>3.49757204374575e-11</v>
      </c>
      <c r="E8" s="645">
        <v>4.70844748131562e-11</v>
      </c>
      <c r="F8" s="645">
        <v>5.9972329280272e-11</v>
      </c>
      <c r="G8" s="645">
        <v>7.33034786446996e-11</v>
      </c>
      <c r="H8" s="645">
        <v>8.68181814899556e-11</v>
      </c>
      <c r="I8" s="645">
        <v>1.00321891077048e-10</v>
      </c>
      <c r="J8" s="645">
        <v>1.67657885230619e-10</v>
      </c>
      <c r="K8" s="645">
        <v>3.97039208794722e-10</v>
      </c>
      <c r="L8" s="645">
        <v>1.09379957696547e-9</v>
      </c>
      <c r="M8" s="645">
        <v>3.32194587896692e-9</v>
      </c>
      <c r="N8" s="645">
        <v>1.09516825181983e-8</v>
      </c>
      <c r="O8" s="645">
        <v>1.09516825181983e-8</v>
      </c>
      <c r="P8" s="645" t="s">
        <v>75</v>
      </c>
      <c r="Q8" s="828"/>
      <c r="R8" s="829">
        <f>VLOOKUP(A8,衰变常数!$A$1:$H$3800,7,FALSE)</f>
        <v>6.77960857355189e-5</v>
      </c>
      <c r="S8" s="830">
        <v>8.3143</v>
      </c>
      <c r="T8" s="831">
        <v>2.5e-18</v>
      </c>
      <c r="U8" s="831">
        <v>41870</v>
      </c>
      <c r="V8" s="831">
        <v>0</v>
      </c>
      <c r="W8" s="831">
        <v>0</v>
      </c>
      <c r="X8" s="831">
        <v>1e-5</v>
      </c>
      <c r="Y8" s="831">
        <v>8.8e-15</v>
      </c>
      <c r="Z8" s="831">
        <v>54000</v>
      </c>
      <c r="AA8" s="831">
        <v>0.6</v>
      </c>
      <c r="AB8" s="831">
        <v>480000</v>
      </c>
      <c r="AC8" s="831">
        <v>0.00025</v>
      </c>
      <c r="AD8" s="831">
        <v>6e-17</v>
      </c>
      <c r="AE8" s="831">
        <v>62800</v>
      </c>
      <c r="AF8" s="831">
        <v>6e-6</v>
      </c>
      <c r="AG8" s="831">
        <v>7e-7</v>
      </c>
      <c r="AH8" s="831">
        <v>6.2e-7</v>
      </c>
      <c r="AI8" s="831">
        <v>0</v>
      </c>
      <c r="AJ8" s="831">
        <v>0.03</v>
      </c>
      <c r="AK8" s="818">
        <f t="shared" si="0"/>
        <v>1620</v>
      </c>
      <c r="AL8" s="818">
        <f t="shared" si="1"/>
        <v>1893.15</v>
      </c>
      <c r="AM8" s="828">
        <f t="shared" si="2"/>
        <v>0.00066</v>
      </c>
      <c r="AN8" s="828">
        <f t="shared" si="3"/>
        <v>0.00025</v>
      </c>
      <c r="AO8" s="828">
        <f t="shared" si="4"/>
        <v>3.45050883135056e-14</v>
      </c>
      <c r="AP8" s="828">
        <f t="shared" si="5"/>
        <v>11.0815560424031</v>
      </c>
      <c r="AQ8" s="828">
        <f t="shared" si="6"/>
        <v>1.10203626222167e-8</v>
      </c>
      <c r="AR8" s="828">
        <f t="shared" si="7"/>
        <v>1.11022729329485e-18</v>
      </c>
      <c r="AS8" s="828">
        <f t="shared" si="8"/>
        <v>46.8864779881087</v>
      </c>
      <c r="AT8" s="828">
        <f t="shared" si="9"/>
        <v>2.97175784824167e-12</v>
      </c>
      <c r="AU8" s="828">
        <f t="shared" si="10"/>
        <v>6.2e-7</v>
      </c>
      <c r="AV8" s="828">
        <f t="shared" si="11"/>
        <v>0.313709535784111</v>
      </c>
      <c r="AW8" s="847">
        <f t="shared" si="12"/>
        <v>1.09516825181983e-8</v>
      </c>
      <c r="AY8" s="818" t="s">
        <v>50</v>
      </c>
      <c r="AZ8" s="818">
        <v>1.49160349497535e-11</v>
      </c>
      <c r="BA8" s="818">
        <v>2.4238500008546e-11</v>
      </c>
      <c r="BB8" s="818">
        <v>3.5250971970441e-11</v>
      </c>
      <c r="BC8" s="818">
        <v>4.74776439342327e-11</v>
      </c>
      <c r="BD8" s="818">
        <v>1.56e-11</v>
      </c>
      <c r="BE8" s="818">
        <v>2.84e-11</v>
      </c>
      <c r="BF8" s="818">
        <v>4.72e-11</v>
      </c>
      <c r="BG8" s="818">
        <v>7.28e-11</v>
      </c>
      <c r="BH8" s="818">
        <v>1.06e-10</v>
      </c>
      <c r="BI8" s="818">
        <v>4.12e-10</v>
      </c>
      <c r="BJ8" s="818">
        <v>1.15e-9</v>
      </c>
      <c r="BK8" s="818">
        <v>3.6e-9</v>
      </c>
      <c r="BL8" s="818">
        <v>1.22e-8</v>
      </c>
      <c r="BM8" s="818">
        <v>1.22e-8</v>
      </c>
      <c r="BO8" s="852">
        <f t="shared" ref="BO8:CB8" si="21">B8/AZ8</f>
        <v>0.993149243147645</v>
      </c>
      <c r="BP8" s="852">
        <f t="shared" si="21"/>
        <v>0.992664579617072</v>
      </c>
      <c r="BQ8" s="852">
        <f t="shared" si="21"/>
        <v>0.992191661177051</v>
      </c>
      <c r="BR8" s="852">
        <f t="shared" si="21"/>
        <v>0.99171885779292</v>
      </c>
      <c r="BS8" s="852">
        <f t="shared" si="21"/>
        <v>3.84438008206872</v>
      </c>
      <c r="BT8" s="852">
        <f t="shared" si="21"/>
        <v>2.58110840298238</v>
      </c>
      <c r="BU8" s="852">
        <f t="shared" si="21"/>
        <v>1.83936825190584</v>
      </c>
      <c r="BV8" s="852">
        <f t="shared" si="21"/>
        <v>1.37804795435506</v>
      </c>
      <c r="BW8" s="852">
        <f t="shared" si="21"/>
        <v>1.58167816255301</v>
      </c>
      <c r="BX8" s="852">
        <f t="shared" si="21"/>
        <v>0.963687399987189</v>
      </c>
      <c r="BY8" s="852">
        <f t="shared" si="21"/>
        <v>0.951130066926496</v>
      </c>
      <c r="BZ8" s="852">
        <f t="shared" si="21"/>
        <v>0.922762744157478</v>
      </c>
      <c r="CA8" s="852">
        <f t="shared" si="21"/>
        <v>0.897678894934287</v>
      </c>
      <c r="CB8" s="852">
        <f t="shared" si="21"/>
        <v>0.897678894934287</v>
      </c>
      <c r="CD8" s="818">
        <v>1.49160349497536e-11</v>
      </c>
      <c r="CE8" s="818">
        <v>2.42385000085461e-11</v>
      </c>
      <c r="CF8" s="818">
        <v>3.52509719704412e-11</v>
      </c>
      <c r="CG8" s="818">
        <v>4.74776439342329e-11</v>
      </c>
      <c r="CH8" s="818">
        <v>6.05020778403911e-11</v>
      </c>
      <c r="CI8" s="818">
        <v>7.3986446037252e-11</v>
      </c>
      <c r="CJ8" s="818">
        <v>8.76689059377946e-11</v>
      </c>
      <c r="CK8" s="818">
        <v>1.01352829302425e-10</v>
      </c>
      <c r="CL8" s="818">
        <v>1.69713103451528e-10</v>
      </c>
      <c r="CM8" s="818">
        <v>4.08182684299522e-10</v>
      </c>
      <c r="CN8" s="818">
        <v>1.133415177929e-9</v>
      </c>
      <c r="CO8" s="818">
        <v>3.45809234452662e-9</v>
      </c>
      <c r="CP8" s="818">
        <v>1.10275574508441e-8</v>
      </c>
      <c r="CQ8" s="818">
        <v>1.10275574508441e-8</v>
      </c>
      <c r="CS8" s="852">
        <f t="shared" ref="CS8:DF8" si="22">B8/CD8</f>
        <v>0.993149243147638</v>
      </c>
      <c r="CT8" s="852">
        <f t="shared" si="22"/>
        <v>0.992664579617068</v>
      </c>
      <c r="CU8" s="852">
        <f t="shared" si="22"/>
        <v>0.992191661177045</v>
      </c>
      <c r="CV8" s="852">
        <f t="shared" si="22"/>
        <v>0.991718857792916</v>
      </c>
      <c r="CW8" s="852">
        <f t="shared" si="22"/>
        <v>0.991244126168417</v>
      </c>
      <c r="CX8" s="852">
        <f t="shared" si="22"/>
        <v>0.990769020149873</v>
      </c>
      <c r="CY8" s="852">
        <f t="shared" si="22"/>
        <v>0.990296166711118</v>
      </c>
      <c r="CZ8" s="852">
        <f t="shared" si="22"/>
        <v>0.989828224505694</v>
      </c>
      <c r="DA8" s="852">
        <f t="shared" si="22"/>
        <v>0.987890043967666</v>
      </c>
      <c r="DB8" s="852">
        <f t="shared" si="22"/>
        <v>0.972699783862897</v>
      </c>
      <c r="DC8" s="852">
        <f t="shared" si="22"/>
        <v>0.965047582090866</v>
      </c>
      <c r="DD8" s="852">
        <f t="shared" si="22"/>
        <v>0.960629603840629</v>
      </c>
      <c r="DE8" s="852">
        <f t="shared" si="22"/>
        <v>0.993119515995812</v>
      </c>
      <c r="DF8" s="852">
        <f t="shared" si="22"/>
        <v>0.993119515995812</v>
      </c>
    </row>
    <row r="9" s="818" customFormat="1" spans="1:110">
      <c r="A9" s="821" t="s">
        <v>51</v>
      </c>
      <c r="B9" s="645">
        <v>1.48803456265524e-12</v>
      </c>
      <c r="C9" s="645">
        <v>2.40701934360337e-12</v>
      </c>
      <c r="D9" s="645">
        <v>3.48329890701822e-12</v>
      </c>
      <c r="E9" s="645">
        <v>4.66708453792175e-12</v>
      </c>
      <c r="F9" s="645">
        <v>5.91569222701845e-12</v>
      </c>
      <c r="G9" s="645">
        <v>7.19528943704062e-12</v>
      </c>
      <c r="H9" s="645">
        <v>8.48036882976437e-12</v>
      </c>
      <c r="I9" s="645">
        <v>9.75241574192534e-12</v>
      </c>
      <c r="J9" s="645">
        <v>1.60043205924332e-11</v>
      </c>
      <c r="K9" s="645">
        <v>3.7300291390096e-11</v>
      </c>
      <c r="L9" s="645">
        <v>9.61349819296256e-11</v>
      </c>
      <c r="M9" s="645">
        <v>2.33559567549092e-10</v>
      </c>
      <c r="N9" s="645">
        <v>4.14507588093715e-10</v>
      </c>
      <c r="O9" s="645">
        <v>4.14507588093715e-10</v>
      </c>
      <c r="P9" s="645" t="s">
        <v>75</v>
      </c>
      <c r="Q9" s="828"/>
      <c r="R9" s="829">
        <f>VLOOKUP(A9,衰变常数!$A$1:$H$3800,7,FALSE)</f>
        <v>6.77579122638209e-7</v>
      </c>
      <c r="S9" s="830">
        <v>8.3143</v>
      </c>
      <c r="T9" s="831">
        <v>2.5e-18</v>
      </c>
      <c r="U9" s="831">
        <v>41870</v>
      </c>
      <c r="V9" s="831">
        <v>0</v>
      </c>
      <c r="W9" s="831">
        <v>0</v>
      </c>
      <c r="X9" s="831">
        <v>1e-5</v>
      </c>
      <c r="Y9" s="831">
        <v>8.8e-15</v>
      </c>
      <c r="Z9" s="831">
        <v>54000</v>
      </c>
      <c r="AA9" s="831">
        <v>0.6</v>
      </c>
      <c r="AB9" s="831">
        <v>480000</v>
      </c>
      <c r="AC9" s="831">
        <v>0.00025</v>
      </c>
      <c r="AD9" s="831">
        <v>3e-18</v>
      </c>
      <c r="AE9" s="831">
        <v>41870</v>
      </c>
      <c r="AF9" s="831">
        <v>6e-6</v>
      </c>
      <c r="AG9" s="831">
        <v>7e-7</v>
      </c>
      <c r="AH9" s="831">
        <v>5e-7</v>
      </c>
      <c r="AI9" s="831">
        <v>0</v>
      </c>
      <c r="AJ9" s="831">
        <v>0.03</v>
      </c>
      <c r="AK9" s="818">
        <f t="shared" si="0"/>
        <v>1620</v>
      </c>
      <c r="AL9" s="818">
        <f t="shared" si="1"/>
        <v>1893.15</v>
      </c>
      <c r="AM9" s="828">
        <f t="shared" si="2"/>
        <v>0.00066</v>
      </c>
      <c r="AN9" s="828">
        <f t="shared" si="3"/>
        <v>0.00025</v>
      </c>
      <c r="AO9" s="828">
        <f t="shared" si="4"/>
        <v>3.45050883135056e-14</v>
      </c>
      <c r="AP9" s="828">
        <f t="shared" si="5"/>
        <v>1.10784357956729</v>
      </c>
      <c r="AQ9" s="828">
        <f t="shared" si="6"/>
        <v>4.14421558127212e-10</v>
      </c>
      <c r="AR9" s="828">
        <f t="shared" si="7"/>
        <v>2.09831031823675e-19</v>
      </c>
      <c r="AS9" s="828">
        <f t="shared" si="8"/>
        <v>10.7819273297403</v>
      </c>
      <c r="AT9" s="828">
        <f t="shared" si="9"/>
        <v>1.19732194561925e-13</v>
      </c>
      <c r="AU9" s="828">
        <f t="shared" si="10"/>
        <v>5e-7</v>
      </c>
      <c r="AV9" s="828">
        <f t="shared" si="11"/>
        <v>0.0349233792859279</v>
      </c>
      <c r="AW9" s="847">
        <f t="shared" si="12"/>
        <v>4.14507588093715e-10</v>
      </c>
      <c r="AY9" s="818" t="s">
        <v>51</v>
      </c>
      <c r="AZ9" s="818">
        <v>1.48305655848887e-12</v>
      </c>
      <c r="BA9" s="818">
        <v>2.40635558295949e-12</v>
      </c>
      <c r="BB9" s="818">
        <v>3.49466562715852e-12</v>
      </c>
      <c r="BC9" s="818">
        <v>4.70048812201148e-12</v>
      </c>
      <c r="BD9" s="818">
        <v>1.53e-12</v>
      </c>
      <c r="BE9" s="818">
        <v>2.8e-12</v>
      </c>
      <c r="BF9" s="818">
        <v>4.66e-12</v>
      </c>
      <c r="BG9" s="818">
        <v>7.18e-12</v>
      </c>
      <c r="BH9" s="818">
        <v>1.04e-11</v>
      </c>
      <c r="BI9" s="818">
        <v>4.06e-11</v>
      </c>
      <c r="BJ9" s="818">
        <v>1.14e-10</v>
      </c>
      <c r="BK9" s="818">
        <v>3.55e-10</v>
      </c>
      <c r="BL9" s="818">
        <v>1.2e-9</v>
      </c>
      <c r="BM9" s="818">
        <v>1.2e-9</v>
      </c>
      <c r="BO9" s="852">
        <f t="shared" ref="BO9:CB9" si="23">B9/AZ9</f>
        <v>1.00335658416928</v>
      </c>
      <c r="BP9" s="852">
        <f t="shared" si="23"/>
        <v>1.00027583647595</v>
      </c>
      <c r="BQ9" s="852">
        <f t="shared" si="23"/>
        <v>0.996747408378082</v>
      </c>
      <c r="BR9" s="852">
        <f t="shared" si="23"/>
        <v>0.992893592490255</v>
      </c>
      <c r="BS9" s="852">
        <f t="shared" si="23"/>
        <v>3.8664655078552</v>
      </c>
      <c r="BT9" s="852">
        <f t="shared" si="23"/>
        <v>2.56974622751451</v>
      </c>
      <c r="BU9" s="852">
        <f t="shared" si="23"/>
        <v>1.81982163728849</v>
      </c>
      <c r="BV9" s="852">
        <f t="shared" si="23"/>
        <v>1.3582751729701</v>
      </c>
      <c r="BW9" s="852">
        <f t="shared" si="23"/>
        <v>1.53887698004165</v>
      </c>
      <c r="BX9" s="852">
        <f t="shared" si="23"/>
        <v>0.918726388918621</v>
      </c>
      <c r="BY9" s="852">
        <f t="shared" si="23"/>
        <v>0.843289315172154</v>
      </c>
      <c r="BZ9" s="852">
        <f t="shared" si="23"/>
        <v>0.657914274786175</v>
      </c>
      <c r="CA9" s="852">
        <f t="shared" si="23"/>
        <v>0.345422990078096</v>
      </c>
      <c r="CB9" s="852">
        <f t="shared" si="23"/>
        <v>0.345422990078096</v>
      </c>
      <c r="CD9" s="818">
        <v>1.48305655849023e-12</v>
      </c>
      <c r="CE9" s="818">
        <v>2.40635558296171e-12</v>
      </c>
      <c r="CF9" s="818">
        <v>3.49466562716174e-12</v>
      </c>
      <c r="CG9" s="818">
        <v>4.70048812201582e-12</v>
      </c>
      <c r="CH9" s="818">
        <v>5.98252491664479e-12</v>
      </c>
      <c r="CI9" s="818">
        <v>7.3074747718307e-12</v>
      </c>
      <c r="CJ9" s="818">
        <v>8.64968009437991e-12</v>
      </c>
      <c r="CK9" s="818">
        <v>9.98999377950036e-12</v>
      </c>
      <c r="CL9" s="818">
        <v>1.67515390646148e-11</v>
      </c>
      <c r="CM9" s="818">
        <v>3.7785774373968e-11</v>
      </c>
      <c r="CN9" s="818">
        <v>9.8099454292772e-11</v>
      </c>
      <c r="CO9" s="818">
        <v>2.38982190431845e-10</v>
      </c>
      <c r="CP9" s="818">
        <v>4.0900239455923e-10</v>
      </c>
      <c r="CQ9" s="818">
        <v>4.0900239455923e-10</v>
      </c>
      <c r="CS9" s="852">
        <f t="shared" ref="CS9:DF9" si="24">B9/CD9</f>
        <v>1.00335658416836</v>
      </c>
      <c r="CT9" s="852">
        <f t="shared" si="24"/>
        <v>1.00027583647502</v>
      </c>
      <c r="CU9" s="852">
        <f t="shared" si="24"/>
        <v>0.996747408377164</v>
      </c>
      <c r="CV9" s="852">
        <f t="shared" si="24"/>
        <v>0.992893592489338</v>
      </c>
      <c r="CW9" s="852">
        <f t="shared" si="24"/>
        <v>0.988828681776085</v>
      </c>
      <c r="CX9" s="852">
        <f t="shared" si="24"/>
        <v>0.984647865604334</v>
      </c>
      <c r="CY9" s="852">
        <f t="shared" si="24"/>
        <v>0.980425719475388</v>
      </c>
      <c r="CZ9" s="852">
        <f t="shared" si="24"/>
        <v>0.976218399849003</v>
      </c>
      <c r="DA9" s="852">
        <f t="shared" si="24"/>
        <v>0.955394040553564</v>
      </c>
      <c r="DB9" s="852">
        <f t="shared" si="24"/>
        <v>0.987151699497617</v>
      </c>
      <c r="DC9" s="852">
        <f t="shared" si="24"/>
        <v>0.979974686125332</v>
      </c>
      <c r="DD9" s="852">
        <f t="shared" si="24"/>
        <v>0.977309510499698</v>
      </c>
      <c r="DE9" s="852">
        <f t="shared" si="24"/>
        <v>1.01346005208702</v>
      </c>
      <c r="DF9" s="852">
        <f t="shared" si="24"/>
        <v>1.01346005208702</v>
      </c>
    </row>
    <row r="10" s="818" customFormat="1" spans="1:110">
      <c r="A10" s="821" t="s">
        <v>52</v>
      </c>
      <c r="B10" s="645">
        <v>2.23936040182472e-12</v>
      </c>
      <c r="C10" s="645">
        <v>3.62584911522823e-12</v>
      </c>
      <c r="D10" s="645">
        <v>5.25312219586717e-12</v>
      </c>
      <c r="E10" s="645">
        <v>7.04735118069201e-12</v>
      </c>
      <c r="F10" s="645">
        <v>8.94495351289886e-12</v>
      </c>
      <c r="G10" s="645">
        <v>1.08952462413802e-11</v>
      </c>
      <c r="H10" s="645">
        <v>1.28597399582403e-11</v>
      </c>
      <c r="I10" s="645">
        <v>1.48102324239309e-11</v>
      </c>
      <c r="J10" s="645">
        <v>2.44864246530056e-11</v>
      </c>
      <c r="K10" s="645">
        <v>5.74711234518532e-11</v>
      </c>
      <c r="L10" s="645">
        <v>1.52159958857739e-10</v>
      </c>
      <c r="M10" s="645">
        <v>4.05730198370885e-10</v>
      </c>
      <c r="N10" s="645">
        <v>8.61909380134982e-10</v>
      </c>
      <c r="O10" s="645">
        <v>8.61909380134982e-10</v>
      </c>
      <c r="P10" s="645" t="s">
        <v>75</v>
      </c>
      <c r="Q10" s="828"/>
      <c r="R10" s="829">
        <f>VLOOKUP(A10,衰变常数!$A$1:$H$3800,7,FALSE)</f>
        <v>1.53014243983147e-6</v>
      </c>
      <c r="S10" s="830">
        <v>8.3143</v>
      </c>
      <c r="T10" s="831">
        <v>2.5e-18</v>
      </c>
      <c r="U10" s="831">
        <v>41870</v>
      </c>
      <c r="V10" s="831">
        <v>0</v>
      </c>
      <c r="W10" s="831">
        <v>0</v>
      </c>
      <c r="X10" s="831">
        <v>1e-5</v>
      </c>
      <c r="Y10" s="831">
        <v>8.8e-15</v>
      </c>
      <c r="Z10" s="831">
        <v>54000</v>
      </c>
      <c r="AA10" s="831">
        <v>0.6</v>
      </c>
      <c r="AB10" s="831">
        <v>480000</v>
      </c>
      <c r="AC10" s="831">
        <v>0.00025</v>
      </c>
      <c r="AD10" s="831">
        <v>3e-18</v>
      </c>
      <c r="AE10" s="831">
        <v>41870</v>
      </c>
      <c r="AF10" s="831">
        <v>6e-6</v>
      </c>
      <c r="AG10" s="831">
        <v>7e-7</v>
      </c>
      <c r="AH10" s="831">
        <v>5e-7</v>
      </c>
      <c r="AI10" s="831">
        <v>0</v>
      </c>
      <c r="AJ10" s="831">
        <v>0.03</v>
      </c>
      <c r="AK10" s="818">
        <f t="shared" si="0"/>
        <v>1620</v>
      </c>
      <c r="AL10" s="818">
        <f t="shared" si="1"/>
        <v>1893.15</v>
      </c>
      <c r="AM10" s="828">
        <f t="shared" si="2"/>
        <v>0.00066</v>
      </c>
      <c r="AN10" s="828">
        <f t="shared" si="3"/>
        <v>0.00025</v>
      </c>
      <c r="AO10" s="828">
        <f t="shared" si="4"/>
        <v>3.45050883135056e-14</v>
      </c>
      <c r="AP10" s="828">
        <f t="shared" si="5"/>
        <v>1.66480881766796</v>
      </c>
      <c r="AQ10" s="828">
        <f t="shared" si="6"/>
        <v>8.61881548061467e-10</v>
      </c>
      <c r="AR10" s="828">
        <f t="shared" si="7"/>
        <v>2.09831031823675e-19</v>
      </c>
      <c r="AS10" s="828">
        <f t="shared" si="8"/>
        <v>16.2025109149595</v>
      </c>
      <c r="AT10" s="828">
        <f t="shared" si="9"/>
        <v>1.86080915509806e-13</v>
      </c>
      <c r="AU10" s="828">
        <f t="shared" si="10"/>
        <v>5e-7</v>
      </c>
      <c r="AV10" s="828">
        <f t="shared" si="11"/>
        <v>0.0524810098197114</v>
      </c>
      <c r="AW10" s="847">
        <f t="shared" si="12"/>
        <v>8.61909380134982e-10</v>
      </c>
      <c r="AY10" s="818" t="s">
        <v>52</v>
      </c>
      <c r="AZ10" s="818">
        <v>2.23690162535466e-12</v>
      </c>
      <c r="BA10" s="818">
        <v>3.6295181622662e-12</v>
      </c>
      <c r="BB10" s="818">
        <v>5.27102164561221e-12</v>
      </c>
      <c r="BC10" s="818">
        <v>7.08976974607183e-12</v>
      </c>
      <c r="BD10" s="818">
        <v>2.32e-12</v>
      </c>
      <c r="BE10" s="818">
        <v>4.24e-12</v>
      </c>
      <c r="BF10" s="818">
        <v>7.04e-12</v>
      </c>
      <c r="BG10" s="818">
        <v>1.09e-11</v>
      </c>
      <c r="BH10" s="818">
        <v>1.58e-11</v>
      </c>
      <c r="BI10" s="818">
        <v>6.14e-11</v>
      </c>
      <c r="BJ10" s="818">
        <v>1.72e-10</v>
      </c>
      <c r="BK10" s="818">
        <v>5.36e-10</v>
      </c>
      <c r="BL10" s="818">
        <v>1.82e-9</v>
      </c>
      <c r="BM10" s="818">
        <v>1.82e-9</v>
      </c>
      <c r="BO10" s="852">
        <f t="shared" ref="BO10:CB10" si="25">B10/AZ10</f>
        <v>1.00109918846774</v>
      </c>
      <c r="BP10" s="852">
        <f t="shared" si="25"/>
        <v>0.998989109056923</v>
      </c>
      <c r="BQ10" s="852">
        <f t="shared" si="25"/>
        <v>0.996604178288674</v>
      </c>
      <c r="BR10" s="852">
        <f t="shared" si="25"/>
        <v>0.994016933285693</v>
      </c>
      <c r="BS10" s="852">
        <f t="shared" si="25"/>
        <v>3.85558341073227</v>
      </c>
      <c r="BT10" s="852">
        <f t="shared" si="25"/>
        <v>2.56963354749533</v>
      </c>
      <c r="BU10" s="852">
        <f t="shared" si="25"/>
        <v>1.82666760770459</v>
      </c>
      <c r="BV10" s="852">
        <f t="shared" si="25"/>
        <v>1.35873691962669</v>
      </c>
      <c r="BW10" s="852">
        <f t="shared" si="25"/>
        <v>1.54977371221554</v>
      </c>
      <c r="BX10" s="852">
        <f t="shared" si="25"/>
        <v>0.936011782603472</v>
      </c>
      <c r="BY10" s="852">
        <f t="shared" si="25"/>
        <v>0.884650923591506</v>
      </c>
      <c r="BZ10" s="852">
        <f t="shared" si="25"/>
        <v>0.756959325318815</v>
      </c>
      <c r="CA10" s="852">
        <f t="shared" si="25"/>
        <v>0.473576582491748</v>
      </c>
      <c r="CB10" s="852">
        <f t="shared" si="25"/>
        <v>0.473576582491748</v>
      </c>
      <c r="CD10" s="818">
        <v>2.23690162535193e-12</v>
      </c>
      <c r="CE10" s="818">
        <v>3.62951816226176e-12</v>
      </c>
      <c r="CF10" s="818">
        <v>5.27102164560576e-12</v>
      </c>
      <c r="CG10" s="818">
        <v>7.08976974606316e-12</v>
      </c>
      <c r="CH10" s="818">
        <v>9.02347225609148e-12</v>
      </c>
      <c r="CI10" s="818">
        <v>1.1021900750007e-11</v>
      </c>
      <c r="CJ10" s="818">
        <v>1.30463557516576e-11</v>
      </c>
      <c r="CK10" s="818">
        <v>1.50679575871126e-11</v>
      </c>
      <c r="CL10" s="818">
        <v>2.52664301615911e-11</v>
      </c>
      <c r="CM10" s="818">
        <v>5.84575512334584e-11</v>
      </c>
      <c r="CN10" s="818">
        <v>1.55968429687446e-10</v>
      </c>
      <c r="CO10" s="818">
        <v>4.17568552006138e-10</v>
      </c>
      <c r="CP10" s="818">
        <v>8.5670676317473e-10</v>
      </c>
      <c r="CQ10" s="818">
        <v>8.5670676317473e-10</v>
      </c>
      <c r="CS10" s="852">
        <f t="shared" ref="CS10:DF10" si="26">B10/CD10</f>
        <v>1.00109918846896</v>
      </c>
      <c r="CT10" s="852">
        <f t="shared" si="26"/>
        <v>0.998989109058145</v>
      </c>
      <c r="CU10" s="852">
        <f t="shared" si="26"/>
        <v>0.996604178289893</v>
      </c>
      <c r="CV10" s="852">
        <f t="shared" si="26"/>
        <v>0.994016933286909</v>
      </c>
      <c r="CW10" s="852">
        <f t="shared" si="26"/>
        <v>0.991298389249259</v>
      </c>
      <c r="CX10" s="852">
        <f t="shared" si="26"/>
        <v>0.988508832414707</v>
      </c>
      <c r="CY10" s="852">
        <f t="shared" si="26"/>
        <v>0.985695944755026</v>
      </c>
      <c r="CZ10" s="852">
        <f t="shared" si="26"/>
        <v>0.98289581307276</v>
      </c>
      <c r="DA10" s="852">
        <f t="shared" si="26"/>
        <v>0.969128780615347</v>
      </c>
      <c r="DB10" s="852">
        <f t="shared" si="26"/>
        <v>0.983125742341383</v>
      </c>
      <c r="DC10" s="852">
        <f t="shared" si="26"/>
        <v>0.975581783843442</v>
      </c>
      <c r="DD10" s="852">
        <f t="shared" si="26"/>
        <v>0.971649317032191</v>
      </c>
      <c r="DE10" s="852">
        <f t="shared" si="26"/>
        <v>1.00607280948848</v>
      </c>
      <c r="DF10" s="852">
        <f t="shared" si="26"/>
        <v>1.00607280948848</v>
      </c>
    </row>
    <row r="11" s="818" customFormat="1" spans="1:110">
      <c r="A11" s="821" t="s">
        <v>53</v>
      </c>
      <c r="B11" s="645">
        <v>3.46777687768015e-12</v>
      </c>
      <c r="C11" s="645">
        <v>5.61863434295315e-12</v>
      </c>
      <c r="D11" s="645">
        <v>8.14678221882815e-12</v>
      </c>
      <c r="E11" s="645">
        <v>1.09390872875458e-11</v>
      </c>
      <c r="F11" s="645">
        <v>1.38977980169931e-11</v>
      </c>
      <c r="G11" s="645">
        <v>1.69446810986248e-11</v>
      </c>
      <c r="H11" s="645">
        <v>2.00200214445164e-11</v>
      </c>
      <c r="I11" s="645">
        <v>2.30797775847954e-11</v>
      </c>
      <c r="J11" s="645">
        <v>3.8354720807427e-11</v>
      </c>
      <c r="K11" s="645">
        <v>9.04506342461901e-11</v>
      </c>
      <c r="L11" s="645">
        <v>2.43762191258528e-10</v>
      </c>
      <c r="M11" s="645">
        <v>6.89518786183153e-10</v>
      </c>
      <c r="N11" s="645">
        <v>1.75498364567178e-9</v>
      </c>
      <c r="O11" s="645">
        <v>1.75498364567178e-9</v>
      </c>
      <c r="P11" s="645" t="s">
        <v>75</v>
      </c>
      <c r="Q11" s="828"/>
      <c r="R11" s="829">
        <f>VLOOKUP(A11,衰变常数!$A$1:$H$3800,7,FALSE)</f>
        <v>3.66325881828146e-6</v>
      </c>
      <c r="S11" s="830">
        <v>8.3143</v>
      </c>
      <c r="T11" s="831">
        <v>2.5e-18</v>
      </c>
      <c r="U11" s="831">
        <v>41870</v>
      </c>
      <c r="V11" s="831">
        <v>0</v>
      </c>
      <c r="W11" s="831">
        <v>0</v>
      </c>
      <c r="X11" s="831">
        <v>1e-5</v>
      </c>
      <c r="Y11" s="831">
        <v>8.8e-15</v>
      </c>
      <c r="Z11" s="831">
        <v>54000</v>
      </c>
      <c r="AA11" s="831">
        <v>0.6</v>
      </c>
      <c r="AB11" s="831">
        <v>480000</v>
      </c>
      <c r="AC11" s="831">
        <v>0.00025</v>
      </c>
      <c r="AD11" s="831">
        <v>3e-18</v>
      </c>
      <c r="AE11" s="831">
        <v>41870</v>
      </c>
      <c r="AF11" s="831">
        <v>6e-6</v>
      </c>
      <c r="AG11" s="831">
        <v>7e-7</v>
      </c>
      <c r="AH11" s="831">
        <v>5e-7</v>
      </c>
      <c r="AI11" s="831">
        <v>0</v>
      </c>
      <c r="AJ11" s="831">
        <v>0.03</v>
      </c>
      <c r="AK11" s="818">
        <f t="shared" si="0"/>
        <v>1620</v>
      </c>
      <c r="AL11" s="818">
        <f t="shared" si="1"/>
        <v>1893.15</v>
      </c>
      <c r="AM11" s="828">
        <f t="shared" si="2"/>
        <v>0.00066</v>
      </c>
      <c r="AN11" s="828">
        <f t="shared" si="3"/>
        <v>0.00025</v>
      </c>
      <c r="AO11" s="828">
        <f t="shared" si="4"/>
        <v>3.45050883135056e-14</v>
      </c>
      <c r="AP11" s="828">
        <f t="shared" si="5"/>
        <v>2.57591921598772</v>
      </c>
      <c r="AQ11" s="828">
        <f t="shared" si="6"/>
        <v>1.75546035815984e-9</v>
      </c>
      <c r="AR11" s="828">
        <f t="shared" si="7"/>
        <v>2.09831031823675e-19</v>
      </c>
      <c r="AS11" s="828">
        <f t="shared" si="8"/>
        <v>25.069761026109</v>
      </c>
      <c r="AT11" s="828">
        <f t="shared" si="9"/>
        <v>2.94617329525033e-13</v>
      </c>
      <c r="AU11" s="828">
        <f t="shared" si="10"/>
        <v>5e-7</v>
      </c>
      <c r="AV11" s="828">
        <f t="shared" si="11"/>
        <v>0.0812026223277711</v>
      </c>
      <c r="AW11" s="847">
        <f t="shared" si="12"/>
        <v>1.75498364567178e-9</v>
      </c>
      <c r="AY11" s="818" t="s">
        <v>53</v>
      </c>
      <c r="AZ11" s="818">
        <v>1.0915816187478e-11</v>
      </c>
      <c r="BA11" s="818">
        <v>1.77116206896801e-11</v>
      </c>
      <c r="BB11" s="818">
        <v>2.57219641452037e-11</v>
      </c>
      <c r="BC11" s="818">
        <v>3.45972404340276e-11</v>
      </c>
      <c r="BD11" s="818">
        <v>3.59e-12</v>
      </c>
      <c r="BE11" s="818">
        <v>6.55e-12</v>
      </c>
      <c r="BF11" s="818">
        <v>1.09e-11</v>
      </c>
      <c r="BG11" s="818">
        <v>1.68e-11</v>
      </c>
      <c r="BH11" s="818">
        <v>2.44e-11</v>
      </c>
      <c r="BI11" s="818">
        <v>9.48e-11</v>
      </c>
      <c r="BJ11" s="818">
        <v>2.66e-10</v>
      </c>
      <c r="BK11" s="818">
        <v>8.28e-10</v>
      </c>
      <c r="BL11" s="818">
        <v>2.81e-9</v>
      </c>
      <c r="BM11" s="818">
        <v>2.81e-9</v>
      </c>
      <c r="BO11" s="852">
        <f t="shared" ref="BO11:CB11" si="27">B11/AZ11</f>
        <v>0.317683700249385</v>
      </c>
      <c r="BP11" s="852">
        <f t="shared" si="27"/>
        <v>0.317228696424541</v>
      </c>
      <c r="BQ11" s="852">
        <f t="shared" si="27"/>
        <v>0.31672473271631</v>
      </c>
      <c r="BR11" s="852">
        <f t="shared" si="27"/>
        <v>0.316183809758041</v>
      </c>
      <c r="BS11" s="852">
        <f t="shared" si="27"/>
        <v>3.87125292952454</v>
      </c>
      <c r="BT11" s="852">
        <f t="shared" si="27"/>
        <v>2.5869742135305</v>
      </c>
      <c r="BU11" s="852">
        <f t="shared" si="27"/>
        <v>1.83669921509325</v>
      </c>
      <c r="BV11" s="852">
        <f t="shared" si="27"/>
        <v>1.37379628480925</v>
      </c>
      <c r="BW11" s="852">
        <f t="shared" si="27"/>
        <v>1.57191478718963</v>
      </c>
      <c r="BX11" s="852">
        <f t="shared" si="27"/>
        <v>0.954120614411288</v>
      </c>
      <c r="BY11" s="852">
        <f t="shared" si="27"/>
        <v>0.916399215257624</v>
      </c>
      <c r="BZ11" s="852">
        <f t="shared" si="27"/>
        <v>0.83275215722603</v>
      </c>
      <c r="CA11" s="852">
        <f t="shared" si="27"/>
        <v>0.624549340096719</v>
      </c>
      <c r="CB11" s="852">
        <f t="shared" si="27"/>
        <v>0.624549340096719</v>
      </c>
      <c r="CD11" s="818">
        <v>3.46545753592575e-12</v>
      </c>
      <c r="CE11" s="818">
        <v>5.60090624323519e-12</v>
      </c>
      <c r="CF11" s="818">
        <v>8.13399925920304e-12</v>
      </c>
      <c r="CG11" s="818">
        <v>1.09406080528001e-11</v>
      </c>
      <c r="CH11" s="818">
        <v>1.39246092278288e-11</v>
      </c>
      <c r="CI11" s="818">
        <v>1.70084925775833e-11</v>
      </c>
      <c r="CJ11" s="818">
        <v>2.01325388423987e-11</v>
      </c>
      <c r="CK11" s="818">
        <v>2.3252182231779e-11</v>
      </c>
      <c r="CL11" s="818">
        <v>3.89899981511968e-11</v>
      </c>
      <c r="CM11" s="818">
        <v>9.17860846548782e-11</v>
      </c>
      <c r="CN11" s="818">
        <v>2.49299927511268e-10</v>
      </c>
      <c r="CO11" s="818">
        <v>7.08258373800049e-10</v>
      </c>
      <c r="CP11" s="818">
        <v>1.74230465863096e-9</v>
      </c>
      <c r="CQ11" s="818">
        <v>1.74230465863096e-9</v>
      </c>
      <c r="CS11" s="852">
        <f t="shared" ref="CS11:DF11" si="28">B11/CD11</f>
        <v>1.00066927432535</v>
      </c>
      <c r="CT11" s="852">
        <f t="shared" si="28"/>
        <v>1.00316521986765</v>
      </c>
      <c r="CU11" s="852">
        <f t="shared" si="28"/>
        <v>1.00157154669158</v>
      </c>
      <c r="CV11" s="852">
        <f t="shared" si="28"/>
        <v>0.999860998104771</v>
      </c>
      <c r="CW11" s="852">
        <f t="shared" si="28"/>
        <v>0.998074544829444</v>
      </c>
      <c r="CX11" s="852">
        <f t="shared" si="28"/>
        <v>0.996248257823706</v>
      </c>
      <c r="CY11" s="852">
        <f t="shared" si="28"/>
        <v>0.994411166978834</v>
      </c>
      <c r="CZ11" s="852">
        <f t="shared" si="28"/>
        <v>0.992585442292467</v>
      </c>
      <c r="DA11" s="852">
        <f t="shared" si="28"/>
        <v>0.983706658787048</v>
      </c>
      <c r="DB11" s="852">
        <f t="shared" si="28"/>
        <v>0.985450404451726</v>
      </c>
      <c r="DC11" s="852">
        <f t="shared" si="28"/>
        <v>0.977786851733081</v>
      </c>
      <c r="DD11" s="852">
        <f t="shared" si="28"/>
        <v>0.973541311603064</v>
      </c>
      <c r="DE11" s="852">
        <f t="shared" si="28"/>
        <v>1.00727713547571</v>
      </c>
      <c r="DF11" s="852">
        <f t="shared" si="28"/>
        <v>1.00727713547571</v>
      </c>
    </row>
    <row r="12" s="818" customFormat="1" spans="1:110">
      <c r="A12" s="821" t="s">
        <v>54</v>
      </c>
      <c r="B12" s="645">
        <v>8.30810169545155e-12</v>
      </c>
      <c r="C12" s="645">
        <v>1.3470805901711e-11</v>
      </c>
      <c r="D12" s="645">
        <v>1.95486834050942e-11</v>
      </c>
      <c r="E12" s="645">
        <v>2.62737309436016e-11</v>
      </c>
      <c r="F12" s="645">
        <v>3.34135624864288e-11</v>
      </c>
      <c r="G12" s="645">
        <v>4.07813886477347e-11</v>
      </c>
      <c r="H12" s="645">
        <v>4.8233858653577e-11</v>
      </c>
      <c r="I12" s="645">
        <v>5.56645190542776e-11</v>
      </c>
      <c r="J12" s="645">
        <v>9.30007677704099e-11</v>
      </c>
      <c r="K12" s="645">
        <v>2.20402515241227e-10</v>
      </c>
      <c r="L12" s="645">
        <v>6.0471801067254e-10</v>
      </c>
      <c r="M12" s="645">
        <v>1.80827929147159e-9</v>
      </c>
      <c r="N12" s="645">
        <v>5.64575718381784e-9</v>
      </c>
      <c r="O12" s="645">
        <v>5.64575718381784e-9</v>
      </c>
      <c r="P12" s="645" t="s">
        <v>75</v>
      </c>
      <c r="Q12" s="828"/>
      <c r="R12" s="829">
        <f>VLOOKUP(A12,衰变常数!$A$1:$H$3800,7,FALSE)</f>
        <v>2.10657421760255e-5</v>
      </c>
      <c r="S12" s="830">
        <v>8.3143</v>
      </c>
      <c r="T12" s="831">
        <v>2.5e-18</v>
      </c>
      <c r="U12" s="831">
        <v>41870</v>
      </c>
      <c r="V12" s="831">
        <v>0</v>
      </c>
      <c r="W12" s="831">
        <v>0</v>
      </c>
      <c r="X12" s="831">
        <v>1e-5</v>
      </c>
      <c r="Y12" s="831">
        <v>8.8e-15</v>
      </c>
      <c r="Z12" s="831">
        <v>54000</v>
      </c>
      <c r="AA12" s="831">
        <v>0.6</v>
      </c>
      <c r="AB12" s="831">
        <v>480000</v>
      </c>
      <c r="AC12" s="831">
        <v>0.00025</v>
      </c>
      <c r="AD12" s="831">
        <v>3e-18</v>
      </c>
      <c r="AE12" s="831">
        <v>41870</v>
      </c>
      <c r="AF12" s="831">
        <v>6e-6</v>
      </c>
      <c r="AG12" s="831">
        <v>7e-7</v>
      </c>
      <c r="AH12" s="831">
        <v>5e-7</v>
      </c>
      <c r="AI12" s="831">
        <v>0</v>
      </c>
      <c r="AJ12" s="831">
        <v>0.03</v>
      </c>
      <c r="AK12" s="818">
        <f t="shared" si="0"/>
        <v>1620</v>
      </c>
      <c r="AL12" s="818">
        <f t="shared" si="1"/>
        <v>1893.15</v>
      </c>
      <c r="AM12" s="828">
        <f t="shared" si="2"/>
        <v>0.00066</v>
      </c>
      <c r="AN12" s="828">
        <f t="shared" si="3"/>
        <v>0.00025</v>
      </c>
      <c r="AO12" s="828">
        <f t="shared" si="4"/>
        <v>3.45050883135056e-14</v>
      </c>
      <c r="AP12" s="828">
        <f t="shared" si="5"/>
        <v>6.17713110907212</v>
      </c>
      <c r="AQ12" s="828">
        <f t="shared" si="6"/>
        <v>5.65928998257617e-9</v>
      </c>
      <c r="AR12" s="828">
        <f t="shared" si="7"/>
        <v>2.09831031823675e-19</v>
      </c>
      <c r="AS12" s="828">
        <f t="shared" si="8"/>
        <v>60.1180346690344</v>
      </c>
      <c r="AT12" s="828">
        <f t="shared" si="9"/>
        <v>7.2361322914949e-13</v>
      </c>
      <c r="AU12" s="828">
        <f t="shared" si="10"/>
        <v>5e-7</v>
      </c>
      <c r="AV12" s="828">
        <f t="shared" si="11"/>
        <v>0.194726310284065</v>
      </c>
      <c r="AW12" s="847">
        <f t="shared" si="12"/>
        <v>5.64575718381784e-9</v>
      </c>
      <c r="AY12" s="818" t="s">
        <v>54</v>
      </c>
      <c r="AZ12" s="818">
        <v>8.29510851905016e-12</v>
      </c>
      <c r="BA12" s="818">
        <v>1.34593522963211e-11</v>
      </c>
      <c r="BB12" s="818">
        <v>1.95465442293124e-11</v>
      </c>
      <c r="BC12" s="818">
        <v>2.62910128689366e-11</v>
      </c>
      <c r="BD12" s="818">
        <v>8.64e-12</v>
      </c>
      <c r="BE12" s="818">
        <v>1.58e-11</v>
      </c>
      <c r="BF12" s="818">
        <v>2.62e-11</v>
      </c>
      <c r="BG12" s="818">
        <v>4.04e-11</v>
      </c>
      <c r="BH12" s="818">
        <v>5.88e-11</v>
      </c>
      <c r="BI12" s="818">
        <v>2.29e-10</v>
      </c>
      <c r="BJ12" s="818">
        <v>6.41e-10</v>
      </c>
      <c r="BK12" s="818">
        <v>2e-9</v>
      </c>
      <c r="BL12" s="818">
        <v>6.77e-9</v>
      </c>
      <c r="BM12" s="818">
        <v>6.77e-9</v>
      </c>
      <c r="BO12" s="852">
        <f t="shared" ref="BO12:CB12" si="29">B12/AZ12</f>
        <v>1.00156636605435</v>
      </c>
      <c r="BP12" s="852">
        <f t="shared" si="29"/>
        <v>1.00085097745699</v>
      </c>
      <c r="BQ12" s="852">
        <f t="shared" si="29"/>
        <v>1.00010944010137</v>
      </c>
      <c r="BR12" s="852">
        <f t="shared" si="29"/>
        <v>0.999342667951929</v>
      </c>
      <c r="BS12" s="852">
        <f t="shared" si="29"/>
        <v>3.8673104729663</v>
      </c>
      <c r="BT12" s="852">
        <f t="shared" si="29"/>
        <v>2.58110054732498</v>
      </c>
      <c r="BU12" s="852">
        <f t="shared" si="29"/>
        <v>1.84098697151057</v>
      </c>
      <c r="BV12" s="852">
        <f t="shared" si="29"/>
        <v>1.37783463005638</v>
      </c>
      <c r="BW12" s="852">
        <f t="shared" si="29"/>
        <v>1.58164571038112</v>
      </c>
      <c r="BX12" s="852">
        <f t="shared" si="29"/>
        <v>0.962456398433306</v>
      </c>
      <c r="BY12" s="852">
        <f t="shared" si="29"/>
        <v>0.943397832562465</v>
      </c>
      <c r="BZ12" s="852">
        <f t="shared" si="29"/>
        <v>0.904139645735795</v>
      </c>
      <c r="CA12" s="852">
        <f t="shared" si="29"/>
        <v>0.833937545615634</v>
      </c>
      <c r="CB12" s="852">
        <f t="shared" si="29"/>
        <v>0.833937545615634</v>
      </c>
      <c r="CD12" s="818">
        <v>8.29510851905028e-12</v>
      </c>
      <c r="CE12" s="818">
        <v>1.34593522963213e-11</v>
      </c>
      <c r="CF12" s="818">
        <v>1.95465442293126e-11</v>
      </c>
      <c r="CG12" s="818">
        <v>2.62910128689369e-11</v>
      </c>
      <c r="CH12" s="818">
        <v>3.34617672653093e-11</v>
      </c>
      <c r="CI12" s="818">
        <v>4.08725452077605e-11</v>
      </c>
      <c r="CJ12" s="818">
        <v>4.83798373212365e-11</v>
      </c>
      <c r="CK12" s="818">
        <v>5.58765490305732e-11</v>
      </c>
      <c r="CL12" s="818">
        <v>9.36955732447237e-11</v>
      </c>
      <c r="CM12" s="818">
        <v>2.24588738110765e-10</v>
      </c>
      <c r="CN12" s="818">
        <v>6.21051859008063e-10</v>
      </c>
      <c r="CO12" s="818">
        <v>1.86531470800663e-9</v>
      </c>
      <c r="CP12" s="818">
        <v>5.62984615876353e-9</v>
      </c>
      <c r="CQ12" s="818">
        <v>5.62984615876353e-9</v>
      </c>
      <c r="CS12" s="852">
        <f t="shared" ref="CS12:DF12" si="30">B12/CD12</f>
        <v>1.00156636605434</v>
      </c>
      <c r="CT12" s="852">
        <f t="shared" si="30"/>
        <v>1.00085097745698</v>
      </c>
      <c r="CU12" s="852">
        <f t="shared" si="30"/>
        <v>1.00010944010136</v>
      </c>
      <c r="CV12" s="852">
        <f t="shared" si="30"/>
        <v>0.999342667951918</v>
      </c>
      <c r="CW12" s="852">
        <f t="shared" si="30"/>
        <v>0.998559407263272</v>
      </c>
      <c r="CX12" s="852">
        <f t="shared" si="30"/>
        <v>0.997769736150209</v>
      </c>
      <c r="CY12" s="852">
        <f t="shared" si="30"/>
        <v>0.996982654846683</v>
      </c>
      <c r="CZ12" s="852">
        <f t="shared" si="30"/>
        <v>0.996205385264942</v>
      </c>
      <c r="DA12" s="852">
        <f t="shared" si="30"/>
        <v>0.992584436486673</v>
      </c>
      <c r="DB12" s="852">
        <f t="shared" si="30"/>
        <v>0.981360495166621</v>
      </c>
      <c r="DC12" s="852">
        <f t="shared" si="30"/>
        <v>0.973699703014155</v>
      </c>
      <c r="DD12" s="852">
        <f t="shared" si="30"/>
        <v>0.969423166884267</v>
      </c>
      <c r="DE12" s="852">
        <f t="shared" si="30"/>
        <v>1.00282619180091</v>
      </c>
      <c r="DF12" s="852">
        <f t="shared" si="30"/>
        <v>1.00282619180091</v>
      </c>
    </row>
    <row r="13" s="818" customFormat="1" spans="1:110">
      <c r="A13" s="821" t="s">
        <v>55</v>
      </c>
      <c r="B13" s="645">
        <v>2.90109691746309e-14</v>
      </c>
      <c r="C13" s="645">
        <v>1.23358370924436e-13</v>
      </c>
      <c r="D13" s="645">
        <v>3.76753252337639e-13</v>
      </c>
      <c r="E13" s="645">
        <v>9.14468190280045e-13</v>
      </c>
      <c r="F13" s="645">
        <v>1.87980514864473e-12</v>
      </c>
      <c r="G13" s="645">
        <v>3.41251258748617e-12</v>
      </c>
      <c r="H13" s="645">
        <v>5.62997764639666e-12</v>
      </c>
      <c r="I13" s="645">
        <v>8.61438901718372e-12</v>
      </c>
      <c r="J13" s="645">
        <v>1.95325987081703e-11</v>
      </c>
      <c r="K13" s="645">
        <v>4.58046501680261e-11</v>
      </c>
      <c r="L13" s="645">
        <v>1.1992062816466e-10</v>
      </c>
      <c r="M13" s="645">
        <v>3.06445898378216e-10</v>
      </c>
      <c r="N13" s="645">
        <v>5.91565261420097e-10</v>
      </c>
      <c r="O13" s="645">
        <v>5.91565261420097e-10</v>
      </c>
      <c r="P13" s="645" t="s">
        <v>75</v>
      </c>
      <c r="Q13" s="828"/>
      <c r="R13" s="829">
        <f>VLOOKUP(A13,衰变常数!$A$1:$H$3800,7,FALSE)</f>
        <v>9.99668118007245e-7</v>
      </c>
      <c r="S13" s="830">
        <v>8.3143</v>
      </c>
      <c r="T13" s="831">
        <v>2e-15</v>
      </c>
      <c r="U13" s="831">
        <v>125600</v>
      </c>
      <c r="V13" s="831">
        <v>0</v>
      </c>
      <c r="W13" s="831">
        <v>0</v>
      </c>
      <c r="X13" s="831">
        <v>1e-5</v>
      </c>
      <c r="Y13" s="831">
        <v>8.8e-15</v>
      </c>
      <c r="Z13" s="831">
        <v>54000</v>
      </c>
      <c r="AA13" s="831">
        <v>0.6</v>
      </c>
      <c r="AB13" s="831">
        <v>480000</v>
      </c>
      <c r="AC13" s="831">
        <v>0.00025</v>
      </c>
      <c r="AD13" s="831">
        <v>2e-18</v>
      </c>
      <c r="AE13" s="831">
        <v>83750</v>
      </c>
      <c r="AF13" s="831">
        <v>6e-6</v>
      </c>
      <c r="AG13" s="831">
        <v>7e-7</v>
      </c>
      <c r="AH13" s="831">
        <v>1.5e-7</v>
      </c>
      <c r="AI13" s="831">
        <v>0</v>
      </c>
      <c r="AJ13" s="831">
        <v>0.03</v>
      </c>
      <c r="AK13" s="818">
        <f t="shared" si="0"/>
        <v>1620</v>
      </c>
      <c r="AL13" s="818">
        <f t="shared" si="1"/>
        <v>1893.15</v>
      </c>
      <c r="AM13" s="828">
        <f t="shared" si="2"/>
        <v>0.00066</v>
      </c>
      <c r="AN13" s="828">
        <f t="shared" si="3"/>
        <v>0.00025</v>
      </c>
      <c r="AO13" s="828">
        <f t="shared" si="4"/>
        <v>3.45050883135056e-14</v>
      </c>
      <c r="AP13" s="828">
        <f t="shared" si="5"/>
        <v>1.34563215933712</v>
      </c>
      <c r="AQ13" s="828">
        <f t="shared" si="6"/>
        <v>5.91767735235854e-10</v>
      </c>
      <c r="AR13" s="828">
        <f t="shared" si="7"/>
        <v>9.77802188116649e-21</v>
      </c>
      <c r="AS13" s="828">
        <f t="shared" si="8"/>
        <v>60.667160543678</v>
      </c>
      <c r="AT13" s="828">
        <f t="shared" si="9"/>
        <v>3.40332300806842e-14</v>
      </c>
      <c r="AU13" s="828">
        <f t="shared" si="10"/>
        <v>1.5e-7</v>
      </c>
      <c r="AV13" s="828">
        <f t="shared" si="11"/>
        <v>0.0774468121231821</v>
      </c>
      <c r="AW13" s="847">
        <f t="shared" si="12"/>
        <v>5.91565261420097e-10</v>
      </c>
      <c r="AY13" s="818" t="s">
        <v>55</v>
      </c>
      <c r="AZ13" s="818">
        <v>2.89018754542796e-14</v>
      </c>
      <c r="BA13" s="818">
        <v>1.22992428509124e-13</v>
      </c>
      <c r="BB13" s="818">
        <v>3.75986754282114e-13</v>
      </c>
      <c r="BC13" s="818">
        <v>9.13895775559795e-13</v>
      </c>
      <c r="BD13" s="818">
        <v>1.87e-12</v>
      </c>
      <c r="BE13" s="818">
        <v>3.42e-12</v>
      </c>
      <c r="BF13" s="818">
        <v>5.68e-12</v>
      </c>
      <c r="BG13" s="818">
        <v>8.77e-12</v>
      </c>
      <c r="BH13" s="818">
        <v>1.28e-11</v>
      </c>
      <c r="BI13" s="818">
        <v>4.96e-11</v>
      </c>
      <c r="BJ13" s="818">
        <v>1.39e-10</v>
      </c>
      <c r="BK13" s="818">
        <v>4.33e-10</v>
      </c>
      <c r="BL13" s="818">
        <v>1.47e-9</v>
      </c>
      <c r="BM13" s="818">
        <v>1.47e-9</v>
      </c>
      <c r="BO13" s="852">
        <f t="shared" ref="BO13:CB13" si="31">B13/AZ13</f>
        <v>1.00377462426353</v>
      </c>
      <c r="BP13" s="852">
        <f t="shared" si="31"/>
        <v>1.00297532473948</v>
      </c>
      <c r="BQ13" s="852">
        <f t="shared" si="31"/>
        <v>1.00203863047513</v>
      </c>
      <c r="BR13" s="852">
        <f t="shared" si="31"/>
        <v>1.0006263457339</v>
      </c>
      <c r="BS13" s="852">
        <f t="shared" si="31"/>
        <v>1.00524339499718</v>
      </c>
      <c r="BT13" s="852">
        <f t="shared" si="31"/>
        <v>0.997810698095371</v>
      </c>
      <c r="BU13" s="852">
        <f t="shared" si="31"/>
        <v>0.991193247605046</v>
      </c>
      <c r="BV13" s="852">
        <f t="shared" si="31"/>
        <v>0.982256444376707</v>
      </c>
      <c r="BW13" s="852">
        <f t="shared" si="31"/>
        <v>1.5259842740758</v>
      </c>
      <c r="BX13" s="852">
        <f t="shared" si="31"/>
        <v>0.923480850161816</v>
      </c>
      <c r="BY13" s="852">
        <f t="shared" si="31"/>
        <v>0.862738332119856</v>
      </c>
      <c r="BZ13" s="852">
        <f t="shared" si="31"/>
        <v>0.707727247986642</v>
      </c>
      <c r="CA13" s="852">
        <f t="shared" si="31"/>
        <v>0.402425347904828</v>
      </c>
      <c r="CB13" s="852">
        <f t="shared" si="31"/>
        <v>0.402425347904828</v>
      </c>
      <c r="CD13" s="818">
        <v>2.89018754542756e-14</v>
      </c>
      <c r="CE13" s="818">
        <v>1.22992428509107e-13</v>
      </c>
      <c r="CF13" s="818">
        <v>3.75986754282063e-13</v>
      </c>
      <c r="CG13" s="818">
        <v>9.13895775559669e-13</v>
      </c>
      <c r="CH13" s="818">
        <v>1.88283447136512e-12</v>
      </c>
      <c r="CI13" s="818">
        <v>3.42965768842911e-12</v>
      </c>
      <c r="CJ13" s="818">
        <v>5.68589630072146e-12</v>
      </c>
      <c r="CK13" s="818">
        <v>8.75755114393189e-12</v>
      </c>
      <c r="CL13" s="818">
        <v>1.94996456118301e-11</v>
      </c>
      <c r="CM13" s="818">
        <v>4.66842819519017e-11</v>
      </c>
      <c r="CN13" s="818">
        <v>1.23187621806841e-10</v>
      </c>
      <c r="CO13" s="818">
        <v>3.16185181518817e-10</v>
      </c>
      <c r="CP13" s="818">
        <v>5.90003486213771e-10</v>
      </c>
      <c r="CQ13" s="818">
        <v>5.90003486213771e-10</v>
      </c>
      <c r="CS13" s="852">
        <f t="shared" ref="CS13:DF13" si="32">B13/CD13</f>
        <v>1.00377462426367</v>
      </c>
      <c r="CT13" s="852">
        <f t="shared" si="32"/>
        <v>1.00297532473962</v>
      </c>
      <c r="CU13" s="852">
        <f t="shared" si="32"/>
        <v>1.00203863047527</v>
      </c>
      <c r="CV13" s="852">
        <f t="shared" si="32"/>
        <v>1.00062634573404</v>
      </c>
      <c r="CW13" s="852">
        <f t="shared" si="32"/>
        <v>0.99839108388631</v>
      </c>
      <c r="CX13" s="852">
        <f t="shared" si="32"/>
        <v>0.995000929392813</v>
      </c>
      <c r="CY13" s="852">
        <f t="shared" si="32"/>
        <v>0.990165375629924</v>
      </c>
      <c r="CZ13" s="852">
        <f t="shared" si="32"/>
        <v>0.983652721589029</v>
      </c>
      <c r="DA13" s="852">
        <f t="shared" si="32"/>
        <v>1.00168993308885</v>
      </c>
      <c r="DB13" s="852">
        <f t="shared" si="32"/>
        <v>0.981157859838524</v>
      </c>
      <c r="DC13" s="852">
        <f t="shared" si="32"/>
        <v>0.973479529888939</v>
      </c>
      <c r="DD13" s="852">
        <f t="shared" si="32"/>
        <v>0.969197534515003</v>
      </c>
      <c r="DE13" s="852">
        <f t="shared" si="32"/>
        <v>1.00264706097984</v>
      </c>
      <c r="DF13" s="852">
        <f t="shared" si="32"/>
        <v>1.00264706097984</v>
      </c>
    </row>
    <row r="14" s="818" customFormat="1" spans="1:110">
      <c r="A14" s="821" t="s">
        <v>56</v>
      </c>
      <c r="B14" s="645">
        <v>2.57374149755557e-13</v>
      </c>
      <c r="C14" s="645">
        <v>1.09457879230122e-12</v>
      </c>
      <c r="D14" s="645">
        <v>3.34456152523527e-12</v>
      </c>
      <c r="E14" s="645">
        <v>8.12614766618798e-12</v>
      </c>
      <c r="F14" s="645">
        <v>1.67344836374566e-11</v>
      </c>
      <c r="G14" s="645">
        <v>3.04669107013866e-11</v>
      </c>
      <c r="H14" s="645">
        <v>5.04776949897511e-11</v>
      </c>
      <c r="I14" s="645">
        <v>7.7684904898935e-11</v>
      </c>
      <c r="J14" s="645">
        <v>1.8012241543116e-10</v>
      </c>
      <c r="K14" s="645">
        <v>4.28662996539263e-10</v>
      </c>
      <c r="L14" s="645">
        <v>1.1849086266774e-9</v>
      </c>
      <c r="M14" s="645">
        <v>3.61024180254114e-9</v>
      </c>
      <c r="N14" s="645">
        <v>1.19858794904708e-8</v>
      </c>
      <c r="O14" s="645">
        <v>1.19858794904708e-8</v>
      </c>
      <c r="P14" s="645" t="s">
        <v>75</v>
      </c>
      <c r="Q14" s="828"/>
      <c r="R14" s="829">
        <f>VLOOKUP(A14,衰变常数!$A$1:$H$3800,7,FALSE)</f>
        <v>8.38958097990735e-5</v>
      </c>
      <c r="S14" s="830">
        <v>8.3143</v>
      </c>
      <c r="T14" s="831">
        <v>2e-15</v>
      </c>
      <c r="U14" s="831">
        <v>125600</v>
      </c>
      <c r="V14" s="831">
        <v>0</v>
      </c>
      <c r="W14" s="831">
        <v>0</v>
      </c>
      <c r="X14" s="831">
        <v>1e-5</v>
      </c>
      <c r="Y14" s="831">
        <v>8.8e-15</v>
      </c>
      <c r="Z14" s="831">
        <v>54000</v>
      </c>
      <c r="AA14" s="831">
        <v>0.6</v>
      </c>
      <c r="AB14" s="831">
        <v>480000</v>
      </c>
      <c r="AC14" s="831">
        <v>0.00025</v>
      </c>
      <c r="AD14" s="831">
        <v>2e-18</v>
      </c>
      <c r="AE14" s="831">
        <v>83750</v>
      </c>
      <c r="AF14" s="831">
        <v>6e-6</v>
      </c>
      <c r="AG14" s="831">
        <v>7e-7</v>
      </c>
      <c r="AH14" s="831">
        <v>1.5e-7</v>
      </c>
      <c r="AI14" s="831">
        <v>0</v>
      </c>
      <c r="AJ14" s="831">
        <v>0.03</v>
      </c>
      <c r="AK14" s="818">
        <f t="shared" si="0"/>
        <v>1620</v>
      </c>
      <c r="AL14" s="818">
        <f t="shared" si="1"/>
        <v>1893.15</v>
      </c>
      <c r="AM14" s="828">
        <f t="shared" si="2"/>
        <v>0.00066</v>
      </c>
      <c r="AN14" s="828">
        <f t="shared" si="3"/>
        <v>0.00025</v>
      </c>
      <c r="AO14" s="828">
        <f t="shared" si="4"/>
        <v>3.45050883135056e-14</v>
      </c>
      <c r="AP14" s="828">
        <f t="shared" si="5"/>
        <v>12.327317230301</v>
      </c>
      <c r="AQ14" s="828">
        <f t="shared" si="6"/>
        <v>1.23821305788571e-8</v>
      </c>
      <c r="AR14" s="828">
        <f t="shared" si="7"/>
        <v>9.77802188116649e-21</v>
      </c>
      <c r="AS14" s="828">
        <f t="shared" si="8"/>
        <v>555.771001974215</v>
      </c>
      <c r="AT14" s="828">
        <f t="shared" si="9"/>
        <v>3.16432841453198e-13</v>
      </c>
      <c r="AU14" s="828">
        <f t="shared" si="10"/>
        <v>1.5e-7</v>
      </c>
      <c r="AV14" s="828">
        <f t="shared" si="11"/>
        <v>0.709489153401545</v>
      </c>
      <c r="AW14" s="847">
        <f t="shared" si="12"/>
        <v>1.19858794904708e-8</v>
      </c>
      <c r="AY14" s="818" t="s">
        <v>56</v>
      </c>
      <c r="AZ14" s="818">
        <v>2.56454160096951e-13</v>
      </c>
      <c r="BA14" s="818">
        <v>1.0913450928639e-12</v>
      </c>
      <c r="BB14" s="818">
        <v>3.33623219121306e-12</v>
      </c>
      <c r="BC14" s="818">
        <v>8.10924446436344e-12</v>
      </c>
      <c r="BD14" s="818">
        <v>1.72e-11</v>
      </c>
      <c r="BE14" s="818">
        <v>3.13e-11</v>
      </c>
      <c r="BF14" s="818">
        <v>5.21e-11</v>
      </c>
      <c r="BG14" s="818">
        <v>8.03e-11</v>
      </c>
      <c r="BH14" s="818">
        <v>1.17e-10</v>
      </c>
      <c r="BI14" s="818">
        <v>4.54e-10</v>
      </c>
      <c r="BJ14" s="818">
        <v>1.27e-9</v>
      </c>
      <c r="BK14" s="818">
        <v>3.97e-9</v>
      </c>
      <c r="BL14" s="818">
        <v>1.34e-8</v>
      </c>
      <c r="BM14" s="818">
        <v>1.34e-8</v>
      </c>
      <c r="BO14" s="852">
        <f t="shared" ref="BO14:CB14" si="33">B14/AZ14</f>
        <v>1.00358734542757</v>
      </c>
      <c r="BP14" s="852">
        <f t="shared" si="33"/>
        <v>1.00296304025048</v>
      </c>
      <c r="BQ14" s="852">
        <f t="shared" si="33"/>
        <v>1.00249662899487</v>
      </c>
      <c r="BR14" s="852">
        <f t="shared" si="33"/>
        <v>1.00208443609005</v>
      </c>
      <c r="BS14" s="852">
        <f t="shared" si="33"/>
        <v>0.972935095200965</v>
      </c>
      <c r="BT14" s="852">
        <f t="shared" si="33"/>
        <v>0.973383728478805</v>
      </c>
      <c r="BU14" s="852">
        <f t="shared" si="33"/>
        <v>0.968861708056643</v>
      </c>
      <c r="BV14" s="852">
        <f t="shared" si="33"/>
        <v>0.967433435852242</v>
      </c>
      <c r="BW14" s="852">
        <f t="shared" si="33"/>
        <v>1.53950782419795</v>
      </c>
      <c r="BX14" s="852">
        <f t="shared" si="33"/>
        <v>0.944191622333179</v>
      </c>
      <c r="BY14" s="852">
        <f t="shared" si="33"/>
        <v>0.932998918643622</v>
      </c>
      <c r="BZ14" s="852">
        <f t="shared" si="33"/>
        <v>0.909380806685426</v>
      </c>
      <c r="CA14" s="852">
        <f t="shared" si="33"/>
        <v>0.894468618691851</v>
      </c>
      <c r="CB14" s="852">
        <f t="shared" si="33"/>
        <v>0.894468618691851</v>
      </c>
      <c r="CD14" s="818">
        <v>2.56454160096951e-13</v>
      </c>
      <c r="CE14" s="818">
        <v>1.0913450928639e-12</v>
      </c>
      <c r="CF14" s="818">
        <v>3.33623219121306e-12</v>
      </c>
      <c r="CG14" s="818">
        <v>8.10924446436344e-12</v>
      </c>
      <c r="CH14" s="818">
        <v>1.67068996515275e-11</v>
      </c>
      <c r="CI14" s="818">
        <v>3.04322805382521e-11</v>
      </c>
      <c r="CJ14" s="818">
        <v>5.0452496153988e-11</v>
      </c>
      <c r="CK14" s="818">
        <v>7.77081205915614e-11</v>
      </c>
      <c r="CL14" s="818">
        <v>1.80706502135638e-10</v>
      </c>
      <c r="CM14" s="818">
        <v>4.37014412743685e-10</v>
      </c>
      <c r="CN14" s="818">
        <v>1.21749666741601e-9</v>
      </c>
      <c r="CO14" s="818">
        <v>3.72591778590691e-9</v>
      </c>
      <c r="CP14" s="818">
        <v>1.19584491946089e-8</v>
      </c>
      <c r="CQ14" s="818">
        <v>1.19584491946089e-8</v>
      </c>
      <c r="CS14" s="852">
        <f t="shared" ref="CS14:DF14" si="34">B14/CD14</f>
        <v>1.00358734542757</v>
      </c>
      <c r="CT14" s="852">
        <f t="shared" si="34"/>
        <v>1.00296304025048</v>
      </c>
      <c r="CU14" s="852">
        <f t="shared" si="34"/>
        <v>1.00249662899487</v>
      </c>
      <c r="CV14" s="852">
        <f t="shared" si="34"/>
        <v>1.00208443609005</v>
      </c>
      <c r="CW14" s="852">
        <f t="shared" si="34"/>
        <v>1.001651053547</v>
      </c>
      <c r="CX14" s="852">
        <f t="shared" si="34"/>
        <v>1.00113794176848</v>
      </c>
      <c r="CY14" s="852">
        <f t="shared" si="34"/>
        <v>1.00049945667081</v>
      </c>
      <c r="CZ14" s="852">
        <f t="shared" si="34"/>
        <v>0.999701244960634</v>
      </c>
      <c r="DA14" s="852">
        <f t="shared" si="34"/>
        <v>0.996767760442623</v>
      </c>
      <c r="DB14" s="852">
        <f t="shared" si="34"/>
        <v>0.980889838044494</v>
      </c>
      <c r="DC14" s="852">
        <f t="shared" si="34"/>
        <v>0.973233568837791</v>
      </c>
      <c r="DD14" s="852">
        <f t="shared" si="34"/>
        <v>0.968953694092954</v>
      </c>
      <c r="DE14" s="852">
        <f t="shared" si="34"/>
        <v>1.00229380042642</v>
      </c>
      <c r="DF14" s="852">
        <f t="shared" si="34"/>
        <v>1.00229380042642</v>
      </c>
    </row>
    <row r="15" s="818" customFormat="1" spans="1:110">
      <c r="A15" s="821" t="s">
        <v>57</v>
      </c>
      <c r="B15" s="645">
        <v>8.79939547471332e-14</v>
      </c>
      <c r="C15" s="645">
        <v>3.74210776334973e-13</v>
      </c>
      <c r="D15" s="645">
        <v>1.14329489992658e-12</v>
      </c>
      <c r="E15" s="645">
        <v>2.77713493849292e-12</v>
      </c>
      <c r="F15" s="645">
        <v>5.71652328440237e-12</v>
      </c>
      <c r="G15" s="645">
        <v>1.04001626906414e-11</v>
      </c>
      <c r="H15" s="645">
        <v>1.72131817171483e-11</v>
      </c>
      <c r="I15" s="645">
        <v>2.64535481585606e-11</v>
      </c>
      <c r="J15" s="645">
        <v>6.10064535640374e-11</v>
      </c>
      <c r="K15" s="645">
        <v>1.44677765139795e-10</v>
      </c>
      <c r="L15" s="645">
        <v>3.94917153799737e-10</v>
      </c>
      <c r="M15" s="645">
        <v>1.15883299578451e-9</v>
      </c>
      <c r="N15" s="645">
        <v>3.37306602458913e-9</v>
      </c>
      <c r="O15" s="645">
        <v>3.37306602458913e-9</v>
      </c>
      <c r="P15" s="645" t="s">
        <v>75</v>
      </c>
      <c r="Q15" s="828"/>
      <c r="R15" s="829">
        <f>VLOOKUP(A15,衰变常数!$A$1:$H$3800,7,FALSE)</f>
        <v>9.25677324465738e-6</v>
      </c>
      <c r="S15" s="830">
        <v>8.3143</v>
      </c>
      <c r="T15" s="831">
        <v>2e-15</v>
      </c>
      <c r="U15" s="831">
        <v>125600</v>
      </c>
      <c r="V15" s="831">
        <v>0</v>
      </c>
      <c r="W15" s="831">
        <v>0</v>
      </c>
      <c r="X15" s="831">
        <v>1e-5</v>
      </c>
      <c r="Y15" s="831">
        <v>8.8e-15</v>
      </c>
      <c r="Z15" s="831">
        <v>54000</v>
      </c>
      <c r="AA15" s="831">
        <v>0.6</v>
      </c>
      <c r="AB15" s="831">
        <v>480000</v>
      </c>
      <c r="AC15" s="831">
        <v>0.00025</v>
      </c>
      <c r="AD15" s="831">
        <v>2e-18</v>
      </c>
      <c r="AE15" s="831">
        <v>83750</v>
      </c>
      <c r="AF15" s="831">
        <v>6e-6</v>
      </c>
      <c r="AG15" s="831">
        <v>7e-7</v>
      </c>
      <c r="AH15" s="831">
        <v>1.5e-7</v>
      </c>
      <c r="AI15" s="831">
        <v>0</v>
      </c>
      <c r="AJ15" s="831">
        <v>0.03</v>
      </c>
      <c r="AK15" s="818">
        <f t="shared" si="0"/>
        <v>1620</v>
      </c>
      <c r="AL15" s="818">
        <f t="shared" si="1"/>
        <v>1893.15</v>
      </c>
      <c r="AM15" s="828">
        <f t="shared" si="2"/>
        <v>0.00066</v>
      </c>
      <c r="AN15" s="828">
        <f t="shared" si="3"/>
        <v>0.00025</v>
      </c>
      <c r="AO15" s="828">
        <f t="shared" si="4"/>
        <v>3.45050883135056e-14</v>
      </c>
      <c r="AP15" s="828">
        <f t="shared" si="5"/>
        <v>4.09475809062526</v>
      </c>
      <c r="AQ15" s="828">
        <f t="shared" si="6"/>
        <v>3.38543100866013e-9</v>
      </c>
      <c r="AR15" s="828">
        <f t="shared" si="7"/>
        <v>9.77802188116649e-21</v>
      </c>
      <c r="AS15" s="828">
        <f t="shared" si="8"/>
        <v>184.610143825531</v>
      </c>
      <c r="AT15" s="828">
        <f t="shared" si="9"/>
        <v>1.0472840022926e-13</v>
      </c>
      <c r="AU15" s="828">
        <f t="shared" si="10"/>
        <v>1.5e-7</v>
      </c>
      <c r="AV15" s="828">
        <f t="shared" si="11"/>
        <v>0.235670616471261</v>
      </c>
      <c r="AW15" s="847">
        <f t="shared" si="12"/>
        <v>3.37306602458913e-9</v>
      </c>
      <c r="AY15" s="818" t="s">
        <v>57</v>
      </c>
      <c r="AZ15" s="818">
        <v>8.77918002887506e-14</v>
      </c>
      <c r="BA15" s="818">
        <v>3.73599517366357e-13</v>
      </c>
      <c r="BB15" s="818">
        <v>1.14209038425094e-12</v>
      </c>
      <c r="BC15" s="818">
        <v>2.77603284048468e-12</v>
      </c>
      <c r="BD15" s="818">
        <v>5.71e-12</v>
      </c>
      <c r="BE15" s="818">
        <v>1.04e-11</v>
      </c>
      <c r="BF15" s="818">
        <v>1.73e-11</v>
      </c>
      <c r="BG15" s="818">
        <v>2.67e-11</v>
      </c>
      <c r="BH15" s="818">
        <v>3.89e-11</v>
      </c>
      <c r="BI15" s="818">
        <v>1.51e-10</v>
      </c>
      <c r="BJ15" s="818">
        <v>4.23e-10</v>
      </c>
      <c r="BK15" s="818">
        <v>1.32e-9</v>
      </c>
      <c r="BL15" s="818">
        <v>4.47e-9</v>
      </c>
      <c r="BM15" s="818">
        <v>4.47e-9</v>
      </c>
      <c r="BO15" s="852">
        <f t="shared" ref="BO15:CB15" si="35">B15/AZ15</f>
        <v>1.0023026576254</v>
      </c>
      <c r="BP15" s="852">
        <f t="shared" si="35"/>
        <v>1.00163613425661</v>
      </c>
      <c r="BQ15" s="852">
        <f t="shared" si="35"/>
        <v>1.00105465880131</v>
      </c>
      <c r="BR15" s="852">
        <f t="shared" si="35"/>
        <v>1.00039700467234</v>
      </c>
      <c r="BS15" s="852">
        <f t="shared" si="35"/>
        <v>1.00114243159411</v>
      </c>
      <c r="BT15" s="852">
        <f t="shared" si="35"/>
        <v>1.0000156433309</v>
      </c>
      <c r="BU15" s="852">
        <f t="shared" si="35"/>
        <v>0.9949816021473</v>
      </c>
      <c r="BV15" s="852">
        <f t="shared" si="35"/>
        <v>0.990769593953581</v>
      </c>
      <c r="BW15" s="852">
        <f t="shared" si="35"/>
        <v>1.56828929470533</v>
      </c>
      <c r="BX15" s="852">
        <f t="shared" si="35"/>
        <v>0.95813089496553</v>
      </c>
      <c r="BY15" s="852">
        <f t="shared" si="35"/>
        <v>0.933610292670773</v>
      </c>
      <c r="BZ15" s="852">
        <f t="shared" si="35"/>
        <v>0.877903784685235</v>
      </c>
      <c r="CA15" s="852">
        <f t="shared" si="35"/>
        <v>0.75460090035551</v>
      </c>
      <c r="CB15" s="852">
        <f t="shared" si="35"/>
        <v>0.75460090035551</v>
      </c>
      <c r="CD15" s="818">
        <v>8.77918002887516e-14</v>
      </c>
      <c r="CE15" s="818">
        <v>3.73599517366361e-13</v>
      </c>
      <c r="CF15" s="818">
        <v>1.14209038425095e-12</v>
      </c>
      <c r="CG15" s="818">
        <v>2.77603284048471e-12</v>
      </c>
      <c r="CH15" s="818">
        <v>5.71926303358319e-12</v>
      </c>
      <c r="CI15" s="818">
        <v>1.04178645194738e-11</v>
      </c>
      <c r="CJ15" s="818">
        <v>1.727137303893e-11</v>
      </c>
      <c r="CK15" s="818">
        <v>2.66017747624352e-11</v>
      </c>
      <c r="CL15" s="818">
        <v>6.18611495339882e-11</v>
      </c>
      <c r="CM15" s="818">
        <v>1.47686613291851e-10</v>
      </c>
      <c r="CN15" s="818">
        <v>4.06315028465586e-10</v>
      </c>
      <c r="CO15" s="818">
        <v>1.19764895945533e-9</v>
      </c>
      <c r="CP15" s="818">
        <v>3.37107219948781e-9</v>
      </c>
      <c r="CQ15" s="818">
        <v>3.37107219948781e-9</v>
      </c>
      <c r="CS15" s="852">
        <f t="shared" ref="CS15:DF15" si="36">B15/CD15</f>
        <v>1.00230265762539</v>
      </c>
      <c r="CT15" s="852">
        <f t="shared" si="36"/>
        <v>1.0016361342566</v>
      </c>
      <c r="CU15" s="852">
        <f t="shared" si="36"/>
        <v>1.0010546588013</v>
      </c>
      <c r="CV15" s="852">
        <f t="shared" si="36"/>
        <v>1.00039700467233</v>
      </c>
      <c r="CW15" s="852">
        <f t="shared" si="36"/>
        <v>0.999520961150985</v>
      </c>
      <c r="CX15" s="852">
        <f t="shared" si="36"/>
        <v>0.998300819827392</v>
      </c>
      <c r="CY15" s="852">
        <f t="shared" si="36"/>
        <v>0.996630764580758</v>
      </c>
      <c r="CZ15" s="852">
        <f t="shared" si="36"/>
        <v>0.994427943052735</v>
      </c>
      <c r="DA15" s="852">
        <f t="shared" si="36"/>
        <v>0.986183639062814</v>
      </c>
      <c r="DB15" s="852">
        <f t="shared" si="36"/>
        <v>0.979626805131552</v>
      </c>
      <c r="DC15" s="852">
        <f t="shared" si="36"/>
        <v>0.971948183386443</v>
      </c>
      <c r="DD15" s="852">
        <f t="shared" si="36"/>
        <v>0.967589865657736</v>
      </c>
      <c r="DE15" s="852">
        <f t="shared" si="36"/>
        <v>1.00059145131974</v>
      </c>
      <c r="DF15" s="852">
        <f t="shared" si="36"/>
        <v>1.00059145131974</v>
      </c>
    </row>
    <row r="16" s="818" customFormat="1" spans="1:110">
      <c r="A16" s="821" t="s">
        <v>58</v>
      </c>
      <c r="B16" s="645">
        <v>3.96924176655644e-13</v>
      </c>
      <c r="C16" s="645">
        <v>1.68808070398451e-12</v>
      </c>
      <c r="D16" s="645">
        <v>5.15816122896257e-12</v>
      </c>
      <c r="E16" s="645">
        <v>1.25331647195952e-11</v>
      </c>
      <c r="F16" s="645">
        <v>2.58121971546663e-11</v>
      </c>
      <c r="G16" s="645">
        <v>4.70001868601657e-11</v>
      </c>
      <c r="H16" s="645">
        <v>7.78854084830759e-11</v>
      </c>
      <c r="I16" s="645">
        <v>1.19897369550869e-10</v>
      </c>
      <c r="J16" s="645">
        <v>2.78280212715893e-10</v>
      </c>
      <c r="K16" s="645">
        <v>6.62699085388379e-10</v>
      </c>
      <c r="L16" s="645">
        <v>1.83612201870813e-9</v>
      </c>
      <c r="M16" s="645">
        <v>5.63251737529546e-9</v>
      </c>
      <c r="N16" s="645">
        <v>1.91088879457482e-8</v>
      </c>
      <c r="O16" s="645">
        <v>1.91088879457482e-8</v>
      </c>
      <c r="P16" s="645" t="s">
        <v>75</v>
      </c>
      <c r="Q16" s="828"/>
      <c r="R16" s="829">
        <f>VLOOKUP(A16,衰变常数!$A$1:$H$3800,7,FALSE)</f>
        <v>0.000220046723987284</v>
      </c>
      <c r="S16" s="830">
        <v>8.3143</v>
      </c>
      <c r="T16" s="831">
        <v>2e-15</v>
      </c>
      <c r="U16" s="831">
        <v>125600</v>
      </c>
      <c r="V16" s="831">
        <v>0</v>
      </c>
      <c r="W16" s="831">
        <v>0</v>
      </c>
      <c r="X16" s="831">
        <v>1e-5</v>
      </c>
      <c r="Y16" s="831">
        <v>8.8e-15</v>
      </c>
      <c r="Z16" s="831">
        <v>54000</v>
      </c>
      <c r="AA16" s="831">
        <v>0.6</v>
      </c>
      <c r="AB16" s="831">
        <v>480000</v>
      </c>
      <c r="AC16" s="831">
        <v>0.00025</v>
      </c>
      <c r="AD16" s="831">
        <v>2e-18</v>
      </c>
      <c r="AE16" s="831">
        <v>83750</v>
      </c>
      <c r="AF16" s="831">
        <v>6e-6</v>
      </c>
      <c r="AG16" s="831">
        <v>7e-7</v>
      </c>
      <c r="AH16" s="831">
        <v>1.5e-7</v>
      </c>
      <c r="AI16" s="831">
        <v>0</v>
      </c>
      <c r="AJ16" s="831">
        <v>0.03</v>
      </c>
      <c r="AK16" s="818">
        <f t="shared" si="0"/>
        <v>1620</v>
      </c>
      <c r="AL16" s="818">
        <f t="shared" si="1"/>
        <v>1893.15</v>
      </c>
      <c r="AM16" s="828">
        <f t="shared" si="2"/>
        <v>0.00066</v>
      </c>
      <c r="AN16" s="828">
        <f t="shared" si="3"/>
        <v>0.00025</v>
      </c>
      <c r="AO16" s="828">
        <f t="shared" si="4"/>
        <v>3.45050883135056e-14</v>
      </c>
      <c r="AP16" s="828">
        <f t="shared" si="5"/>
        <v>19.9643828990219</v>
      </c>
      <c r="AQ16" s="828">
        <f t="shared" si="6"/>
        <v>2.07303689495829e-8</v>
      </c>
      <c r="AR16" s="828">
        <f t="shared" si="7"/>
        <v>9.77802188116649e-21</v>
      </c>
      <c r="AS16" s="828">
        <f t="shared" si="8"/>
        <v>900.084331432049</v>
      </c>
      <c r="AT16" s="828">
        <f t="shared" si="9"/>
        <v>5.12823865502464e-13</v>
      </c>
      <c r="AU16" s="828">
        <f t="shared" si="10"/>
        <v>1.5e-7</v>
      </c>
      <c r="AV16" s="828">
        <f t="shared" si="11"/>
        <v>1.14903452686319</v>
      </c>
      <c r="AW16" s="847">
        <f t="shared" si="12"/>
        <v>1.91088879457482e-8</v>
      </c>
      <c r="AY16" s="818" t="s">
        <v>58</v>
      </c>
      <c r="AZ16" s="818">
        <v>3.95901840751024e-13</v>
      </c>
      <c r="BA16" s="818">
        <v>1.68476709832305e-12</v>
      </c>
      <c r="BB16" s="818">
        <v>5.15031795613979e-12</v>
      </c>
      <c r="BC16" s="818">
        <v>1.25186692597533e-11</v>
      </c>
      <c r="BD16" s="818">
        <v>2.78e-11</v>
      </c>
      <c r="BE16" s="818">
        <v>5.08e-11</v>
      </c>
      <c r="BF16" s="818">
        <v>8.44e-11</v>
      </c>
      <c r="BG16" s="818">
        <v>1.3e-10</v>
      </c>
      <c r="BH16" s="818">
        <v>1.89e-10</v>
      </c>
      <c r="BI16" s="818">
        <v>7.36e-10</v>
      </c>
      <c r="BJ16" s="818">
        <v>2.06e-9</v>
      </c>
      <c r="BK16" s="818">
        <v>6.43e-9</v>
      </c>
      <c r="BL16" s="818">
        <v>2.18e-8</v>
      </c>
      <c r="BM16" s="818">
        <v>2.18e-8</v>
      </c>
      <c r="BO16" s="852">
        <f t="shared" ref="BO16:CB16" si="37">B16/AZ16</f>
        <v>1.00258229641641</v>
      </c>
      <c r="BP16" s="852">
        <f t="shared" si="37"/>
        <v>1.00196680340253</v>
      </c>
      <c r="BQ16" s="852">
        <f t="shared" si="37"/>
        <v>1.001522871576</v>
      </c>
      <c r="BR16" s="852">
        <f t="shared" si="37"/>
        <v>1.00115790740542</v>
      </c>
      <c r="BS16" s="852">
        <f t="shared" si="37"/>
        <v>0.928496300527565</v>
      </c>
      <c r="BT16" s="852">
        <f t="shared" si="37"/>
        <v>0.925200528743419</v>
      </c>
      <c r="BU16" s="852">
        <f t="shared" si="37"/>
        <v>0.922812896718909</v>
      </c>
      <c r="BV16" s="852">
        <f t="shared" si="37"/>
        <v>0.922287458083608</v>
      </c>
      <c r="BW16" s="852">
        <f t="shared" si="37"/>
        <v>1.47238207786187</v>
      </c>
      <c r="BX16" s="852">
        <f t="shared" si="37"/>
        <v>0.900406366016819</v>
      </c>
      <c r="BY16" s="852">
        <f t="shared" si="37"/>
        <v>0.891321368304917</v>
      </c>
      <c r="BZ16" s="852">
        <f t="shared" si="37"/>
        <v>0.875974708444084</v>
      </c>
      <c r="CA16" s="852">
        <f t="shared" si="37"/>
        <v>0.876554492924229</v>
      </c>
      <c r="CB16" s="852">
        <f t="shared" si="37"/>
        <v>0.876554492924229</v>
      </c>
      <c r="CD16" s="818">
        <v>3.95901840751024e-13</v>
      </c>
      <c r="CE16" s="818">
        <v>1.68476709832305e-12</v>
      </c>
      <c r="CF16" s="818">
        <v>5.15031795613979e-12</v>
      </c>
      <c r="CG16" s="818">
        <v>1.25186692597533e-11</v>
      </c>
      <c r="CH16" s="818">
        <v>2.57913239651948e-11</v>
      </c>
      <c r="CI16" s="818">
        <v>4.697991983749e-11</v>
      </c>
      <c r="CJ16" s="818">
        <v>7.78861847680564e-11</v>
      </c>
      <c r="CK16" s="818">
        <v>1.1996213269409e-10</v>
      </c>
      <c r="CL16" s="818">
        <v>2.78966177831282e-10</v>
      </c>
      <c r="CM16" s="818">
        <v>6.76292578135514e-10</v>
      </c>
      <c r="CN16" s="818">
        <v>1.88853083255215e-9</v>
      </c>
      <c r="CO16" s="818">
        <v>5.81893558625839e-9</v>
      </c>
      <c r="CP16" s="818">
        <v>1.90853634945015e-8</v>
      </c>
      <c r="CQ16" s="818">
        <v>1.90853634945015e-8</v>
      </c>
      <c r="CS16" s="852">
        <f t="shared" ref="CS16:DF16" si="38">B16/CD16</f>
        <v>1.00258229641641</v>
      </c>
      <c r="CT16" s="852">
        <f t="shared" si="38"/>
        <v>1.00196680340253</v>
      </c>
      <c r="CU16" s="852">
        <f t="shared" si="38"/>
        <v>1.001522871576</v>
      </c>
      <c r="CV16" s="852">
        <f t="shared" si="38"/>
        <v>1.00115790740542</v>
      </c>
      <c r="CW16" s="852">
        <f t="shared" si="38"/>
        <v>1.00080931050688</v>
      </c>
      <c r="CX16" s="852">
        <f t="shared" si="38"/>
        <v>1.00043139755763</v>
      </c>
      <c r="CY16" s="852">
        <f t="shared" si="38"/>
        <v>0.999990033085035</v>
      </c>
      <c r="CZ16" s="852">
        <f t="shared" si="38"/>
        <v>0.999460136780111</v>
      </c>
      <c r="DA16" s="852">
        <f t="shared" si="38"/>
        <v>0.997541045582222</v>
      </c>
      <c r="DB16" s="852">
        <f t="shared" si="38"/>
        <v>0.979899982364717</v>
      </c>
      <c r="DC16" s="852">
        <f t="shared" si="38"/>
        <v>0.972248896898763</v>
      </c>
      <c r="DD16" s="852">
        <f t="shared" si="38"/>
        <v>0.967963520441236</v>
      </c>
      <c r="DE16" s="852">
        <f t="shared" si="38"/>
        <v>1.0012325912081</v>
      </c>
      <c r="DF16" s="852">
        <f t="shared" si="38"/>
        <v>1.0012325912081</v>
      </c>
    </row>
    <row r="17" s="818" customFormat="1" spans="1:110">
      <c r="A17" s="821" t="s">
        <v>59</v>
      </c>
      <c r="B17" s="645">
        <v>1.55335913451487e-13</v>
      </c>
      <c r="C17" s="645">
        <v>6.60613677093289e-13</v>
      </c>
      <c r="D17" s="645">
        <v>2.01847070358602e-12</v>
      </c>
      <c r="E17" s="645">
        <v>4.90378271741157e-12</v>
      </c>
      <c r="F17" s="645">
        <v>1.00970047583671e-11</v>
      </c>
      <c r="G17" s="645">
        <v>1.83781910366016e-11</v>
      </c>
      <c r="H17" s="645">
        <v>3.04382139430134e-11</v>
      </c>
      <c r="I17" s="645">
        <v>4.68214982232073e-11</v>
      </c>
      <c r="J17" s="645">
        <v>1.08361461748338e-10</v>
      </c>
      <c r="K17" s="645">
        <v>2.57574584434082e-10</v>
      </c>
      <c r="L17" s="645">
        <v>7.08948513939703e-10</v>
      </c>
      <c r="M17" s="645">
        <v>2.13307271204339e-9</v>
      </c>
      <c r="N17" s="645">
        <v>6.79211210887751e-9</v>
      </c>
      <c r="O17" s="645">
        <v>6.79211210887751e-9</v>
      </c>
      <c r="P17" s="645" t="s">
        <v>75</v>
      </c>
      <c r="Q17" s="828"/>
      <c r="R17" s="829">
        <f>VLOOKUP(A17,衰变常数!$A$1:$H$3800,7,FALSE)</f>
        <v>2.93060705462517e-5</v>
      </c>
      <c r="S17" s="830">
        <v>8.3143</v>
      </c>
      <c r="T17" s="831">
        <v>2e-15</v>
      </c>
      <c r="U17" s="831">
        <v>125600</v>
      </c>
      <c r="V17" s="831">
        <v>0</v>
      </c>
      <c r="W17" s="831">
        <v>0</v>
      </c>
      <c r="X17" s="831">
        <v>1e-5</v>
      </c>
      <c r="Y17" s="831">
        <v>8.8e-15</v>
      </c>
      <c r="Z17" s="831">
        <v>54000</v>
      </c>
      <c r="AA17" s="831">
        <v>0.6</v>
      </c>
      <c r="AB17" s="831">
        <v>480000</v>
      </c>
      <c r="AC17" s="831">
        <v>0.00025</v>
      </c>
      <c r="AD17" s="831">
        <v>2e-18</v>
      </c>
      <c r="AE17" s="831">
        <v>83750</v>
      </c>
      <c r="AF17" s="831">
        <v>6e-6</v>
      </c>
      <c r="AG17" s="831">
        <v>7e-7</v>
      </c>
      <c r="AH17" s="831">
        <v>1.5e-7</v>
      </c>
      <c r="AI17" s="831">
        <v>0</v>
      </c>
      <c r="AJ17" s="831">
        <v>0.03</v>
      </c>
      <c r="AK17" s="818">
        <f t="shared" si="0"/>
        <v>1620</v>
      </c>
      <c r="AL17" s="818">
        <f t="shared" si="1"/>
        <v>1893.15</v>
      </c>
      <c r="AM17" s="828">
        <f t="shared" si="2"/>
        <v>0.00066</v>
      </c>
      <c r="AN17" s="828">
        <f t="shared" si="3"/>
        <v>0.00025</v>
      </c>
      <c r="AO17" s="828">
        <f t="shared" si="4"/>
        <v>3.45050883135056e-14</v>
      </c>
      <c r="AP17" s="828">
        <f t="shared" si="5"/>
        <v>7.2857997816546</v>
      </c>
      <c r="AQ17" s="828">
        <f t="shared" si="6"/>
        <v>6.8711484647069e-9</v>
      </c>
      <c r="AR17" s="828">
        <f t="shared" si="7"/>
        <v>9.77802188116649e-21</v>
      </c>
      <c r="AS17" s="828">
        <f t="shared" si="8"/>
        <v>328.476680626058</v>
      </c>
      <c r="AT17" s="828">
        <f t="shared" si="9"/>
        <v>1.86787658676113e-13</v>
      </c>
      <c r="AU17" s="828">
        <f t="shared" si="10"/>
        <v>1.5e-7</v>
      </c>
      <c r="AV17" s="828">
        <f t="shared" si="11"/>
        <v>0.419328538591771</v>
      </c>
      <c r="AW17" s="847">
        <f t="shared" si="12"/>
        <v>6.79211210887751e-9</v>
      </c>
      <c r="AY17" s="818" t="s">
        <v>59</v>
      </c>
      <c r="AZ17" s="818">
        <v>1.53376666625114e-13</v>
      </c>
      <c r="BA17" s="818">
        <v>6.52697045030819e-13</v>
      </c>
      <c r="BB17" s="818">
        <v>1.99528903092161e-12</v>
      </c>
      <c r="BC17" s="818">
        <v>4.84986823501722e-12</v>
      </c>
      <c r="BD17" s="818">
        <v>1.01e-11</v>
      </c>
      <c r="BE17" s="818">
        <v>1.84e-11</v>
      </c>
      <c r="BF17" s="818">
        <v>3.05e-11</v>
      </c>
      <c r="BG17" s="818">
        <v>4.7e-11</v>
      </c>
      <c r="BH17" s="818">
        <v>6.84e-11</v>
      </c>
      <c r="BI17" s="818">
        <v>2.66e-10</v>
      </c>
      <c r="BJ17" s="818">
        <v>7.46e-10</v>
      </c>
      <c r="BK17" s="818">
        <v>2.32e-9</v>
      </c>
      <c r="BL17" s="818">
        <v>7.87e-9</v>
      </c>
      <c r="BM17" s="818">
        <v>7.87e-9</v>
      </c>
      <c r="BO17" s="852">
        <f t="shared" ref="BO17:CB17" si="39">B17/AZ17</f>
        <v>1.01277408662924</v>
      </c>
      <c r="BP17" s="852">
        <f t="shared" si="39"/>
        <v>1.01212910663951</v>
      </c>
      <c r="BQ17" s="852">
        <f t="shared" si="39"/>
        <v>1.01161820282934</v>
      </c>
      <c r="BR17" s="852">
        <f t="shared" si="39"/>
        <v>1.0111166901412</v>
      </c>
      <c r="BS17" s="852">
        <f t="shared" si="39"/>
        <v>0.999703441422485</v>
      </c>
      <c r="BT17" s="852">
        <f t="shared" si="39"/>
        <v>0.998814730250087</v>
      </c>
      <c r="BU17" s="852">
        <f t="shared" si="39"/>
        <v>0.997974227639784</v>
      </c>
      <c r="BV17" s="852">
        <f t="shared" si="39"/>
        <v>0.996202089855475</v>
      </c>
      <c r="BW17" s="852">
        <f t="shared" si="39"/>
        <v>1.58423189690553</v>
      </c>
      <c r="BX17" s="852">
        <f t="shared" si="39"/>
        <v>0.968325505391286</v>
      </c>
      <c r="BY17" s="852">
        <f t="shared" si="39"/>
        <v>0.9503331286055</v>
      </c>
      <c r="BZ17" s="852">
        <f t="shared" si="39"/>
        <v>0.919427893122151</v>
      </c>
      <c r="CA17" s="852">
        <f t="shared" si="39"/>
        <v>0.86303838740502</v>
      </c>
      <c r="CB17" s="852">
        <f t="shared" si="39"/>
        <v>0.86303838740502</v>
      </c>
      <c r="CD17" s="818">
        <v>1.53376666625114e-13</v>
      </c>
      <c r="CE17" s="818">
        <v>6.52697045030819e-13</v>
      </c>
      <c r="CF17" s="818">
        <v>1.99528903092161e-12</v>
      </c>
      <c r="CG17" s="818">
        <v>4.84986823501722e-12</v>
      </c>
      <c r="CH17" s="818">
        <v>9.99183860859521e-12</v>
      </c>
      <c r="CI17" s="818">
        <v>1.82005304378485e-11</v>
      </c>
      <c r="CJ17" s="818">
        <v>3.01739526474816e-11</v>
      </c>
      <c r="CK17" s="818">
        <v>4.64746311837185e-11</v>
      </c>
      <c r="CL17" s="818">
        <v>1.08074522653757e-10</v>
      </c>
      <c r="CM17" s="818">
        <v>2.60182850206871e-10</v>
      </c>
      <c r="CN17" s="818">
        <v>7.2169218603516e-10</v>
      </c>
      <c r="CO17" s="818">
        <v>2.18037788730042e-9</v>
      </c>
      <c r="CP17" s="818">
        <v>6.70512422143506e-9</v>
      </c>
      <c r="CQ17" s="818">
        <v>6.70512422143506e-9</v>
      </c>
      <c r="CS17" s="852">
        <f t="shared" ref="CS17:DF17" si="40">B17/CD17</f>
        <v>1.01277408662924</v>
      </c>
      <c r="CT17" s="852">
        <f t="shared" si="40"/>
        <v>1.01212910663951</v>
      </c>
      <c r="CU17" s="852">
        <f t="shared" si="40"/>
        <v>1.01161820282934</v>
      </c>
      <c r="CV17" s="852">
        <f t="shared" si="40"/>
        <v>1.0111166901412</v>
      </c>
      <c r="CW17" s="852">
        <f t="shared" si="40"/>
        <v>1.01052520500896</v>
      </c>
      <c r="CX17" s="852">
        <f t="shared" si="40"/>
        <v>1.00976128686797</v>
      </c>
      <c r="CY17" s="852">
        <f t="shared" si="40"/>
        <v>1.0087579276941</v>
      </c>
      <c r="CZ17" s="852">
        <f t="shared" si="40"/>
        <v>1.00746357809958</v>
      </c>
      <c r="DA17" s="852">
        <f t="shared" si="40"/>
        <v>1.00265501144521</v>
      </c>
      <c r="DB17" s="852">
        <f t="shared" si="40"/>
        <v>0.989975258666299</v>
      </c>
      <c r="DC17" s="852">
        <f t="shared" si="40"/>
        <v>0.982341956387988</v>
      </c>
      <c r="DD17" s="852">
        <f t="shared" si="40"/>
        <v>0.978304139143697</v>
      </c>
      <c r="DE17" s="852">
        <f t="shared" si="40"/>
        <v>1.01297334464951</v>
      </c>
      <c r="DF17" s="852">
        <f t="shared" si="40"/>
        <v>1.01297334464951</v>
      </c>
    </row>
    <row r="18" s="818" customFormat="1" spans="1:80">
      <c r="A18" s="821" t="s">
        <v>60</v>
      </c>
      <c r="B18" s="823">
        <f t="shared" ref="B18:O18" si="41">AZ18</f>
        <v>4.167e-21</v>
      </c>
      <c r="C18" s="823">
        <f t="shared" si="41"/>
        <v>4.167e-21</v>
      </c>
      <c r="D18" s="823">
        <f t="shared" si="41"/>
        <v>4.167e-21</v>
      </c>
      <c r="E18" s="823">
        <f t="shared" si="41"/>
        <v>3.041e-19</v>
      </c>
      <c r="F18" s="823">
        <f t="shared" si="41"/>
        <v>9.908e-18</v>
      </c>
      <c r="G18" s="823">
        <f t="shared" si="41"/>
        <v>9.45e-17</v>
      </c>
      <c r="H18" s="823">
        <f t="shared" si="41"/>
        <v>5.07e-16</v>
      </c>
      <c r="I18" s="823">
        <f t="shared" si="41"/>
        <v>3.12e-15</v>
      </c>
      <c r="J18" s="823">
        <f t="shared" si="41"/>
        <v>1.58e-14</v>
      </c>
      <c r="K18" s="823">
        <f t="shared" si="41"/>
        <v>8.74e-14</v>
      </c>
      <c r="L18" s="823">
        <f t="shared" si="41"/>
        <v>2.35e-13</v>
      </c>
      <c r="M18" s="823">
        <f t="shared" si="41"/>
        <v>1.04e-12</v>
      </c>
      <c r="N18" s="823">
        <f t="shared" si="41"/>
        <v>1.36e-12</v>
      </c>
      <c r="O18" s="823">
        <f t="shared" si="41"/>
        <v>1.448e-12</v>
      </c>
      <c r="P18" s="823" t="s">
        <v>112</v>
      </c>
      <c r="Q18" s="832"/>
      <c r="R18" s="829">
        <f>VLOOKUP(A18,衰变常数!$A$1:$H$3800,7,FALSE)</f>
        <v>1.58767797586313e-7</v>
      </c>
      <c r="S18" s="835"/>
      <c r="T18" s="831"/>
      <c r="U18" s="831"/>
      <c r="V18" s="831"/>
      <c r="W18" s="831"/>
      <c r="X18" s="831"/>
      <c r="Y18" s="831"/>
      <c r="Z18" s="831"/>
      <c r="AA18" s="831"/>
      <c r="AB18" s="831"/>
      <c r="AC18" s="831"/>
      <c r="AD18" s="831"/>
      <c r="AE18" s="831"/>
      <c r="AF18" s="831"/>
      <c r="AG18" s="831"/>
      <c r="AH18" s="831"/>
      <c r="AI18" s="831"/>
      <c r="AJ18" s="831"/>
      <c r="AR18" s="828"/>
      <c r="AS18" s="828"/>
      <c r="AW18" s="849"/>
      <c r="AY18" s="818" t="s">
        <v>60</v>
      </c>
      <c r="AZ18" s="818">
        <v>4.167e-21</v>
      </c>
      <c r="BA18" s="818">
        <v>4.167e-21</v>
      </c>
      <c r="BB18" s="818">
        <v>4.167e-21</v>
      </c>
      <c r="BC18" s="818">
        <v>3.041e-19</v>
      </c>
      <c r="BD18" s="818">
        <v>9.908e-18</v>
      </c>
      <c r="BE18" s="818">
        <v>9.45e-17</v>
      </c>
      <c r="BF18" s="818">
        <v>5.07e-16</v>
      </c>
      <c r="BG18" s="818">
        <v>3.12e-15</v>
      </c>
      <c r="BH18" s="818">
        <v>1.58e-14</v>
      </c>
      <c r="BI18" s="818">
        <v>8.74e-14</v>
      </c>
      <c r="BJ18" s="818">
        <v>2.35e-13</v>
      </c>
      <c r="BK18" s="818">
        <v>1.04e-12</v>
      </c>
      <c r="BL18" s="818">
        <v>1.36e-12</v>
      </c>
      <c r="BM18" s="818">
        <v>1.448e-12</v>
      </c>
      <c r="BO18" s="852"/>
      <c r="BP18" s="852"/>
      <c r="BQ18" s="852"/>
      <c r="BR18" s="852"/>
      <c r="BS18" s="852"/>
      <c r="BT18" s="852"/>
      <c r="BU18" s="852"/>
      <c r="BV18" s="852"/>
      <c r="BW18" s="852"/>
      <c r="BX18" s="852"/>
      <c r="BY18" s="852"/>
      <c r="BZ18" s="852"/>
      <c r="CA18" s="852"/>
      <c r="CB18" s="852"/>
    </row>
    <row r="19" s="818" customFormat="1" spans="1:80">
      <c r="A19" s="821" t="s">
        <v>61</v>
      </c>
      <c r="B19" s="823">
        <f t="shared" ref="B19:O19" si="42">AZ19</f>
        <v>4.167e-21</v>
      </c>
      <c r="C19" s="823">
        <f t="shared" si="42"/>
        <v>4.167e-21</v>
      </c>
      <c r="D19" s="823">
        <f t="shared" si="42"/>
        <v>4.167e-21</v>
      </c>
      <c r="E19" s="823">
        <f t="shared" si="42"/>
        <v>3.037e-19</v>
      </c>
      <c r="F19" s="823">
        <f t="shared" si="42"/>
        <v>9.496e-18</v>
      </c>
      <c r="G19" s="823">
        <f t="shared" si="42"/>
        <v>9.06e-17</v>
      </c>
      <c r="H19" s="823">
        <f t="shared" si="42"/>
        <v>4.86e-16</v>
      </c>
      <c r="I19" s="823">
        <f t="shared" si="42"/>
        <v>3e-15</v>
      </c>
      <c r="J19" s="823">
        <f t="shared" si="42"/>
        <v>1.52e-14</v>
      </c>
      <c r="K19" s="823">
        <f t="shared" si="42"/>
        <v>8.45e-14</v>
      </c>
      <c r="L19" s="823">
        <f t="shared" si="42"/>
        <v>2.3e-13</v>
      </c>
      <c r="M19" s="823">
        <f t="shared" si="42"/>
        <v>1.04e-12</v>
      </c>
      <c r="N19" s="823">
        <f t="shared" si="42"/>
        <v>1.38e-12</v>
      </c>
      <c r="O19" s="823">
        <f t="shared" si="42"/>
        <v>1.482e-12</v>
      </c>
      <c r="P19" s="823" t="s">
        <v>112</v>
      </c>
      <c r="Q19" s="832"/>
      <c r="R19" s="829">
        <f>VLOOKUP(A19,衰变常数!$A$1:$H$3800,7,FALSE)</f>
        <v>7.62921459615568e-10</v>
      </c>
      <c r="S19" s="835"/>
      <c r="T19" s="831"/>
      <c r="U19" s="831"/>
      <c r="V19" s="831"/>
      <c r="W19" s="831"/>
      <c r="X19" s="831"/>
      <c r="Y19" s="831"/>
      <c r="Z19" s="831"/>
      <c r="AA19" s="831"/>
      <c r="AB19" s="831"/>
      <c r="AC19" s="831"/>
      <c r="AD19" s="831"/>
      <c r="AE19" s="831"/>
      <c r="AF19" s="831"/>
      <c r="AG19" s="831"/>
      <c r="AH19" s="831"/>
      <c r="AI19" s="831"/>
      <c r="AJ19" s="831"/>
      <c r="AR19" s="828"/>
      <c r="AS19" s="828"/>
      <c r="AW19" s="849"/>
      <c r="AY19" s="818" t="s">
        <v>61</v>
      </c>
      <c r="AZ19" s="818">
        <v>4.167e-21</v>
      </c>
      <c r="BA19" s="818">
        <v>4.167e-21</v>
      </c>
      <c r="BB19" s="818">
        <v>4.167e-21</v>
      </c>
      <c r="BC19" s="818">
        <v>3.037e-19</v>
      </c>
      <c r="BD19" s="818">
        <v>9.496e-18</v>
      </c>
      <c r="BE19" s="818">
        <v>9.06e-17</v>
      </c>
      <c r="BF19" s="818">
        <v>4.86e-16</v>
      </c>
      <c r="BG19" s="818">
        <v>3e-15</v>
      </c>
      <c r="BH19" s="818">
        <v>1.52e-14</v>
      </c>
      <c r="BI19" s="818">
        <v>8.45e-14</v>
      </c>
      <c r="BJ19" s="818">
        <v>2.3e-13</v>
      </c>
      <c r="BK19" s="818">
        <v>1.04e-12</v>
      </c>
      <c r="BL19" s="818">
        <v>1.38e-12</v>
      </c>
      <c r="BM19" s="818">
        <v>1.482e-12</v>
      </c>
      <c r="BO19" s="852"/>
      <c r="BP19" s="852"/>
      <c r="BQ19" s="852"/>
      <c r="BR19" s="852"/>
      <c r="BS19" s="852"/>
      <c r="BT19" s="852"/>
      <c r="BU19" s="852"/>
      <c r="BV19" s="852"/>
      <c r="BW19" s="852"/>
      <c r="BX19" s="852"/>
      <c r="BY19" s="852"/>
      <c r="BZ19" s="852"/>
      <c r="CA19" s="852"/>
      <c r="CB19" s="852"/>
    </row>
    <row r="20" s="818" customFormat="1" spans="1:80">
      <c r="A20" s="821" t="s">
        <v>62</v>
      </c>
      <c r="B20" s="823">
        <f t="shared" ref="B20:O20" si="43">AZ20</f>
        <v>3.321e-16</v>
      </c>
      <c r="C20" s="823">
        <f t="shared" si="43"/>
        <v>3.321e-16</v>
      </c>
      <c r="D20" s="823">
        <f t="shared" si="43"/>
        <v>3.321e-16</v>
      </c>
      <c r="E20" s="823">
        <f t="shared" si="43"/>
        <v>1.455e-15</v>
      </c>
      <c r="F20" s="823">
        <f t="shared" si="43"/>
        <v>3.91e-14</v>
      </c>
      <c r="G20" s="823">
        <f t="shared" si="43"/>
        <v>1.39e-13</v>
      </c>
      <c r="H20" s="823">
        <f t="shared" si="43"/>
        <v>4.17e-13</v>
      </c>
      <c r="I20" s="823">
        <f t="shared" si="43"/>
        <v>1.11e-12</v>
      </c>
      <c r="J20" s="823">
        <f t="shared" si="43"/>
        <v>2.85e-12</v>
      </c>
      <c r="K20" s="823">
        <f t="shared" si="43"/>
        <v>9.77e-12</v>
      </c>
      <c r="L20" s="823">
        <f t="shared" si="43"/>
        <v>3.05e-11</v>
      </c>
      <c r="M20" s="823">
        <f t="shared" si="43"/>
        <v>8.37e-10</v>
      </c>
      <c r="N20" s="823">
        <f t="shared" si="43"/>
        <v>3.42e-9</v>
      </c>
      <c r="O20" s="823">
        <f t="shared" si="43"/>
        <v>4.566e-9</v>
      </c>
      <c r="P20" s="823" t="s">
        <v>112</v>
      </c>
      <c r="Q20" s="832"/>
      <c r="R20" s="829">
        <f>VLOOKUP(A20,衰变常数!$A$1:$H$3800,7,FALSE)</f>
        <v>1.06355351616218e-8</v>
      </c>
      <c r="S20" s="835"/>
      <c r="T20" s="831"/>
      <c r="U20" s="831"/>
      <c r="V20" s="831"/>
      <c r="W20" s="831"/>
      <c r="X20" s="831"/>
      <c r="Y20" s="831"/>
      <c r="Z20" s="831"/>
      <c r="AA20" s="831"/>
      <c r="AB20" s="831"/>
      <c r="AC20" s="831"/>
      <c r="AD20" s="831"/>
      <c r="AE20" s="831"/>
      <c r="AF20" s="831"/>
      <c r="AG20" s="831"/>
      <c r="AH20" s="831"/>
      <c r="AI20" s="831"/>
      <c r="AJ20" s="831"/>
      <c r="AR20" s="828"/>
      <c r="AS20" s="828"/>
      <c r="AW20" s="849"/>
      <c r="AY20" s="818" t="s">
        <v>62</v>
      </c>
      <c r="AZ20" s="818">
        <v>3.321e-16</v>
      </c>
      <c r="BA20" s="818">
        <v>3.321e-16</v>
      </c>
      <c r="BB20" s="818">
        <v>3.321e-16</v>
      </c>
      <c r="BC20" s="818">
        <v>1.455e-15</v>
      </c>
      <c r="BD20" s="818">
        <v>3.91e-14</v>
      </c>
      <c r="BE20" s="818">
        <v>1.39e-13</v>
      </c>
      <c r="BF20" s="818">
        <v>4.17e-13</v>
      </c>
      <c r="BG20" s="818">
        <v>1.11e-12</v>
      </c>
      <c r="BH20" s="818">
        <v>2.85e-12</v>
      </c>
      <c r="BI20" s="818">
        <v>9.77e-12</v>
      </c>
      <c r="BJ20" s="818">
        <v>3.05e-11</v>
      </c>
      <c r="BK20" s="818">
        <v>8.37e-10</v>
      </c>
      <c r="BL20" s="818">
        <v>3.42e-9</v>
      </c>
      <c r="BM20" s="818">
        <v>4.566e-9</v>
      </c>
      <c r="BO20" s="852"/>
      <c r="BP20" s="852"/>
      <c r="BQ20" s="852"/>
      <c r="BR20" s="852"/>
      <c r="BS20" s="852"/>
      <c r="BT20" s="852"/>
      <c r="BU20" s="852"/>
      <c r="BV20" s="852"/>
      <c r="BW20" s="852"/>
      <c r="BX20" s="852"/>
      <c r="BY20" s="852"/>
      <c r="BZ20" s="852"/>
      <c r="CA20" s="852"/>
      <c r="CB20" s="852"/>
    </row>
    <row r="21" s="818" customFormat="1" spans="1:80">
      <c r="A21" s="821" t="s">
        <v>63</v>
      </c>
      <c r="B21" s="823">
        <f t="shared" ref="B21:O21" si="44">AZ21</f>
        <v>2.948e-16</v>
      </c>
      <c r="C21" s="823">
        <f t="shared" si="44"/>
        <v>2.948e-16</v>
      </c>
      <c r="D21" s="823">
        <f t="shared" si="44"/>
        <v>2.948e-16</v>
      </c>
      <c r="E21" s="823">
        <f t="shared" si="44"/>
        <v>1.273e-15</v>
      </c>
      <c r="F21" s="823">
        <f t="shared" si="44"/>
        <v>4.496e-14</v>
      </c>
      <c r="G21" s="823">
        <f t="shared" si="44"/>
        <v>1.59e-13</v>
      </c>
      <c r="H21" s="823">
        <f t="shared" si="44"/>
        <v>4.17e-13</v>
      </c>
      <c r="I21" s="823">
        <f t="shared" si="44"/>
        <v>1.3e-12</v>
      </c>
      <c r="J21" s="823">
        <f t="shared" si="44"/>
        <v>3.33e-12</v>
      </c>
      <c r="K21" s="823">
        <f t="shared" si="44"/>
        <v>1.13e-11</v>
      </c>
      <c r="L21" s="823">
        <f t="shared" si="44"/>
        <v>3.4e-11</v>
      </c>
      <c r="M21" s="823">
        <f t="shared" si="44"/>
        <v>8.63e-10</v>
      </c>
      <c r="N21" s="823">
        <f t="shared" si="44"/>
        <v>3.44e-9</v>
      </c>
      <c r="O21" s="823">
        <f t="shared" si="44"/>
        <v>4.563e-9</v>
      </c>
      <c r="P21" s="823" t="s">
        <v>112</v>
      </c>
      <c r="Q21" s="832"/>
      <c r="R21" s="829">
        <f>VLOOKUP(A21,衰变常数!$A$1:$H$3800,7,FALSE)</f>
        <v>7.302030887879e-10</v>
      </c>
      <c r="S21" s="835"/>
      <c r="T21" s="831"/>
      <c r="U21" s="831"/>
      <c r="V21" s="831"/>
      <c r="W21" s="831"/>
      <c r="X21" s="831"/>
      <c r="Y21" s="831"/>
      <c r="Z21" s="831"/>
      <c r="AA21" s="831"/>
      <c r="AB21" s="831"/>
      <c r="AC21" s="831"/>
      <c r="AD21" s="831"/>
      <c r="AE21" s="831"/>
      <c r="AF21" s="831"/>
      <c r="AG21" s="831"/>
      <c r="AH21" s="831"/>
      <c r="AI21" s="831"/>
      <c r="AJ21" s="831"/>
      <c r="AR21" s="828"/>
      <c r="AS21" s="828"/>
      <c r="AW21" s="849"/>
      <c r="AY21" s="818" t="s">
        <v>63</v>
      </c>
      <c r="AZ21" s="818">
        <v>2.948e-16</v>
      </c>
      <c r="BA21" s="818">
        <v>2.948e-16</v>
      </c>
      <c r="BB21" s="818">
        <v>2.948e-16</v>
      </c>
      <c r="BC21" s="818">
        <v>1.273e-15</v>
      </c>
      <c r="BD21" s="818">
        <v>4.496e-14</v>
      </c>
      <c r="BE21" s="818">
        <v>1.59e-13</v>
      </c>
      <c r="BF21" s="818">
        <v>4.17e-13</v>
      </c>
      <c r="BG21" s="818">
        <v>1.3e-12</v>
      </c>
      <c r="BH21" s="818">
        <v>3.33e-12</v>
      </c>
      <c r="BI21" s="818">
        <v>1.13e-11</v>
      </c>
      <c r="BJ21" s="818">
        <v>3.4e-11</v>
      </c>
      <c r="BK21" s="818">
        <v>8.63e-10</v>
      </c>
      <c r="BL21" s="818">
        <v>3.44e-9</v>
      </c>
      <c r="BM21" s="818">
        <v>4.563e-9</v>
      </c>
      <c r="BO21" s="852"/>
      <c r="BP21" s="852"/>
      <c r="BQ21" s="852"/>
      <c r="BR21" s="852"/>
      <c r="BS21" s="852"/>
      <c r="BT21" s="852"/>
      <c r="BU21" s="852"/>
      <c r="BV21" s="852"/>
      <c r="BW21" s="852"/>
      <c r="BX21" s="852"/>
      <c r="BY21" s="852"/>
      <c r="BZ21" s="852"/>
      <c r="CA21" s="852"/>
      <c r="CB21" s="852"/>
    </row>
    <row r="22" s="818" customFormat="1" spans="1:80">
      <c r="A22" s="821" t="s">
        <v>64</v>
      </c>
      <c r="B22" s="823">
        <f t="shared" ref="B22:O22" si="45">AZ22</f>
        <v>1.39e-15</v>
      </c>
      <c r="C22" s="823">
        <f t="shared" si="45"/>
        <v>1.39e-15</v>
      </c>
      <c r="D22" s="823">
        <f t="shared" si="45"/>
        <v>1.39e-15</v>
      </c>
      <c r="E22" s="823">
        <f t="shared" si="45"/>
        <v>2.254e-13</v>
      </c>
      <c r="F22" s="823">
        <f t="shared" si="45"/>
        <v>1.923e-12</v>
      </c>
      <c r="G22" s="823">
        <f t="shared" si="45"/>
        <v>1.27e-11</v>
      </c>
      <c r="H22" s="823">
        <f t="shared" si="45"/>
        <v>5.28e-11</v>
      </c>
      <c r="I22" s="823">
        <f t="shared" si="45"/>
        <v>2.34e-10</v>
      </c>
      <c r="J22" s="823">
        <f t="shared" si="45"/>
        <v>1.18e-9</v>
      </c>
      <c r="K22" s="823">
        <f t="shared" si="45"/>
        <v>4.08e-9</v>
      </c>
      <c r="L22" s="823">
        <f t="shared" si="45"/>
        <v>5.9e-9</v>
      </c>
      <c r="M22" s="823">
        <f t="shared" si="45"/>
        <v>8.01e-9</v>
      </c>
      <c r="N22" s="823">
        <f t="shared" si="45"/>
        <v>5.84e-8</v>
      </c>
      <c r="O22" s="823">
        <f t="shared" si="45"/>
        <v>4.89e-7</v>
      </c>
      <c r="P22" s="823" t="s">
        <v>112</v>
      </c>
      <c r="Q22" s="832"/>
      <c r="R22" s="829">
        <f>VLOOKUP(A22,衰变常数!$A$1:$H$3800,7,FALSE)</f>
        <v>3.21209893462493e-8</v>
      </c>
      <c r="S22" s="835"/>
      <c r="T22" s="831"/>
      <c r="U22" s="831"/>
      <c r="V22" s="831"/>
      <c r="W22" s="831"/>
      <c r="X22" s="831"/>
      <c r="Y22" s="831"/>
      <c r="Z22" s="831"/>
      <c r="AA22" s="831"/>
      <c r="AB22" s="831"/>
      <c r="AC22" s="831"/>
      <c r="AD22" s="831"/>
      <c r="AE22" s="831"/>
      <c r="AF22" s="831"/>
      <c r="AG22" s="831"/>
      <c r="AH22" s="831"/>
      <c r="AI22" s="831"/>
      <c r="AJ22" s="831"/>
      <c r="AR22" s="828"/>
      <c r="AS22" s="828"/>
      <c r="AW22" s="849"/>
      <c r="AY22" s="818" t="s">
        <v>64</v>
      </c>
      <c r="AZ22" s="818">
        <v>1.39e-15</v>
      </c>
      <c r="BA22" s="818">
        <v>1.39e-15</v>
      </c>
      <c r="BB22" s="818">
        <v>1.39e-15</v>
      </c>
      <c r="BC22" s="818">
        <v>2.254e-13</v>
      </c>
      <c r="BD22" s="818">
        <v>1.923e-12</v>
      </c>
      <c r="BE22" s="818">
        <v>1.27e-11</v>
      </c>
      <c r="BF22" s="818">
        <v>5.28e-11</v>
      </c>
      <c r="BG22" s="818">
        <v>2.34e-10</v>
      </c>
      <c r="BH22" s="818">
        <v>1.18e-9</v>
      </c>
      <c r="BI22" s="818">
        <v>4.08e-9</v>
      </c>
      <c r="BJ22" s="818">
        <v>5.9e-9</v>
      </c>
      <c r="BK22" s="818">
        <v>8.01e-9</v>
      </c>
      <c r="BL22" s="818">
        <v>5.84e-8</v>
      </c>
      <c r="BM22" s="818">
        <v>4.89e-7</v>
      </c>
      <c r="BO22" s="852"/>
      <c r="BP22" s="852"/>
      <c r="BQ22" s="852"/>
      <c r="BR22" s="852"/>
      <c r="BS22" s="852"/>
      <c r="BT22" s="852"/>
      <c r="BU22" s="852"/>
      <c r="BV22" s="852"/>
      <c r="BW22" s="852"/>
      <c r="BX22" s="852"/>
      <c r="BY22" s="852"/>
      <c r="BZ22" s="852"/>
      <c r="CA22" s="852"/>
      <c r="CB22" s="852"/>
    </row>
    <row r="23" s="818" customFormat="1" spans="1:49">
      <c r="A23" s="821" t="s">
        <v>65</v>
      </c>
      <c r="B23" s="642">
        <v>0</v>
      </c>
      <c r="C23" s="642">
        <v>0</v>
      </c>
      <c r="D23" s="642">
        <v>0</v>
      </c>
      <c r="E23" s="642">
        <v>0</v>
      </c>
      <c r="F23" s="642">
        <v>0</v>
      </c>
      <c r="G23" s="642">
        <v>0</v>
      </c>
      <c r="H23" s="642">
        <v>0</v>
      </c>
      <c r="I23" s="642">
        <v>0</v>
      </c>
      <c r="J23" s="642">
        <v>0</v>
      </c>
      <c r="K23" s="642">
        <v>0</v>
      </c>
      <c r="L23" s="642">
        <v>0</v>
      </c>
      <c r="M23" s="642">
        <v>0</v>
      </c>
      <c r="N23" s="642">
        <v>0</v>
      </c>
      <c r="O23" s="642">
        <v>0</v>
      </c>
      <c r="P23" s="642"/>
      <c r="Q23" s="836"/>
      <c r="R23" s="829">
        <f>VLOOKUP(A23,衰变常数!$A$1:$H$3800,7,FALSE)</f>
        <v>1.78283364719618e-9</v>
      </c>
      <c r="S23" s="835"/>
      <c r="T23" s="831"/>
      <c r="U23" s="831"/>
      <c r="V23" s="831"/>
      <c r="W23" s="831"/>
      <c r="X23" s="831"/>
      <c r="Y23" s="831"/>
      <c r="Z23" s="831"/>
      <c r="AA23" s="831"/>
      <c r="AB23" s="831"/>
      <c r="AC23" s="831"/>
      <c r="AD23" s="831"/>
      <c r="AE23" s="831"/>
      <c r="AF23" s="831"/>
      <c r="AG23" s="831"/>
      <c r="AH23" s="831"/>
      <c r="AI23" s="831"/>
      <c r="AJ23" s="831"/>
      <c r="AR23" s="828"/>
      <c r="AS23" s="828"/>
      <c r="AW23" s="849"/>
    </row>
    <row r="24" s="818" customFormat="1" spans="1:49">
      <c r="A24" s="821" t="s">
        <v>66</v>
      </c>
      <c r="B24" s="642">
        <v>0</v>
      </c>
      <c r="C24" s="642">
        <v>0</v>
      </c>
      <c r="D24" s="642">
        <v>0</v>
      </c>
      <c r="E24" s="642">
        <v>0</v>
      </c>
      <c r="F24" s="642">
        <v>0</v>
      </c>
      <c r="G24" s="642">
        <v>0</v>
      </c>
      <c r="H24" s="642">
        <v>0</v>
      </c>
      <c r="I24" s="642">
        <v>0</v>
      </c>
      <c r="J24" s="642">
        <v>0</v>
      </c>
      <c r="K24" s="642">
        <v>0</v>
      </c>
      <c r="L24" s="642">
        <v>0</v>
      </c>
      <c r="M24" s="642">
        <v>0</v>
      </c>
      <c r="N24" s="642">
        <v>0</v>
      </c>
      <c r="O24" s="642">
        <v>0</v>
      </c>
      <c r="P24" s="642"/>
      <c r="Q24" s="836"/>
      <c r="R24" s="829">
        <f>VLOOKUP(A24,衰变常数!$A$1:$H$3800,7,FALSE)</f>
        <v>3.8534294386192e-12</v>
      </c>
      <c r="S24" s="835"/>
      <c r="T24" s="831"/>
      <c r="U24" s="831"/>
      <c r="V24" s="831"/>
      <c r="W24" s="831"/>
      <c r="X24" s="831"/>
      <c r="Y24" s="831"/>
      <c r="Z24" s="831"/>
      <c r="AA24" s="831"/>
      <c r="AB24" s="831"/>
      <c r="AC24" s="831"/>
      <c r="AD24" s="831"/>
      <c r="AE24" s="831"/>
      <c r="AF24" s="831"/>
      <c r="AG24" s="831"/>
      <c r="AH24" s="831"/>
      <c r="AI24" s="831"/>
      <c r="AJ24" s="831"/>
      <c r="AR24" s="828"/>
      <c r="AS24" s="828"/>
      <c r="AW24" s="849"/>
    </row>
    <row r="25" s="818" customFormat="1" spans="1:49">
      <c r="A25" s="821" t="s">
        <v>67</v>
      </c>
      <c r="B25" s="642">
        <v>0</v>
      </c>
      <c r="C25" s="642">
        <v>0</v>
      </c>
      <c r="D25" s="642">
        <v>0</v>
      </c>
      <c r="E25" s="642">
        <v>0</v>
      </c>
      <c r="F25" s="642">
        <v>0</v>
      </c>
      <c r="G25" s="642">
        <v>0</v>
      </c>
      <c r="H25" s="642">
        <v>0</v>
      </c>
      <c r="I25" s="642">
        <v>0</v>
      </c>
      <c r="J25" s="642">
        <v>0</v>
      </c>
      <c r="K25" s="642">
        <v>0</v>
      </c>
      <c r="L25" s="642">
        <v>0</v>
      </c>
      <c r="M25" s="642">
        <v>0</v>
      </c>
      <c r="N25" s="642">
        <v>0</v>
      </c>
      <c r="O25" s="642">
        <v>0</v>
      </c>
      <c r="P25" s="642"/>
      <c r="Q25" s="836"/>
      <c r="R25" s="829">
        <f>VLOOKUP(A25,衰变常数!$A$1:$H$3800,7,FALSE)</f>
        <v>4.16694528910503e-9</v>
      </c>
      <c r="S25" s="835"/>
      <c r="T25" s="831"/>
      <c r="U25" s="831"/>
      <c r="V25" s="831"/>
      <c r="W25" s="831"/>
      <c r="X25" s="831"/>
      <c r="Y25" s="831"/>
      <c r="Z25" s="831"/>
      <c r="AA25" s="831"/>
      <c r="AB25" s="831"/>
      <c r="AC25" s="831"/>
      <c r="AD25" s="831"/>
      <c r="AE25" s="831"/>
      <c r="AF25" s="831"/>
      <c r="AG25" s="831"/>
      <c r="AH25" s="831"/>
      <c r="AI25" s="831"/>
      <c r="AJ25" s="831"/>
      <c r="AR25" s="828"/>
      <c r="AS25" s="828"/>
      <c r="AW25" s="849"/>
    </row>
    <row r="26" s="818" customFormat="1" ht="15.75" spans="1:49">
      <c r="A26" s="821" t="s">
        <v>68</v>
      </c>
      <c r="B26" s="642">
        <v>0</v>
      </c>
      <c r="C26" s="642">
        <v>0</v>
      </c>
      <c r="D26" s="642">
        <v>0</v>
      </c>
      <c r="E26" s="642">
        <v>0</v>
      </c>
      <c r="F26" s="642">
        <v>0</v>
      </c>
      <c r="G26" s="642">
        <v>0</v>
      </c>
      <c r="H26" s="642">
        <v>0</v>
      </c>
      <c r="I26" s="642">
        <v>0</v>
      </c>
      <c r="J26" s="642">
        <v>0</v>
      </c>
      <c r="K26" s="642">
        <v>0</v>
      </c>
      <c r="L26" s="642">
        <v>0</v>
      </c>
      <c r="M26" s="642">
        <v>0</v>
      </c>
      <c r="N26" s="642">
        <v>0</v>
      </c>
      <c r="O26" s="642">
        <v>0</v>
      </c>
      <c r="P26" s="642"/>
      <c r="Q26" s="836"/>
      <c r="R26" s="829">
        <f>VLOOKUP(A26,衰变常数!$A$1:$H$3800,7,FALSE)</f>
        <v>0.000105395976729608</v>
      </c>
      <c r="S26" s="837"/>
      <c r="T26" s="838"/>
      <c r="U26" s="838"/>
      <c r="V26" s="838"/>
      <c r="W26" s="838"/>
      <c r="X26" s="838"/>
      <c r="Y26" s="838"/>
      <c r="Z26" s="838"/>
      <c r="AA26" s="838"/>
      <c r="AB26" s="838"/>
      <c r="AC26" s="838"/>
      <c r="AD26" s="838"/>
      <c r="AE26" s="838"/>
      <c r="AF26" s="838"/>
      <c r="AG26" s="838"/>
      <c r="AH26" s="838"/>
      <c r="AI26" s="838"/>
      <c r="AJ26" s="838"/>
      <c r="AK26" s="842"/>
      <c r="AL26" s="842"/>
      <c r="AM26" s="842"/>
      <c r="AN26" s="842"/>
      <c r="AO26" s="842"/>
      <c r="AP26" s="842"/>
      <c r="AQ26" s="842"/>
      <c r="AR26" s="843"/>
      <c r="AS26" s="843"/>
      <c r="AT26" s="842"/>
      <c r="AU26" s="842"/>
      <c r="AV26" s="842"/>
      <c r="AW26" s="850"/>
    </row>
    <row r="27" s="818" customFormat="1" spans="1:49">
      <c r="A27" s="817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W27" s="5"/>
    </row>
  </sheetData>
  <mergeCells count="5">
    <mergeCell ref="T1:AC1"/>
    <mergeCell ref="AD1:AG1"/>
    <mergeCell ref="AH1:AJ1"/>
    <mergeCell ref="T2:X2"/>
    <mergeCell ref="Y2:AC2"/>
  </mergeCells>
  <conditionalFormatting sqref="BO4:CB2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S4:DF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62"/>
  <sheetViews>
    <sheetView workbookViewId="0">
      <selection activeCell="AJ22" sqref="AJ22"/>
    </sheetView>
  </sheetViews>
  <sheetFormatPr defaultColWidth="9" defaultRowHeight="15"/>
  <cols>
    <col min="1" max="1" width="6.75" style="91" customWidth="1"/>
    <col min="2" max="7" width="6.625" style="91" customWidth="1"/>
    <col min="8" max="9" width="5.875" style="91" customWidth="1"/>
    <col min="10" max="10" width="3" style="91" customWidth="1"/>
    <col min="11" max="11" width="6.75" style="91" customWidth="1"/>
    <col min="12" max="20" width="6.625" style="91" customWidth="1"/>
    <col min="21" max="22" width="5.875" style="91" customWidth="1"/>
    <col min="23" max="23" width="9" style="91"/>
    <col min="24" max="24" width="16" style="91" customWidth="1"/>
    <col min="25" max="31" width="9.375" style="91" customWidth="1"/>
    <col min="32" max="32" width="11.125" style="91"/>
    <col min="33" max="35" width="12.625" style="91"/>
    <col min="36" max="38" width="14.125" style="91"/>
    <col min="39" max="39" width="11.125" style="91"/>
    <col min="40" max="40" width="10.125" style="91"/>
    <col min="41" max="43" width="9" style="91"/>
    <col min="44" max="44" width="11.125" style="91"/>
    <col min="45" max="16384" width="9" style="91"/>
  </cols>
  <sheetData>
    <row r="1" ht="13.5" customHeight="1" spans="1:31">
      <c r="A1" s="128" t="s">
        <v>114</v>
      </c>
      <c r="B1" s="129"/>
      <c r="C1" s="129"/>
      <c r="D1" s="129"/>
      <c r="E1" s="129"/>
      <c r="F1" s="129"/>
      <c r="G1" s="129"/>
      <c r="H1" s="129"/>
      <c r="I1" s="129"/>
      <c r="J1" s="136"/>
      <c r="K1" s="128" t="s">
        <v>115</v>
      </c>
      <c r="L1" s="129"/>
      <c r="M1" s="129"/>
      <c r="N1" s="137" t="s">
        <v>116</v>
      </c>
      <c r="O1" s="138">
        <v>20</v>
      </c>
      <c r="P1" s="106"/>
      <c r="Q1" s="106"/>
      <c r="R1" s="129"/>
      <c r="S1" s="129"/>
      <c r="T1" s="129"/>
      <c r="U1" s="129"/>
      <c r="V1" s="129"/>
      <c r="X1" s="142" t="s">
        <v>117</v>
      </c>
      <c r="Y1" s="148"/>
      <c r="Z1" s="92"/>
      <c r="AA1" s="148"/>
      <c r="AB1" s="92"/>
      <c r="AC1" s="148"/>
      <c r="AD1" s="92"/>
      <c r="AE1" s="92"/>
    </row>
    <row r="2" ht="13.5" customHeight="1" spans="1:33">
      <c r="A2" s="128" t="s">
        <v>118</v>
      </c>
      <c r="B2" s="130"/>
      <c r="C2" s="130"/>
      <c r="D2" s="130"/>
      <c r="E2" s="130"/>
      <c r="F2" s="130"/>
      <c r="G2" s="130"/>
      <c r="H2" s="130"/>
      <c r="I2" s="130"/>
      <c r="J2" s="136"/>
      <c r="K2" s="128"/>
      <c r="L2" s="130"/>
      <c r="M2" s="130"/>
      <c r="N2" s="137" t="s">
        <v>119</v>
      </c>
      <c r="O2" s="138">
        <v>10</v>
      </c>
      <c r="P2" s="139"/>
      <c r="Q2" s="143"/>
      <c r="R2" s="144"/>
      <c r="S2" s="145"/>
      <c r="T2" s="130"/>
      <c r="U2" s="130"/>
      <c r="V2" s="130"/>
      <c r="W2" s="130"/>
      <c r="X2" s="130"/>
      <c r="Z2" s="142"/>
      <c r="AA2" s="148"/>
      <c r="AB2" s="92"/>
      <c r="AC2" s="148"/>
      <c r="AD2" s="92"/>
      <c r="AE2" s="92"/>
      <c r="AF2" s="149"/>
      <c r="AG2" s="121" t="s">
        <v>120</v>
      </c>
    </row>
    <row r="3" ht="13.5" customHeight="1" spans="1:37">
      <c r="A3" s="129" t="s">
        <v>121</v>
      </c>
      <c r="B3" s="131"/>
      <c r="C3" s="131"/>
      <c r="D3" s="131"/>
      <c r="E3" s="131"/>
      <c r="F3" s="131"/>
      <c r="G3" s="131"/>
      <c r="H3" s="131"/>
      <c r="I3" s="131"/>
      <c r="J3" s="140"/>
      <c r="K3" s="129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X3" s="142" t="s">
        <v>122</v>
      </c>
      <c r="Y3" s="150" t="str">
        <f>A3</f>
        <v>0h</v>
      </c>
      <c r="Z3" s="150" t="str">
        <f>A26</f>
        <v>2h</v>
      </c>
      <c r="AA3" s="150" t="str">
        <f>A49</f>
        <v>8h</v>
      </c>
      <c r="AB3" s="150" t="str">
        <f>A72</f>
        <v>24h</v>
      </c>
      <c r="AC3" s="809" t="str">
        <f>A95</f>
        <v>48h</v>
      </c>
      <c r="AD3" s="150" t="str">
        <f>A118</f>
        <v>72h</v>
      </c>
      <c r="AE3" s="150" t="str">
        <f>A141</f>
        <v>96h</v>
      </c>
      <c r="AG3" s="106" t="s">
        <v>123</v>
      </c>
      <c r="AH3" s="157" t="s">
        <v>124</v>
      </c>
      <c r="AI3" s="157" t="s">
        <v>125</v>
      </c>
      <c r="AJ3" s="157" t="s">
        <v>126</v>
      </c>
      <c r="AK3" s="157" t="s">
        <v>127</v>
      </c>
    </row>
    <row r="4" spans="1:41">
      <c r="A4" s="132" t="s">
        <v>128</v>
      </c>
      <c r="B4" s="133">
        <v>17.68</v>
      </c>
      <c r="C4" s="133">
        <v>31.58</v>
      </c>
      <c r="D4" s="133">
        <v>54.25</v>
      </c>
      <c r="E4" s="133">
        <v>82.31</v>
      </c>
      <c r="F4" s="133">
        <v>106.26</v>
      </c>
      <c r="G4" s="133">
        <v>125.73</v>
      </c>
      <c r="H4" s="133">
        <v>142.56</v>
      </c>
      <c r="I4" s="133">
        <v>150.78</v>
      </c>
      <c r="J4" s="133"/>
      <c r="K4" s="132" t="str">
        <f>A4</f>
        <v>R/Z[cm]</v>
      </c>
      <c r="L4" s="141">
        <v>0</v>
      </c>
      <c r="M4" s="141">
        <f>SQRT(L4*L4+150*150/10)</f>
        <v>47.4341649025257</v>
      </c>
      <c r="N4" s="141">
        <f t="shared" ref="N4:V4" si="0">SQRT(M4*M4+150*150/10)</f>
        <v>67.0820393249937</v>
      </c>
      <c r="O4" s="141">
        <f t="shared" si="0"/>
        <v>82.1583836257749</v>
      </c>
      <c r="P4" s="141">
        <f t="shared" si="0"/>
        <v>94.8683298050514</v>
      </c>
      <c r="Q4" s="141">
        <f t="shared" si="0"/>
        <v>106.066017177982</v>
      </c>
      <c r="R4" s="141">
        <f t="shared" si="0"/>
        <v>116.189500386223</v>
      </c>
      <c r="S4" s="141">
        <f t="shared" si="0"/>
        <v>125.499003980111</v>
      </c>
      <c r="T4" s="141">
        <f t="shared" si="0"/>
        <v>134.164078649987</v>
      </c>
      <c r="U4" s="141">
        <f t="shared" si="0"/>
        <v>142.302494707577</v>
      </c>
      <c r="V4" s="141">
        <f t="shared" si="0"/>
        <v>150</v>
      </c>
      <c r="X4" s="142">
        <v>0</v>
      </c>
      <c r="Y4" s="92"/>
      <c r="Z4" s="92"/>
      <c r="AA4" s="92"/>
      <c r="AB4" s="92"/>
      <c r="AC4" s="92"/>
      <c r="AD4" s="92"/>
      <c r="AE4" s="92"/>
      <c r="AG4" s="106"/>
      <c r="AH4" s="106"/>
      <c r="AI4" s="106"/>
      <c r="AJ4" s="106"/>
      <c r="AK4" s="106"/>
      <c r="AL4" s="158"/>
      <c r="AM4" s="158"/>
      <c r="AN4" s="158"/>
      <c r="AO4" s="158"/>
    </row>
    <row r="5" spans="1:42">
      <c r="A5" s="132">
        <v>27.5</v>
      </c>
      <c r="B5" s="133">
        <v>280.89</v>
      </c>
      <c r="C5" s="133">
        <v>280.56</v>
      </c>
      <c r="D5" s="133">
        <v>279.65</v>
      </c>
      <c r="E5" s="133">
        <v>278.05</v>
      </c>
      <c r="F5" s="133">
        <v>276.31</v>
      </c>
      <c r="G5" s="133">
        <v>274.93</v>
      </c>
      <c r="H5" s="133">
        <v>274.66</v>
      </c>
      <c r="I5" s="133">
        <v>270.37</v>
      </c>
      <c r="J5" s="133"/>
      <c r="K5" s="132">
        <f>A5</f>
        <v>27.5</v>
      </c>
      <c r="L5" s="133">
        <f>TREND(B5:C5,B$4:C$4,L$4)</f>
        <v>281.309741007194</v>
      </c>
      <c r="M5" s="133">
        <f>TREND(C5:D5,C$4:D$4,M$4)</f>
        <v>279.923595497958</v>
      </c>
      <c r="N5" s="133">
        <f>TREND(D5:E5,D$4:E$4,N$4)</f>
        <v>278.918308520314</v>
      </c>
      <c r="O5" s="133">
        <f>TREND(D5:E5,D$4:E$4,O$4)</f>
        <v>278.05864526724</v>
      </c>
      <c r="P5" s="133">
        <f>TREND(E5:F5,E$4:F$4,P$4)</f>
        <v>277.137620298088</v>
      </c>
      <c r="Q5" s="133">
        <f>TREND(E5:F5,E$4:F$4,Q$4)</f>
        <v>276.324093115253</v>
      </c>
      <c r="R5" s="133">
        <f>TREND(F5:G5,F$4:G$4,R$4)</f>
        <v>275.60621414828</v>
      </c>
      <c r="S5" s="133">
        <f>TREND(F5:G5,F$4:G$4,S$4)</f>
        <v>274.946372599253</v>
      </c>
      <c r="T5" s="133">
        <f>TREND(G5:H5,G$4:H$4,T$4)</f>
        <v>274.794693925401</v>
      </c>
      <c r="U5" s="133">
        <f>TREND(G5:H5,G$4:H$4,U$4)</f>
        <v>274.664131100948</v>
      </c>
      <c r="V5" s="133">
        <f>TREND(H5:I5,H$4:I$4,V$4)</f>
        <v>270.777080291971</v>
      </c>
      <c r="X5" s="142">
        <v>400</v>
      </c>
      <c r="Y5" s="151">
        <f ca="1">COUNTIFS(OFFSET($L$5,0,0,$O$1,$O$2),"&lt;="&amp;($X5),OFFSET($L$5,0,0,$O$1,$O$2),"&gt;"&amp;($X4))/$O$1/$O$2</f>
        <v>0.225</v>
      </c>
      <c r="Z5" s="151">
        <f ca="1">COUNTIFS(OFFSET($L$28,0,0,$O$1,$O$2),"&lt;="&amp;($X5),OFFSET($L$28,0,0,$O$1,$O$2),"&gt;"&amp;($X4))/$O$1/$O$2</f>
        <v>0.07</v>
      </c>
      <c r="AA5" s="151">
        <f ca="1">COUNTIFS(OFFSET($L$51,0,0,$O$1,$O$2),"&lt;="&amp;($X5),OFFSET($L$51,0,0,$O$1,$O$2),"&gt;"&amp;($X4))/$O$1/$O$2</f>
        <v>0.01</v>
      </c>
      <c r="AB5" s="151">
        <f ca="1">COUNTIFS(OFFSET($L$74,0,0,$O$1,$O$2),"&lt;="&amp;($X5),OFFSET($L$74,0,0,$O$1,$O$2),"&gt;"&amp;($X4))/$O$1/$O$2</f>
        <v>0.005</v>
      </c>
      <c r="AC5" s="151">
        <f ca="1">COUNTIFS(OFFSET($L$97,0,0,$O$1,$O$2),"&lt;="&amp;($X5),OFFSET($L$97,0,0,$O$1,$O$2),"&gt;"&amp;($X4))/$O$1/$O$2</f>
        <v>0</v>
      </c>
      <c r="AD5" s="151">
        <f ca="1">COUNTIFS(OFFSET($L$120,0,0,$O$1,$O$2),"&lt;="&amp;($X5),OFFSET($L$120,0,0,$O$1,$O$2),"&gt;"&amp;($X4))/$O$1/$O$2</f>
        <v>0</v>
      </c>
      <c r="AE5" s="151">
        <f ca="1">COUNTIFS(OFFSET($L$143,0,0,$O$1,$O$2),"&lt;="&amp;($X5),OFFSET($L$143,0,0,$O$1,$O$2),"&gt;"&amp;($X4))/$O$1/$O$2</f>
        <v>0</v>
      </c>
      <c r="AG5" s="106">
        <v>400</v>
      </c>
      <c r="AH5" s="106"/>
      <c r="AI5" s="106"/>
      <c r="AJ5" s="106"/>
      <c r="AK5" s="106"/>
      <c r="AL5" s="158"/>
      <c r="AM5" s="158"/>
      <c r="AN5" s="158"/>
      <c r="AO5" s="158"/>
      <c r="AP5" s="158"/>
    </row>
    <row r="6" spans="1:44">
      <c r="A6" s="132">
        <v>82.5</v>
      </c>
      <c r="B6" s="133">
        <v>310.73</v>
      </c>
      <c r="C6" s="133">
        <v>309.79</v>
      </c>
      <c r="D6" s="133">
        <v>307.32</v>
      </c>
      <c r="E6" s="133">
        <v>302.79</v>
      </c>
      <c r="F6" s="133">
        <v>297.88</v>
      </c>
      <c r="G6" s="133">
        <v>294.08</v>
      </c>
      <c r="H6" s="133">
        <v>292.75</v>
      </c>
      <c r="I6" s="133">
        <v>283.93</v>
      </c>
      <c r="J6" s="133"/>
      <c r="K6" s="132">
        <f t="shared" ref="K6:K24" si="1">A6</f>
        <v>82.5</v>
      </c>
      <c r="L6" s="133">
        <f t="shared" ref="L6:L24" si="2">TREND(B6:C6,B$4:C$4,L$4)</f>
        <v>311.925625899281</v>
      </c>
      <c r="M6" s="133">
        <f t="shared" ref="M6:M24" si="3">TREND(C6:D6,C$4:D$4,M$4)</f>
        <v>308.0626163516</v>
      </c>
      <c r="N6" s="133">
        <f t="shared" ref="N6:N24" si="4">TREND(D6:E6,D$4:E$4,N$4)</f>
        <v>305.248398498139</v>
      </c>
      <c r="O6" s="133">
        <f t="shared" ref="O6:O24" si="5">TREND(D6:E6,D$4:E$4,O$4)</f>
        <v>302.814476912874</v>
      </c>
      <c r="P6" s="133">
        <f t="shared" ref="P6:P24" si="6">TREND(E6:F6,E$4:F$4,P$4)</f>
        <v>300.215411300927</v>
      </c>
      <c r="Q6" s="133">
        <f t="shared" ref="Q6:Q24" si="7">TREND(E6:F6,E$4:F$4,Q$4)</f>
        <v>297.919768503387</v>
      </c>
      <c r="R6" s="133">
        <f t="shared" ref="R6:R24" si="8">TREND(F6:G6,F$4:G$4,R$4)</f>
        <v>295.942038959032</v>
      </c>
      <c r="S6" s="133">
        <f t="shared" ref="S6:S24" si="9">TREND(F6:G6,F$4:G$4,S$4)</f>
        <v>294.125083968956</v>
      </c>
      <c r="T6" s="133">
        <f t="shared" ref="T6:T24" si="10">TREND(G6:H6,G$4:H$4,T$4)</f>
        <v>293.413492299199</v>
      </c>
      <c r="U6" s="133">
        <f t="shared" ref="U6:U24" si="11">TREND(G6:H6,G$4:H$4,U$4)</f>
        <v>292.770349497262</v>
      </c>
      <c r="V6" s="133">
        <f t="shared" ref="V6:V24" si="12">TREND(H6:I6,H$4:I$4,V$4)</f>
        <v>284.766934306569</v>
      </c>
      <c r="X6" s="142">
        <v>500</v>
      </c>
      <c r="Y6" s="151">
        <f ca="1" t="shared" ref="Y6:Y18" si="13">COUNTIFS(OFFSET($L$5,0,0,$O$1,$O$2),"&lt;="&amp;($X6),OFFSET($L$5,0,0,$O$1,$O$2),"&gt;"&amp;($X5))/$O$1/$O$2</f>
        <v>0.095</v>
      </c>
      <c r="Z6" s="151">
        <f ca="1" t="shared" ref="Z6:Z18" si="14">COUNTIFS(OFFSET($L$28,0,0,$O$1,$O$2),"&lt;="&amp;($X6),OFFSET($L$28,0,0,$O$1,$O$2),"&gt;"&amp;($X5))/$O$1/$O$2</f>
        <v>0.075</v>
      </c>
      <c r="AA6" s="151">
        <f ca="1" t="shared" ref="AA6:AA18" si="15">COUNTIFS(OFFSET($L$51,0,0,$O$1,$O$2),"&lt;="&amp;($X6),OFFSET($L$51,0,0,$O$1,$O$2),"&gt;"&amp;($X5))/$O$1/$O$2</f>
        <v>0.045</v>
      </c>
      <c r="AB6" s="151">
        <f ca="1" t="shared" ref="AB6:AB18" si="16">COUNTIFS(OFFSET($L$74,0,0,$O$1,$O$2),"&lt;="&amp;($X6),OFFSET($L$74,0,0,$O$1,$O$2),"&gt;"&amp;($X5))/$O$1/$O$2</f>
        <v>0.025</v>
      </c>
      <c r="AC6" s="151">
        <f ca="1" t="shared" ref="AC6:AC18" si="17">COUNTIFS(OFFSET($L$97,0,0,$O$1,$O$2),"&lt;="&amp;($X6),OFFSET($L$97,0,0,$O$1,$O$2),"&gt;"&amp;($X5))/$O$1/$O$2</f>
        <v>0.01</v>
      </c>
      <c r="AD6" s="151">
        <f ca="1" t="shared" ref="AD6:AD18" si="18">COUNTIFS(OFFSET($L$120,0,0,$O$1,$O$2),"&lt;="&amp;($X6),OFFSET($L$120,0,0,$O$1,$O$2),"&gt;"&amp;($X5))/$O$1/$O$2</f>
        <v>0.01</v>
      </c>
      <c r="AE6" s="151">
        <f ca="1" t="shared" ref="AE6:AE18" si="19">COUNTIFS(OFFSET($L$143,0,0,$O$1,$O$2),"&lt;="&amp;($X6),OFFSET($L$143,0,0,$O$1,$O$2),"&gt;"&amp;($X5))/$O$1/$O$2</f>
        <v>0.01</v>
      </c>
      <c r="AG6" s="106">
        <v>500</v>
      </c>
      <c r="AH6" s="106"/>
      <c r="AI6" s="106"/>
      <c r="AJ6" s="106"/>
      <c r="AK6" s="106"/>
      <c r="AL6" s="158"/>
      <c r="AM6" s="158"/>
      <c r="AN6" s="158"/>
      <c r="AO6" s="158"/>
      <c r="AP6" s="158"/>
      <c r="AQ6" s="158"/>
      <c r="AR6" s="158"/>
    </row>
    <row r="7" spans="1:37">
      <c r="A7" s="132">
        <v>137.5</v>
      </c>
      <c r="B7" s="133">
        <v>349.36</v>
      </c>
      <c r="C7" s="133">
        <v>347.62</v>
      </c>
      <c r="D7" s="133">
        <v>343.16</v>
      </c>
      <c r="E7" s="133">
        <v>335.01</v>
      </c>
      <c r="F7" s="133">
        <v>326.28</v>
      </c>
      <c r="G7" s="133">
        <v>319.56</v>
      </c>
      <c r="H7" s="133">
        <v>316.87</v>
      </c>
      <c r="I7" s="133">
        <v>304.88</v>
      </c>
      <c r="J7" s="133"/>
      <c r="K7" s="132">
        <f t="shared" si="1"/>
        <v>137.5</v>
      </c>
      <c r="L7" s="133">
        <f t="shared" si="2"/>
        <v>351.573179856115</v>
      </c>
      <c r="M7" s="133">
        <f t="shared" si="3"/>
        <v>344.500918594386</v>
      </c>
      <c r="N7" s="133">
        <f t="shared" si="4"/>
        <v>339.432946525349</v>
      </c>
      <c r="O7" s="133">
        <f t="shared" si="5"/>
        <v>335.054036830005</v>
      </c>
      <c r="P7" s="133">
        <f t="shared" si="6"/>
        <v>330.432370805925</v>
      </c>
      <c r="Q7" s="133">
        <f t="shared" si="7"/>
        <v>326.350708561011</v>
      </c>
      <c r="R7" s="133">
        <f t="shared" si="8"/>
        <v>322.852868895973</v>
      </c>
      <c r="S7" s="133">
        <f t="shared" si="9"/>
        <v>319.639727439838</v>
      </c>
      <c r="T7" s="133">
        <f t="shared" si="10"/>
        <v>318.211950590109</v>
      </c>
      <c r="U7" s="133">
        <f t="shared" si="11"/>
        <v>316.911158005741</v>
      </c>
      <c r="V7" s="133">
        <f t="shared" si="12"/>
        <v>306.017737226277</v>
      </c>
      <c r="X7" s="142">
        <v>600</v>
      </c>
      <c r="Y7" s="151">
        <f ca="1" t="shared" si="13"/>
        <v>0.1</v>
      </c>
      <c r="Z7" s="151">
        <f ca="1" t="shared" si="14"/>
        <v>0.085</v>
      </c>
      <c r="AA7" s="151">
        <f ca="1" t="shared" si="15"/>
        <v>0.055</v>
      </c>
      <c r="AB7" s="151">
        <f ca="1" t="shared" si="16"/>
        <v>0.075</v>
      </c>
      <c r="AC7" s="151">
        <f ca="1" t="shared" si="17"/>
        <v>0.06</v>
      </c>
      <c r="AD7" s="151">
        <f ca="1" t="shared" si="18"/>
        <v>0.06</v>
      </c>
      <c r="AE7" s="151">
        <f ca="1" t="shared" si="19"/>
        <v>0.07</v>
      </c>
      <c r="AG7" s="106">
        <v>600</v>
      </c>
      <c r="AH7" s="159">
        <v>0.2366</v>
      </c>
      <c r="AI7" s="159">
        <v>0.1263</v>
      </c>
      <c r="AJ7" s="159">
        <v>0.1156</v>
      </c>
      <c r="AK7" s="159">
        <v>0.1156</v>
      </c>
    </row>
    <row r="8" spans="1:37">
      <c r="A8" s="132">
        <v>192.5</v>
      </c>
      <c r="B8" s="133">
        <v>395.14</v>
      </c>
      <c r="C8" s="133">
        <v>392.45</v>
      </c>
      <c r="D8" s="133">
        <v>385.74</v>
      </c>
      <c r="E8" s="133">
        <v>373.61</v>
      </c>
      <c r="F8" s="133">
        <v>360.68</v>
      </c>
      <c r="G8" s="133">
        <v>350.76</v>
      </c>
      <c r="H8" s="133">
        <v>346.58</v>
      </c>
      <c r="I8" s="133">
        <v>330.95</v>
      </c>
      <c r="J8" s="133"/>
      <c r="K8" s="132">
        <f t="shared" si="1"/>
        <v>192.5</v>
      </c>
      <c r="L8" s="133">
        <f t="shared" si="2"/>
        <v>398.561525179856</v>
      </c>
      <c r="M8" s="133">
        <f t="shared" si="3"/>
        <v>387.757390979446</v>
      </c>
      <c r="N8" s="133">
        <f t="shared" si="4"/>
        <v>380.19286396963</v>
      </c>
      <c r="O8" s="133">
        <f t="shared" si="5"/>
        <v>373.675541932265</v>
      </c>
      <c r="P8" s="133">
        <f t="shared" si="6"/>
        <v>366.830074973724</v>
      </c>
      <c r="Q8" s="133">
        <f t="shared" si="7"/>
        <v>360.784726425415</v>
      </c>
      <c r="R8" s="133">
        <f t="shared" si="8"/>
        <v>355.620901703578</v>
      </c>
      <c r="S8" s="133">
        <f t="shared" si="9"/>
        <v>350.87769288738</v>
      </c>
      <c r="T8" s="133">
        <f t="shared" si="10"/>
        <v>348.665261511768</v>
      </c>
      <c r="U8" s="133">
        <f t="shared" si="11"/>
        <v>346.643955562824</v>
      </c>
      <c r="V8" s="133">
        <f t="shared" si="12"/>
        <v>332.433138686131</v>
      </c>
      <c r="X8" s="142">
        <v>700</v>
      </c>
      <c r="Y8" s="151">
        <f ca="1" t="shared" si="13"/>
        <v>0.135</v>
      </c>
      <c r="Z8" s="151">
        <f ca="1" t="shared" si="14"/>
        <v>0.13</v>
      </c>
      <c r="AA8" s="151">
        <f ca="1" t="shared" si="15"/>
        <v>0.095</v>
      </c>
      <c r="AB8" s="151">
        <f ca="1" t="shared" si="16"/>
        <v>0.075</v>
      </c>
      <c r="AC8" s="151">
        <f ca="1" t="shared" si="17"/>
        <v>0.075</v>
      </c>
      <c r="AD8" s="151">
        <f ca="1" t="shared" si="18"/>
        <v>0.085</v>
      </c>
      <c r="AE8" s="151">
        <f ca="1" t="shared" si="19"/>
        <v>0.085</v>
      </c>
      <c r="AG8" s="106">
        <v>700</v>
      </c>
      <c r="AH8" s="159">
        <v>0.1616</v>
      </c>
      <c r="AI8" s="159">
        <v>0.1121</v>
      </c>
      <c r="AJ8" s="159">
        <v>0.0832</v>
      </c>
      <c r="AK8" s="159">
        <v>0.0878</v>
      </c>
    </row>
    <row r="9" spans="1:37">
      <c r="A9" s="132">
        <v>241.5</v>
      </c>
      <c r="B9" s="133">
        <v>440.29</v>
      </c>
      <c r="C9" s="133">
        <v>436.65</v>
      </c>
      <c r="D9" s="133">
        <v>427.88</v>
      </c>
      <c r="E9" s="133">
        <v>412.28</v>
      </c>
      <c r="F9" s="133">
        <v>395.78</v>
      </c>
      <c r="G9" s="133">
        <v>383.35</v>
      </c>
      <c r="H9" s="133">
        <v>378.2</v>
      </c>
      <c r="I9" s="133">
        <v>358.93</v>
      </c>
      <c r="J9" s="133"/>
      <c r="K9" s="132">
        <f t="shared" si="1"/>
        <v>241.5</v>
      </c>
      <c r="L9" s="133">
        <f t="shared" si="2"/>
        <v>444.919870503597</v>
      </c>
      <c r="M9" s="133">
        <f t="shared" si="3"/>
        <v>430.516739029768</v>
      </c>
      <c r="N9" s="133">
        <f t="shared" si="4"/>
        <v>420.746008073061</v>
      </c>
      <c r="O9" s="133">
        <f t="shared" si="5"/>
        <v>412.364291355592</v>
      </c>
      <c r="P9" s="133">
        <f t="shared" si="6"/>
        <v>403.628123516353</v>
      </c>
      <c r="Q9" s="133">
        <f t="shared" si="7"/>
        <v>395.913641610158</v>
      </c>
      <c r="R9" s="133">
        <f t="shared" si="8"/>
        <v>389.440827437044</v>
      </c>
      <c r="S9" s="133">
        <f t="shared" si="9"/>
        <v>383.497472035296</v>
      </c>
      <c r="T9" s="133">
        <f t="shared" si="10"/>
        <v>380.769161910432</v>
      </c>
      <c r="U9" s="133">
        <f t="shared" si="11"/>
        <v>378.278796925489</v>
      </c>
      <c r="V9" s="133">
        <f t="shared" si="12"/>
        <v>360.758540145985</v>
      </c>
      <c r="X9" s="142">
        <v>800</v>
      </c>
      <c r="Y9" s="151">
        <f ca="1" t="shared" si="13"/>
        <v>0.205</v>
      </c>
      <c r="Z9" s="151">
        <f ca="1" t="shared" si="14"/>
        <v>0.13</v>
      </c>
      <c r="AA9" s="151">
        <f ca="1" t="shared" si="15"/>
        <v>0.145</v>
      </c>
      <c r="AB9" s="151">
        <f ca="1" t="shared" si="16"/>
        <v>0.12</v>
      </c>
      <c r="AC9" s="151">
        <f ca="1" t="shared" si="17"/>
        <v>0.075</v>
      </c>
      <c r="AD9" s="151">
        <f ca="1" t="shared" si="18"/>
        <v>0.075</v>
      </c>
      <c r="AE9" s="151">
        <f ca="1" t="shared" si="19"/>
        <v>0.095</v>
      </c>
      <c r="AG9" s="106">
        <v>800</v>
      </c>
      <c r="AH9" s="159">
        <v>0.134</v>
      </c>
      <c r="AI9" s="159">
        <v>0.163</v>
      </c>
      <c r="AJ9" s="159">
        <v>0.1064</v>
      </c>
      <c r="AK9" s="159">
        <v>0.1102</v>
      </c>
    </row>
    <row r="10" spans="1:37">
      <c r="A10" s="132">
        <v>296.5</v>
      </c>
      <c r="B10" s="133">
        <v>499.84</v>
      </c>
      <c r="C10" s="133">
        <v>495.05</v>
      </c>
      <c r="D10" s="133">
        <v>483.75</v>
      </c>
      <c r="E10" s="133">
        <v>464.01</v>
      </c>
      <c r="F10" s="133">
        <v>443.62</v>
      </c>
      <c r="G10" s="133">
        <v>429.12</v>
      </c>
      <c r="H10" s="133">
        <v>423.34</v>
      </c>
      <c r="I10" s="133">
        <v>391.86</v>
      </c>
      <c r="J10" s="133"/>
      <c r="K10" s="132">
        <f t="shared" si="1"/>
        <v>296.5</v>
      </c>
      <c r="L10" s="133">
        <f t="shared" si="2"/>
        <v>505.932604316547</v>
      </c>
      <c r="M10" s="133">
        <f t="shared" si="3"/>
        <v>487.14739464497</v>
      </c>
      <c r="N10" s="133">
        <f t="shared" si="4"/>
        <v>474.722756369374</v>
      </c>
      <c r="O10" s="133">
        <f t="shared" si="5"/>
        <v>464.116660984576</v>
      </c>
      <c r="P10" s="133">
        <f t="shared" si="6"/>
        <v>453.318378090814</v>
      </c>
      <c r="Q10" s="133">
        <f t="shared" si="7"/>
        <v>443.78514863219</v>
      </c>
      <c r="R10" s="133">
        <f t="shared" si="8"/>
        <v>436.225148659465</v>
      </c>
      <c r="S10" s="133">
        <f t="shared" si="9"/>
        <v>429.292030934175</v>
      </c>
      <c r="T10" s="133">
        <f t="shared" si="10"/>
        <v>426.223447736368</v>
      </c>
      <c r="U10" s="133">
        <f t="shared" si="11"/>
        <v>423.428436161034</v>
      </c>
      <c r="V10" s="133">
        <f t="shared" si="12"/>
        <v>394.847153284672</v>
      </c>
      <c r="X10" s="142">
        <v>900</v>
      </c>
      <c r="Y10" s="151">
        <f ca="1" t="shared" si="13"/>
        <v>0.18</v>
      </c>
      <c r="Z10" s="151">
        <f ca="1" t="shared" si="14"/>
        <v>0.17</v>
      </c>
      <c r="AA10" s="151">
        <f ca="1" t="shared" si="15"/>
        <v>0.14</v>
      </c>
      <c r="AB10" s="151">
        <f ca="1" t="shared" si="16"/>
        <v>0.14</v>
      </c>
      <c r="AC10" s="151">
        <f ca="1" t="shared" si="17"/>
        <v>0.11</v>
      </c>
      <c r="AD10" s="151">
        <f ca="1" t="shared" si="18"/>
        <v>0.115</v>
      </c>
      <c r="AE10" s="151">
        <f ca="1" t="shared" si="19"/>
        <v>0.105</v>
      </c>
      <c r="AG10" s="106">
        <v>900</v>
      </c>
      <c r="AH10" s="159">
        <v>0.1599</v>
      </c>
      <c r="AI10" s="159">
        <v>0.1408</v>
      </c>
      <c r="AJ10" s="159">
        <v>0.1704</v>
      </c>
      <c r="AK10" s="159">
        <v>0.1573</v>
      </c>
    </row>
    <row r="11" spans="1:37">
      <c r="A11" s="132">
        <v>357.5</v>
      </c>
      <c r="B11" s="133">
        <v>561.89</v>
      </c>
      <c r="C11" s="133">
        <v>555.9</v>
      </c>
      <c r="D11" s="133">
        <v>542.07</v>
      </c>
      <c r="E11" s="133">
        <v>518.34</v>
      </c>
      <c r="F11" s="133">
        <v>494.26</v>
      </c>
      <c r="G11" s="133">
        <v>477.45</v>
      </c>
      <c r="H11" s="133">
        <v>470.72</v>
      </c>
      <c r="I11" s="133">
        <v>439.49</v>
      </c>
      <c r="J11" s="133"/>
      <c r="K11" s="132">
        <f t="shared" si="1"/>
        <v>357.5</v>
      </c>
      <c r="L11" s="133">
        <f t="shared" si="2"/>
        <v>569.508935251799</v>
      </c>
      <c r="M11" s="133">
        <f t="shared" si="3"/>
        <v>546.228050260171</v>
      </c>
      <c r="N11" s="133">
        <f t="shared" si="4"/>
        <v>531.218100741907</v>
      </c>
      <c r="O11" s="133">
        <f t="shared" si="5"/>
        <v>518.468220119756</v>
      </c>
      <c r="P11" s="133">
        <f t="shared" si="6"/>
        <v>505.71350389538</v>
      </c>
      <c r="Q11" s="133">
        <f t="shared" si="7"/>
        <v>494.455035755916</v>
      </c>
      <c r="R11" s="133">
        <f t="shared" si="8"/>
        <v>485.687072342455</v>
      </c>
      <c r="S11" s="133">
        <f t="shared" si="9"/>
        <v>477.649437241619</v>
      </c>
      <c r="T11" s="133">
        <f t="shared" si="10"/>
        <v>474.077370807224</v>
      </c>
      <c r="U11" s="133">
        <f t="shared" si="11"/>
        <v>470.822971516221</v>
      </c>
      <c r="V11" s="133">
        <f t="shared" si="12"/>
        <v>442.453430656934</v>
      </c>
      <c r="X11" s="142">
        <v>1000</v>
      </c>
      <c r="Y11" s="151">
        <f ca="1" t="shared" si="13"/>
        <v>0.06</v>
      </c>
      <c r="Z11" s="151">
        <f ca="1" t="shared" si="14"/>
        <v>0.205</v>
      </c>
      <c r="AA11" s="151">
        <f ca="1" t="shared" si="15"/>
        <v>0.155</v>
      </c>
      <c r="AB11" s="151">
        <f ca="1" t="shared" si="16"/>
        <v>0.14</v>
      </c>
      <c r="AC11" s="151">
        <f ca="1" t="shared" si="17"/>
        <v>0.125</v>
      </c>
      <c r="AD11" s="151">
        <f ca="1" t="shared" si="18"/>
        <v>0.13</v>
      </c>
      <c r="AE11" s="151">
        <f ca="1" t="shared" si="19"/>
        <v>0.14</v>
      </c>
      <c r="AG11" s="106">
        <v>1000</v>
      </c>
      <c r="AH11" s="159">
        <v>0.1237</v>
      </c>
      <c r="AI11" s="159">
        <v>0.1368</v>
      </c>
      <c r="AJ11" s="159">
        <v>0.1547</v>
      </c>
      <c r="AK11" s="159">
        <v>0.1701</v>
      </c>
    </row>
    <row r="12" spans="1:37">
      <c r="A12" s="132">
        <v>412.5</v>
      </c>
      <c r="B12" s="133">
        <v>619.11</v>
      </c>
      <c r="C12" s="133">
        <v>611.97</v>
      </c>
      <c r="D12" s="133">
        <v>595.81</v>
      </c>
      <c r="E12" s="133">
        <v>568.63</v>
      </c>
      <c r="F12" s="133">
        <v>541.42</v>
      </c>
      <c r="G12" s="133">
        <v>522.52</v>
      </c>
      <c r="H12" s="133">
        <v>515.17</v>
      </c>
      <c r="I12" s="133">
        <v>485.16</v>
      </c>
      <c r="J12" s="133"/>
      <c r="K12" s="132">
        <f t="shared" si="1"/>
        <v>412.5</v>
      </c>
      <c r="L12" s="133">
        <f t="shared" si="2"/>
        <v>628.191669064748</v>
      </c>
      <c r="M12" s="133">
        <f t="shared" si="3"/>
        <v>600.6685749967</v>
      </c>
      <c r="N12" s="133">
        <f t="shared" si="4"/>
        <v>583.380390988834</v>
      </c>
      <c r="O12" s="133">
        <f t="shared" si="5"/>
        <v>568.776861477243</v>
      </c>
      <c r="P12" s="133">
        <f t="shared" si="6"/>
        <v>554.36226914424</v>
      </c>
      <c r="Q12" s="133">
        <f t="shared" si="7"/>
        <v>541.640387164388</v>
      </c>
      <c r="R12" s="133">
        <f t="shared" si="8"/>
        <v>531.781193769923</v>
      </c>
      <c r="S12" s="133">
        <f t="shared" si="9"/>
        <v>522.744233424545</v>
      </c>
      <c r="T12" s="133">
        <f t="shared" si="10"/>
        <v>518.836667969257</v>
      </c>
      <c r="U12" s="133">
        <f t="shared" si="11"/>
        <v>515.282457748028</v>
      </c>
      <c r="V12" s="133">
        <f t="shared" si="12"/>
        <v>488.007664233577</v>
      </c>
      <c r="X12" s="142">
        <v>1100</v>
      </c>
      <c r="Y12" s="151">
        <f ca="1" t="shared" si="13"/>
        <v>0</v>
      </c>
      <c r="Z12" s="151">
        <f ca="1" t="shared" si="14"/>
        <v>0.135</v>
      </c>
      <c r="AA12" s="151">
        <f ca="1" t="shared" si="15"/>
        <v>0.125</v>
      </c>
      <c r="AB12" s="151">
        <f ca="1" t="shared" si="16"/>
        <v>0.125</v>
      </c>
      <c r="AC12" s="151">
        <f ca="1" t="shared" si="17"/>
        <v>0.15</v>
      </c>
      <c r="AD12" s="151">
        <f ca="1" t="shared" si="18"/>
        <v>0.16</v>
      </c>
      <c r="AE12" s="151">
        <f ca="1" t="shared" si="19"/>
        <v>0.17</v>
      </c>
      <c r="AG12" s="106">
        <v>1100</v>
      </c>
      <c r="AH12" s="159">
        <v>0.0896</v>
      </c>
      <c r="AI12" s="159">
        <v>0.0988</v>
      </c>
      <c r="AJ12" s="159">
        <v>0.1397</v>
      </c>
      <c r="AK12" s="159">
        <v>0.1433</v>
      </c>
    </row>
    <row r="13" spans="1:37">
      <c r="A13" s="132">
        <v>467.5</v>
      </c>
      <c r="B13" s="133">
        <v>674.13</v>
      </c>
      <c r="C13" s="133">
        <v>665.84</v>
      </c>
      <c r="D13" s="133">
        <v>647.5</v>
      </c>
      <c r="E13" s="133">
        <v>617.17</v>
      </c>
      <c r="F13" s="133">
        <v>587.15</v>
      </c>
      <c r="G13" s="133">
        <v>566.41</v>
      </c>
      <c r="H13" s="133">
        <v>558.07</v>
      </c>
      <c r="I13" s="133">
        <v>528.95</v>
      </c>
      <c r="J13" s="133"/>
      <c r="K13" s="132">
        <f t="shared" si="1"/>
        <v>467.5</v>
      </c>
      <c r="L13" s="133">
        <f t="shared" si="2"/>
        <v>684.674402877698</v>
      </c>
      <c r="M13" s="133">
        <f t="shared" si="3"/>
        <v>653.014001574225</v>
      </c>
      <c r="N13" s="133">
        <f t="shared" si="4"/>
        <v>633.629873388202</v>
      </c>
      <c r="O13" s="133">
        <f t="shared" si="5"/>
        <v>617.333881847122</v>
      </c>
      <c r="P13" s="133">
        <f t="shared" si="6"/>
        <v>601.428828361268</v>
      </c>
      <c r="Q13" s="133">
        <f t="shared" si="7"/>
        <v>587.393146735573</v>
      </c>
      <c r="R13" s="133">
        <f t="shared" si="8"/>
        <v>576.572812634296</v>
      </c>
      <c r="S13" s="133">
        <f t="shared" si="9"/>
        <v>566.656063556882</v>
      </c>
      <c r="T13" s="133">
        <f t="shared" si="10"/>
        <v>562.230545695728</v>
      </c>
      <c r="U13" s="133">
        <f t="shared" si="11"/>
        <v>558.19760511817</v>
      </c>
      <c r="V13" s="133">
        <f t="shared" si="12"/>
        <v>531.713211678832</v>
      </c>
      <c r="X13" s="142">
        <v>1200</v>
      </c>
      <c r="Y13" s="151">
        <f ca="1" t="shared" si="13"/>
        <v>0</v>
      </c>
      <c r="Z13" s="151">
        <f ca="1" t="shared" si="14"/>
        <v>0</v>
      </c>
      <c r="AA13" s="151">
        <f ca="1" t="shared" si="15"/>
        <v>0.115</v>
      </c>
      <c r="AB13" s="151">
        <f ca="1" t="shared" si="16"/>
        <v>0.13</v>
      </c>
      <c r="AC13" s="151">
        <f ca="1" t="shared" si="17"/>
        <v>0.13</v>
      </c>
      <c r="AD13" s="151">
        <f ca="1" t="shared" si="18"/>
        <v>0.13</v>
      </c>
      <c r="AE13" s="151">
        <f ca="1" t="shared" si="19"/>
        <v>0.135</v>
      </c>
      <c r="AG13" s="106">
        <v>1200</v>
      </c>
      <c r="AH13" s="159">
        <v>0.0781</v>
      </c>
      <c r="AI13" s="159">
        <v>0.1139</v>
      </c>
      <c r="AJ13" s="159">
        <v>0.1032</v>
      </c>
      <c r="AK13" s="159">
        <v>0.1139</v>
      </c>
    </row>
    <row r="14" spans="1:37">
      <c r="A14" s="132">
        <v>522.5</v>
      </c>
      <c r="B14" s="133">
        <v>725.42</v>
      </c>
      <c r="C14" s="133">
        <v>716.06</v>
      </c>
      <c r="D14" s="133">
        <v>695.72</v>
      </c>
      <c r="E14" s="133">
        <v>662.65</v>
      </c>
      <c r="F14" s="133">
        <v>630.25</v>
      </c>
      <c r="G14" s="133">
        <v>607.89</v>
      </c>
      <c r="H14" s="133">
        <v>598.48</v>
      </c>
      <c r="I14" s="133">
        <v>570.97</v>
      </c>
      <c r="J14" s="133"/>
      <c r="K14" s="132">
        <f t="shared" si="1"/>
        <v>522.5</v>
      </c>
      <c r="L14" s="133">
        <f t="shared" si="2"/>
        <v>737.325381294964</v>
      </c>
      <c r="M14" s="133">
        <f t="shared" si="3"/>
        <v>701.835310360945</v>
      </c>
      <c r="N14" s="133">
        <f t="shared" si="4"/>
        <v>680.596851729239</v>
      </c>
      <c r="O14" s="133">
        <f t="shared" si="5"/>
        <v>662.828686867271</v>
      </c>
      <c r="P14" s="133">
        <f t="shared" si="6"/>
        <v>645.66086072302</v>
      </c>
      <c r="Q14" s="133">
        <f t="shared" si="7"/>
        <v>630.512423525402</v>
      </c>
      <c r="R14" s="133">
        <f t="shared" si="8"/>
        <v>618.846629243147</v>
      </c>
      <c r="S14" s="133">
        <f t="shared" si="9"/>
        <v>608.1552835647</v>
      </c>
      <c r="T14" s="133">
        <f t="shared" si="10"/>
        <v>603.17433273343</v>
      </c>
      <c r="U14" s="133">
        <f t="shared" si="11"/>
        <v>598.623976518223</v>
      </c>
      <c r="V14" s="133">
        <f t="shared" si="12"/>
        <v>573.580437956204</v>
      </c>
      <c r="X14" s="142">
        <v>1300</v>
      </c>
      <c r="Y14" s="151">
        <f ca="1" t="shared" si="13"/>
        <v>0</v>
      </c>
      <c r="Z14" s="151">
        <f ca="1" t="shared" si="14"/>
        <v>0</v>
      </c>
      <c r="AA14" s="151">
        <f ca="1" t="shared" si="15"/>
        <v>0.085</v>
      </c>
      <c r="AB14" s="151">
        <f ca="1" t="shared" si="16"/>
        <v>0.085</v>
      </c>
      <c r="AC14" s="151">
        <f ca="1" t="shared" si="17"/>
        <v>0.105</v>
      </c>
      <c r="AD14" s="151">
        <f ca="1" t="shared" si="18"/>
        <v>0.11</v>
      </c>
      <c r="AE14" s="151">
        <f ca="1" t="shared" si="19"/>
        <v>0.11</v>
      </c>
      <c r="AG14" s="106">
        <v>1300</v>
      </c>
      <c r="AH14" s="159">
        <v>0.027</v>
      </c>
      <c r="AI14" s="159">
        <v>0.0658</v>
      </c>
      <c r="AJ14" s="159">
        <v>0.0637</v>
      </c>
      <c r="AK14" s="159">
        <v>0.07</v>
      </c>
    </row>
    <row r="15" spans="1:37">
      <c r="A15" s="132">
        <v>577.5</v>
      </c>
      <c r="B15" s="133">
        <v>771.98</v>
      </c>
      <c r="C15" s="133">
        <v>761.69</v>
      </c>
      <c r="D15" s="133">
        <v>739.65</v>
      </c>
      <c r="E15" s="133">
        <v>704.32</v>
      </c>
      <c r="F15" s="133">
        <v>670</v>
      </c>
      <c r="G15" s="133">
        <v>646.22</v>
      </c>
      <c r="H15" s="133">
        <v>635.66</v>
      </c>
      <c r="I15" s="133">
        <v>608.35</v>
      </c>
      <c r="J15" s="133"/>
      <c r="K15" s="132">
        <f t="shared" si="1"/>
        <v>577.5</v>
      </c>
      <c r="L15" s="133">
        <f t="shared" si="2"/>
        <v>785.068287769784</v>
      </c>
      <c r="M15" s="133">
        <f t="shared" si="3"/>
        <v>746.276422829657</v>
      </c>
      <c r="N15" s="133">
        <f t="shared" si="4"/>
        <v>723.493337514183</v>
      </c>
      <c r="O15" s="133">
        <f t="shared" si="5"/>
        <v>704.510898307248</v>
      </c>
      <c r="P15" s="133">
        <f t="shared" si="6"/>
        <v>686.324096914014</v>
      </c>
      <c r="Q15" s="133">
        <f t="shared" si="7"/>
        <v>670.27797454913</v>
      </c>
      <c r="R15" s="133">
        <f t="shared" si="8"/>
        <v>657.872443801522</v>
      </c>
      <c r="S15" s="133">
        <f t="shared" si="9"/>
        <v>646.502130732047</v>
      </c>
      <c r="T15" s="133">
        <f t="shared" si="10"/>
        <v>640.928029082361</v>
      </c>
      <c r="U15" s="133">
        <f t="shared" si="11"/>
        <v>635.821571948187</v>
      </c>
      <c r="V15" s="133">
        <f t="shared" si="12"/>
        <v>610.941459854015</v>
      </c>
      <c r="X15" s="142">
        <v>1400</v>
      </c>
      <c r="Y15" s="151">
        <f ca="1" t="shared" si="13"/>
        <v>0</v>
      </c>
      <c r="Z15" s="151">
        <f ca="1" t="shared" si="14"/>
        <v>0</v>
      </c>
      <c r="AA15" s="151">
        <f ca="1" t="shared" si="15"/>
        <v>0.03</v>
      </c>
      <c r="AB15" s="151">
        <f ca="1" t="shared" si="16"/>
        <v>0.06</v>
      </c>
      <c r="AC15" s="151">
        <f ca="1" t="shared" si="17"/>
        <v>0.09</v>
      </c>
      <c r="AD15" s="151">
        <f ca="1" t="shared" si="18"/>
        <v>0.085</v>
      </c>
      <c r="AE15" s="151">
        <f ca="1" t="shared" si="19"/>
        <v>0.06</v>
      </c>
      <c r="AG15" s="106">
        <v>1400</v>
      </c>
      <c r="AH15" s="159">
        <v>0.06278</v>
      </c>
      <c r="AI15" s="159">
        <v>0.0325</v>
      </c>
      <c r="AJ15" s="159">
        <v>0.0495</v>
      </c>
      <c r="AK15" s="159">
        <v>0.0355</v>
      </c>
    </row>
    <row r="16" spans="1:37">
      <c r="A16" s="132">
        <v>632.5</v>
      </c>
      <c r="B16" s="133">
        <v>813.34</v>
      </c>
      <c r="C16" s="133">
        <v>802.22</v>
      </c>
      <c r="D16" s="133">
        <v>778.75</v>
      </c>
      <c r="E16" s="133">
        <v>741.68</v>
      </c>
      <c r="F16" s="133">
        <v>705.9</v>
      </c>
      <c r="G16" s="133">
        <v>681</v>
      </c>
      <c r="H16" s="133">
        <v>669.32</v>
      </c>
      <c r="I16" s="133">
        <v>643.74</v>
      </c>
      <c r="J16" s="133"/>
      <c r="K16" s="132">
        <f t="shared" si="1"/>
        <v>632.5</v>
      </c>
      <c r="L16" s="133">
        <f t="shared" si="2"/>
        <v>827.484</v>
      </c>
      <c r="M16" s="133">
        <f t="shared" si="3"/>
        <v>785.806358612163</v>
      </c>
      <c r="N16" s="133">
        <f t="shared" si="4"/>
        <v>761.797623030024</v>
      </c>
      <c r="O16" s="133">
        <f t="shared" si="5"/>
        <v>741.880300035371</v>
      </c>
      <c r="P16" s="133">
        <f t="shared" si="6"/>
        <v>722.918536934249</v>
      </c>
      <c r="Q16" s="133">
        <f t="shared" si="7"/>
        <v>706.189799806756</v>
      </c>
      <c r="R16" s="133">
        <f t="shared" si="8"/>
        <v>693.201255284184</v>
      </c>
      <c r="S16" s="133">
        <f t="shared" si="9"/>
        <v>681.295418638687</v>
      </c>
      <c r="T16" s="133">
        <f t="shared" si="10"/>
        <v>675.146759439581</v>
      </c>
      <c r="U16" s="133">
        <f t="shared" si="11"/>
        <v>669.498708366934</v>
      </c>
      <c r="V16" s="133">
        <f t="shared" si="12"/>
        <v>646.167299270073</v>
      </c>
      <c r="X16" s="142">
        <v>1500</v>
      </c>
      <c r="Y16" s="151">
        <f ca="1" t="shared" si="13"/>
        <v>0</v>
      </c>
      <c r="Z16" s="151">
        <f ca="1" t="shared" si="14"/>
        <v>0</v>
      </c>
      <c r="AA16" s="151">
        <f ca="1" t="shared" si="15"/>
        <v>0</v>
      </c>
      <c r="AB16" s="151">
        <f ca="1" t="shared" si="16"/>
        <v>0.02</v>
      </c>
      <c r="AC16" s="151">
        <f ca="1" t="shared" si="17"/>
        <v>0.055</v>
      </c>
      <c r="AD16" s="151">
        <f ca="1" t="shared" si="18"/>
        <v>0.04</v>
      </c>
      <c r="AE16" s="151">
        <f ca="1" t="shared" si="19"/>
        <v>0.02</v>
      </c>
      <c r="AG16" s="106">
        <v>1500</v>
      </c>
      <c r="AH16" s="159">
        <v>0</v>
      </c>
      <c r="AI16" s="159">
        <v>0.0204</v>
      </c>
      <c r="AJ16" s="159">
        <v>0.0241</v>
      </c>
      <c r="AK16" s="159">
        <v>0.0066</v>
      </c>
    </row>
    <row r="17" spans="1:37">
      <c r="A17" s="132">
        <v>687.5</v>
      </c>
      <c r="B17" s="133">
        <v>849.34</v>
      </c>
      <c r="C17" s="133">
        <v>837.52</v>
      </c>
      <c r="D17" s="133">
        <v>812.88</v>
      </c>
      <c r="E17" s="133">
        <v>774.54</v>
      </c>
      <c r="F17" s="133">
        <v>737.8</v>
      </c>
      <c r="G17" s="133">
        <v>712.04</v>
      </c>
      <c r="H17" s="133">
        <v>699.43</v>
      </c>
      <c r="I17" s="133">
        <v>675.51</v>
      </c>
      <c r="J17" s="133"/>
      <c r="K17" s="132">
        <f t="shared" si="1"/>
        <v>687.5</v>
      </c>
      <c r="L17" s="133">
        <f t="shared" si="2"/>
        <v>864.37435971223</v>
      </c>
      <c r="M17" s="133">
        <f t="shared" si="3"/>
        <v>820.288124252394</v>
      </c>
      <c r="N17" s="133">
        <f t="shared" si="4"/>
        <v>795.346842918024</v>
      </c>
      <c r="O17" s="133">
        <f t="shared" si="5"/>
        <v>774.747162216243</v>
      </c>
      <c r="P17" s="133">
        <f t="shared" si="6"/>
        <v>755.275155029746</v>
      </c>
      <c r="Q17" s="133">
        <f t="shared" si="7"/>
        <v>738.09757531862</v>
      </c>
      <c r="R17" s="133">
        <f t="shared" si="8"/>
        <v>724.662664101228</v>
      </c>
      <c r="S17" s="133">
        <f t="shared" si="9"/>
        <v>712.345621852713</v>
      </c>
      <c r="T17" s="133">
        <f t="shared" si="10"/>
        <v>705.72070518263</v>
      </c>
      <c r="U17" s="133">
        <f t="shared" si="11"/>
        <v>699.622937714644</v>
      </c>
      <c r="V17" s="133">
        <f t="shared" si="12"/>
        <v>677.779781021898</v>
      </c>
      <c r="X17" s="142">
        <v>1600</v>
      </c>
      <c r="Y17" s="151">
        <f ca="1" t="shared" si="13"/>
        <v>0</v>
      </c>
      <c r="Z17" s="151">
        <f ca="1" t="shared" si="14"/>
        <v>0</v>
      </c>
      <c r="AA17" s="151">
        <f ca="1" t="shared" si="15"/>
        <v>0</v>
      </c>
      <c r="AB17" s="151">
        <f ca="1" t="shared" si="16"/>
        <v>0</v>
      </c>
      <c r="AC17" s="151">
        <f ca="1" t="shared" si="17"/>
        <v>0.015</v>
      </c>
      <c r="AD17" s="151">
        <f ca="1" t="shared" si="18"/>
        <v>0</v>
      </c>
      <c r="AE17" s="151">
        <f ca="1" t="shared" si="19"/>
        <v>0</v>
      </c>
      <c r="AG17" s="106">
        <v>1570</v>
      </c>
      <c r="AH17" s="159">
        <v>0</v>
      </c>
      <c r="AI17" s="159">
        <v>0</v>
      </c>
      <c r="AJ17" s="159">
        <v>0</v>
      </c>
      <c r="AK17" s="159"/>
    </row>
    <row r="18" spans="1:37">
      <c r="A18" s="132">
        <v>742.5</v>
      </c>
      <c r="B18" s="133">
        <v>880.03</v>
      </c>
      <c r="C18" s="133">
        <v>867.63</v>
      </c>
      <c r="D18" s="133">
        <v>842.1</v>
      </c>
      <c r="E18" s="133">
        <v>802.9</v>
      </c>
      <c r="F18" s="133">
        <v>765.59</v>
      </c>
      <c r="G18" s="133">
        <v>739.27</v>
      </c>
      <c r="H18" s="133">
        <v>725.91</v>
      </c>
      <c r="I18" s="133">
        <v>703.23</v>
      </c>
      <c r="J18" s="133"/>
      <c r="K18" s="132">
        <f t="shared" si="1"/>
        <v>742.5</v>
      </c>
      <c r="L18" s="133">
        <f t="shared" si="2"/>
        <v>895.802086330935</v>
      </c>
      <c r="M18" s="133">
        <f t="shared" si="3"/>
        <v>849.775706662484</v>
      </c>
      <c r="N18" s="133">
        <f t="shared" si="4"/>
        <v>824.173558747692</v>
      </c>
      <c r="O18" s="133">
        <f t="shared" si="5"/>
        <v>803.111809047385</v>
      </c>
      <c r="P18" s="133">
        <f t="shared" si="6"/>
        <v>783.336272023947</v>
      </c>
      <c r="Q18" s="133">
        <f t="shared" si="7"/>
        <v>765.892192028789</v>
      </c>
      <c r="R18" s="133">
        <f t="shared" si="8"/>
        <v>752.167069842559</v>
      </c>
      <c r="S18" s="133">
        <f t="shared" si="9"/>
        <v>739.582265806033</v>
      </c>
      <c r="T18" s="133">
        <f t="shared" si="10"/>
        <v>732.574854975411</v>
      </c>
      <c r="U18" s="133">
        <f t="shared" si="11"/>
        <v>726.114412995055</v>
      </c>
      <c r="V18" s="133">
        <f t="shared" si="12"/>
        <v>705.382116788321</v>
      </c>
      <c r="X18" s="142">
        <v>1620</v>
      </c>
      <c r="Y18" s="151">
        <f ca="1" t="shared" si="13"/>
        <v>0</v>
      </c>
      <c r="Z18" s="151">
        <f ca="1" t="shared" si="14"/>
        <v>0</v>
      </c>
      <c r="AA18" s="151">
        <f ca="1" t="shared" si="15"/>
        <v>0</v>
      </c>
      <c r="AB18" s="151">
        <f ca="1" t="shared" si="16"/>
        <v>0</v>
      </c>
      <c r="AC18" s="151">
        <f ca="1" t="shared" si="17"/>
        <v>0</v>
      </c>
      <c r="AD18" s="151">
        <f ca="1" t="shared" si="18"/>
        <v>0</v>
      </c>
      <c r="AE18" s="151">
        <f ca="1" t="shared" si="19"/>
        <v>0</v>
      </c>
      <c r="AG18" s="106">
        <v>1620</v>
      </c>
      <c r="AH18" s="106"/>
      <c r="AI18" s="106"/>
      <c r="AJ18" s="106"/>
      <c r="AK18" s="106"/>
    </row>
    <row r="19" spans="1:31">
      <c r="A19" s="132">
        <v>797.5</v>
      </c>
      <c r="B19" s="133">
        <v>905.63</v>
      </c>
      <c r="C19" s="133">
        <v>892.76</v>
      </c>
      <c r="D19" s="133">
        <v>866.59</v>
      </c>
      <c r="E19" s="133">
        <v>826.91</v>
      </c>
      <c r="F19" s="133">
        <v>789.37</v>
      </c>
      <c r="G19" s="133">
        <v>762.78</v>
      </c>
      <c r="H19" s="133">
        <v>748.72</v>
      </c>
      <c r="I19" s="133">
        <v>726.3</v>
      </c>
      <c r="J19" s="133"/>
      <c r="K19" s="132">
        <f t="shared" si="1"/>
        <v>797.5</v>
      </c>
      <c r="L19" s="133">
        <f t="shared" si="2"/>
        <v>921.999899280576</v>
      </c>
      <c r="M19" s="133">
        <f t="shared" si="3"/>
        <v>874.458125474235</v>
      </c>
      <c r="N19" s="133">
        <f t="shared" si="4"/>
        <v>848.444051303787</v>
      </c>
      <c r="O19" s="133">
        <f t="shared" si="5"/>
        <v>827.124402627557</v>
      </c>
      <c r="P19" s="133">
        <f t="shared" si="6"/>
        <v>807.225670109327</v>
      </c>
      <c r="Q19" s="133">
        <f t="shared" si="7"/>
        <v>789.674054911839</v>
      </c>
      <c r="R19" s="133">
        <f t="shared" si="8"/>
        <v>775.809372610701</v>
      </c>
      <c r="S19" s="133">
        <f t="shared" si="9"/>
        <v>763.09546914067</v>
      </c>
      <c r="T19" s="133">
        <f t="shared" si="10"/>
        <v>755.734061448674</v>
      </c>
      <c r="U19" s="133">
        <f t="shared" si="11"/>
        <v>748.935123256772</v>
      </c>
      <c r="V19" s="133">
        <f t="shared" si="12"/>
        <v>728.427445255474</v>
      </c>
      <c r="X19" s="142"/>
      <c r="Y19" s="151"/>
      <c r="Z19" s="151"/>
      <c r="AA19" s="151"/>
      <c r="AB19" s="151"/>
      <c r="AC19" s="151"/>
      <c r="AD19" s="151"/>
      <c r="AE19" s="151"/>
    </row>
    <row r="20" spans="1:31">
      <c r="A20" s="132">
        <v>852.5</v>
      </c>
      <c r="B20" s="133">
        <v>926.37</v>
      </c>
      <c r="C20" s="133">
        <v>913.14</v>
      </c>
      <c r="D20" s="133">
        <v>886.56</v>
      </c>
      <c r="E20" s="133">
        <v>846.72</v>
      </c>
      <c r="F20" s="133">
        <v>809.26</v>
      </c>
      <c r="G20" s="133">
        <v>782.59</v>
      </c>
      <c r="H20" s="133">
        <v>767.12</v>
      </c>
      <c r="I20" s="133">
        <v>740.34</v>
      </c>
      <c r="J20" s="133"/>
      <c r="K20" s="132">
        <f t="shared" si="1"/>
        <v>852.5</v>
      </c>
      <c r="L20" s="133">
        <f t="shared" si="2"/>
        <v>943.197798561151</v>
      </c>
      <c r="M20" s="133">
        <f t="shared" si="3"/>
        <v>894.551393775512</v>
      </c>
      <c r="N20" s="133">
        <f t="shared" si="4"/>
        <v>868.340882155818</v>
      </c>
      <c r="O20" s="133">
        <f t="shared" si="5"/>
        <v>846.935267154281</v>
      </c>
      <c r="P20" s="133">
        <f t="shared" si="6"/>
        <v>827.077618601369</v>
      </c>
      <c r="Q20" s="133">
        <f t="shared" si="7"/>
        <v>809.563406952517</v>
      </c>
      <c r="R20" s="133">
        <f t="shared" si="8"/>
        <v>795.658573430891</v>
      </c>
      <c r="S20" s="133">
        <f t="shared" si="9"/>
        <v>782.906418276858</v>
      </c>
      <c r="T20" s="133">
        <f t="shared" si="10"/>
        <v>774.837463059102</v>
      </c>
      <c r="U20" s="133">
        <f t="shared" si="11"/>
        <v>767.356696783944</v>
      </c>
      <c r="V20" s="133">
        <f t="shared" si="12"/>
        <v>742.881167883212</v>
      </c>
      <c r="X20" s="142" t="s">
        <v>129</v>
      </c>
      <c r="Y20" s="152">
        <f ca="1">MAX(OFFSET($L$5,0,0,$O$1,$O$2))</f>
        <v>985.26617266187</v>
      </c>
      <c r="Z20" s="152">
        <f ca="1">MAX(OFFSET($L$28,0,0,$O$1,$O$2))</f>
        <v>1086.45660431655</v>
      </c>
      <c r="AA20" s="152">
        <f ca="1">MAX(OFFSET($L$51,0,0,$O$1,$O$2))</f>
        <v>1350.31753956835</v>
      </c>
      <c r="AB20" s="152">
        <f ca="1">MAX(OFFSET($L$74,0,0,$O$1,$O$2))</f>
        <v>1444.68388489209</v>
      </c>
      <c r="AC20" s="152">
        <f ca="1">MAX(OFFSET($L$97,0,0,$O$1,$O$2))</f>
        <v>1528.04605755396</v>
      </c>
      <c r="AD20" s="152">
        <f ca="1">MAX(OFFSET($L$120,0,0,$O$1,$O$2))</f>
        <v>1482.9553381295</v>
      </c>
      <c r="AE20" s="152">
        <f ca="1">MAX(OFFSET($L$143,0,0,$O$1,$O$2))</f>
        <v>1430.98594244604</v>
      </c>
    </row>
    <row r="21" spans="1:31">
      <c r="A21" s="132">
        <v>907.5</v>
      </c>
      <c r="B21" s="133">
        <v>943.22</v>
      </c>
      <c r="C21" s="133">
        <v>929.66</v>
      </c>
      <c r="D21" s="133">
        <v>902.85</v>
      </c>
      <c r="E21" s="133">
        <v>863.11</v>
      </c>
      <c r="F21" s="133">
        <v>825.98</v>
      </c>
      <c r="G21" s="133">
        <v>799.08</v>
      </c>
      <c r="H21" s="133">
        <v>778.27</v>
      </c>
      <c r="I21" s="133">
        <v>738.48</v>
      </c>
      <c r="J21" s="133"/>
      <c r="K21" s="132">
        <f t="shared" si="1"/>
        <v>907.5</v>
      </c>
      <c r="L21" s="133">
        <f t="shared" si="2"/>
        <v>960.467539568345</v>
      </c>
      <c r="M21" s="133">
        <f t="shared" si="3"/>
        <v>910.910544285985</v>
      </c>
      <c r="N21" s="133">
        <f t="shared" si="4"/>
        <v>884.676612873298</v>
      </c>
      <c r="O21" s="133">
        <f t="shared" si="5"/>
        <v>863.324726825079</v>
      </c>
      <c r="P21" s="133">
        <f t="shared" si="6"/>
        <v>843.640656131042</v>
      </c>
      <c r="Q21" s="133">
        <f t="shared" si="7"/>
        <v>826.280734120314</v>
      </c>
      <c r="R21" s="133">
        <f t="shared" si="8"/>
        <v>812.261275788938</v>
      </c>
      <c r="S21" s="133">
        <f t="shared" si="9"/>
        <v>799.3991470434</v>
      </c>
      <c r="T21" s="133">
        <f t="shared" si="10"/>
        <v>788.651409583705</v>
      </c>
      <c r="U21" s="133">
        <f t="shared" si="11"/>
        <v>778.588400780471</v>
      </c>
      <c r="V21" s="133">
        <f t="shared" si="12"/>
        <v>742.255693430657</v>
      </c>
      <c r="X21" s="142" t="s">
        <v>130</v>
      </c>
      <c r="Y21" s="152">
        <f ca="1">AVERAGE(OFFSET($L$5,0,0,$O$1,$O$2))</f>
        <v>621.779074034296</v>
      </c>
      <c r="Z21" s="152">
        <f ca="1">AVERAGE(OFFSET($L$28,0,0,$O$1,$O$2))</f>
        <v>768.497543940689</v>
      </c>
      <c r="AA21" s="152">
        <f ca="1">AVERAGE(OFFSET($L$51,0,0,$O$1,$O$2))</f>
        <v>899.509381581701</v>
      </c>
      <c r="AB21" s="152">
        <f ca="1">AVERAGE(OFFSET($L$74,0,0,$O$1,$O$2))</f>
        <v>943.242815019418</v>
      </c>
      <c r="AC21" s="152">
        <f ca="1">AVERAGE(OFFSET($L$97,0,0,$O$1,$O$2))</f>
        <v>1015.37092595034</v>
      </c>
      <c r="AD21" s="152">
        <f ca="1">AVERAGE(OFFSET($L$120,0,0,$O$1,$O$2))</f>
        <v>999.83274613631</v>
      </c>
      <c r="AE21" s="152">
        <f ca="1">AVERAGE(OFFSET($L$143,0,0,$O$1,$O$2))</f>
        <v>973.293751853768</v>
      </c>
    </row>
    <row r="22" spans="1:31">
      <c r="A22" s="132">
        <v>962.5</v>
      </c>
      <c r="B22" s="133">
        <v>954.59</v>
      </c>
      <c r="C22" s="133">
        <v>940.8</v>
      </c>
      <c r="D22" s="133">
        <v>913.8</v>
      </c>
      <c r="E22" s="133">
        <v>874.25</v>
      </c>
      <c r="F22" s="133">
        <v>837.42</v>
      </c>
      <c r="G22" s="133">
        <v>808.35</v>
      </c>
      <c r="H22" s="133">
        <v>767.54</v>
      </c>
      <c r="I22" s="133">
        <v>691.96</v>
      </c>
      <c r="J22" s="133"/>
      <c r="K22" s="132">
        <f t="shared" si="1"/>
        <v>962.5</v>
      </c>
      <c r="L22" s="133">
        <f t="shared" si="2"/>
        <v>972.130086330935</v>
      </c>
      <c r="M22" s="133">
        <f t="shared" si="3"/>
        <v>921.917668620724</v>
      </c>
      <c r="N22" s="133">
        <f t="shared" si="4"/>
        <v>895.713501236511</v>
      </c>
      <c r="O22" s="133">
        <f t="shared" si="5"/>
        <v>874.463700199594</v>
      </c>
      <c r="P22" s="133">
        <f t="shared" si="6"/>
        <v>854.937962976199</v>
      </c>
      <c r="Q22" s="133">
        <f t="shared" si="7"/>
        <v>837.718304272857</v>
      </c>
      <c r="R22" s="133">
        <f t="shared" si="8"/>
        <v>822.594598036595</v>
      </c>
      <c r="S22" s="133">
        <f t="shared" si="9"/>
        <v>808.694892362515</v>
      </c>
      <c r="T22" s="133">
        <f t="shared" si="10"/>
        <v>787.898737391207</v>
      </c>
      <c r="U22" s="133">
        <f t="shared" si="11"/>
        <v>768.164408258097</v>
      </c>
      <c r="V22" s="133">
        <f t="shared" si="12"/>
        <v>699.131824817518</v>
      </c>
      <c r="X22" s="142" t="s">
        <v>131</v>
      </c>
      <c r="Y22" s="153">
        <f ca="1" t="shared" ref="Y22:AE22" si="20">Y21+273.15</f>
        <v>894.929074034296</v>
      </c>
      <c r="Z22" s="153">
        <f ca="1" t="shared" si="20"/>
        <v>1041.64754394069</v>
      </c>
      <c r="AA22" s="153">
        <f ca="1" t="shared" si="20"/>
        <v>1172.6593815817</v>
      </c>
      <c r="AB22" s="153">
        <f ca="1" t="shared" si="20"/>
        <v>1216.39281501942</v>
      </c>
      <c r="AC22" s="153">
        <f ca="1" t="shared" si="20"/>
        <v>1288.52092595034</v>
      </c>
      <c r="AD22" s="153">
        <f ca="1" t="shared" si="20"/>
        <v>1272.98274613631</v>
      </c>
      <c r="AE22" s="153">
        <f ca="1" t="shared" si="20"/>
        <v>1246.44375185377</v>
      </c>
    </row>
    <row r="23" spans="1:31">
      <c r="A23" s="132">
        <v>1017.5</v>
      </c>
      <c r="B23" s="133">
        <v>961.57</v>
      </c>
      <c r="C23" s="133">
        <v>947.23</v>
      </c>
      <c r="D23" s="133">
        <v>921.22</v>
      </c>
      <c r="E23" s="133">
        <v>881.65</v>
      </c>
      <c r="F23" s="133">
        <v>843.75</v>
      </c>
      <c r="G23" s="133">
        <v>802.98</v>
      </c>
      <c r="H23" s="133">
        <v>705.43</v>
      </c>
      <c r="I23" s="133">
        <v>572.8</v>
      </c>
      <c r="J23" s="133"/>
      <c r="K23" s="132">
        <f t="shared" si="1"/>
        <v>1017.5</v>
      </c>
      <c r="L23" s="133">
        <f t="shared" si="2"/>
        <v>979.809654676259</v>
      </c>
      <c r="M23" s="133">
        <f t="shared" si="3"/>
        <v>929.040020771297</v>
      </c>
      <c r="N23" s="133">
        <f t="shared" si="4"/>
        <v>903.124355093015</v>
      </c>
      <c r="O23" s="133">
        <f t="shared" si="5"/>
        <v>881.863808265434</v>
      </c>
      <c r="P23" s="133">
        <f t="shared" si="6"/>
        <v>861.776901895138</v>
      </c>
      <c r="Q23" s="133">
        <f t="shared" si="7"/>
        <v>844.056970728788</v>
      </c>
      <c r="R23" s="133">
        <f t="shared" si="8"/>
        <v>822.957717989405</v>
      </c>
      <c r="S23" s="133">
        <f t="shared" si="9"/>
        <v>803.46370353009</v>
      </c>
      <c r="T23" s="133">
        <f t="shared" si="10"/>
        <v>754.094416381089</v>
      </c>
      <c r="U23" s="133">
        <f t="shared" si="11"/>
        <v>706.922551472125</v>
      </c>
      <c r="V23" s="133">
        <f t="shared" si="12"/>
        <v>585.385328467153</v>
      </c>
      <c r="X23" s="142" t="s">
        <v>132</v>
      </c>
      <c r="Y23" s="106"/>
      <c r="Z23" s="810">
        <f ca="1">Z22/Y22-1</f>
        <v>0.163944243363325</v>
      </c>
      <c r="AA23" s="810">
        <f ca="1">AA22/Z22-1</f>
        <v>0.125773673065437</v>
      </c>
      <c r="AB23" s="810">
        <f ca="1">AB22/AA22-1</f>
        <v>0.0372942340500693</v>
      </c>
      <c r="AC23" s="810">
        <f ca="1">AC22/AB22-1</f>
        <v>0.0592967255645689</v>
      </c>
      <c r="AD23" s="810">
        <f ca="1">AD22/AC22-1</f>
        <v>-0.0120589270232988</v>
      </c>
      <c r="AE23" s="810">
        <f ca="1">AE22/AD22-1</f>
        <v>-0.0208478821595117</v>
      </c>
    </row>
    <row r="24" spans="1:31">
      <c r="A24" s="132">
        <v>1072.5</v>
      </c>
      <c r="B24" s="133">
        <v>973.17</v>
      </c>
      <c r="C24" s="133">
        <v>963.66</v>
      </c>
      <c r="D24" s="133">
        <v>934.07</v>
      </c>
      <c r="E24" s="133">
        <v>890.11</v>
      </c>
      <c r="F24" s="133">
        <v>843.36</v>
      </c>
      <c r="G24" s="133">
        <v>767.04</v>
      </c>
      <c r="H24" s="133">
        <v>604.54</v>
      </c>
      <c r="I24" s="133">
        <v>458.62</v>
      </c>
      <c r="J24" s="133"/>
      <c r="K24" s="132">
        <f t="shared" si="1"/>
        <v>1072.5</v>
      </c>
      <c r="L24" s="133">
        <f t="shared" si="2"/>
        <v>985.26617266187</v>
      </c>
      <c r="M24" s="133">
        <f t="shared" si="3"/>
        <v>942.966363499526</v>
      </c>
      <c r="N24" s="133">
        <f t="shared" si="4"/>
        <v>913.966776595626</v>
      </c>
      <c r="O24" s="133">
        <f t="shared" si="5"/>
        <v>890.347528717425</v>
      </c>
      <c r="P24" s="133">
        <f t="shared" si="6"/>
        <v>865.596349963</v>
      </c>
      <c r="Q24" s="133">
        <f t="shared" si="7"/>
        <v>843.738651228782</v>
      </c>
      <c r="R24" s="133">
        <f t="shared" si="8"/>
        <v>804.437582461402</v>
      </c>
      <c r="S24" s="133">
        <f t="shared" si="9"/>
        <v>767.945475923878</v>
      </c>
      <c r="T24" s="133">
        <f t="shared" si="10"/>
        <v>685.605788435951</v>
      </c>
      <c r="U24" s="133">
        <f t="shared" si="11"/>
        <v>607.026310755718</v>
      </c>
      <c r="V24" s="133">
        <f t="shared" si="12"/>
        <v>472.466423357664</v>
      </c>
      <c r="X24" s="161" t="s">
        <v>133</v>
      </c>
      <c r="Y24" s="106"/>
      <c r="Z24" s="162">
        <f ca="1">-LN(1-Z23)*150%/2/3600</f>
        <v>3.73041611624876e-5</v>
      </c>
      <c r="AA24" s="162">
        <f ca="1">-LN(1-AA23)*150%/6/3600</f>
        <v>9.33444316298852e-6</v>
      </c>
      <c r="AB24" s="162">
        <f ca="1">-LN(1-AB23)*150%/16/3600</f>
        <v>9.89777418316731e-7</v>
      </c>
      <c r="AC24" s="162">
        <f ca="1">-LN(1-AC23)*150%/24/3600</f>
        <v>1.06124165209138e-6</v>
      </c>
      <c r="AD24" s="162">
        <f ca="1">-LN(1-AD23)*150%/24/3600</f>
        <v>-2.08104122464671e-7</v>
      </c>
      <c r="AE24" s="162">
        <f ca="1">-LN(1-AE23)*150%/24/3600</f>
        <v>-3.58221163412093e-7</v>
      </c>
    </row>
    <row r="25" spans="1:30">
      <c r="A25" s="129"/>
      <c r="B25" s="129"/>
      <c r="C25" s="134">
        <f t="shared" ref="C25:I25" si="21">PI()*(C4*C4-B4*B4)</f>
        <v>2151.09247221008</v>
      </c>
      <c r="D25" s="134">
        <f t="shared" si="21"/>
        <v>6112.80448536406</v>
      </c>
      <c r="E25" s="134">
        <f t="shared" si="21"/>
        <v>12038.1859512447</v>
      </c>
      <c r="F25" s="134">
        <f t="shared" si="21"/>
        <v>14188.2225341639</v>
      </c>
      <c r="G25" s="134">
        <f t="shared" si="21"/>
        <v>14190.0880118816</v>
      </c>
      <c r="H25" s="134">
        <f t="shared" si="21"/>
        <v>14185.2983397219</v>
      </c>
      <c r="I25" s="134">
        <f t="shared" si="21"/>
        <v>7575.18036561312</v>
      </c>
      <c r="J25" s="134"/>
      <c r="K25" s="129"/>
      <c r="L25" s="129"/>
      <c r="M25" s="134">
        <f>PI()*(M4*M4-L4*L4)</f>
        <v>7068.58347057703</v>
      </c>
      <c r="N25" s="134">
        <f t="shared" ref="N25:V25" si="22">PI()*(N4*N4-M4*M4)</f>
        <v>7068.58347057703</v>
      </c>
      <c r="O25" s="134">
        <f t="shared" si="22"/>
        <v>7068.58347057704</v>
      </c>
      <c r="P25" s="134">
        <f t="shared" si="22"/>
        <v>7068.58347057703</v>
      </c>
      <c r="Q25" s="134">
        <f t="shared" si="22"/>
        <v>7068.58347057703</v>
      </c>
      <c r="R25" s="134">
        <f t="shared" si="22"/>
        <v>7068.58347057704</v>
      </c>
      <c r="S25" s="134">
        <f t="shared" si="22"/>
        <v>7068.58347057703</v>
      </c>
      <c r="T25" s="134">
        <f t="shared" si="22"/>
        <v>7068.58347057703</v>
      </c>
      <c r="U25" s="134">
        <f t="shared" si="22"/>
        <v>7068.58347057705</v>
      </c>
      <c r="V25" s="134">
        <f t="shared" si="22"/>
        <v>7068.58347057703</v>
      </c>
      <c r="Z25" s="154"/>
      <c r="AA25" s="154"/>
      <c r="AB25" s="154"/>
      <c r="AC25" s="154"/>
      <c r="AD25" s="154"/>
    </row>
    <row r="26" spans="1:31">
      <c r="A26" s="129" t="s">
        <v>134</v>
      </c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X26" s="146" t="s">
        <v>135</v>
      </c>
      <c r="Y26" s="155" t="str">
        <f t="shared" ref="Y26:AE26" si="23">Y3</f>
        <v>0h</v>
      </c>
      <c r="Z26" s="155" t="str">
        <f t="shared" si="23"/>
        <v>2h</v>
      </c>
      <c r="AA26" s="155" t="str">
        <f t="shared" si="23"/>
        <v>8h</v>
      </c>
      <c r="AB26" s="155" t="str">
        <f t="shared" si="23"/>
        <v>24h</v>
      </c>
      <c r="AC26" s="155" t="str">
        <f t="shared" si="23"/>
        <v>48h</v>
      </c>
      <c r="AD26" s="155" t="str">
        <f t="shared" si="23"/>
        <v>72h</v>
      </c>
      <c r="AE26" s="155" t="str">
        <f t="shared" si="23"/>
        <v>96h</v>
      </c>
    </row>
    <row r="27" spans="1:38">
      <c r="A27" s="132" t="s">
        <v>128</v>
      </c>
      <c r="B27" s="133">
        <v>17.68</v>
      </c>
      <c r="C27" s="133">
        <v>31.58</v>
      </c>
      <c r="D27" s="133">
        <v>54.25</v>
      </c>
      <c r="E27" s="133">
        <v>82.31</v>
      </c>
      <c r="F27" s="133">
        <v>106.26</v>
      </c>
      <c r="G27" s="133">
        <v>125.73</v>
      </c>
      <c r="H27" s="133">
        <v>142.56</v>
      </c>
      <c r="I27" s="133">
        <v>150.78</v>
      </c>
      <c r="J27" s="133"/>
      <c r="K27" s="132" t="str">
        <f t="shared" ref="K27:K47" si="24">A27</f>
        <v>R/Z[cm]</v>
      </c>
      <c r="L27" s="141">
        <v>0</v>
      </c>
      <c r="M27" s="141">
        <f t="shared" ref="M27:V27" si="25">SQRT(L27*L27+150*150/10)</f>
        <v>47.4341649025257</v>
      </c>
      <c r="N27" s="141">
        <f t="shared" si="25"/>
        <v>67.0820393249937</v>
      </c>
      <c r="O27" s="141">
        <f t="shared" si="25"/>
        <v>82.1583836257749</v>
      </c>
      <c r="P27" s="141">
        <f t="shared" si="25"/>
        <v>94.8683298050514</v>
      </c>
      <c r="Q27" s="141">
        <f t="shared" si="25"/>
        <v>106.066017177982</v>
      </c>
      <c r="R27" s="141">
        <f t="shared" si="25"/>
        <v>116.189500386223</v>
      </c>
      <c r="S27" s="141">
        <f t="shared" si="25"/>
        <v>125.499003980111</v>
      </c>
      <c r="T27" s="141">
        <f t="shared" si="25"/>
        <v>134.164078649987</v>
      </c>
      <c r="U27" s="141">
        <f t="shared" si="25"/>
        <v>142.302494707577</v>
      </c>
      <c r="V27" s="141">
        <f t="shared" si="25"/>
        <v>150</v>
      </c>
      <c r="X27" s="106" t="str">
        <f>事故释放率!A4</f>
        <v>Kr-83m</v>
      </c>
      <c r="Y27" s="156">
        <f ca="1" t="array" ref="Y27">SUMPRODUCT(Y$5:Y$18,TRANSPOSE(事故释放率!$B4:$O4))</f>
        <v>5.73335971691486e-11</v>
      </c>
      <c r="Z27" s="156">
        <f ca="1" t="array" ref="Z27">SUMPRODUCT(Z$5:Z$18,TRANSPOSE(事故释放率!$B4:$O4))</f>
        <v>7.89035175982642e-11</v>
      </c>
      <c r="AA27" s="156">
        <f ca="1" t="array" ref="AA27">SUMPRODUCT(AA$5:AA$18,TRANSPOSE(事故释放率!$B4:$O4))</f>
        <v>1.72058450478074e-10</v>
      </c>
      <c r="AB27" s="156">
        <f ca="1" t="array" ref="AB27">SUMPRODUCT(AB$5:AB$18,TRANSPOSE(事故释放率!$B4:$O4))</f>
        <v>2.94583541033059e-10</v>
      </c>
      <c r="AC27" s="156">
        <f ca="1" t="array" ref="AC27">SUMPRODUCT(AC$5:AC$18,TRANSPOSE(事故释放率!$B4:$O4))</f>
        <v>6.92724732300375e-10</v>
      </c>
      <c r="AD27" s="156">
        <f ca="1" t="array" ref="AD27">SUMPRODUCT(AD$5:AD$18,TRANSPOSE(事故释放率!$B4:$O4))</f>
        <v>4.21033413270177e-10</v>
      </c>
      <c r="AE27" s="156">
        <f ca="1" t="array" ref="AE27">SUMPRODUCT(AE$5:AE$18,TRANSPOSE(事故释放率!$B4:$O4))</f>
        <v>3.08350839073874e-10</v>
      </c>
      <c r="AG27" s="156">
        <f ca="1">MMULT(事故释放率!$B4:$O4,Y$5:Y$18)</f>
        <v>5.73335971691486e-11</v>
      </c>
      <c r="AH27" s="156">
        <f ca="1">MMULT(事故释放率!$B4:$O4,Z$5:Z$18)</f>
        <v>7.89035175982642e-11</v>
      </c>
      <c r="AI27" s="156">
        <f ca="1">MMULT(事故释放率!$B4:$O4,AA$5:AA$18)</f>
        <v>1.72058450478074e-10</v>
      </c>
      <c r="AJ27" s="156">
        <f ca="1">MMULT(事故释放率!$B4:$O4,AB$5:AB$18)</f>
        <v>2.94583541033059e-10</v>
      </c>
      <c r="AK27" s="156">
        <f ca="1">MMULT(事故释放率!$B4:$O4,AC$5:AC$18)</f>
        <v>6.92724732300375e-10</v>
      </c>
      <c r="AL27" s="156">
        <f ca="1">MMULT(事故释放率!$B4:$O4,AD$5:AD$18)</f>
        <v>4.21033413270177e-10</v>
      </c>
    </row>
    <row r="28" spans="1:38">
      <c r="A28" s="132">
        <v>27.5</v>
      </c>
      <c r="B28" s="133">
        <v>372.21</v>
      </c>
      <c r="C28" s="133">
        <v>370.94</v>
      </c>
      <c r="D28" s="133">
        <v>366.92</v>
      </c>
      <c r="E28" s="133">
        <v>358.59</v>
      </c>
      <c r="F28" s="133">
        <v>349.27</v>
      </c>
      <c r="G28" s="133">
        <v>337.63</v>
      </c>
      <c r="H28" s="133">
        <v>315.04</v>
      </c>
      <c r="I28" s="133">
        <v>296.69</v>
      </c>
      <c r="J28" s="133"/>
      <c r="K28" s="132">
        <f t="shared" si="24"/>
        <v>27.5</v>
      </c>
      <c r="L28" s="133">
        <f t="shared" ref="L28:L47" si="26">TREND(B28:C28,B$4:C$4,L$4)</f>
        <v>373.825366906475</v>
      </c>
      <c r="M28" s="133">
        <f t="shared" ref="M28:M47" si="27">TREND(C28:D28,C$4:D$4,M$4)</f>
        <v>368.128630661308</v>
      </c>
      <c r="N28" s="133">
        <f t="shared" ref="N28:N47" si="28">TREND(D28:E28,D$4:E$4,N$4)</f>
        <v>363.110631233885</v>
      </c>
      <c r="O28" s="133">
        <f t="shared" ref="O28:O47" si="29">TREND(D28:E28,D$4:E$4,O$4)</f>
        <v>358.635009422569</v>
      </c>
      <c r="P28" s="133">
        <f t="shared" ref="P28:P47" si="30">TREND(E28:F28,E$4:F$4,P$4)</f>
        <v>353.703000677116</v>
      </c>
      <c r="Q28" s="133">
        <f t="shared" ref="Q28:Q47" si="31">TREND(E28:F28,E$4:F$4,Q$4)</f>
        <v>349.345487261011</v>
      </c>
      <c r="R28" s="133">
        <f t="shared" ref="R28:R47" si="32">TREND(F28:G28,F$4:G$4,R$4)</f>
        <v>343.333719337667</v>
      </c>
      <c r="S28" s="133">
        <f t="shared" ref="S28:S47" si="33">TREND(F28:G28,F$4:G$4,S$4)</f>
        <v>337.768099315434</v>
      </c>
      <c r="T28" s="133">
        <f t="shared" ref="T28:T47" si="34">TREND(G28:H28,G$4:H$4,T$4)</f>
        <v>326.309391758573</v>
      </c>
      <c r="U28" s="133">
        <f t="shared" ref="U28:U47" si="35">TREND(G28:H28,G$4:H$4,U$4)</f>
        <v>315.385635445979</v>
      </c>
      <c r="V28" s="133">
        <f t="shared" ref="V28:V47" si="36">TREND(H28:I28,H$4:I$4,V$4)</f>
        <v>298.431240875912</v>
      </c>
      <c r="X28" s="106" t="str">
        <f>事故释放率!A5</f>
        <v>Kr-85</v>
      </c>
      <c r="Y28" s="156">
        <f ca="1" t="array" ref="Y28">SUMPRODUCT(Y$5:Y$18,TRANSPOSE(事故释放率!$B5:$O5))</f>
        <v>2.047507e-13</v>
      </c>
      <c r="Z28" s="156">
        <f ca="1" t="array" ref="Z28">SUMPRODUCT(Z$5:Z$18,TRANSPOSE(事故释放率!$B5:$O5))</f>
        <v>6.006338e-13</v>
      </c>
      <c r="AA28" s="156">
        <f ca="1" t="array" ref="AA28">SUMPRODUCT(AA$5:AA$18,TRANSPOSE(事故释放率!$B5:$O5))</f>
        <v>6.0576651e-12</v>
      </c>
      <c r="AB28" s="156">
        <f ca="1" t="array" ref="AB28">SUMPRODUCT(AB$5:AB$18,TRANSPOSE(事故释放率!$B5:$O5))</f>
        <v>1.04281898e-11</v>
      </c>
      <c r="AC28" s="156">
        <f ca="1" t="array" ref="AC28">SUMPRODUCT(AC$5:AC$18,TRANSPOSE(事故释放率!$B5:$O5))</f>
        <v>1.98225697e-11</v>
      </c>
      <c r="AD28" s="156">
        <f ca="1" t="array" ref="AD28">SUMPRODUCT(AD$5:AD$18,TRANSPOSE(事故释放率!$B5:$O5))</f>
        <v>1.51613337e-11</v>
      </c>
      <c r="AE28" s="156">
        <f ca="1" t="array" ref="AE28">SUMPRODUCT(AE$5:AE$18,TRANSPOSE(事故释放率!$B5:$O5))</f>
        <v>1.13098073e-11</v>
      </c>
      <c r="AG28" s="156">
        <f ca="1">MMULT(事故释放率!$B5:$O5,Y$5:Y$18)</f>
        <v>2.047507e-13</v>
      </c>
      <c r="AH28" s="156">
        <f ca="1">MMULT(事故释放率!$B5:$O5,Z$5:Z$18)</f>
        <v>6.006338e-13</v>
      </c>
      <c r="AI28" s="156">
        <f ca="1">MMULT(事故释放率!$B5:$O5,AA$5:AA$18)</f>
        <v>6.0576651e-12</v>
      </c>
      <c r="AJ28" s="156">
        <f ca="1">MMULT(事故释放率!$B5:$O5,AB$5:AB$18)</f>
        <v>1.04281898e-11</v>
      </c>
      <c r="AK28" s="156">
        <f ca="1">MMULT(事故释放率!$B5:$O5,AC$5:AC$18)</f>
        <v>1.98225697e-11</v>
      </c>
      <c r="AL28" s="156">
        <f ca="1">MMULT(事故释放率!$B5:$O5,AD$5:AD$18)</f>
        <v>1.51613337e-11</v>
      </c>
    </row>
    <row r="29" spans="1:38">
      <c r="A29" s="132">
        <v>82.5</v>
      </c>
      <c r="B29" s="133">
        <v>465.89</v>
      </c>
      <c r="C29" s="133">
        <v>463.11</v>
      </c>
      <c r="D29" s="133">
        <v>454.56</v>
      </c>
      <c r="E29" s="133">
        <v>437.16</v>
      </c>
      <c r="F29" s="133">
        <v>417.29</v>
      </c>
      <c r="G29" s="133">
        <v>393.06</v>
      </c>
      <c r="H29" s="133">
        <v>352.27</v>
      </c>
      <c r="I29" s="133">
        <v>322.35</v>
      </c>
      <c r="J29" s="133"/>
      <c r="K29" s="132">
        <f t="shared" si="24"/>
        <v>82.5</v>
      </c>
      <c r="L29" s="133">
        <f t="shared" si="26"/>
        <v>469.426</v>
      </c>
      <c r="M29" s="133">
        <f t="shared" si="27"/>
        <v>457.130595063229</v>
      </c>
      <c r="N29" s="133">
        <f t="shared" si="28"/>
        <v>446.602855158414</v>
      </c>
      <c r="O29" s="133">
        <f t="shared" si="29"/>
        <v>437.254017281237</v>
      </c>
      <c r="P29" s="133">
        <f t="shared" si="30"/>
        <v>426.741043289087</v>
      </c>
      <c r="Q29" s="133">
        <f t="shared" si="31"/>
        <v>417.450936896597</v>
      </c>
      <c r="R29" s="133">
        <f t="shared" si="32"/>
        <v>404.932948415091</v>
      </c>
      <c r="S29" s="133">
        <f t="shared" si="33"/>
        <v>393.347469623107</v>
      </c>
      <c r="T29" s="133">
        <f t="shared" si="34"/>
        <v>372.6187600634</v>
      </c>
      <c r="U29" s="133">
        <f t="shared" si="35"/>
        <v>352.89410225062</v>
      </c>
      <c r="V29" s="133">
        <f t="shared" si="36"/>
        <v>325.189124087591</v>
      </c>
      <c r="X29" s="106" t="str">
        <f>事故释放率!A6</f>
        <v>Kr-85m</v>
      </c>
      <c r="Y29" s="156">
        <f ca="1" t="array" ref="Y29">SUMPRODUCT(Y$5:Y$18,TRANSPOSE(事故释放率!$B6:$O6))</f>
        <v>3.68314838060086e-11</v>
      </c>
      <c r="Z29" s="156">
        <f ca="1" t="array" ref="Z29">SUMPRODUCT(Z$5:Z$18,TRANSPOSE(事故释放率!$B6:$O6))</f>
        <v>5.06760369035609e-11</v>
      </c>
      <c r="AA29" s="156">
        <f ca="1" t="array" ref="AA29">SUMPRODUCT(AA$5:AA$18,TRANSPOSE(事故释放率!$B6:$O6))</f>
        <v>1.10287476883107e-10</v>
      </c>
      <c r="AB29" s="156">
        <f ca="1" t="array" ref="AB29">SUMPRODUCT(AB$5:AB$18,TRANSPOSE(事故释放率!$B6:$O6))</f>
        <v>1.88079648325236e-10</v>
      </c>
      <c r="AC29" s="156">
        <f ca="1" t="array" ref="AC29">SUMPRODUCT(AC$5:AC$18,TRANSPOSE(事故释放率!$B6:$O6))</f>
        <v>4.36554377573549e-10</v>
      </c>
      <c r="AD29" s="156">
        <f ca="1" t="array" ref="AD29">SUMPRODUCT(AD$5:AD$18,TRANSPOSE(事故释放率!$B6:$O6))</f>
        <v>2.68399520732361e-10</v>
      </c>
      <c r="AE29" s="156">
        <f ca="1" t="array" ref="AE29">SUMPRODUCT(AE$5:AE$18,TRANSPOSE(事故释放率!$B6:$O6))</f>
        <v>1.96901790136962e-10</v>
      </c>
      <c r="AG29" s="156">
        <f ca="1">MMULT(事故释放率!$B6:$O6,Y$5:Y$18)</f>
        <v>3.68314838060086e-11</v>
      </c>
      <c r="AH29" s="156">
        <f ca="1">MMULT(事故释放率!$B6:$O6,Z$5:Z$18)</f>
        <v>5.06760369035609e-11</v>
      </c>
      <c r="AI29" s="156">
        <f ca="1">MMULT(事故释放率!$B6:$O6,AA$5:AA$18)</f>
        <v>1.10287476883107e-10</v>
      </c>
      <c r="AJ29" s="156">
        <f ca="1">MMULT(事故释放率!$B6:$O6,AB$5:AB$18)</f>
        <v>1.88079648325236e-10</v>
      </c>
      <c r="AK29" s="156">
        <f ca="1">MMULT(事故释放率!$B6:$O6,AC$5:AC$18)</f>
        <v>4.36554377573549e-10</v>
      </c>
      <c r="AL29" s="156">
        <f ca="1">MMULT(事故释放率!$B6:$O6,AD$5:AD$18)</f>
        <v>2.68399520732361e-10</v>
      </c>
    </row>
    <row r="30" spans="1:38">
      <c r="A30" s="132">
        <v>137.5</v>
      </c>
      <c r="B30" s="133">
        <v>554.42</v>
      </c>
      <c r="C30" s="133">
        <v>550.34</v>
      </c>
      <c r="D30" s="133">
        <v>537.95</v>
      </c>
      <c r="E30" s="133">
        <v>512.99</v>
      </c>
      <c r="F30" s="133">
        <v>484.27</v>
      </c>
      <c r="G30" s="133">
        <v>449.09</v>
      </c>
      <c r="H30" s="133">
        <v>392.15</v>
      </c>
      <c r="I30" s="133">
        <v>351.85</v>
      </c>
      <c r="J30" s="133"/>
      <c r="K30" s="132">
        <f t="shared" si="24"/>
        <v>137.5</v>
      </c>
      <c r="L30" s="133">
        <f t="shared" si="26"/>
        <v>559.609525179856</v>
      </c>
      <c r="M30" s="133">
        <f t="shared" si="27"/>
        <v>541.675107933732</v>
      </c>
      <c r="N30" s="133">
        <f t="shared" si="28"/>
        <v>526.535612916898</v>
      </c>
      <c r="O30" s="133">
        <f t="shared" si="29"/>
        <v>513.124866168947</v>
      </c>
      <c r="P30" s="133">
        <f t="shared" si="30"/>
        <v>497.930491356949</v>
      </c>
      <c r="Q30" s="133">
        <f t="shared" si="31"/>
        <v>484.502617396591</v>
      </c>
      <c r="R30" s="133">
        <f t="shared" si="32"/>
        <v>466.328560678618</v>
      </c>
      <c r="S30" s="133">
        <f t="shared" si="33"/>
        <v>449.507382638915</v>
      </c>
      <c r="T30" s="133">
        <f t="shared" si="34"/>
        <v>420.555452267957</v>
      </c>
      <c r="U30" s="133">
        <f t="shared" si="35"/>
        <v>393.021203288803</v>
      </c>
      <c r="V30" s="133">
        <f t="shared" si="36"/>
        <v>355.674087591241</v>
      </c>
      <c r="X30" s="106" t="str">
        <f>事故释放率!A7</f>
        <v>Kr-87</v>
      </c>
      <c r="Y30" s="156">
        <f ca="1" t="array" ref="Y30">SUMPRODUCT(Y$5:Y$18,TRANSPOSE(事故释放率!$B7:$O7))</f>
        <v>6.84945191553734e-11</v>
      </c>
      <c r="Z30" s="156">
        <f ca="1" t="array" ref="Z30">SUMPRODUCT(Z$5:Z$18,TRANSPOSE(事故释放率!$B7:$O7))</f>
        <v>9.42700052103368e-11</v>
      </c>
      <c r="AA30" s="156">
        <f ca="1" t="array" ref="AA30">SUMPRODUCT(AA$5:AA$18,TRANSPOSE(事故释放率!$B7:$O7))</f>
        <v>2.05686025602387e-10</v>
      </c>
      <c r="AB30" s="156">
        <f ca="1" t="array" ref="AB30">SUMPRODUCT(AB$5:AB$18,TRANSPOSE(事故释放率!$B7:$O7))</f>
        <v>3.52565599500059e-10</v>
      </c>
      <c r="AC30" s="156">
        <f ca="1" t="array" ref="AC30">SUMPRODUCT(AC$5:AC$18,TRANSPOSE(事故释放率!$B7:$O7))</f>
        <v>8.32204452660593e-10</v>
      </c>
      <c r="AD30" s="156">
        <f ca="1" t="array" ref="AD30">SUMPRODUCT(AD$5:AD$18,TRANSPOSE(事故释放率!$B7:$O7))</f>
        <v>5.04130477011723e-10</v>
      </c>
      <c r="AE30" s="156">
        <f ca="1" t="array" ref="AE30">SUMPRODUCT(AE$5:AE$18,TRANSPOSE(事故释放率!$B7:$O7))</f>
        <v>3.69025004877795e-10</v>
      </c>
      <c r="AG30" s="156">
        <f ca="1">MMULT(事故释放率!$B7:$O7,Y$5:Y$18)</f>
        <v>6.84945191553734e-11</v>
      </c>
      <c r="AH30" s="156">
        <f ca="1">MMULT(事故释放率!$B7:$O7,Z$5:Z$18)</f>
        <v>9.42700052103368e-11</v>
      </c>
      <c r="AI30" s="156">
        <f ca="1">MMULT(事故释放率!$B7:$O7,AA$5:AA$18)</f>
        <v>2.05686025602387e-10</v>
      </c>
      <c r="AJ30" s="156">
        <f ca="1">MMULT(事故释放率!$B7:$O7,AB$5:AB$18)</f>
        <v>3.52565599500059e-10</v>
      </c>
      <c r="AK30" s="156">
        <f ca="1">MMULT(事故释放率!$B7:$O7,AC$5:AC$18)</f>
        <v>8.32204452660593e-10</v>
      </c>
      <c r="AL30" s="156">
        <f ca="1">MMULT(事故释放率!$B7:$O7,AD$5:AD$18)</f>
        <v>5.04130477011723e-10</v>
      </c>
    </row>
    <row r="31" spans="1:38">
      <c r="A31" s="132">
        <v>192.5</v>
      </c>
      <c r="B31" s="133">
        <v>641.64</v>
      </c>
      <c r="C31" s="133">
        <v>636.45</v>
      </c>
      <c r="D31" s="133">
        <v>620.87</v>
      </c>
      <c r="E31" s="133">
        <v>589.85</v>
      </c>
      <c r="F31" s="133">
        <v>553.64</v>
      </c>
      <c r="G31" s="133">
        <v>508.31</v>
      </c>
      <c r="H31" s="133">
        <v>435.6</v>
      </c>
      <c r="I31" s="133">
        <v>384.82</v>
      </c>
      <c r="J31" s="133"/>
      <c r="K31" s="132">
        <f t="shared" si="24"/>
        <v>192.5</v>
      </c>
      <c r="L31" s="133">
        <f t="shared" si="26"/>
        <v>648.241381294964</v>
      </c>
      <c r="M31" s="133">
        <f t="shared" si="27"/>
        <v>625.554195448551</v>
      </c>
      <c r="N31" s="133">
        <f t="shared" si="28"/>
        <v>606.684331437587</v>
      </c>
      <c r="O31" s="133">
        <f t="shared" si="29"/>
        <v>590.017610118619</v>
      </c>
      <c r="P31" s="133">
        <f t="shared" si="30"/>
        <v>570.863063789524</v>
      </c>
      <c r="Q31" s="133">
        <f t="shared" si="31"/>
        <v>553.933282588111</v>
      </c>
      <c r="R31" s="133">
        <f t="shared" si="32"/>
        <v>530.522164740243</v>
      </c>
      <c r="S31" s="133">
        <f t="shared" si="33"/>
        <v>508.847804292838</v>
      </c>
      <c r="T31" s="133">
        <f t="shared" si="34"/>
        <v>471.872575244172</v>
      </c>
      <c r="U31" s="133">
        <f t="shared" si="35"/>
        <v>436.712490184912</v>
      </c>
      <c r="V31" s="133">
        <f t="shared" si="36"/>
        <v>389.638540145985</v>
      </c>
      <c r="X31" s="106" t="str">
        <f>事故释放率!A8</f>
        <v>Kr-88</v>
      </c>
      <c r="Y31" s="156">
        <f ca="1" t="array" ref="Y31">SUMPRODUCT(Y$5:Y$18,TRANSPOSE(事故释放率!$B8:$O8))</f>
        <v>4.61709032162165e-11</v>
      </c>
      <c r="Z31" s="156">
        <f ca="1" t="array" ref="Z31">SUMPRODUCT(Z$5:Z$18,TRANSPOSE(事故释放率!$B8:$O8))</f>
        <v>6.35346165888635e-11</v>
      </c>
      <c r="AA31" s="156">
        <f ca="1" t="array" ref="AA31">SUMPRODUCT(AA$5:AA$18,TRANSPOSE(事故释放率!$B8:$O8))</f>
        <v>1.38426065867998e-10</v>
      </c>
      <c r="AB31" s="156">
        <f ca="1" t="array" ref="AB31">SUMPRODUCT(AB$5:AB$18,TRANSPOSE(事故释放率!$B8:$O8))</f>
        <v>2.36594799740354e-10</v>
      </c>
      <c r="AC31" s="156">
        <f ca="1" t="array" ref="AC31">SUMPRODUCT(AC$5:AC$18,TRANSPOSE(事故释放率!$B8:$O8))</f>
        <v>5.53241214582662e-10</v>
      </c>
      <c r="AD31" s="156">
        <f ca="1" t="array" ref="AD31">SUMPRODUCT(AD$5:AD$18,TRANSPOSE(事故释放率!$B8:$O8))</f>
        <v>3.37927658743905e-10</v>
      </c>
      <c r="AE31" s="156">
        <f ca="1" t="array" ref="AE31">SUMPRODUCT(AE$5:AE$18,TRANSPOSE(事故释放率!$B8:$O8))</f>
        <v>2.47669610895786e-10</v>
      </c>
      <c r="AG31" s="156">
        <f ca="1">MMULT(事故释放率!$B8:$O8,Y$5:Y$18)</f>
        <v>4.61709032162165e-11</v>
      </c>
      <c r="AH31" s="156">
        <f ca="1">MMULT(事故释放率!$B8:$O8,Z$5:Z$18)</f>
        <v>6.35346165888635e-11</v>
      </c>
      <c r="AI31" s="156">
        <f ca="1">MMULT(事故释放率!$B8:$O8,AA$5:AA$18)</f>
        <v>1.38426065867998e-10</v>
      </c>
      <c r="AJ31" s="156">
        <f ca="1">MMULT(事故释放率!$B8:$O8,AB$5:AB$18)</f>
        <v>2.36594799740354e-10</v>
      </c>
      <c r="AK31" s="156">
        <f ca="1">MMULT(事故释放率!$B8:$O8,AC$5:AC$18)</f>
        <v>5.53241214582662e-10</v>
      </c>
      <c r="AL31" s="156">
        <f ca="1">MMULT(事故释放率!$B8:$O8,AD$5:AD$18)</f>
        <v>3.37927658743905e-10</v>
      </c>
    </row>
    <row r="32" spans="1:38">
      <c r="A32" s="132">
        <v>241.5</v>
      </c>
      <c r="B32" s="133">
        <v>719.2</v>
      </c>
      <c r="C32" s="133">
        <v>713.22</v>
      </c>
      <c r="D32" s="133">
        <v>695.54</v>
      </c>
      <c r="E32" s="133">
        <v>660.85</v>
      </c>
      <c r="F32" s="133">
        <v>619.54</v>
      </c>
      <c r="G32" s="133">
        <v>565.38</v>
      </c>
      <c r="H32" s="133">
        <v>477.73</v>
      </c>
      <c r="I32" s="133">
        <v>417.18</v>
      </c>
      <c r="J32" s="133"/>
      <c r="K32" s="132">
        <f t="shared" si="24"/>
        <v>241.5</v>
      </c>
      <c r="L32" s="133">
        <f t="shared" si="26"/>
        <v>726.806215827338</v>
      </c>
      <c r="M32" s="133">
        <f t="shared" si="27"/>
        <v>700.855569674607</v>
      </c>
      <c r="N32" s="133">
        <f t="shared" si="28"/>
        <v>679.676014106057</v>
      </c>
      <c r="O32" s="133">
        <f t="shared" si="29"/>
        <v>661.037440200352</v>
      </c>
      <c r="P32" s="133">
        <f t="shared" si="30"/>
        <v>639.188847421851</v>
      </c>
      <c r="Q32" s="133">
        <f t="shared" si="31"/>
        <v>619.874589994888</v>
      </c>
      <c r="R32" s="133">
        <f t="shared" si="32"/>
        <v>591.918955268731</v>
      </c>
      <c r="S32" s="133">
        <f t="shared" si="33"/>
        <v>566.022565199649</v>
      </c>
      <c r="T32" s="133">
        <f t="shared" si="34"/>
        <v>521.455639116376</v>
      </c>
      <c r="U32" s="133">
        <f t="shared" si="35"/>
        <v>479.071077770699</v>
      </c>
      <c r="V32" s="133">
        <f t="shared" si="36"/>
        <v>422.925620437956</v>
      </c>
      <c r="X32" s="106" t="str">
        <f>事故释放率!A9</f>
        <v>Xe-131m</v>
      </c>
      <c r="Y32" s="156">
        <f ca="1" t="array" ref="Y32">SUMPRODUCT(Y$5:Y$18,TRANSPOSE(事故释放率!$B9:$O9))</f>
        <v>4.55855205255296e-12</v>
      </c>
      <c r="Z32" s="156">
        <f ca="1" t="array" ref="Z32">SUMPRODUCT(Z$5:Z$18,TRANSPOSE(事故释放率!$B9:$O9))</f>
        <v>6.23478119625342e-12</v>
      </c>
      <c r="AA32" s="156">
        <f ca="1" t="array" ref="AA32">SUMPRODUCT(AA$5:AA$18,TRANSPOSE(事故释放率!$B9:$O9))</f>
        <v>1.30518468117115e-11</v>
      </c>
      <c r="AB32" s="156">
        <f ca="1" t="array" ref="AB32">SUMPRODUCT(AB$5:AB$18,TRANSPOSE(事故释放率!$B9:$O9))</f>
        <v>2.04927983190433e-11</v>
      </c>
      <c r="AC32" s="156">
        <f ca="1" t="array" ref="AC32">SUMPRODUCT(AC$5:AC$18,TRANSPOSE(事故释放率!$B9:$O9))</f>
        <v>3.80537973715599e-11</v>
      </c>
      <c r="AD32" s="156">
        <f ca="1" t="array" ref="AD32">SUMPRODUCT(AD$5:AD$18,TRANSPOSE(事故释放率!$B9:$O9))</f>
        <v>2.82611898783527e-11</v>
      </c>
      <c r="AE32" s="156">
        <f ca="1" t="array" ref="AE32">SUMPRODUCT(AE$5:AE$18,TRANSPOSE(事故释放率!$B9:$O9))</f>
        <v>2.15301673670494e-11</v>
      </c>
      <c r="AG32" s="156">
        <f ca="1">MMULT(事故释放率!$B9:$O9,Y$5:Y$18)</f>
        <v>4.55855205255296e-12</v>
      </c>
      <c r="AH32" s="156">
        <f ca="1">MMULT(事故释放率!$B9:$O9,Z$5:Z$18)</f>
        <v>6.23478119625342e-12</v>
      </c>
      <c r="AI32" s="156">
        <f ca="1">MMULT(事故释放率!$B9:$O9,AA$5:AA$18)</f>
        <v>1.30518468117115e-11</v>
      </c>
      <c r="AJ32" s="156">
        <f ca="1">MMULT(事故释放率!$B9:$O9,AB$5:AB$18)</f>
        <v>2.04927983190433e-11</v>
      </c>
      <c r="AK32" s="156">
        <f ca="1">MMULT(事故释放率!$B9:$O9,AC$5:AC$18)</f>
        <v>3.80537973715599e-11</v>
      </c>
      <c r="AL32" s="156">
        <f ca="1">MMULT(事故释放率!$B9:$O9,AD$5:AD$18)</f>
        <v>2.82611898783527e-11</v>
      </c>
    </row>
    <row r="33" spans="1:38">
      <c r="A33" s="132">
        <v>296.5</v>
      </c>
      <c r="B33" s="133">
        <v>803.96</v>
      </c>
      <c r="C33" s="133">
        <v>797.24</v>
      </c>
      <c r="D33" s="133">
        <v>777.53</v>
      </c>
      <c r="E33" s="133">
        <v>738.97</v>
      </c>
      <c r="F33" s="133">
        <v>691.81</v>
      </c>
      <c r="G33" s="133">
        <v>628.85</v>
      </c>
      <c r="H33" s="133">
        <v>530.33</v>
      </c>
      <c r="I33" s="133">
        <v>464.71</v>
      </c>
      <c r="J33" s="133"/>
      <c r="K33" s="132">
        <f t="shared" si="24"/>
        <v>296.5</v>
      </c>
      <c r="L33" s="133">
        <f t="shared" si="26"/>
        <v>812.50745323741</v>
      </c>
      <c r="M33" s="133">
        <f t="shared" si="27"/>
        <v>783.455898093128</v>
      </c>
      <c r="N33" s="133">
        <f t="shared" si="28"/>
        <v>759.896235339567</v>
      </c>
      <c r="O33" s="133">
        <f t="shared" si="29"/>
        <v>739.178350940489</v>
      </c>
      <c r="P33" s="133">
        <f t="shared" si="30"/>
        <v>714.241363941285</v>
      </c>
      <c r="Q33" s="133">
        <f t="shared" si="31"/>
        <v>692.191972020307</v>
      </c>
      <c r="R33" s="133">
        <f t="shared" si="32"/>
        <v>659.701045489647</v>
      </c>
      <c r="S33" s="133">
        <f t="shared" si="33"/>
        <v>629.59697018039</v>
      </c>
      <c r="T33" s="133">
        <f t="shared" si="34"/>
        <v>579.478316779753</v>
      </c>
      <c r="U33" s="133">
        <f t="shared" si="35"/>
        <v>531.837392834789</v>
      </c>
      <c r="V33" s="133">
        <f t="shared" si="36"/>
        <v>470.936715328467</v>
      </c>
      <c r="X33" s="106" t="str">
        <f>事故释放率!A10</f>
        <v>Xe-133</v>
      </c>
      <c r="Y33" s="156">
        <f ca="1" t="array" ref="Y33">SUMPRODUCT(Y$5:Y$18,TRANSPOSE(事故释放率!$B10:$O10))</f>
        <v>6.8914605764245e-12</v>
      </c>
      <c r="Z33" s="156">
        <f ca="1" t="array" ref="Z33">SUMPRODUCT(Z$5:Z$18,TRANSPOSE(事故释放率!$B10:$O10))</f>
        <v>9.44202883828994e-12</v>
      </c>
      <c r="AA33" s="156">
        <f ca="1" t="array" ref="AA33">SUMPRODUCT(AA$5:AA$18,TRANSPOSE(事故释放率!$B10:$O10))</f>
        <v>2.00766514710595e-11</v>
      </c>
      <c r="AB33" s="156">
        <f ca="1" t="array" ref="AB33">SUMPRODUCT(AB$5:AB$18,TRANSPOSE(事故释放率!$B10:$O10))</f>
        <v>3.25872322727982e-11</v>
      </c>
      <c r="AC33" s="156">
        <f ca="1" t="array" ref="AC33">SUMPRODUCT(AC$5:AC$18,TRANSPOSE(事故释放率!$B10:$O10))</f>
        <v>6.47342491968004e-11</v>
      </c>
      <c r="AD33" s="156">
        <f ca="1" t="array" ref="AD33">SUMPRODUCT(AD$5:AD$18,TRANSPOSE(事故释放率!$B10:$O10))</f>
        <v>4.55835621092272e-11</v>
      </c>
      <c r="AE33" s="156">
        <f ca="1" t="array" ref="AE33">SUMPRODUCT(AE$5:AE$18,TRANSPOSE(事故释放率!$B10:$O10))</f>
        <v>3.41865688472557e-11</v>
      </c>
      <c r="AG33" s="156">
        <f ca="1">MMULT(事故释放率!$B10:$O10,Y$5:Y$18)</f>
        <v>6.8914605764245e-12</v>
      </c>
      <c r="AH33" s="156">
        <f ca="1">MMULT(事故释放率!$B10:$O10,Z$5:Z$18)</f>
        <v>9.44202883828994e-12</v>
      </c>
      <c r="AI33" s="156">
        <f ca="1">MMULT(事故释放率!$B10:$O10,AA$5:AA$18)</f>
        <v>2.00766514710595e-11</v>
      </c>
      <c r="AJ33" s="156">
        <f ca="1">MMULT(事故释放率!$B10:$O10,AB$5:AB$18)</f>
        <v>3.25872322727982e-11</v>
      </c>
      <c r="AK33" s="156">
        <f ca="1">MMULT(事故释放率!$B10:$O10,AC$5:AC$18)</f>
        <v>6.47342491968004e-11</v>
      </c>
      <c r="AL33" s="156">
        <f ca="1">MMULT(事故释放率!$B10:$O10,AD$5:AD$18)</f>
        <v>4.55835621092272e-11</v>
      </c>
    </row>
    <row r="34" spans="1:38">
      <c r="A34" s="132">
        <v>357.5</v>
      </c>
      <c r="B34" s="133">
        <v>883.97</v>
      </c>
      <c r="C34" s="133">
        <v>876.55</v>
      </c>
      <c r="D34" s="133">
        <v>855.11</v>
      </c>
      <c r="E34" s="133">
        <v>813.49</v>
      </c>
      <c r="F34" s="133">
        <v>761.39</v>
      </c>
      <c r="G34" s="133">
        <v>690.37</v>
      </c>
      <c r="H34" s="133">
        <v>580.34</v>
      </c>
      <c r="I34" s="133">
        <v>507.5</v>
      </c>
      <c r="J34" s="133"/>
      <c r="K34" s="132">
        <f t="shared" si="24"/>
        <v>357.5</v>
      </c>
      <c r="L34" s="133">
        <f t="shared" si="26"/>
        <v>893.40781294964</v>
      </c>
      <c r="M34" s="133">
        <f t="shared" si="27"/>
        <v>861.556030193641</v>
      </c>
      <c r="N34" s="133">
        <f t="shared" si="28"/>
        <v>836.076875384667</v>
      </c>
      <c r="O34" s="133">
        <f t="shared" si="29"/>
        <v>813.714885014086</v>
      </c>
      <c r="P34" s="133">
        <f t="shared" si="30"/>
        <v>786.171044557696</v>
      </c>
      <c r="Q34" s="133">
        <f t="shared" si="31"/>
        <v>761.81198350844</v>
      </c>
      <c r="R34" s="133">
        <f t="shared" si="32"/>
        <v>725.170528123805</v>
      </c>
      <c r="S34" s="133">
        <f t="shared" si="33"/>
        <v>691.212595651387</v>
      </c>
      <c r="T34" s="133">
        <f t="shared" si="34"/>
        <v>635.23026893297</v>
      </c>
      <c r="U34" s="133">
        <f t="shared" si="35"/>
        <v>582.023500138164</v>
      </c>
      <c r="V34" s="133">
        <f t="shared" si="36"/>
        <v>514.411824817518</v>
      </c>
      <c r="X34" s="106" t="str">
        <f>事故释放率!A11</f>
        <v>Xe-133m</v>
      </c>
      <c r="Y34" s="156">
        <f ca="1" t="array" ref="Y34">SUMPRODUCT(Y$5:Y$18,TRANSPOSE(事故释放率!$B11:$O11))</f>
        <v>1.07057675436671e-11</v>
      </c>
      <c r="Z34" s="156">
        <f ca="1" t="array" ref="Z34">SUMPRODUCT(Z$5:Z$18,TRANSPOSE(事故释放率!$B11:$O11))</f>
        <v>1.4685883692189e-11</v>
      </c>
      <c r="AA34" s="156">
        <f ca="1" t="array" ref="AA34">SUMPRODUCT(AA$5:AA$18,TRANSPOSE(事故释放率!$B11:$O11))</f>
        <v>3.15622767583691e-11</v>
      </c>
      <c r="AB34" s="156">
        <f ca="1" t="array" ref="AB34">SUMPRODUCT(AB$5:AB$18,TRANSPOSE(事故释放率!$B11:$O11))</f>
        <v>5.2407536087185e-11</v>
      </c>
      <c r="AC34" s="156">
        <f ca="1" t="array" ref="AC34">SUMPRODUCT(AC$5:AC$18,TRANSPOSE(事故释放率!$B11:$O11))</f>
        <v>1.10906459352765e-10</v>
      </c>
      <c r="AD34" s="156">
        <f ca="1" t="array" ref="AD34">SUMPRODUCT(AD$5:AD$18,TRANSPOSE(事故释放率!$B11:$O11))</f>
        <v>7.39973772513188e-11</v>
      </c>
      <c r="AE34" s="156">
        <f ca="1" t="array" ref="AE34">SUMPRODUCT(AE$5:AE$18,TRANSPOSE(事故释放率!$B11:$O11))</f>
        <v>5.49256953120647e-11</v>
      </c>
      <c r="AG34" s="156">
        <f ca="1">MMULT(事故释放率!$B11:$O11,Y$5:Y$18)</f>
        <v>1.07057675436671e-11</v>
      </c>
      <c r="AH34" s="156">
        <f ca="1">MMULT(事故释放率!$B11:$O11,Z$5:Z$18)</f>
        <v>1.4685883692189e-11</v>
      </c>
      <c r="AI34" s="156">
        <f ca="1">MMULT(事故释放率!$B11:$O11,AA$5:AA$18)</f>
        <v>3.15622767583691e-11</v>
      </c>
      <c r="AJ34" s="156">
        <f ca="1">MMULT(事故释放率!$B11:$O11,AB$5:AB$18)</f>
        <v>5.2407536087185e-11</v>
      </c>
      <c r="AK34" s="156">
        <f ca="1">MMULT(事故释放率!$B11:$O11,AC$5:AC$18)</f>
        <v>1.10906459352765e-10</v>
      </c>
      <c r="AL34" s="156">
        <f ca="1">MMULT(事故释放率!$B11:$O11,AD$5:AD$18)</f>
        <v>7.39973772513188e-11</v>
      </c>
    </row>
    <row r="35" spans="1:38">
      <c r="A35" s="132">
        <v>412.5</v>
      </c>
      <c r="B35" s="133">
        <v>943.76</v>
      </c>
      <c r="C35" s="133">
        <v>935.78</v>
      </c>
      <c r="D35" s="133">
        <v>912.98</v>
      </c>
      <c r="E35" s="133">
        <v>868.9</v>
      </c>
      <c r="F35" s="133">
        <v>813.06</v>
      </c>
      <c r="G35" s="133">
        <v>736.72</v>
      </c>
      <c r="H35" s="133">
        <v>619.91</v>
      </c>
      <c r="I35" s="133">
        <v>543.02</v>
      </c>
      <c r="J35" s="133"/>
      <c r="K35" s="132">
        <f t="shared" si="24"/>
        <v>412.5</v>
      </c>
      <c r="L35" s="133">
        <f t="shared" si="26"/>
        <v>953.910100719424</v>
      </c>
      <c r="M35" s="133">
        <f t="shared" si="27"/>
        <v>919.834920168611</v>
      </c>
      <c r="N35" s="133">
        <f t="shared" si="28"/>
        <v>892.82189973465</v>
      </c>
      <c r="O35" s="133">
        <f t="shared" si="29"/>
        <v>869.138177112468</v>
      </c>
      <c r="P35" s="133">
        <f t="shared" si="30"/>
        <v>839.619952554736</v>
      </c>
      <c r="Q35" s="133">
        <f t="shared" si="31"/>
        <v>813.512275606742</v>
      </c>
      <c r="R35" s="133">
        <f t="shared" si="32"/>
        <v>774.12738266645</v>
      </c>
      <c r="S35" s="133">
        <f t="shared" si="33"/>
        <v>737.625713207925</v>
      </c>
      <c r="T35" s="133">
        <f t="shared" si="34"/>
        <v>678.182583059713</v>
      </c>
      <c r="U35" s="133">
        <f t="shared" si="35"/>
        <v>621.697236673079</v>
      </c>
      <c r="V35" s="133">
        <f t="shared" si="36"/>
        <v>550.316131386861</v>
      </c>
      <c r="X35" s="106" t="str">
        <f>事故释放率!A12</f>
        <v>Xe-135</v>
      </c>
      <c r="Y35" s="156">
        <f ca="1" t="array" ref="Y35">SUMPRODUCT(Y$5:Y$18,TRANSPOSE(事故释放率!$B12:$O12))</f>
        <v>2.57353332455595e-11</v>
      </c>
      <c r="Z35" s="156">
        <f ca="1" t="array" ref="Z35">SUMPRODUCT(Z$5:Z$18,TRANSPOSE(事故释放率!$B12:$O12))</f>
        <v>3.53483509630726e-11</v>
      </c>
      <c r="AA35" s="156">
        <f ca="1" t="array" ref="AA35">SUMPRODUCT(AA$5:AA$18,TRANSPOSE(事故释放率!$B12:$O12))</f>
        <v>7.68199656630356e-11</v>
      </c>
      <c r="AB35" s="156">
        <f ca="1" t="array" ref="AB35">SUMPRODUCT(AB$5:AB$18,TRANSPOSE(事故释放率!$B12:$O12))</f>
        <v>1.30517798809954e-10</v>
      </c>
      <c r="AC35" s="156">
        <f ca="1" t="array" ref="AC35">SUMPRODUCT(AC$5:AC$18,TRANSPOSE(事故释放率!$B12:$O12))</f>
        <v>2.9844774267088e-10</v>
      </c>
      <c r="AD35" s="156">
        <f ca="1" t="array" ref="AD35">SUMPRODUCT(AD$5:AD$18,TRANSPOSE(事故释放率!$B12:$O12))</f>
        <v>1.85980076800868e-10</v>
      </c>
      <c r="AE35" s="156">
        <f ca="1" t="array" ref="AE35">SUMPRODUCT(AE$5:AE$18,TRANSPOSE(事故释放率!$B12:$O12))</f>
        <v>1.36656472517855e-10</v>
      </c>
      <c r="AG35" s="156">
        <f ca="1">MMULT(事故释放率!$B12:$O12,Y$5:Y$18)</f>
        <v>2.57353332455595e-11</v>
      </c>
      <c r="AH35" s="156">
        <f ca="1">MMULT(事故释放率!$B12:$O12,Z$5:Z$18)</f>
        <v>3.53483509630726e-11</v>
      </c>
      <c r="AI35" s="156">
        <f ca="1">MMULT(事故释放率!$B12:$O12,AA$5:AA$18)</f>
        <v>7.68199656630356e-11</v>
      </c>
      <c r="AJ35" s="156">
        <f ca="1">MMULT(事故释放率!$B12:$O12,AB$5:AB$18)</f>
        <v>1.30517798809954e-10</v>
      </c>
      <c r="AK35" s="156">
        <f ca="1">MMULT(事故释放率!$B12:$O12,AC$5:AC$18)</f>
        <v>2.9844774267088e-10</v>
      </c>
      <c r="AL35" s="156">
        <f ca="1">MMULT(事故释放率!$B12:$O12,AD$5:AD$18)</f>
        <v>1.85980076800868e-10</v>
      </c>
    </row>
    <row r="36" spans="1:38">
      <c r="A36" s="132">
        <v>467.5</v>
      </c>
      <c r="B36" s="133">
        <v>990.72</v>
      </c>
      <c r="C36" s="133">
        <v>982.28</v>
      </c>
      <c r="D36" s="133">
        <v>958.35</v>
      </c>
      <c r="E36" s="133">
        <v>912.28</v>
      </c>
      <c r="F36" s="133">
        <v>853.65</v>
      </c>
      <c r="G36" s="133">
        <v>773.55</v>
      </c>
      <c r="H36" s="133">
        <v>652.28</v>
      </c>
      <c r="I36" s="133">
        <v>572.92</v>
      </c>
      <c r="J36" s="133"/>
      <c r="K36" s="132">
        <f t="shared" si="24"/>
        <v>467.5</v>
      </c>
      <c r="L36" s="133">
        <f t="shared" si="26"/>
        <v>1001.4551942446</v>
      </c>
      <c r="M36" s="133">
        <f t="shared" si="27"/>
        <v>965.544659633108</v>
      </c>
      <c r="N36" s="133">
        <f t="shared" si="28"/>
        <v>937.28185845679</v>
      </c>
      <c r="O36" s="133">
        <f t="shared" si="29"/>
        <v>912.528929663598</v>
      </c>
      <c r="P36" s="133">
        <f t="shared" si="30"/>
        <v>881.536998894774</v>
      </c>
      <c r="Q36" s="133">
        <f t="shared" si="31"/>
        <v>854.124873188096</v>
      </c>
      <c r="R36" s="133">
        <f t="shared" si="32"/>
        <v>812.799821215387</v>
      </c>
      <c r="S36" s="133">
        <f t="shared" si="33"/>
        <v>774.500322608787</v>
      </c>
      <c r="T36" s="133">
        <f t="shared" si="34"/>
        <v>712.777527160786</v>
      </c>
      <c r="U36" s="133">
        <f t="shared" si="35"/>
        <v>654.13547634059</v>
      </c>
      <c r="V36" s="133">
        <f t="shared" si="36"/>
        <v>580.450510948905</v>
      </c>
      <c r="X36" s="106" t="str">
        <f>事故释放率!A13</f>
        <v>I-131</v>
      </c>
      <c r="Y36" s="156">
        <f ca="1" t="array" ref="Y36">SUMPRODUCT(Y$5:Y$18,TRANSPOSE(事故释放率!$B13:$O13))</f>
        <v>1.51678602422716e-12</v>
      </c>
      <c r="Z36" s="156">
        <f ca="1" t="array" ref="Z36">SUMPRODUCT(Z$5:Z$18,TRANSPOSE(事故释放率!$B13:$O13))</f>
        <v>3.30377728087424e-12</v>
      </c>
      <c r="AA36" s="156">
        <f ca="1" t="array" ref="AA36">SUMPRODUCT(AA$5:AA$18,TRANSPOSE(事故释放率!$B13:$O13))</f>
        <v>1.25504687751411e-11</v>
      </c>
      <c r="AB36" s="156">
        <f ca="1" t="array" ref="AB36">SUMPRODUCT(AB$5:AB$18,TRANSPOSE(事故释放率!$B13:$O13))</f>
        <v>2.24251832538325e-11</v>
      </c>
      <c r="AC36" s="156">
        <f ca="1" t="array" ref="AC36">SUMPRODUCT(AC$5:AC$18,TRANSPOSE(事故释放率!$B13:$O13))</f>
        <v>4.64742771888971e-11</v>
      </c>
      <c r="AD36" s="156">
        <f ca="1" t="array" ref="AD36">SUMPRODUCT(AD$5:AD$18,TRANSPOSE(事故释放率!$B13:$O13))</f>
        <v>3.27740309251833e-11</v>
      </c>
      <c r="AE36" s="156">
        <f ca="1" t="array" ref="AE36">SUMPRODUCT(AE$5:AE$18,TRANSPOSE(事故释放率!$B13:$O13))</f>
        <v>2.38944424233005e-11</v>
      </c>
      <c r="AG36" s="156">
        <f ca="1">MMULT(事故释放率!$B13:$O13,Y$5:Y$18)</f>
        <v>1.51678602422716e-12</v>
      </c>
      <c r="AH36" s="156">
        <f ca="1">MMULT(事故释放率!$B13:$O13,Z$5:Z$18)</f>
        <v>3.30377728087424e-12</v>
      </c>
      <c r="AI36" s="156">
        <f ca="1">MMULT(事故释放率!$B13:$O13,AA$5:AA$18)</f>
        <v>1.25504687751411e-11</v>
      </c>
      <c r="AJ36" s="156">
        <f ca="1">MMULT(事故释放率!$B13:$O13,AB$5:AB$18)</f>
        <v>2.24251832538325e-11</v>
      </c>
      <c r="AK36" s="156">
        <f ca="1">MMULT(事故释放率!$B13:$O13,AC$5:AC$18)</f>
        <v>4.64742771888971e-11</v>
      </c>
      <c r="AL36" s="156">
        <f ca="1">MMULT(事故释放率!$B13:$O13,AD$5:AD$18)</f>
        <v>3.27740309251833e-11</v>
      </c>
    </row>
    <row r="37" spans="1:38">
      <c r="A37" s="132">
        <v>522.5</v>
      </c>
      <c r="B37" s="133">
        <v>1025.27</v>
      </c>
      <c r="C37" s="133">
        <v>1016.49</v>
      </c>
      <c r="D37" s="133">
        <v>991.82</v>
      </c>
      <c r="E37" s="133">
        <v>944.52</v>
      </c>
      <c r="F37" s="133">
        <v>883.77</v>
      </c>
      <c r="G37" s="133">
        <v>799.98</v>
      </c>
      <c r="H37" s="133">
        <v>674.16</v>
      </c>
      <c r="I37" s="133">
        <v>592.96</v>
      </c>
      <c r="J37" s="133"/>
      <c r="K37" s="132">
        <f t="shared" si="24"/>
        <v>522.5</v>
      </c>
      <c r="L37" s="133">
        <f t="shared" si="26"/>
        <v>1036.43765467626</v>
      </c>
      <c r="M37" s="133">
        <f t="shared" si="27"/>
        <v>999.237143884195</v>
      </c>
      <c r="N37" s="133">
        <f t="shared" si="28"/>
        <v>970.189370631782</v>
      </c>
      <c r="O37" s="133">
        <f t="shared" si="29"/>
        <v>944.775575712788</v>
      </c>
      <c r="P37" s="133">
        <f t="shared" si="30"/>
        <v>912.665363855663</v>
      </c>
      <c r="Q37" s="133">
        <f t="shared" si="31"/>
        <v>884.262044110129</v>
      </c>
      <c r="R37" s="133">
        <f t="shared" si="32"/>
        <v>841.037959046657</v>
      </c>
      <c r="S37" s="133">
        <f t="shared" si="33"/>
        <v>800.974101515484</v>
      </c>
      <c r="T37" s="133">
        <f t="shared" si="34"/>
        <v>736.927369236993</v>
      </c>
      <c r="U37" s="133">
        <f t="shared" si="35"/>
        <v>676.08509304175</v>
      </c>
      <c r="V37" s="133">
        <f t="shared" si="36"/>
        <v>600.665109489051</v>
      </c>
      <c r="X37" s="106" t="str">
        <f>事故释放率!A14</f>
        <v>I-132</v>
      </c>
      <c r="Y37" s="156">
        <f ca="1" t="array" ref="Y37">SUMPRODUCT(Y$5:Y$18,TRANSPOSE(事故释放率!$B14:$O14))</f>
        <v>1.35366550277358e-11</v>
      </c>
      <c r="Z37" s="156">
        <f ca="1" t="array" ref="Z37">SUMPRODUCT(Z$5:Z$18,TRANSPOSE(事故释放率!$B14:$O14))</f>
        <v>2.96310438525152e-11</v>
      </c>
      <c r="AA37" s="156">
        <f ca="1" t="array" ref="AA37">SUMPRODUCT(AA$5:AA$18,TRANSPOSE(事故释放率!$B14:$O14))</f>
        <v>1.17931979441473e-10</v>
      </c>
      <c r="AB37" s="156">
        <f ca="1" t="array" ref="AB37">SUMPRODUCT(AB$5:AB$18,TRANSPOSE(事故释放率!$B14:$O14))</f>
        <v>2.27091572838889e-10</v>
      </c>
      <c r="AC37" s="156">
        <f ca="1" t="array" ref="AC37">SUMPRODUCT(AC$5:AC$18,TRANSPOSE(事故释放率!$B14:$O14))</f>
        <v>5.76808771153386e-10</v>
      </c>
      <c r="AD37" s="156">
        <f ca="1" t="array" ref="AD37">SUMPRODUCT(AD$5:AD$18,TRANSPOSE(事故释放率!$B14:$O14))</f>
        <v>3.40348557161623e-10</v>
      </c>
      <c r="AE37" s="156">
        <f ca="1" t="array" ref="AE37">SUMPRODUCT(AE$5:AE$18,TRANSPOSE(事故释放率!$B14:$O14))</f>
        <v>2.40766709700896e-10</v>
      </c>
      <c r="AG37" s="156">
        <f ca="1">MMULT(事故释放率!$B14:$O14,Y$5:Y$18)</f>
        <v>1.35366550277358e-11</v>
      </c>
      <c r="AH37" s="156">
        <f ca="1">MMULT(事故释放率!$B14:$O14,Z$5:Z$18)</f>
        <v>2.96310438525152e-11</v>
      </c>
      <c r="AI37" s="156">
        <f ca="1">MMULT(事故释放率!$B14:$O14,AA$5:AA$18)</f>
        <v>1.17931979441473e-10</v>
      </c>
      <c r="AJ37" s="156">
        <f ca="1">MMULT(事故释放率!$B14:$O14,AB$5:AB$18)</f>
        <v>2.27091572838889e-10</v>
      </c>
      <c r="AK37" s="156">
        <f ca="1">MMULT(事故释放率!$B14:$O14,AC$5:AC$18)</f>
        <v>5.76808771153386e-10</v>
      </c>
      <c r="AL37" s="156">
        <f ca="1">MMULT(事故释放率!$B14:$O14,AD$5:AD$18)</f>
        <v>3.40348557161623e-10</v>
      </c>
    </row>
    <row r="38" spans="1:38">
      <c r="A38" s="132">
        <v>577.5</v>
      </c>
      <c r="B38" s="133">
        <v>1048.95</v>
      </c>
      <c r="C38" s="133">
        <v>1039.97</v>
      </c>
      <c r="D38" s="133">
        <v>1014.92</v>
      </c>
      <c r="E38" s="133">
        <v>966.71</v>
      </c>
      <c r="F38" s="133">
        <v>902.7</v>
      </c>
      <c r="G38" s="133">
        <v>810.54</v>
      </c>
      <c r="H38" s="133">
        <v>665.22</v>
      </c>
      <c r="I38" s="133">
        <v>567.88</v>
      </c>
      <c r="J38" s="133"/>
      <c r="K38" s="132">
        <f t="shared" si="24"/>
        <v>577.5</v>
      </c>
      <c r="L38" s="133">
        <f t="shared" si="26"/>
        <v>1060.37204316547</v>
      </c>
      <c r="M38" s="133">
        <f t="shared" si="27"/>
        <v>1022.45139255367</v>
      </c>
      <c r="N38" s="133">
        <f t="shared" si="28"/>
        <v>992.87322110271</v>
      </c>
      <c r="O38" s="133">
        <f t="shared" si="29"/>
        <v>966.970492708531</v>
      </c>
      <c r="P38" s="133">
        <f t="shared" si="30"/>
        <v>933.145962804955</v>
      </c>
      <c r="Q38" s="133">
        <f t="shared" si="31"/>
        <v>903.2184484525</v>
      </c>
      <c r="R38" s="133">
        <f t="shared" si="32"/>
        <v>855.699344859052</v>
      </c>
      <c r="S38" s="133">
        <f t="shared" si="33"/>
        <v>811.633404889211</v>
      </c>
      <c r="T38" s="133">
        <f t="shared" si="34"/>
        <v>737.715263849307</v>
      </c>
      <c r="U38" s="133">
        <f t="shared" si="35"/>
        <v>667.443450332436</v>
      </c>
      <c r="V38" s="133">
        <f t="shared" si="36"/>
        <v>577.116642335767</v>
      </c>
      <c r="X38" s="106" t="str">
        <f>事故释放率!A15</f>
        <v>I-133</v>
      </c>
      <c r="Y38" s="156">
        <f ca="1" t="array" ref="Y38">SUMPRODUCT(Y$5:Y$18,TRANSPOSE(事故释放率!$B15:$O15))</f>
        <v>4.62129883090596e-12</v>
      </c>
      <c r="Z38" s="156">
        <f ca="1" t="array" ref="Z38">SUMPRODUCT(Z$5:Z$18,TRANSPOSE(事故释放率!$B15:$O15))</f>
        <v>1.01035399313577e-11</v>
      </c>
      <c r="AA38" s="156">
        <f ca="1" t="array" ref="AA38">SUMPRODUCT(AA$5:AA$18,TRANSPOSE(事故释放率!$B15:$O15))</f>
        <v>3.97649506127805e-11</v>
      </c>
      <c r="AB38" s="156">
        <f ca="1" t="array" ref="AB38">SUMPRODUCT(AB$5:AB$18,TRANSPOSE(事故释放率!$B15:$O15))</f>
        <v>7.52625101519844e-11</v>
      </c>
      <c r="AC38" s="156">
        <f ca="1" t="array" ref="AC38">SUMPRODUCT(AC$5:AC$18,TRANSPOSE(事故释放率!$B15:$O15))</f>
        <v>1.80969415284839e-10</v>
      </c>
      <c r="AD38" s="156">
        <f ca="1" t="array" ref="AD38">SUMPRODUCT(AD$5:AD$18,TRANSPOSE(事故释放率!$B15:$O15))</f>
        <v>1.12170106588944e-10</v>
      </c>
      <c r="AE38" s="156">
        <f ca="1" t="array" ref="AE38">SUMPRODUCT(AE$5:AE$18,TRANSPOSE(事故释放率!$B15:$O15))</f>
        <v>7.98839791826187e-11</v>
      </c>
      <c r="AG38" s="156">
        <f ca="1">MMULT(事故释放率!$B15:$O15,Y$5:Y$18)</f>
        <v>4.62129883090596e-12</v>
      </c>
      <c r="AH38" s="156">
        <f ca="1">MMULT(事故释放率!$B15:$O15,Z$5:Z$18)</f>
        <v>1.01035399313577e-11</v>
      </c>
      <c r="AI38" s="156">
        <f ca="1">MMULT(事故释放率!$B15:$O15,AA$5:AA$18)</f>
        <v>3.97649506127805e-11</v>
      </c>
      <c r="AJ38" s="156">
        <f ca="1">MMULT(事故释放率!$B15:$O15,AB$5:AB$18)</f>
        <v>7.52625101519844e-11</v>
      </c>
      <c r="AK38" s="156">
        <f ca="1">MMULT(事故释放率!$B15:$O15,AC$5:AC$18)</f>
        <v>1.80969415284839e-10</v>
      </c>
      <c r="AL38" s="156">
        <f ca="1">MMULT(事故释放率!$B15:$O15,AD$5:AD$18)</f>
        <v>1.12170106588944e-10</v>
      </c>
    </row>
    <row r="39" spans="1:38">
      <c r="A39" s="132">
        <v>632.5</v>
      </c>
      <c r="B39" s="133">
        <v>1064.17</v>
      </c>
      <c r="C39" s="133">
        <v>1055.13</v>
      </c>
      <c r="D39" s="133">
        <v>1030.1</v>
      </c>
      <c r="E39" s="133">
        <v>981.99</v>
      </c>
      <c r="F39" s="133">
        <v>917.24</v>
      </c>
      <c r="G39" s="133">
        <v>822.88</v>
      </c>
      <c r="H39" s="133">
        <v>674.76</v>
      </c>
      <c r="I39" s="133">
        <v>576.76</v>
      </c>
      <c r="J39" s="133"/>
      <c r="K39" s="132">
        <f t="shared" si="24"/>
        <v>632.5</v>
      </c>
      <c r="L39" s="133">
        <f t="shared" si="26"/>
        <v>1075.66835971223</v>
      </c>
      <c r="M39" s="133">
        <f t="shared" si="27"/>
        <v>1037.6253794658</v>
      </c>
      <c r="N39" s="133">
        <f t="shared" si="28"/>
        <v>1008.09895182019</v>
      </c>
      <c r="O39" s="133">
        <f t="shared" si="29"/>
        <v>982.249952379329</v>
      </c>
      <c r="P39" s="133">
        <f t="shared" si="30"/>
        <v>948.037939253567</v>
      </c>
      <c r="Q39" s="133">
        <f t="shared" si="31"/>
        <v>917.764442076228</v>
      </c>
      <c r="R39" s="133">
        <f t="shared" si="32"/>
        <v>869.117367414281</v>
      </c>
      <c r="S39" s="133">
        <f t="shared" si="33"/>
        <v>823.999506134396</v>
      </c>
      <c r="T39" s="133">
        <f t="shared" si="34"/>
        <v>748.652089742357</v>
      </c>
      <c r="U39" s="133">
        <f t="shared" si="35"/>
        <v>677.026291379304</v>
      </c>
      <c r="V39" s="133">
        <f t="shared" si="36"/>
        <v>586.059270072993</v>
      </c>
      <c r="X39" s="106" t="str">
        <f>事故释放率!A16</f>
        <v>I-134</v>
      </c>
      <c r="Y39" s="156">
        <f ca="1" t="array" ref="Y39">SUMPRODUCT(Y$5:Y$18,TRANSPOSE(事故释放率!$B16:$O16))</f>
        <v>2.08821275271886e-11</v>
      </c>
      <c r="Z39" s="156">
        <f ca="1" t="array" ref="Z39">SUMPRODUCT(Z$5:Z$18,TRANSPOSE(事故释放率!$B16:$O16))</f>
        <v>4.57204168879066e-11</v>
      </c>
      <c r="AA39" s="156">
        <f ca="1" t="array" ref="AA39">SUMPRODUCT(AA$5:AA$18,TRANSPOSE(事故释放率!$B16:$O16))</f>
        <v>1.82351793927569e-10</v>
      </c>
      <c r="AB39" s="156">
        <f ca="1" t="array" ref="AB39">SUMPRODUCT(AB$5:AB$18,TRANSPOSE(事故释放率!$B16:$O16))</f>
        <v>3.52263172824572e-10</v>
      </c>
      <c r="AC39" s="156">
        <f ca="1" t="array" ref="AC39">SUMPRODUCT(AC$5:AC$18,TRANSPOSE(事故释放率!$B16:$O16))</f>
        <v>9.03525162799031e-10</v>
      </c>
      <c r="AD39" s="156">
        <f ca="1" t="array" ref="AD39">SUMPRODUCT(AD$5:AD$18,TRANSPOSE(事故释放率!$B16:$O16))</f>
        <v>5.28485701636198e-10</v>
      </c>
      <c r="AE39" s="156">
        <f ca="1" t="array" ref="AE39">SUMPRODUCT(AE$5:AE$18,TRANSPOSE(事故释放率!$B16:$O16))</f>
        <v>3.73399356193286e-10</v>
      </c>
      <c r="AG39" s="156">
        <f ca="1">MMULT(事故释放率!$B16:$O16,Y$5:Y$18)</f>
        <v>2.08821275271886e-11</v>
      </c>
      <c r="AH39" s="156">
        <f ca="1">MMULT(事故释放率!$B16:$O16,Z$5:Z$18)</f>
        <v>4.57204168879066e-11</v>
      </c>
      <c r="AI39" s="156">
        <f ca="1">MMULT(事故释放率!$B16:$O16,AA$5:AA$18)</f>
        <v>1.82351793927569e-10</v>
      </c>
      <c r="AJ39" s="156">
        <f ca="1">MMULT(事故释放率!$B16:$O16,AB$5:AB$18)</f>
        <v>3.52263172824572e-10</v>
      </c>
      <c r="AK39" s="156">
        <f ca="1">MMULT(事故释放率!$B16:$O16,AC$5:AC$18)</f>
        <v>9.03525162799031e-10</v>
      </c>
      <c r="AL39" s="156">
        <f ca="1">MMULT(事故释放率!$B16:$O16,AD$5:AD$18)</f>
        <v>5.28485701636198e-10</v>
      </c>
    </row>
    <row r="40" ht="13.5" customHeight="1" spans="1:38">
      <c r="A40" s="132">
        <v>687.5</v>
      </c>
      <c r="B40" s="133">
        <v>1072.41</v>
      </c>
      <c r="C40" s="133">
        <v>1063.4</v>
      </c>
      <c r="D40" s="133">
        <v>1038.59</v>
      </c>
      <c r="E40" s="133">
        <v>991.08</v>
      </c>
      <c r="F40" s="133">
        <v>926.64</v>
      </c>
      <c r="G40" s="133">
        <v>831.97</v>
      </c>
      <c r="H40" s="133">
        <v>683.27</v>
      </c>
      <c r="I40" s="133">
        <v>584.96</v>
      </c>
      <c r="J40" s="133"/>
      <c r="K40" s="132">
        <f t="shared" si="24"/>
        <v>687.5</v>
      </c>
      <c r="L40" s="133">
        <f t="shared" si="26"/>
        <v>1083.87020143885</v>
      </c>
      <c r="M40" s="133">
        <f t="shared" si="27"/>
        <v>1046.04923549927</v>
      </c>
      <c r="N40" s="133">
        <f t="shared" si="28"/>
        <v>1016.86333612507</v>
      </c>
      <c r="O40" s="133">
        <f t="shared" si="29"/>
        <v>991.336710404114</v>
      </c>
      <c r="P40" s="133">
        <f t="shared" si="30"/>
        <v>957.290489660229</v>
      </c>
      <c r="Q40" s="133">
        <f t="shared" si="31"/>
        <v>927.161931233855</v>
      </c>
      <c r="R40" s="133">
        <f t="shared" si="32"/>
        <v>878.359270592518</v>
      </c>
      <c r="S40" s="133">
        <f t="shared" si="33"/>
        <v>833.093184037127</v>
      </c>
      <c r="T40" s="133">
        <f t="shared" si="34"/>
        <v>757.451432248775</v>
      </c>
      <c r="U40" s="133">
        <f t="shared" si="35"/>
        <v>685.545165596155</v>
      </c>
      <c r="V40" s="133">
        <f t="shared" si="36"/>
        <v>594.288686131387</v>
      </c>
      <c r="X40" s="106" t="str">
        <f>事故释放率!A17</f>
        <v>I-135</v>
      </c>
      <c r="Y40" s="156">
        <f ca="1" t="array" ref="Y40">SUMPRODUCT(Y$5:Y$18,TRANSPOSE(事故释放率!$B17:$O17))</f>
        <v>8.16581981569396e-12</v>
      </c>
      <c r="Z40" s="156">
        <f ca="1" t="array" ref="Z40">SUMPRODUCT(Z$5:Z$18,TRANSPOSE(事故释放率!$B17:$O17))</f>
        <v>1.78671205160526e-11</v>
      </c>
      <c r="AA40" s="156">
        <f ca="1" t="array" ref="AA40">SUMPRODUCT(AA$5:AA$18,TRANSPOSE(事故释放率!$B17:$O17))</f>
        <v>7.08396422917574e-11</v>
      </c>
      <c r="AB40" s="156">
        <f ca="1" t="array" ref="AB40">SUMPRODUCT(AB$5:AB$18,TRANSPOSE(事故释放率!$B17:$O17))</f>
        <v>1.35614280355551e-10</v>
      </c>
      <c r="AC40" s="156">
        <f ca="1" t="array" ref="AC40">SUMPRODUCT(AC$5:AC$18,TRANSPOSE(事故释放率!$B17:$O17))</f>
        <v>3.38240744373038e-10</v>
      </c>
      <c r="AD40" s="156">
        <f ca="1" t="array" ref="AD40">SUMPRODUCT(AD$5:AD$18,TRANSPOSE(事故释放率!$B17:$O17))</f>
        <v>2.02867437246001e-10</v>
      </c>
      <c r="AE40" s="156">
        <f ca="1" t="array" ref="AE40">SUMPRODUCT(AE$5:AE$18,TRANSPOSE(事故释放率!$B17:$O17))</f>
        <v>1.43835017478882e-10</v>
      </c>
      <c r="AG40" s="156">
        <f ca="1">MMULT(事故释放率!$B17:$O17,Y$5:Y$18)</f>
        <v>8.16581981569396e-12</v>
      </c>
      <c r="AH40" s="156">
        <f ca="1">MMULT(事故释放率!$B17:$O17,Z$5:Z$18)</f>
        <v>1.78671205160526e-11</v>
      </c>
      <c r="AI40" s="156">
        <f ca="1">MMULT(事故释放率!$B17:$O17,AA$5:AA$18)</f>
        <v>7.08396422917574e-11</v>
      </c>
      <c r="AJ40" s="156">
        <f ca="1">MMULT(事故释放率!$B17:$O17,AB$5:AB$18)</f>
        <v>1.35614280355551e-10</v>
      </c>
      <c r="AK40" s="156">
        <f ca="1">MMULT(事故释放率!$B17:$O17,AC$5:AC$18)</f>
        <v>3.38240744373038e-10</v>
      </c>
      <c r="AL40" s="156">
        <f ca="1">MMULT(事故释放率!$B17:$O17,AD$5:AD$18)</f>
        <v>2.02867437246001e-10</v>
      </c>
    </row>
    <row r="41" ht="13.5" customHeight="1" spans="1:38">
      <c r="A41" s="132">
        <v>742.5</v>
      </c>
      <c r="B41" s="133">
        <v>1075.06</v>
      </c>
      <c r="C41" s="133">
        <v>1066.1</v>
      </c>
      <c r="D41" s="133">
        <v>1041.64</v>
      </c>
      <c r="E41" s="133">
        <v>994.87</v>
      </c>
      <c r="F41" s="133">
        <v>930.89</v>
      </c>
      <c r="G41" s="133">
        <v>836.21</v>
      </c>
      <c r="H41" s="133">
        <v>686.9</v>
      </c>
      <c r="I41" s="133">
        <v>588.15</v>
      </c>
      <c r="J41" s="133"/>
      <c r="K41" s="132">
        <f t="shared" si="24"/>
        <v>742.5</v>
      </c>
      <c r="L41" s="133">
        <f t="shared" si="26"/>
        <v>1086.45660431655</v>
      </c>
      <c r="M41" s="133">
        <f t="shared" si="27"/>
        <v>1048.99400646159</v>
      </c>
      <c r="N41" s="133">
        <f t="shared" si="28"/>
        <v>1020.25174343443</v>
      </c>
      <c r="O41" s="133">
        <f t="shared" si="29"/>
        <v>995.122711968015</v>
      </c>
      <c r="P41" s="133">
        <f t="shared" si="30"/>
        <v>961.32169348947</v>
      </c>
      <c r="Q41" s="133">
        <f t="shared" si="31"/>
        <v>931.408205467754</v>
      </c>
      <c r="R41" s="133">
        <f t="shared" si="32"/>
        <v>882.604170695041</v>
      </c>
      <c r="S41" s="133">
        <f t="shared" si="33"/>
        <v>837.333302679151</v>
      </c>
      <c r="T41" s="133">
        <f t="shared" si="34"/>
        <v>761.385740746904</v>
      </c>
      <c r="U41" s="133">
        <f t="shared" si="35"/>
        <v>689.184498824223</v>
      </c>
      <c r="V41" s="133">
        <f t="shared" si="36"/>
        <v>597.520437956204</v>
      </c>
      <c r="X41" s="106" t="str">
        <f>事故释放率!A18</f>
        <v>Sr-89</v>
      </c>
      <c r="Y41" s="811">
        <v>9.908e-18</v>
      </c>
      <c r="Z41" s="811">
        <v>5.79065103325e-15</v>
      </c>
      <c r="AA41" s="811">
        <v>1.89586185e-13</v>
      </c>
      <c r="AB41" s="811">
        <v>3.207465e-13</v>
      </c>
      <c r="AC41" s="811">
        <v>1.29055825e-13</v>
      </c>
      <c r="AD41" s="811">
        <v>7.1246175e-14</v>
      </c>
      <c r="AE41" s="811">
        <v>3.80097e-14</v>
      </c>
      <c r="AG41" s="156">
        <f ca="1">MMULT(事故释放率!$B18:$O18,Y$5:Y$18)</f>
        <v>4.950394364e-17</v>
      </c>
      <c r="AH41" s="156">
        <f ca="1">MMULT(事故释放率!$B18:$O18,Z$5:Z$18)</f>
        <v>5.4252853141e-16</v>
      </c>
      <c r="AI41" s="156">
        <f ca="1">MMULT(事故释放率!$B18:$O18,AA$5:AA$18)</f>
        <v>1.677928100787e-14</v>
      </c>
      <c r="AJ41" s="156">
        <f ca="1">MMULT(事故释放率!$B18:$O18,AB$5:AB$18)</f>
        <v>4.4858422205035e-14</v>
      </c>
      <c r="AK41" s="156">
        <f ca="1">MMULT(事故释放率!$B18:$O18,AC$5:AC$18)</f>
        <v>1.1052353619919e-13</v>
      </c>
      <c r="AL41" s="156">
        <f ca="1">MMULT(事故释放率!$B18:$O18,AD$5:AD$18)</f>
        <v>7.381974674019e-14</v>
      </c>
    </row>
    <row r="42" spans="1:38">
      <c r="A42" s="132">
        <v>797.5</v>
      </c>
      <c r="B42" s="133">
        <v>1073.3</v>
      </c>
      <c r="C42" s="133">
        <v>1064.47</v>
      </c>
      <c r="D42" s="133">
        <v>1040.51</v>
      </c>
      <c r="E42" s="133">
        <v>994.66</v>
      </c>
      <c r="F42" s="133">
        <v>930.95</v>
      </c>
      <c r="G42" s="133">
        <v>835.39</v>
      </c>
      <c r="H42" s="133">
        <v>684.21</v>
      </c>
      <c r="I42" s="133">
        <v>584.44</v>
      </c>
      <c r="J42" s="133"/>
      <c r="K42" s="132">
        <f t="shared" si="24"/>
        <v>797.5</v>
      </c>
      <c r="L42" s="133">
        <f t="shared" si="26"/>
        <v>1084.53125179856</v>
      </c>
      <c r="M42" s="133">
        <f t="shared" si="27"/>
        <v>1047.71367926491</v>
      </c>
      <c r="N42" s="133">
        <f t="shared" si="28"/>
        <v>1019.54246603525</v>
      </c>
      <c r="O42" s="133">
        <f t="shared" si="29"/>
        <v>994.907740939352</v>
      </c>
      <c r="P42" s="133">
        <f t="shared" si="30"/>
        <v>961.253269650112</v>
      </c>
      <c r="Q42" s="133">
        <f t="shared" si="31"/>
        <v>931.466018605042</v>
      </c>
      <c r="R42" s="133">
        <f t="shared" si="32"/>
        <v>882.215379717133</v>
      </c>
      <c r="S42" s="133">
        <f t="shared" si="33"/>
        <v>836.523743177225</v>
      </c>
      <c r="T42" s="133">
        <f t="shared" si="34"/>
        <v>759.628620896905</v>
      </c>
      <c r="U42" s="133">
        <f t="shared" si="35"/>
        <v>686.523110523381</v>
      </c>
      <c r="V42" s="133">
        <f t="shared" si="36"/>
        <v>593.907226277372</v>
      </c>
      <c r="X42" s="106" t="str">
        <f>事故释放率!A19</f>
        <v>Sr-90</v>
      </c>
      <c r="Y42" s="811">
        <v>9.494e-18</v>
      </c>
      <c r="Z42" s="811">
        <v>5.55517599125e-15</v>
      </c>
      <c r="AA42" s="811">
        <v>1.844157675e-13</v>
      </c>
      <c r="AB42" s="811">
        <v>3.2442075e-13</v>
      </c>
      <c r="AC42" s="811">
        <v>1.32439375e-13</v>
      </c>
      <c r="AD42" s="811">
        <v>7.4254375e-14</v>
      </c>
      <c r="AE42" s="811">
        <v>4.02206e-14</v>
      </c>
      <c r="AG42" s="156">
        <f ca="1">MMULT(事故释放率!$B19:$O19,Y$5:Y$18)</f>
        <v>4.745742964e-17</v>
      </c>
      <c r="AH42" s="156">
        <f ca="1">MMULT(事故释放率!$B19:$O19,Z$5:Z$18)</f>
        <v>5.2130691941e-16</v>
      </c>
      <c r="AI42" s="156">
        <f ca="1">MMULT(事故释放率!$B19:$O19,AA$5:AA$18)</f>
        <v>1.629492022987e-14</v>
      </c>
      <c r="AJ42" s="156">
        <f ca="1">MMULT(事故释放率!$B19:$O19,AB$5:AB$18)</f>
        <v>4.4215386735035e-14</v>
      </c>
      <c r="AK42" s="156">
        <f ca="1">MMULT(事故释放率!$B19:$O19,AC$5:AC$18)</f>
        <v>1.0996995126919e-13</v>
      </c>
      <c r="AL42" s="156">
        <f ca="1">MMULT(事故释放率!$B19:$O19,AD$5:AD$18)</f>
        <v>7.297533730619e-14</v>
      </c>
    </row>
    <row r="43" spans="1:38">
      <c r="A43" s="132">
        <v>852.5</v>
      </c>
      <c r="B43" s="133">
        <v>1067.99</v>
      </c>
      <c r="C43" s="133">
        <v>1059.34</v>
      </c>
      <c r="D43" s="133">
        <v>1035.97</v>
      </c>
      <c r="E43" s="133">
        <v>990.92</v>
      </c>
      <c r="F43" s="133">
        <v>926.61</v>
      </c>
      <c r="G43" s="133">
        <v>828.7</v>
      </c>
      <c r="H43" s="133">
        <v>673.75</v>
      </c>
      <c r="I43" s="133">
        <v>571.93</v>
      </c>
      <c r="J43" s="133"/>
      <c r="K43" s="132">
        <f t="shared" si="24"/>
        <v>852.5</v>
      </c>
      <c r="L43" s="133">
        <f t="shared" si="26"/>
        <v>1078.99230215827</v>
      </c>
      <c r="M43" s="133">
        <f t="shared" si="27"/>
        <v>1042.99629317283</v>
      </c>
      <c r="N43" s="133">
        <f t="shared" si="28"/>
        <v>1015.36831177509</v>
      </c>
      <c r="O43" s="133">
        <f t="shared" si="29"/>
        <v>991.163418305732</v>
      </c>
      <c r="P43" s="133">
        <f t="shared" si="30"/>
        <v>957.198655959797</v>
      </c>
      <c r="Q43" s="133">
        <f t="shared" si="31"/>
        <v>927.130878299957</v>
      </c>
      <c r="R43" s="133">
        <f t="shared" si="32"/>
        <v>876.676903810219</v>
      </c>
      <c r="S43" s="133">
        <f t="shared" si="33"/>
        <v>829.861624052763</v>
      </c>
      <c r="T43" s="133">
        <f t="shared" si="34"/>
        <v>751.049347188619</v>
      </c>
      <c r="U43" s="133">
        <f t="shared" si="35"/>
        <v>676.120792932914</v>
      </c>
      <c r="V43" s="133">
        <f t="shared" si="36"/>
        <v>581.591751824817</v>
      </c>
      <c r="X43" s="106" t="str">
        <f>事故释放率!A20</f>
        <v>Cs-134</v>
      </c>
      <c r="Y43" s="811">
        <v>4.063e-14</v>
      </c>
      <c r="Z43" s="811">
        <v>1.733029225e-12</v>
      </c>
      <c r="AA43" s="811">
        <v>2.0738575e-11</v>
      </c>
      <c r="AB43" s="811">
        <v>3.5338375e-10</v>
      </c>
      <c r="AC43" s="811">
        <v>3.00556875e-10</v>
      </c>
      <c r="AD43" s="811">
        <v>1.77058275e-10</v>
      </c>
      <c r="AE43" s="811">
        <v>9.672285e-11</v>
      </c>
      <c r="AG43" s="156">
        <f ca="1">MMULT(事故释放率!$B20:$O20,Y$5:Y$18)</f>
        <v>5.8391407e-14</v>
      </c>
      <c r="AH43" s="156">
        <f ca="1">MMULT(事故释放率!$B20:$O20,Z$5:Z$18)</f>
        <v>2.64313533e-13</v>
      </c>
      <c r="AI43" s="156">
        <f ca="1">MMULT(事故释放率!$B20:$O20,AA$5:AA$18)</f>
        <v>2.301889256e-12</v>
      </c>
      <c r="AJ43" s="156">
        <f ca="1">MMULT(事故释放率!$B20:$O20,AB$5:AB$18)</f>
        <v>1.99923759955e-11</v>
      </c>
      <c r="AK43" s="156">
        <f ca="1">MMULT(事故释放率!$B20:$O20,AC$5:AC$18)</f>
        <v>1.01713329872e-10</v>
      </c>
      <c r="AL43" s="156">
        <f ca="1">MMULT(事故释放率!$B20:$O20,AD$5:AD$18)</f>
        <v>3.7768574422e-11</v>
      </c>
    </row>
    <row r="44" spans="1:38">
      <c r="A44" s="132">
        <v>907.5</v>
      </c>
      <c r="B44" s="133">
        <v>1059.57</v>
      </c>
      <c r="C44" s="133">
        <v>1051.1</v>
      </c>
      <c r="D44" s="133">
        <v>1028.31</v>
      </c>
      <c r="E44" s="133">
        <v>983.77</v>
      </c>
      <c r="F44" s="133">
        <v>917.74</v>
      </c>
      <c r="G44" s="133">
        <v>815.65</v>
      </c>
      <c r="H44" s="133">
        <v>654.7</v>
      </c>
      <c r="I44" s="133">
        <v>550.04</v>
      </c>
      <c r="J44" s="133"/>
      <c r="K44" s="132">
        <f t="shared" si="24"/>
        <v>907.5</v>
      </c>
      <c r="L44" s="133">
        <f t="shared" si="26"/>
        <v>1070.34335251799</v>
      </c>
      <c r="M44" s="133">
        <f t="shared" si="27"/>
        <v>1035.16191362468</v>
      </c>
      <c r="N44" s="133">
        <f t="shared" si="28"/>
        <v>1007.94153843424</v>
      </c>
      <c r="O44" s="133">
        <f t="shared" si="29"/>
        <v>984.010662626799</v>
      </c>
      <c r="P44" s="133">
        <f t="shared" si="30"/>
        <v>949.146763380896</v>
      </c>
      <c r="Q44" s="133">
        <f t="shared" si="31"/>
        <v>918.27480942538</v>
      </c>
      <c r="R44" s="133">
        <f t="shared" si="32"/>
        <v>865.675146665154</v>
      </c>
      <c r="S44" s="133">
        <f t="shared" si="33"/>
        <v>816.861216418615</v>
      </c>
      <c r="T44" s="133">
        <f t="shared" si="34"/>
        <v>734.99254553087</v>
      </c>
      <c r="U44" s="133">
        <f t="shared" si="35"/>
        <v>657.162595176202</v>
      </c>
      <c r="V44" s="133">
        <f t="shared" si="36"/>
        <v>559.971240875912</v>
      </c>
      <c r="X44" s="106" t="str">
        <f>事故释放率!A21</f>
        <v>Cs-137</v>
      </c>
      <c r="Y44" s="811">
        <v>4.688e-14</v>
      </c>
      <c r="Z44" s="811">
        <v>2.002341425e-12</v>
      </c>
      <c r="AA44" s="811">
        <v>2.35416e-11</v>
      </c>
      <c r="AB44" s="811">
        <v>3.5538275e-10</v>
      </c>
      <c r="AC44" s="811">
        <v>3.004945e-10</v>
      </c>
      <c r="AD44" s="811">
        <v>1.7706945e-10</v>
      </c>
      <c r="AE44" s="811">
        <v>9.6846275e-11</v>
      </c>
      <c r="AG44" s="156">
        <f ca="1">MMULT(事故释放率!$B21:$O21,Y$5:Y$18)</f>
        <v>6.3152471e-14</v>
      </c>
      <c r="AH44" s="156">
        <f ca="1">MMULT(事故释放率!$B21:$O21,Z$5:Z$18)</f>
        <v>2.94093094e-13</v>
      </c>
      <c r="AI44" s="156">
        <f ca="1">MMULT(事故释放率!$B21:$O21,AA$5:AA$18)</f>
        <v>2.619517563e-12</v>
      </c>
      <c r="AJ44" s="156">
        <f ca="1">MMULT(事故释放率!$B21:$O21,AB$5:AB$18)</f>
        <v>2.0942061629e-11</v>
      </c>
      <c r="AK44" s="156">
        <f ca="1">MMULT(事故释放率!$B21:$O21,AC$5:AC$18)</f>
        <v>1.04012503111e-10</v>
      </c>
      <c r="AL44" s="156">
        <f ca="1">MMULT(事故释放率!$B21:$O21,AD$5:AD$18)</f>
        <v>3.9369895841e-11</v>
      </c>
    </row>
    <row r="45" spans="1:38">
      <c r="A45" s="132">
        <v>962.5</v>
      </c>
      <c r="B45" s="133">
        <v>1048.22</v>
      </c>
      <c r="C45" s="133">
        <v>1039.92</v>
      </c>
      <c r="D45" s="133">
        <v>1017.38</v>
      </c>
      <c r="E45" s="133">
        <v>972.25</v>
      </c>
      <c r="F45" s="133">
        <v>902.77</v>
      </c>
      <c r="G45" s="133">
        <v>794.82</v>
      </c>
      <c r="H45" s="133">
        <v>626.86</v>
      </c>
      <c r="I45" s="133">
        <v>519.6</v>
      </c>
      <c r="J45" s="133"/>
      <c r="K45" s="132">
        <f t="shared" si="24"/>
        <v>962.5</v>
      </c>
      <c r="L45" s="133">
        <f t="shared" si="26"/>
        <v>1058.77712230216</v>
      </c>
      <c r="M45" s="133">
        <f t="shared" si="27"/>
        <v>1024.15675002634</v>
      </c>
      <c r="N45" s="133">
        <f t="shared" si="28"/>
        <v>996.741727201106</v>
      </c>
      <c r="O45" s="133">
        <f t="shared" si="29"/>
        <v>972.493850569094</v>
      </c>
      <c r="P45" s="133">
        <f t="shared" si="30"/>
        <v>935.817734661588</v>
      </c>
      <c r="Q45" s="133">
        <f t="shared" si="31"/>
        <v>903.33275267114</v>
      </c>
      <c r="R45" s="133">
        <f t="shared" si="32"/>
        <v>847.716606744082</v>
      </c>
      <c r="S45" s="133">
        <f t="shared" si="33"/>
        <v>796.100740644427</v>
      </c>
      <c r="T45" s="133">
        <f t="shared" si="34"/>
        <v>710.649598927399</v>
      </c>
      <c r="U45" s="133">
        <f t="shared" si="35"/>
        <v>629.42985079711</v>
      </c>
      <c r="V45" s="133">
        <f t="shared" si="36"/>
        <v>529.77795620438</v>
      </c>
      <c r="X45" s="106" t="str">
        <f>事故释放率!A22</f>
        <v>Ag-110m</v>
      </c>
      <c r="Y45" s="811">
        <v>1.879e-12</v>
      </c>
      <c r="Z45" s="811">
        <v>3.85755562e-10</v>
      </c>
      <c r="AA45" s="811">
        <v>4.8268475e-10</v>
      </c>
      <c r="AB45" s="811">
        <v>1.4304925e-9</v>
      </c>
      <c r="AC45" s="811">
        <v>4.091969775e-8</v>
      </c>
      <c r="AD45" s="811">
        <v>4.7227275e-8</v>
      </c>
      <c r="AE45" s="811">
        <v>3.5632668e-8</v>
      </c>
      <c r="AG45" s="156">
        <f ca="1">MMULT(事故释放率!$B22:$O22,Y$5:Y$18)</f>
        <v>5.8792278e-12</v>
      </c>
      <c r="AH45" s="156">
        <f ca="1">MMULT(事故释放率!$B22:$O22,Z$5:Z$18)</f>
        <v>4.48526117e-11</v>
      </c>
      <c r="AI45" s="156">
        <f ca="1">MMULT(事故释放率!$B22:$O22,AA$5:AA$18)</f>
        <v>6.990124009e-10</v>
      </c>
      <c r="AJ45" s="156">
        <f ca="1">MMULT(事故释放率!$B22:$O22,AB$5:AB$18)</f>
        <v>1.05306781095e-9</v>
      </c>
      <c r="AK45" s="156">
        <f ca="1">MMULT(事故释放率!$B22:$O22,AC$5:AC$18)</f>
        <v>2.4726082273e-9</v>
      </c>
      <c r="AL45" s="156">
        <f ca="1">MMULT(事故释放率!$B22:$O22,AD$5:AD$18)</f>
        <v>1.4700279813e-9</v>
      </c>
    </row>
    <row r="46" spans="1:38">
      <c r="A46" s="132">
        <v>1017.5</v>
      </c>
      <c r="B46" s="133">
        <v>1039.64</v>
      </c>
      <c r="C46" s="133">
        <v>1031.05</v>
      </c>
      <c r="D46" s="133">
        <v>1006.93</v>
      </c>
      <c r="E46" s="133">
        <v>957.02</v>
      </c>
      <c r="F46" s="133">
        <v>879.69</v>
      </c>
      <c r="G46" s="133">
        <v>764.46</v>
      </c>
      <c r="H46" s="133">
        <v>591.99</v>
      </c>
      <c r="I46" s="133">
        <v>484.71</v>
      </c>
      <c r="J46" s="133"/>
      <c r="K46" s="132">
        <f t="shared" si="24"/>
        <v>1017.5</v>
      </c>
      <c r="L46" s="133">
        <f t="shared" si="26"/>
        <v>1050.56598561151</v>
      </c>
      <c r="M46" s="133">
        <f t="shared" si="27"/>
        <v>1014.18178396785</v>
      </c>
      <c r="N46" s="133">
        <f t="shared" si="28"/>
        <v>984.105798905544</v>
      </c>
      <c r="O46" s="133">
        <f t="shared" si="29"/>
        <v>957.289678304974</v>
      </c>
      <c r="P46" s="133">
        <f t="shared" si="30"/>
        <v>916.471538879974</v>
      </c>
      <c r="Q46" s="133">
        <f t="shared" si="31"/>
        <v>880.316333679609</v>
      </c>
      <c r="R46" s="133">
        <f t="shared" si="32"/>
        <v>820.923881381386</v>
      </c>
      <c r="S46" s="133">
        <f t="shared" si="33"/>
        <v>765.827112037585</v>
      </c>
      <c r="T46" s="133">
        <f t="shared" si="34"/>
        <v>678.02948634799</v>
      </c>
      <c r="U46" s="133">
        <f t="shared" si="35"/>
        <v>594.628855483315</v>
      </c>
      <c r="V46" s="133">
        <f t="shared" si="36"/>
        <v>494.889854014598</v>
      </c>
      <c r="X46" s="106" t="str">
        <f>事故释放率!A23</f>
        <v>H-3</v>
      </c>
      <c r="Y46" s="156">
        <f ca="1" t="array" ref="Y46">SUMPRODUCT(Y$5:Y$18,TRANSPOSE(事故释放率!$B23:$O23))</f>
        <v>0</v>
      </c>
      <c r="Z46" s="156">
        <f ca="1" t="array" ref="Z46">SUMPRODUCT(Z$5:Z$18,TRANSPOSE(事故释放率!$B23:$O23))</f>
        <v>0</v>
      </c>
      <c r="AA46" s="156">
        <f ca="1" t="array" ref="AA46">SUMPRODUCT(AA$5:AA$18,TRANSPOSE(事故释放率!$B23:$O23))</f>
        <v>0</v>
      </c>
      <c r="AB46" s="156">
        <f ca="1" t="array" ref="AB46">SUMPRODUCT(AB$5:AB$18,TRANSPOSE(事故释放率!$B23:$O23))</f>
        <v>0</v>
      </c>
      <c r="AC46" s="156">
        <f ca="1" t="array" ref="AC46">SUMPRODUCT(AC$5:AC$18,TRANSPOSE(事故释放率!$B23:$O23))</f>
        <v>0</v>
      </c>
      <c r="AD46" s="156">
        <f ca="1" t="array" ref="AD46">SUMPRODUCT(AD$5:AD$18,TRANSPOSE(事故释放率!$B23:$O23))</f>
        <v>0</v>
      </c>
      <c r="AE46" s="156">
        <f ca="1" t="array" ref="AE46">SUMPRODUCT(AE$5:AE$18,TRANSPOSE(事故释放率!$B23:$O23))</f>
        <v>0</v>
      </c>
      <c r="AG46" s="156">
        <f ca="1">MMULT(事故释放率!$B23:$O23,Y$5:Y$18)</f>
        <v>0</v>
      </c>
      <c r="AH46" s="156">
        <f ca="1">MMULT(事故释放率!$B23:$O23,Z$5:Z$18)</f>
        <v>0</v>
      </c>
      <c r="AI46" s="156">
        <f ca="1">MMULT(事故释放率!$B23:$O23,AA$5:AA$18)</f>
        <v>0</v>
      </c>
      <c r="AJ46" s="156">
        <f ca="1">MMULT(事故释放率!$B23:$O23,AB$5:AB$18)</f>
        <v>0</v>
      </c>
      <c r="AK46" s="156">
        <f ca="1">MMULT(事故释放率!$B23:$O23,AC$5:AC$18)</f>
        <v>0</v>
      </c>
      <c r="AL46" s="156">
        <f ca="1">MMULT(事故释放率!$B23:$O23,AD$5:AD$18)</f>
        <v>0</v>
      </c>
    </row>
    <row r="47" spans="1:38">
      <c r="A47" s="132">
        <v>1072.5</v>
      </c>
      <c r="B47" s="133">
        <v>1016.94</v>
      </c>
      <c r="C47" s="133">
        <v>1003.54</v>
      </c>
      <c r="D47" s="133">
        <v>971.47</v>
      </c>
      <c r="E47" s="133">
        <v>907.68</v>
      </c>
      <c r="F47" s="133">
        <v>818.71</v>
      </c>
      <c r="G47" s="133">
        <v>704.19</v>
      </c>
      <c r="H47" s="133">
        <v>551.05</v>
      </c>
      <c r="I47" s="133">
        <v>459.48</v>
      </c>
      <c r="J47" s="133"/>
      <c r="K47" s="132">
        <f t="shared" si="24"/>
        <v>1072.5</v>
      </c>
      <c r="L47" s="133">
        <f t="shared" si="26"/>
        <v>1033.98402877698</v>
      </c>
      <c r="M47" s="133">
        <f t="shared" si="27"/>
        <v>981.11198639506</v>
      </c>
      <c r="N47" s="133">
        <f t="shared" si="28"/>
        <v>942.298375319268</v>
      </c>
      <c r="O47" s="133">
        <f t="shared" si="29"/>
        <v>908.024675998283</v>
      </c>
      <c r="P47" s="133">
        <f t="shared" si="30"/>
        <v>861.028033287874</v>
      </c>
      <c r="Q47" s="133">
        <f t="shared" si="31"/>
        <v>819.430611760958</v>
      </c>
      <c r="R47" s="133">
        <f t="shared" si="32"/>
        <v>760.305974102198</v>
      </c>
      <c r="S47" s="133">
        <f t="shared" si="33"/>
        <v>705.548688453911</v>
      </c>
      <c r="T47" s="133">
        <f t="shared" si="34"/>
        <v>627.44639902204</v>
      </c>
      <c r="U47" s="133">
        <f t="shared" si="35"/>
        <v>553.393099256188</v>
      </c>
      <c r="V47" s="133">
        <f t="shared" si="36"/>
        <v>468.169124087591</v>
      </c>
      <c r="X47" s="106" t="str">
        <f>事故释放率!A24</f>
        <v>C-14</v>
      </c>
      <c r="Y47" s="156">
        <f ca="1" t="array" ref="Y47">SUMPRODUCT(Y$5:Y$18,TRANSPOSE(事故释放率!$B24:$O24))</f>
        <v>0</v>
      </c>
      <c r="Z47" s="156">
        <f ca="1" t="array" ref="Z47">SUMPRODUCT(Z$5:Z$18,TRANSPOSE(事故释放率!$B24:$O24))</f>
        <v>0</v>
      </c>
      <c r="AA47" s="156">
        <f ca="1" t="array" ref="AA47">SUMPRODUCT(AA$5:AA$18,TRANSPOSE(事故释放率!$B24:$O24))</f>
        <v>0</v>
      </c>
      <c r="AB47" s="156">
        <f ca="1" t="array" ref="AB47">SUMPRODUCT(AB$5:AB$18,TRANSPOSE(事故释放率!$B24:$O24))</f>
        <v>0</v>
      </c>
      <c r="AC47" s="156">
        <f ca="1" t="array" ref="AC47">SUMPRODUCT(AC$5:AC$18,TRANSPOSE(事故释放率!$B24:$O24))</f>
        <v>0</v>
      </c>
      <c r="AD47" s="156">
        <f ca="1" t="array" ref="AD47">SUMPRODUCT(AD$5:AD$18,TRANSPOSE(事故释放率!$B24:$O24))</f>
        <v>0</v>
      </c>
      <c r="AE47" s="156">
        <f ca="1" t="array" ref="AE47">SUMPRODUCT(AE$5:AE$18,TRANSPOSE(事故释放率!$B24:$O24))</f>
        <v>0</v>
      </c>
      <c r="AG47" s="156">
        <f ca="1">MMULT(事故释放率!$B24:$O24,Y$5:Y$18)</f>
        <v>0</v>
      </c>
      <c r="AH47" s="156">
        <f ca="1">MMULT(事故释放率!$B24:$O24,Z$5:Z$18)</f>
        <v>0</v>
      </c>
      <c r="AI47" s="156">
        <f ca="1">MMULT(事故释放率!$B24:$O24,AA$5:AA$18)</f>
        <v>0</v>
      </c>
      <c r="AJ47" s="156">
        <f ca="1">MMULT(事故释放率!$B24:$O24,AB$5:AB$18)</f>
        <v>0</v>
      </c>
      <c r="AK47" s="156">
        <f ca="1">MMULT(事故释放率!$B24:$O24,AC$5:AC$18)</f>
        <v>0</v>
      </c>
      <c r="AL47" s="156">
        <f ca="1">MMULT(事故释放率!$B24:$O24,AD$5:AD$18)</f>
        <v>0</v>
      </c>
    </row>
    <row r="48" spans="1:38">
      <c r="A48" s="129"/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X48" s="106" t="str">
        <f>事故释放率!A25</f>
        <v>Co-60</v>
      </c>
      <c r="Y48" s="156">
        <f ca="1" t="array" ref="Y48">SUMPRODUCT(Y$5:Y$18,TRANSPOSE(事故释放率!$B25:$O25))</f>
        <v>0</v>
      </c>
      <c r="Z48" s="156">
        <f ca="1" t="array" ref="Z48">SUMPRODUCT(Z$5:Z$18,TRANSPOSE(事故释放率!$B25:$O25))</f>
        <v>0</v>
      </c>
      <c r="AA48" s="156">
        <f ca="1" t="array" ref="AA48">SUMPRODUCT(AA$5:AA$18,TRANSPOSE(事故释放率!$B25:$O25))</f>
        <v>0</v>
      </c>
      <c r="AB48" s="156">
        <f ca="1" t="array" ref="AB48">SUMPRODUCT(AB$5:AB$18,TRANSPOSE(事故释放率!$B25:$O25))</f>
        <v>0</v>
      </c>
      <c r="AC48" s="156">
        <f ca="1" t="array" ref="AC48">SUMPRODUCT(AC$5:AC$18,TRANSPOSE(事故释放率!$B25:$O25))</f>
        <v>0</v>
      </c>
      <c r="AD48" s="156">
        <f ca="1" t="array" ref="AD48">SUMPRODUCT(AD$5:AD$18,TRANSPOSE(事故释放率!$B25:$O25))</f>
        <v>0</v>
      </c>
      <c r="AE48" s="156">
        <f ca="1" t="array" ref="AE48">SUMPRODUCT(AE$5:AE$18,TRANSPOSE(事故释放率!$B25:$O25))</f>
        <v>0</v>
      </c>
      <c r="AG48" s="156">
        <f ca="1">MMULT(事故释放率!$B25:$O25,Y$5:Y$18)</f>
        <v>0</v>
      </c>
      <c r="AH48" s="156">
        <f ca="1">MMULT(事故释放率!$B25:$O25,Z$5:Z$18)</f>
        <v>0</v>
      </c>
      <c r="AI48" s="156">
        <f ca="1">MMULT(事故释放率!$B25:$O25,AA$5:AA$18)</f>
        <v>0</v>
      </c>
      <c r="AJ48" s="156">
        <f ca="1">MMULT(事故释放率!$B25:$O25,AB$5:AB$18)</f>
        <v>0</v>
      </c>
      <c r="AK48" s="156">
        <f ca="1">MMULT(事故释放率!$B25:$O25,AC$5:AC$18)</f>
        <v>0</v>
      </c>
      <c r="AL48" s="156">
        <f ca="1">MMULT(事故释放率!$B25:$O25,AD$5:AD$18)</f>
        <v>0</v>
      </c>
    </row>
    <row r="49" spans="1:38">
      <c r="A49" s="129" t="s">
        <v>136</v>
      </c>
      <c r="B49" s="129"/>
      <c r="C49" s="129"/>
      <c r="D49" s="129"/>
      <c r="E49" s="129"/>
      <c r="F49" s="129"/>
      <c r="G49" s="129"/>
      <c r="H49" s="129"/>
      <c r="I49" s="129"/>
      <c r="J49" s="129"/>
      <c r="K49" s="129" t="s">
        <v>136</v>
      </c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X49" s="106" t="str">
        <f>事故释放率!A26</f>
        <v>Ar-41</v>
      </c>
      <c r="Y49" s="156">
        <f ca="1" t="array" ref="Y49">SUMPRODUCT(Y$5:Y$18,TRANSPOSE(事故释放率!$B26:$O26))</f>
        <v>0</v>
      </c>
      <c r="Z49" s="156">
        <f ca="1" t="array" ref="Z49">SUMPRODUCT(Z$5:Z$18,TRANSPOSE(事故释放率!$B26:$O26))</f>
        <v>0</v>
      </c>
      <c r="AA49" s="156">
        <f ca="1" t="array" ref="AA49">SUMPRODUCT(AA$5:AA$18,TRANSPOSE(事故释放率!$B26:$O26))</f>
        <v>0</v>
      </c>
      <c r="AB49" s="156">
        <f ca="1" t="array" ref="AB49">SUMPRODUCT(AB$5:AB$18,TRANSPOSE(事故释放率!$B26:$O26))</f>
        <v>0</v>
      </c>
      <c r="AC49" s="156">
        <f ca="1" t="array" ref="AC49">SUMPRODUCT(AC$5:AC$18,TRANSPOSE(事故释放率!$B26:$O26))</f>
        <v>0</v>
      </c>
      <c r="AD49" s="156">
        <f ca="1" t="array" ref="AD49">SUMPRODUCT(AD$5:AD$18,TRANSPOSE(事故释放率!$B26:$O26))</f>
        <v>0</v>
      </c>
      <c r="AE49" s="156">
        <f ca="1" t="array" ref="AE49">SUMPRODUCT(AE$5:AE$18,TRANSPOSE(事故释放率!$B26:$O26))</f>
        <v>0</v>
      </c>
      <c r="AG49" s="156">
        <f ca="1">MMULT(事故释放率!$B26:$O26,Y$5:Y$18)</f>
        <v>0</v>
      </c>
      <c r="AH49" s="156">
        <f ca="1">MMULT(事故释放率!$B26:$O26,Z$5:Z$18)</f>
        <v>0</v>
      </c>
      <c r="AI49" s="156">
        <f ca="1">MMULT(事故释放率!$B26:$O26,AA$5:AA$18)</f>
        <v>0</v>
      </c>
      <c r="AJ49" s="156">
        <f ca="1">MMULT(事故释放率!$B26:$O26,AB$5:AB$18)</f>
        <v>0</v>
      </c>
      <c r="AK49" s="156">
        <f ca="1">MMULT(事故释放率!$B26:$O26,AC$5:AC$18)</f>
        <v>0</v>
      </c>
      <c r="AL49" s="156">
        <f ca="1">MMULT(事故释放率!$B26:$O26,AD$5:AD$18)</f>
        <v>0</v>
      </c>
    </row>
    <row r="50" ht="13.5" spans="1:22">
      <c r="A50" s="132" t="s">
        <v>128</v>
      </c>
      <c r="B50" s="133">
        <v>17.68</v>
      </c>
      <c r="C50" s="133">
        <v>31.58</v>
      </c>
      <c r="D50" s="133">
        <v>54.25</v>
      </c>
      <c r="E50" s="133">
        <v>82.31</v>
      </c>
      <c r="F50" s="133">
        <v>106.26</v>
      </c>
      <c r="G50" s="133">
        <v>125.73</v>
      </c>
      <c r="H50" s="133">
        <v>142.56</v>
      </c>
      <c r="I50" s="133">
        <v>150.78</v>
      </c>
      <c r="J50" s="133"/>
      <c r="K50" s="132" t="str">
        <f t="shared" ref="K50:K70" si="37">A50</f>
        <v>R/Z[cm]</v>
      </c>
      <c r="L50" s="141">
        <v>0</v>
      </c>
      <c r="M50" s="141">
        <f t="shared" ref="M50:V50" si="38">SQRT(L50*L50+150*150/10)</f>
        <v>47.4341649025257</v>
      </c>
      <c r="N50" s="141">
        <f t="shared" si="38"/>
        <v>67.0820393249937</v>
      </c>
      <c r="O50" s="141">
        <f t="shared" si="38"/>
        <v>82.1583836257749</v>
      </c>
      <c r="P50" s="141">
        <f t="shared" si="38"/>
        <v>94.8683298050514</v>
      </c>
      <c r="Q50" s="141">
        <f t="shared" si="38"/>
        <v>106.066017177982</v>
      </c>
      <c r="R50" s="141">
        <f t="shared" si="38"/>
        <v>116.189500386223</v>
      </c>
      <c r="S50" s="141">
        <f t="shared" si="38"/>
        <v>125.499003980111</v>
      </c>
      <c r="T50" s="141">
        <f t="shared" si="38"/>
        <v>134.164078649987</v>
      </c>
      <c r="U50" s="141">
        <f t="shared" si="38"/>
        <v>142.302494707577</v>
      </c>
      <c r="V50" s="141">
        <f t="shared" si="38"/>
        <v>150</v>
      </c>
    </row>
    <row r="51" spans="1:31">
      <c r="A51" s="132">
        <v>27.5</v>
      </c>
      <c r="B51" s="133">
        <v>523.23</v>
      </c>
      <c r="C51" s="133">
        <v>520.1</v>
      </c>
      <c r="D51" s="133">
        <v>509.97</v>
      </c>
      <c r="E51" s="133">
        <v>487.03</v>
      </c>
      <c r="F51" s="133">
        <v>454.43</v>
      </c>
      <c r="G51" s="133">
        <v>413.03</v>
      </c>
      <c r="H51" s="133">
        <v>359.29</v>
      </c>
      <c r="I51" s="133">
        <v>327.24</v>
      </c>
      <c r="J51" s="133"/>
      <c r="K51" s="132">
        <f t="shared" si="37"/>
        <v>27.5</v>
      </c>
      <c r="L51" s="133">
        <f t="shared" ref="L51:L70" si="39">TREND(B51:C51,B$4:C$4,L$4)</f>
        <v>527.211179856115</v>
      </c>
      <c r="M51" s="133">
        <f t="shared" ref="M51:M70" si="40">TREND(C51:D51,C$4:D$4,M$4)</f>
        <v>513.015629004738</v>
      </c>
      <c r="N51" s="133">
        <f t="shared" ref="N51:N70" si="41">TREND(D51:E51,D$4:E$4,N$4)</f>
        <v>499.479373410002</v>
      </c>
      <c r="O51" s="133">
        <f t="shared" ref="O51:O70" si="42">TREND(D51:E51,D$4:E$4,O$4)</f>
        <v>487.153951519056</v>
      </c>
      <c r="P51" s="133">
        <f t="shared" ref="P51:P70" si="43">TREND(E51:F51,E$4:F$4,P$4)</f>
        <v>469.935989492915</v>
      </c>
      <c r="Q51" s="133">
        <f t="shared" ref="Q51:Q70" si="44">TREND(E51:F51,E$4:F$4,Q$4)</f>
        <v>454.694043423707</v>
      </c>
      <c r="R51" s="133">
        <f t="shared" ref="R51:R70" si="45">TREND(F51:G51,F$4:G$4,R$4)</f>
        <v>433.316424448402</v>
      </c>
      <c r="S51" s="133">
        <f t="shared" ref="S51:S70" si="46">TREND(F51:G51,F$4:G$4,S$4)</f>
        <v>413.521177977575</v>
      </c>
      <c r="T51" s="133">
        <f t="shared" ref="T51:T70" si="47">TREND(G51:H51,G$4:H$4,T$4)</f>
        <v>386.099079818757</v>
      </c>
      <c r="U51" s="133">
        <f t="shared" ref="U51:U70" si="48">TREND(G51:H51,G$4:H$4,U$4)</f>
        <v>360.112242092383</v>
      </c>
      <c r="V51" s="133">
        <f t="shared" ref="V51:V70" si="49">TREND(H51:I51,H$4:I$4,V$4)</f>
        <v>330.281240875912</v>
      </c>
      <c r="X51" s="147" t="s">
        <v>137</v>
      </c>
      <c r="Y51" s="106"/>
      <c r="Z51" s="106"/>
      <c r="AA51" s="106" t="s">
        <v>136</v>
      </c>
      <c r="AB51" s="106" t="s">
        <v>138</v>
      </c>
      <c r="AC51" s="106" t="s">
        <v>139</v>
      </c>
      <c r="AD51" s="106" t="s">
        <v>140</v>
      </c>
      <c r="AE51" s="106" t="s">
        <v>140</v>
      </c>
    </row>
    <row r="52" spans="1:38">
      <c r="A52" s="132">
        <v>82.5</v>
      </c>
      <c r="B52" s="133">
        <v>697.7</v>
      </c>
      <c r="C52" s="133">
        <v>691.91</v>
      </c>
      <c r="D52" s="133">
        <v>673.69</v>
      </c>
      <c r="E52" s="133">
        <v>633.51</v>
      </c>
      <c r="F52" s="133">
        <v>578.28</v>
      </c>
      <c r="G52" s="133">
        <v>510.75</v>
      </c>
      <c r="H52" s="133">
        <v>425.29</v>
      </c>
      <c r="I52" s="133">
        <v>375.44</v>
      </c>
      <c r="J52" s="133"/>
      <c r="K52" s="132">
        <f t="shared" si="37"/>
        <v>82.5</v>
      </c>
      <c r="L52" s="133">
        <f t="shared" si="39"/>
        <v>705.06454676259</v>
      </c>
      <c r="M52" s="133">
        <f t="shared" si="40"/>
        <v>679.167923047022</v>
      </c>
      <c r="N52" s="133">
        <f t="shared" si="41"/>
        <v>655.315397716385</v>
      </c>
      <c r="O52" s="133">
        <f t="shared" si="42"/>
        <v>633.72710427357</v>
      </c>
      <c r="P52" s="133">
        <f t="shared" si="43"/>
        <v>604.549809806556</v>
      </c>
      <c r="Q52" s="133">
        <f t="shared" si="44"/>
        <v>578.727334916912</v>
      </c>
      <c r="R52" s="133">
        <f t="shared" si="45"/>
        <v>543.840392343009</v>
      </c>
      <c r="S52" s="133">
        <f t="shared" si="46"/>
        <v>511.551189585161</v>
      </c>
      <c r="T52" s="133">
        <f t="shared" si="47"/>
        <v>467.923121721454</v>
      </c>
      <c r="U52" s="133">
        <f t="shared" si="48"/>
        <v>426.597569951899</v>
      </c>
      <c r="V52" s="133">
        <f t="shared" si="49"/>
        <v>380.170291970803</v>
      </c>
      <c r="X52" s="106" t="s">
        <v>46</v>
      </c>
      <c r="Y52" s="106"/>
      <c r="Z52" s="106"/>
      <c r="AA52" s="106">
        <v>1.56924230384054e-10</v>
      </c>
      <c r="AB52" s="106">
        <v>2.22436786996804e-10</v>
      </c>
      <c r="AC52" s="106">
        <v>2.63227401848271e-10</v>
      </c>
      <c r="AD52" s="106">
        <v>1.71219646222633e-10</v>
      </c>
      <c r="AE52" s="106">
        <v>1.71219646222633e-10</v>
      </c>
      <c r="AG52" s="91" t="str">
        <f>X27</f>
        <v>Kr-83m</v>
      </c>
      <c r="AI52" s="126">
        <f ca="1">Z27/$Y27</f>
        <v>1.37621781109388</v>
      </c>
      <c r="AJ52" s="126">
        <f ca="1">AA27/$Y27</f>
        <v>3.00100567509236</v>
      </c>
      <c r="AK52" s="126">
        <f ca="1">AB27/$Y27</f>
        <v>5.13806137375199</v>
      </c>
      <c r="AL52" s="126">
        <f ca="1">AC27/$Y27</f>
        <v>12.0823525210996</v>
      </c>
    </row>
    <row r="53" spans="1:38">
      <c r="A53" s="132">
        <v>137.5</v>
      </c>
      <c r="B53" s="133">
        <v>830.14</v>
      </c>
      <c r="C53" s="133">
        <v>822.36</v>
      </c>
      <c r="D53" s="133">
        <v>797.99</v>
      </c>
      <c r="E53" s="133">
        <v>744.88</v>
      </c>
      <c r="F53" s="133">
        <v>673.51</v>
      </c>
      <c r="G53" s="133">
        <v>588.5</v>
      </c>
      <c r="H53" s="133">
        <v>483.1</v>
      </c>
      <c r="I53" s="133">
        <v>422.37</v>
      </c>
      <c r="J53" s="133"/>
      <c r="K53" s="132">
        <f t="shared" si="37"/>
        <v>137.5</v>
      </c>
      <c r="L53" s="133">
        <f t="shared" si="39"/>
        <v>840.035712230216</v>
      </c>
      <c r="M53" s="133">
        <f t="shared" si="40"/>
        <v>805.316947566187</v>
      </c>
      <c r="N53" s="133">
        <f t="shared" si="41"/>
        <v>773.702415946172</v>
      </c>
      <c r="O53" s="133">
        <f t="shared" si="42"/>
        <v>745.166968839455</v>
      </c>
      <c r="P53" s="133">
        <f t="shared" si="43"/>
        <v>707.456701537098</v>
      </c>
      <c r="Q53" s="133">
        <f t="shared" si="44"/>
        <v>674.088060710122</v>
      </c>
      <c r="R53" s="133">
        <f t="shared" si="45"/>
        <v>630.155771554557</v>
      </c>
      <c r="S53" s="133">
        <f t="shared" si="46"/>
        <v>589.508575842359</v>
      </c>
      <c r="T53" s="133">
        <f t="shared" si="47"/>
        <v>535.680517545534</v>
      </c>
      <c r="U53" s="133">
        <f t="shared" si="48"/>
        <v>484.712659407093</v>
      </c>
      <c r="V53" s="133">
        <f t="shared" si="49"/>
        <v>428.132700729927</v>
      </c>
      <c r="X53" s="106" t="s">
        <v>113</v>
      </c>
      <c r="Y53" s="106"/>
      <c r="Z53" s="106"/>
      <c r="AA53" s="106">
        <v>5.649930576e-12</v>
      </c>
      <c r="AB53" s="106">
        <v>8.135825488e-12</v>
      </c>
      <c r="AC53" s="106">
        <v>9.471949136e-12</v>
      </c>
      <c r="AD53" s="106">
        <v>6.795110436e-12</v>
      </c>
      <c r="AE53" s="106">
        <v>6.795110436e-12</v>
      </c>
      <c r="AG53" s="91" t="str">
        <f t="shared" ref="AG53:AG70" si="50">X28</f>
        <v>Kr-85</v>
      </c>
      <c r="AI53" s="126">
        <f ca="1" t="shared" ref="AI53:AI70" si="51">Z28/$Y28</f>
        <v>2.9334883836783</v>
      </c>
      <c r="AJ53" s="126">
        <f ca="1" t="shared" ref="AJ53:AJ70" si="52">AA28/$Y28</f>
        <v>29.5855647868359</v>
      </c>
      <c r="AK53" s="126">
        <f ca="1" t="shared" ref="AK53:AK70" si="53">AB28/$Y28</f>
        <v>50.9311557909204</v>
      </c>
      <c r="AL53" s="126">
        <f ca="1" t="shared" ref="AL53:AL70" si="54">AC28/$Y28</f>
        <v>96.8131962430409</v>
      </c>
    </row>
    <row r="54" spans="1:38">
      <c r="A54" s="132">
        <v>192.5</v>
      </c>
      <c r="B54" s="133">
        <v>953.09</v>
      </c>
      <c r="C54" s="133">
        <v>943.69</v>
      </c>
      <c r="D54" s="133">
        <v>914.26</v>
      </c>
      <c r="E54" s="133">
        <v>850.35</v>
      </c>
      <c r="F54" s="133">
        <v>765.13</v>
      </c>
      <c r="G54" s="133">
        <v>665.09</v>
      </c>
      <c r="H54" s="133">
        <v>542.81</v>
      </c>
      <c r="I54" s="133">
        <v>472.59</v>
      </c>
      <c r="J54" s="133"/>
      <c r="K54" s="132">
        <f t="shared" si="37"/>
        <v>192.5</v>
      </c>
      <c r="L54" s="133">
        <f t="shared" si="39"/>
        <v>965.046258992806</v>
      </c>
      <c r="M54" s="133">
        <f t="shared" si="40"/>
        <v>923.108258796589</v>
      </c>
      <c r="N54" s="133">
        <f t="shared" si="41"/>
        <v>885.033498458291</v>
      </c>
      <c r="O54" s="133">
        <f t="shared" si="42"/>
        <v>850.695324393326</v>
      </c>
      <c r="P54" s="133">
        <f t="shared" si="43"/>
        <v>805.664368852339</v>
      </c>
      <c r="Q54" s="133">
        <f t="shared" si="44"/>
        <v>765.82023866774</v>
      </c>
      <c r="R54" s="133">
        <f t="shared" si="45"/>
        <v>714.110625647781</v>
      </c>
      <c r="S54" s="133">
        <f t="shared" si="46"/>
        <v>666.276894803784</v>
      </c>
      <c r="T54" s="133">
        <f t="shared" si="47"/>
        <v>603.811382215065</v>
      </c>
      <c r="U54" s="133">
        <f t="shared" si="48"/>
        <v>544.68092971821</v>
      </c>
      <c r="V54" s="133">
        <f t="shared" si="49"/>
        <v>479.253211678832</v>
      </c>
      <c r="X54" s="106" t="s">
        <v>48</v>
      </c>
      <c r="Y54" s="106"/>
      <c r="Z54" s="106"/>
      <c r="AA54" s="106">
        <v>1.00368565292242e-10</v>
      </c>
      <c r="AB54" s="106">
        <v>1.42305649708043e-10</v>
      </c>
      <c r="AC54" s="106">
        <v>1.6836143234669e-10</v>
      </c>
      <c r="AD54" s="106">
        <v>1.09535677788691e-10</v>
      </c>
      <c r="AE54" s="106">
        <v>1.09535677788691e-10</v>
      </c>
      <c r="AG54" s="91" t="str">
        <f t="shared" si="50"/>
        <v>Kr-85m</v>
      </c>
      <c r="AI54" s="126">
        <f ca="1" t="shared" si="51"/>
        <v>1.37588909451684</v>
      </c>
      <c r="AJ54" s="126">
        <f ca="1" t="shared" si="52"/>
        <v>2.99438049968312</v>
      </c>
      <c r="AK54" s="126">
        <f ca="1" t="shared" si="53"/>
        <v>5.1064912105049</v>
      </c>
      <c r="AL54" s="126">
        <f ca="1" t="shared" si="54"/>
        <v>11.85275021427</v>
      </c>
    </row>
    <row r="55" spans="1:38">
      <c r="A55" s="132">
        <v>241.5</v>
      </c>
      <c r="B55" s="133">
        <v>1055.53</v>
      </c>
      <c r="C55" s="133">
        <v>1045.03</v>
      </c>
      <c r="D55" s="133">
        <v>1012.15</v>
      </c>
      <c r="E55" s="133">
        <v>940.92</v>
      </c>
      <c r="F55" s="133">
        <v>846.19</v>
      </c>
      <c r="G55" s="133">
        <v>735.32</v>
      </c>
      <c r="H55" s="133">
        <v>600.33</v>
      </c>
      <c r="I55" s="133">
        <v>522.43</v>
      </c>
      <c r="J55" s="133"/>
      <c r="K55" s="132">
        <f t="shared" si="37"/>
        <v>241.5</v>
      </c>
      <c r="L55" s="133">
        <f t="shared" si="39"/>
        <v>1068.88539568345</v>
      </c>
      <c r="M55" s="133">
        <f t="shared" si="40"/>
        <v>1022.03551645368</v>
      </c>
      <c r="N55" s="133">
        <f t="shared" si="41"/>
        <v>979.576009938728</v>
      </c>
      <c r="O55" s="133">
        <f t="shared" si="42"/>
        <v>941.30487649095</v>
      </c>
      <c r="P55" s="133">
        <f t="shared" si="43"/>
        <v>891.247741860855</v>
      </c>
      <c r="Q55" s="133">
        <f t="shared" si="44"/>
        <v>846.95726483214</v>
      </c>
      <c r="R55" s="133">
        <f t="shared" si="45"/>
        <v>789.647436681023</v>
      </c>
      <c r="S55" s="133">
        <f t="shared" si="46"/>
        <v>736.635384115309</v>
      </c>
      <c r="T55" s="133">
        <f t="shared" si="47"/>
        <v>667.671974036732</v>
      </c>
      <c r="U55" s="133">
        <f t="shared" si="48"/>
        <v>602.395397470242</v>
      </c>
      <c r="V55" s="133">
        <f t="shared" si="49"/>
        <v>529.82197080292</v>
      </c>
      <c r="X55" s="106" t="s">
        <v>49</v>
      </c>
      <c r="Y55" s="106"/>
      <c r="Z55" s="106"/>
      <c r="AA55" s="106">
        <v>1.88801019871922e-10</v>
      </c>
      <c r="AB55" s="106">
        <v>2.68160910322232e-10</v>
      </c>
      <c r="AC55" s="106">
        <v>3.17341699266865e-10</v>
      </c>
      <c r="AD55" s="106">
        <v>2.0635081507609e-10</v>
      </c>
      <c r="AE55" s="106">
        <v>2.0635081507609e-10</v>
      </c>
      <c r="AG55" s="91" t="str">
        <f t="shared" si="50"/>
        <v>Kr-87</v>
      </c>
      <c r="AI55" s="126">
        <f ca="1" t="shared" si="51"/>
        <v>1.37631457776197</v>
      </c>
      <c r="AJ55" s="126">
        <f ca="1" t="shared" si="52"/>
        <v>3.00295597573008</v>
      </c>
      <c r="AK55" s="126">
        <f ca="1" t="shared" si="53"/>
        <v>5.14735491025635</v>
      </c>
      <c r="AL55" s="126">
        <f ca="1" t="shared" si="54"/>
        <v>12.1499422570267</v>
      </c>
    </row>
    <row r="56" spans="1:38">
      <c r="A56" s="132">
        <v>296.5</v>
      </c>
      <c r="B56" s="133">
        <v>1154.98</v>
      </c>
      <c r="C56" s="133">
        <v>1143.52</v>
      </c>
      <c r="D56" s="133">
        <v>1107.61</v>
      </c>
      <c r="E56" s="133">
        <v>1030.1</v>
      </c>
      <c r="F56" s="133">
        <v>927.94</v>
      </c>
      <c r="G56" s="133">
        <v>810.01</v>
      </c>
      <c r="H56" s="133">
        <v>670.93</v>
      </c>
      <c r="I56" s="133">
        <v>592.77</v>
      </c>
      <c r="J56" s="133"/>
      <c r="K56" s="132">
        <f t="shared" si="37"/>
        <v>296.5</v>
      </c>
      <c r="L56" s="133">
        <f t="shared" si="39"/>
        <v>1169.55646043165</v>
      </c>
      <c r="M56" s="133">
        <f t="shared" si="40"/>
        <v>1118.40649926556</v>
      </c>
      <c r="N56" s="133">
        <f t="shared" si="41"/>
        <v>1072.16412088096</v>
      </c>
      <c r="O56" s="133">
        <f t="shared" si="42"/>
        <v>1030.51880916487</v>
      </c>
      <c r="P56" s="133">
        <f t="shared" si="43"/>
        <v>976.531775662461</v>
      </c>
      <c r="Q56" s="133">
        <f t="shared" si="44"/>
        <v>928.767444054169</v>
      </c>
      <c r="R56" s="133">
        <f t="shared" si="45"/>
        <v>867.796909062803</v>
      </c>
      <c r="S56" s="133">
        <f t="shared" si="46"/>
        <v>811.409145383948</v>
      </c>
      <c r="T56" s="133">
        <f t="shared" si="47"/>
        <v>740.312337573366</v>
      </c>
      <c r="U56" s="133">
        <f t="shared" si="48"/>
        <v>673.057975999417</v>
      </c>
      <c r="V56" s="133">
        <f t="shared" si="49"/>
        <v>600.186642335766</v>
      </c>
      <c r="X56" s="106" t="s">
        <v>50</v>
      </c>
      <c r="Y56" s="106"/>
      <c r="Z56" s="106"/>
      <c r="AA56" s="106">
        <v>1.26605447227978e-10</v>
      </c>
      <c r="AB56" s="106">
        <v>1.79963561644894e-10</v>
      </c>
      <c r="AC56" s="106">
        <v>2.12864952335111e-10</v>
      </c>
      <c r="AD56" s="106">
        <v>1.38389349497209e-10</v>
      </c>
      <c r="AE56" s="106">
        <v>1.38389349497209e-10</v>
      </c>
      <c r="AG56" s="91" t="str">
        <f t="shared" si="50"/>
        <v>Kr-88</v>
      </c>
      <c r="AI56" s="126">
        <f ca="1" t="shared" si="51"/>
        <v>1.37607480389399</v>
      </c>
      <c r="AJ56" s="126">
        <f ca="1" t="shared" si="52"/>
        <v>2.99812341161607</v>
      </c>
      <c r="AK56" s="126">
        <f ca="1" t="shared" si="53"/>
        <v>5.12432686517718</v>
      </c>
      <c r="AL56" s="126">
        <f ca="1" t="shared" si="54"/>
        <v>11.9824646269504</v>
      </c>
    </row>
    <row r="57" spans="1:38">
      <c r="A57" s="132">
        <v>357.5</v>
      </c>
      <c r="B57" s="133">
        <v>1241.21</v>
      </c>
      <c r="C57" s="133">
        <v>1228.89</v>
      </c>
      <c r="D57" s="133">
        <v>1190.21</v>
      </c>
      <c r="E57" s="133">
        <v>1107.03</v>
      </c>
      <c r="F57" s="133">
        <v>998.11</v>
      </c>
      <c r="G57" s="133">
        <v>873.26</v>
      </c>
      <c r="H57" s="133">
        <v>726.93</v>
      </c>
      <c r="I57" s="133">
        <v>644.48</v>
      </c>
      <c r="J57" s="133"/>
      <c r="K57" s="132">
        <f t="shared" si="37"/>
        <v>357.5</v>
      </c>
      <c r="L57" s="133">
        <f t="shared" si="39"/>
        <v>1256.88033093525</v>
      </c>
      <c r="M57" s="133">
        <f t="shared" si="40"/>
        <v>1201.83931193517</v>
      </c>
      <c r="N57" s="133">
        <f t="shared" si="41"/>
        <v>1152.17118919982</v>
      </c>
      <c r="O57" s="133">
        <f t="shared" si="42"/>
        <v>1107.47944583065</v>
      </c>
      <c r="P57" s="133">
        <f t="shared" si="43"/>
        <v>1049.91712808492</v>
      </c>
      <c r="Q57" s="133">
        <f t="shared" si="44"/>
        <v>998.992196616876</v>
      </c>
      <c r="R57" s="133">
        <f t="shared" si="45"/>
        <v>934.437780009251</v>
      </c>
      <c r="S57" s="133">
        <f t="shared" si="46"/>
        <v>874.741245664258</v>
      </c>
      <c r="T57" s="133">
        <f t="shared" si="47"/>
        <v>799.929118903586</v>
      </c>
      <c r="U57" s="133">
        <f t="shared" si="48"/>
        <v>729.168903710056</v>
      </c>
      <c r="V57" s="133">
        <f t="shared" si="49"/>
        <v>652.303722627737</v>
      </c>
      <c r="X57" s="106" t="s">
        <v>51</v>
      </c>
      <c r="Y57" s="106"/>
      <c r="Z57" s="106"/>
      <c r="AA57" s="106">
        <v>1.25243067679028e-11</v>
      </c>
      <c r="AB57" s="106">
        <v>1.77618429871876e-11</v>
      </c>
      <c r="AC57" s="106">
        <v>2.10169239582509e-11</v>
      </c>
      <c r="AD57" s="106">
        <v>1.36638522036121e-11</v>
      </c>
      <c r="AE57" s="106">
        <v>1.36638522036121e-11</v>
      </c>
      <c r="AG57" s="91" t="str">
        <f t="shared" si="50"/>
        <v>Xe-131m</v>
      </c>
      <c r="AI57" s="126">
        <f ca="1" t="shared" si="51"/>
        <v>1.36771087055191</v>
      </c>
      <c r="AJ57" s="126">
        <f ca="1" t="shared" si="52"/>
        <v>2.86315625252145</v>
      </c>
      <c r="AK57" s="126">
        <f ca="1" t="shared" si="53"/>
        <v>4.4954621736888</v>
      </c>
      <c r="AL57" s="126">
        <f ca="1" t="shared" si="54"/>
        <v>8.34778169314714</v>
      </c>
    </row>
    <row r="58" spans="1:38">
      <c r="A58" s="132">
        <v>412.5</v>
      </c>
      <c r="B58" s="133">
        <v>1293.85</v>
      </c>
      <c r="C58" s="133">
        <v>1280.95</v>
      </c>
      <c r="D58" s="133">
        <v>1240.51</v>
      </c>
      <c r="E58" s="133">
        <v>1153.53</v>
      </c>
      <c r="F58" s="133">
        <v>1040.1</v>
      </c>
      <c r="G58" s="133">
        <v>911.27</v>
      </c>
      <c r="H58" s="133">
        <v>761.43</v>
      </c>
      <c r="I58" s="133">
        <v>677.06</v>
      </c>
      <c r="J58" s="133"/>
      <c r="K58" s="132">
        <f t="shared" si="37"/>
        <v>412.5</v>
      </c>
      <c r="L58" s="133">
        <f t="shared" si="39"/>
        <v>1310.25805755396</v>
      </c>
      <c r="M58" s="133">
        <f t="shared" si="40"/>
        <v>1252.66846366748</v>
      </c>
      <c r="N58" s="133">
        <f t="shared" si="41"/>
        <v>1200.73342193557</v>
      </c>
      <c r="O58" s="133">
        <f t="shared" si="42"/>
        <v>1153.99997834035</v>
      </c>
      <c r="P58" s="133">
        <f t="shared" si="43"/>
        <v>1094.05228184606</v>
      </c>
      <c r="Q58" s="133">
        <f t="shared" si="44"/>
        <v>1041.01872532365</v>
      </c>
      <c r="R58" s="133">
        <f t="shared" si="45"/>
        <v>974.398020813711</v>
      </c>
      <c r="S58" s="133">
        <f t="shared" si="46"/>
        <v>912.798465189638</v>
      </c>
      <c r="T58" s="133">
        <f t="shared" si="47"/>
        <v>836.180139933802</v>
      </c>
      <c r="U58" s="133">
        <f t="shared" si="48"/>
        <v>763.72260802238</v>
      </c>
      <c r="V58" s="133">
        <f t="shared" si="49"/>
        <v>685.065912408759</v>
      </c>
      <c r="X58" s="106" t="s">
        <v>52</v>
      </c>
      <c r="Y58" s="106"/>
      <c r="Z58" s="106"/>
      <c r="AA58" s="106">
        <v>1.89191145123171e-11</v>
      </c>
      <c r="AB58" s="106">
        <v>2.68397772223755e-11</v>
      </c>
      <c r="AC58" s="106">
        <v>3.17537009451059e-11</v>
      </c>
      <c r="AD58" s="106">
        <v>2.06551218859379e-11</v>
      </c>
      <c r="AE58" s="106">
        <v>2.06551218859379e-11</v>
      </c>
      <c r="AG58" s="91" t="str">
        <f t="shared" si="50"/>
        <v>Xe-133</v>
      </c>
      <c r="AI58" s="126">
        <f ca="1" t="shared" si="51"/>
        <v>1.37010561601279</v>
      </c>
      <c r="AJ58" s="126">
        <f ca="1" t="shared" si="52"/>
        <v>2.91326508341949</v>
      </c>
      <c r="AK58" s="126">
        <f ca="1" t="shared" si="53"/>
        <v>4.72863943882639</v>
      </c>
      <c r="AL58" s="126">
        <f ca="1" t="shared" si="54"/>
        <v>9.39340049600725</v>
      </c>
    </row>
    <row r="59" spans="1:38">
      <c r="A59" s="132">
        <v>467.5</v>
      </c>
      <c r="B59" s="133">
        <v>1323.73</v>
      </c>
      <c r="C59" s="133">
        <v>1310.48</v>
      </c>
      <c r="D59" s="133">
        <v>1268.96</v>
      </c>
      <c r="E59" s="133">
        <v>1179.53</v>
      </c>
      <c r="F59" s="133">
        <v>1063.3</v>
      </c>
      <c r="G59" s="133">
        <v>932.39</v>
      </c>
      <c r="H59" s="133">
        <v>781.5</v>
      </c>
      <c r="I59" s="133">
        <v>696.85</v>
      </c>
      <c r="J59" s="133"/>
      <c r="K59" s="132">
        <f t="shared" si="37"/>
        <v>467.5</v>
      </c>
      <c r="L59" s="133">
        <f t="shared" si="39"/>
        <v>1340.58323741007</v>
      </c>
      <c r="M59" s="133">
        <f t="shared" si="40"/>
        <v>1281.44317041231</v>
      </c>
      <c r="N59" s="133">
        <f t="shared" si="41"/>
        <v>1228.0630193573</v>
      </c>
      <c r="O59" s="133">
        <f t="shared" si="42"/>
        <v>1180.01321640581</v>
      </c>
      <c r="P59" s="133">
        <f t="shared" si="43"/>
        <v>1118.58408462459</v>
      </c>
      <c r="Q59" s="133">
        <f t="shared" si="44"/>
        <v>1064.24140389992</v>
      </c>
      <c r="R59" s="133">
        <f t="shared" si="45"/>
        <v>996.537242138655</v>
      </c>
      <c r="S59" s="133">
        <f t="shared" si="46"/>
        <v>933.943142730541</v>
      </c>
      <c r="T59" s="133">
        <f t="shared" si="47"/>
        <v>856.773949643696</v>
      </c>
      <c r="U59" s="133">
        <f t="shared" si="48"/>
        <v>783.808673414955</v>
      </c>
      <c r="V59" s="133">
        <f t="shared" si="49"/>
        <v>704.882481751825</v>
      </c>
      <c r="X59" s="106" t="s">
        <v>53</v>
      </c>
      <c r="Y59" s="106"/>
      <c r="Z59" s="106"/>
      <c r="AA59" s="106">
        <v>3.72234657708941e-11</v>
      </c>
      <c r="AB59" s="106">
        <v>4.63386047241937e-11</v>
      </c>
      <c r="AC59" s="106">
        <v>5.30618754592966e-11</v>
      </c>
      <c r="AD59" s="106">
        <v>3.60215197652932e-11</v>
      </c>
      <c r="AE59" s="106">
        <v>3.60215197652932e-11</v>
      </c>
      <c r="AG59" s="91" t="str">
        <f t="shared" si="50"/>
        <v>Xe-133m</v>
      </c>
      <c r="AI59" s="126">
        <f ca="1" t="shared" si="51"/>
        <v>1.37177307766936</v>
      </c>
      <c r="AJ59" s="126">
        <f ca="1" t="shared" si="52"/>
        <v>2.94815636801674</v>
      </c>
      <c r="AK59" s="126">
        <f ca="1" t="shared" si="53"/>
        <v>4.89526191124766</v>
      </c>
      <c r="AL59" s="126">
        <f ca="1" t="shared" si="54"/>
        <v>10.3595056496786</v>
      </c>
    </row>
    <row r="60" spans="1:38">
      <c r="A60" s="132">
        <v>522.5</v>
      </c>
      <c r="B60" s="133">
        <v>1333.07</v>
      </c>
      <c r="C60" s="133">
        <v>1319.51</v>
      </c>
      <c r="D60" s="133">
        <v>1277.06</v>
      </c>
      <c r="E60" s="133">
        <v>1185.63</v>
      </c>
      <c r="F60" s="133">
        <v>1066.99</v>
      </c>
      <c r="G60" s="133">
        <v>933.91</v>
      </c>
      <c r="H60" s="133">
        <v>782.09</v>
      </c>
      <c r="I60" s="133">
        <v>698.21</v>
      </c>
      <c r="J60" s="133"/>
      <c r="K60" s="132">
        <f t="shared" si="37"/>
        <v>522.5</v>
      </c>
      <c r="L60" s="133">
        <f t="shared" si="39"/>
        <v>1350.31753956835</v>
      </c>
      <c r="M60" s="133">
        <f t="shared" si="40"/>
        <v>1289.82277899814</v>
      </c>
      <c r="N60" s="133">
        <f t="shared" si="41"/>
        <v>1235.24840500769</v>
      </c>
      <c r="O60" s="133">
        <f t="shared" si="42"/>
        <v>1186.12402298986</v>
      </c>
      <c r="P60" s="133">
        <f t="shared" si="43"/>
        <v>1123.42038630182</v>
      </c>
      <c r="Q60" s="133">
        <f t="shared" si="44"/>
        <v>1067.9509236745</v>
      </c>
      <c r="R60" s="133">
        <f t="shared" si="45"/>
        <v>999.120564386313</v>
      </c>
      <c r="S60" s="133">
        <f t="shared" si="46"/>
        <v>935.488888049655</v>
      </c>
      <c r="T60" s="133">
        <f t="shared" si="47"/>
        <v>857.827895386745</v>
      </c>
      <c r="U60" s="133">
        <f t="shared" si="48"/>
        <v>784.412902762665</v>
      </c>
      <c r="V60" s="133">
        <f t="shared" si="49"/>
        <v>706.169416058394</v>
      </c>
      <c r="X60" s="106" t="s">
        <v>54</v>
      </c>
      <c r="Y60" s="106"/>
      <c r="Z60" s="106"/>
      <c r="AA60" s="106">
        <v>7.04355600442755e-11</v>
      </c>
      <c r="AB60" s="106">
        <v>1.0002261107877e-10</v>
      </c>
      <c r="AC60" s="106">
        <v>1.18340588783604e-10</v>
      </c>
      <c r="AD60" s="106">
        <v>7.69341594428011e-11</v>
      </c>
      <c r="AE60" s="106">
        <v>7.69341594428011e-11</v>
      </c>
      <c r="AG60" s="91" t="str">
        <f t="shared" si="50"/>
        <v>Xe-135</v>
      </c>
      <c r="AI60" s="126">
        <f ca="1" t="shared" si="51"/>
        <v>1.37353383481722</v>
      </c>
      <c r="AJ60" s="126">
        <f ca="1" t="shared" si="52"/>
        <v>2.98499984165895</v>
      </c>
      <c r="AK60" s="126">
        <f ca="1" t="shared" si="53"/>
        <v>5.07154104299286</v>
      </c>
      <c r="AL60" s="126">
        <f ca="1" t="shared" si="54"/>
        <v>11.5968089405788</v>
      </c>
    </row>
    <row r="61" spans="1:38">
      <c r="A61" s="132">
        <v>577.5</v>
      </c>
      <c r="B61" s="133">
        <v>1326.42</v>
      </c>
      <c r="C61" s="133">
        <v>1312.6</v>
      </c>
      <c r="D61" s="133">
        <v>1269.31</v>
      </c>
      <c r="E61" s="133">
        <v>1175.94</v>
      </c>
      <c r="F61" s="133">
        <v>1053.95</v>
      </c>
      <c r="G61" s="133">
        <v>914.86</v>
      </c>
      <c r="H61" s="133">
        <v>749.83</v>
      </c>
      <c r="I61" s="133">
        <v>654.93</v>
      </c>
      <c r="J61" s="133"/>
      <c r="K61" s="132">
        <f t="shared" si="37"/>
        <v>577.5</v>
      </c>
      <c r="L61" s="133">
        <f t="shared" si="39"/>
        <v>1343.99824460432</v>
      </c>
      <c r="M61" s="133">
        <f t="shared" si="40"/>
        <v>1282.32532868856</v>
      </c>
      <c r="N61" s="133">
        <f t="shared" si="41"/>
        <v>1226.61122908857</v>
      </c>
      <c r="O61" s="133">
        <f t="shared" si="42"/>
        <v>1176.44450537639</v>
      </c>
      <c r="P61" s="133">
        <f t="shared" si="43"/>
        <v>1111.97379319757</v>
      </c>
      <c r="Q61" s="133">
        <f t="shared" si="44"/>
        <v>1054.9380569711</v>
      </c>
      <c r="R61" s="133">
        <f t="shared" si="45"/>
        <v>983.015526003098</v>
      </c>
      <c r="S61" s="133">
        <f t="shared" si="46"/>
        <v>916.51019190582</v>
      </c>
      <c r="T61" s="133">
        <f t="shared" si="47"/>
        <v>832.1579204036</v>
      </c>
      <c r="U61" s="133">
        <f t="shared" si="48"/>
        <v>752.355020701638</v>
      </c>
      <c r="V61" s="133">
        <f t="shared" si="49"/>
        <v>663.935109489051</v>
      </c>
      <c r="X61" s="106" t="s">
        <v>55</v>
      </c>
      <c r="Y61" s="106"/>
      <c r="Z61" s="106"/>
      <c r="AA61" s="106">
        <v>1.35877900233936e-11</v>
      </c>
      <c r="AB61" s="106">
        <v>2.06520808435061e-11</v>
      </c>
      <c r="AC61" s="106">
        <v>2.48013811973216e-11</v>
      </c>
      <c r="AD61" s="106">
        <v>1.58128731178892e-11</v>
      </c>
      <c r="AE61" s="106">
        <v>1.58128731178892e-11</v>
      </c>
      <c r="AG61" s="91" t="str">
        <f t="shared" si="50"/>
        <v>I-131</v>
      </c>
      <c r="AI61" s="126">
        <f ca="1" t="shared" si="51"/>
        <v>2.17814327670747</v>
      </c>
      <c r="AJ61" s="126">
        <f ca="1" t="shared" si="52"/>
        <v>8.27438318568097</v>
      </c>
      <c r="AK61" s="126">
        <f ca="1" t="shared" si="53"/>
        <v>14.7846715987897</v>
      </c>
      <c r="AL61" s="126">
        <f ca="1" t="shared" si="54"/>
        <v>30.6399692814791</v>
      </c>
    </row>
    <row r="62" spans="1:38">
      <c r="A62" s="132">
        <v>632.5</v>
      </c>
      <c r="B62" s="133">
        <v>1310.24</v>
      </c>
      <c r="C62" s="133">
        <v>1296.5</v>
      </c>
      <c r="D62" s="133">
        <v>1253.41</v>
      </c>
      <c r="E62" s="133">
        <v>1160.49</v>
      </c>
      <c r="F62" s="133">
        <v>1039.07</v>
      </c>
      <c r="G62" s="133">
        <v>900.72</v>
      </c>
      <c r="H62" s="133">
        <v>738</v>
      </c>
      <c r="I62" s="133">
        <v>645.92</v>
      </c>
      <c r="J62" s="133"/>
      <c r="K62" s="132">
        <f t="shared" si="37"/>
        <v>632.5</v>
      </c>
      <c r="L62" s="133">
        <f t="shared" si="39"/>
        <v>1327.71648920863</v>
      </c>
      <c r="M62" s="133">
        <f t="shared" si="40"/>
        <v>1266.36519780989</v>
      </c>
      <c r="N62" s="133">
        <f t="shared" si="41"/>
        <v>1210.91701731723</v>
      </c>
      <c r="O62" s="133">
        <f t="shared" si="42"/>
        <v>1160.99207389497</v>
      </c>
      <c r="P62" s="133">
        <f t="shared" si="43"/>
        <v>1096.82267620337</v>
      </c>
      <c r="Q62" s="133">
        <f t="shared" si="44"/>
        <v>1040.05344026094</v>
      </c>
      <c r="R62" s="133">
        <f t="shared" si="45"/>
        <v>968.512918416339</v>
      </c>
      <c r="S62" s="133">
        <f t="shared" si="46"/>
        <v>902.361412396076</v>
      </c>
      <c r="T62" s="133">
        <f t="shared" si="47"/>
        <v>819.175539041834</v>
      </c>
      <c r="U62" s="133">
        <f t="shared" si="48"/>
        <v>740.489676837972</v>
      </c>
      <c r="V62" s="133">
        <f t="shared" si="49"/>
        <v>654.657518248175</v>
      </c>
      <c r="X62" s="106" t="s">
        <v>56</v>
      </c>
      <c r="Y62" s="106"/>
      <c r="Z62" s="106"/>
      <c r="AA62" s="106">
        <v>1.24175426441882e-10</v>
      </c>
      <c r="AB62" s="106">
        <v>1.89064472430205e-10</v>
      </c>
      <c r="AC62" s="106">
        <v>2.27037937580739e-10</v>
      </c>
      <c r="AD62" s="106">
        <v>1.44679090105275e-10</v>
      </c>
      <c r="AE62" s="106">
        <v>1.44679090105275e-10</v>
      </c>
      <c r="AG62" s="91" t="str">
        <f t="shared" si="50"/>
        <v>I-132</v>
      </c>
      <c r="AI62" s="126">
        <f ca="1" t="shared" si="51"/>
        <v>2.18894873155909</v>
      </c>
      <c r="AJ62" s="126">
        <f ca="1" t="shared" si="52"/>
        <v>8.71204734107783</v>
      </c>
      <c r="AK62" s="126">
        <f ca="1" t="shared" si="53"/>
        <v>16.776047876938</v>
      </c>
      <c r="AL62" s="126">
        <f ca="1" t="shared" si="54"/>
        <v>42.6108791257176</v>
      </c>
    </row>
    <row r="63" ht="13.5" customHeight="1" spans="1:38">
      <c r="A63" s="132">
        <v>687.5</v>
      </c>
      <c r="B63" s="133">
        <v>1287.4</v>
      </c>
      <c r="C63" s="133">
        <v>1273.96</v>
      </c>
      <c r="D63" s="133">
        <v>1231.66</v>
      </c>
      <c r="E63" s="133">
        <v>1140.55</v>
      </c>
      <c r="F63" s="133">
        <v>1021.53</v>
      </c>
      <c r="G63" s="133">
        <v>885.93</v>
      </c>
      <c r="H63" s="133">
        <v>727</v>
      </c>
      <c r="I63" s="133">
        <v>637.43</v>
      </c>
      <c r="J63" s="133"/>
      <c r="K63" s="132">
        <f t="shared" si="37"/>
        <v>687.5</v>
      </c>
      <c r="L63" s="133">
        <f t="shared" si="39"/>
        <v>1304.49490647482</v>
      </c>
      <c r="M63" s="133">
        <f t="shared" si="40"/>
        <v>1244.37768083913</v>
      </c>
      <c r="N63" s="133">
        <f t="shared" si="41"/>
        <v>1189.99474330363</v>
      </c>
      <c r="O63" s="133">
        <f t="shared" si="42"/>
        <v>1141.04229393641</v>
      </c>
      <c r="P63" s="133">
        <f t="shared" si="43"/>
        <v>1078.14113096463</v>
      </c>
      <c r="Q63" s="133">
        <f t="shared" si="44"/>
        <v>1022.49400148128</v>
      </c>
      <c r="R63" s="133">
        <f t="shared" si="45"/>
        <v>952.375390222302</v>
      </c>
      <c r="S63" s="133">
        <f t="shared" si="46"/>
        <v>887.538785839594</v>
      </c>
      <c r="T63" s="133">
        <f t="shared" si="47"/>
        <v>806.284835422312</v>
      </c>
      <c r="U63" s="133">
        <f t="shared" si="48"/>
        <v>729.431688420961</v>
      </c>
      <c r="V63" s="133">
        <f t="shared" si="49"/>
        <v>645.929343065693</v>
      </c>
      <c r="X63" s="106" t="s">
        <v>57</v>
      </c>
      <c r="Y63" s="106"/>
      <c r="Z63" s="106"/>
      <c r="AA63" s="106">
        <v>4.13502854919361e-11</v>
      </c>
      <c r="AB63" s="106">
        <v>6.28970992969492e-11</v>
      </c>
      <c r="AC63" s="106">
        <v>7.55326755807477e-11</v>
      </c>
      <c r="AD63" s="106">
        <v>4.8138973331814e-11</v>
      </c>
      <c r="AE63" s="106">
        <v>4.8138973331814e-11</v>
      </c>
      <c r="AG63" s="91" t="str">
        <f t="shared" si="50"/>
        <v>I-133</v>
      </c>
      <c r="AI63" s="126">
        <f ca="1" t="shared" si="51"/>
        <v>2.18629876600665</v>
      </c>
      <c r="AJ63" s="126">
        <f ca="1" t="shared" si="52"/>
        <v>8.6047131050785</v>
      </c>
      <c r="AK63" s="126">
        <f ca="1" t="shared" si="53"/>
        <v>16.2860080911993</v>
      </c>
      <c r="AL63" s="126">
        <f ca="1" t="shared" si="54"/>
        <v>39.1598600104727</v>
      </c>
    </row>
    <row r="64" ht="13.5" customHeight="1" spans="1:38">
      <c r="A64" s="132">
        <v>742.5</v>
      </c>
      <c r="B64" s="133">
        <v>1259.36</v>
      </c>
      <c r="C64" s="133">
        <v>1246.22</v>
      </c>
      <c r="D64" s="133">
        <v>1204.84</v>
      </c>
      <c r="E64" s="133">
        <v>1115.8</v>
      </c>
      <c r="F64" s="133">
        <v>999.46</v>
      </c>
      <c r="G64" s="133">
        <v>866.88</v>
      </c>
      <c r="H64" s="133">
        <v>711.67</v>
      </c>
      <c r="I64" s="133">
        <v>624.43</v>
      </c>
      <c r="J64" s="133"/>
      <c r="K64" s="132">
        <f t="shared" si="37"/>
        <v>742.5</v>
      </c>
      <c r="L64" s="133">
        <f t="shared" si="39"/>
        <v>1276.07332374101</v>
      </c>
      <c r="M64" s="133">
        <f t="shared" si="40"/>
        <v>1217.28107879724</v>
      </c>
      <c r="N64" s="133">
        <f t="shared" si="41"/>
        <v>1164.12136915547</v>
      </c>
      <c r="O64" s="133">
        <f t="shared" si="42"/>
        <v>1116.28110912192</v>
      </c>
      <c r="P64" s="133">
        <f t="shared" si="43"/>
        <v>1054.79640544803</v>
      </c>
      <c r="Q64" s="133">
        <f t="shared" si="44"/>
        <v>1000.40229484399</v>
      </c>
      <c r="R64" s="133">
        <f t="shared" si="45"/>
        <v>931.845559260124</v>
      </c>
      <c r="S64" s="133">
        <f t="shared" si="46"/>
        <v>868.452955948477</v>
      </c>
      <c r="T64" s="133">
        <f t="shared" si="47"/>
        <v>789.099052450116</v>
      </c>
      <c r="U64" s="133">
        <f t="shared" si="48"/>
        <v>714.044771030123</v>
      </c>
      <c r="V64" s="133">
        <f t="shared" si="49"/>
        <v>632.708248175182</v>
      </c>
      <c r="X64" s="106" t="s">
        <v>58</v>
      </c>
      <c r="Y64" s="106"/>
      <c r="Z64" s="106"/>
      <c r="AA64" s="106">
        <v>2.01137682180799e-10</v>
      </c>
      <c r="AB64" s="106">
        <v>3.06205687981879e-10</v>
      </c>
      <c r="AC64" s="106">
        <v>3.67789850038141e-10</v>
      </c>
      <c r="AD64" s="106">
        <v>2.34349455916736e-10</v>
      </c>
      <c r="AE64" s="106">
        <v>2.34349455916736e-10</v>
      </c>
      <c r="AG64" s="91" t="str">
        <f t="shared" si="50"/>
        <v>I-134</v>
      </c>
      <c r="AI64" s="126">
        <f ca="1" t="shared" si="51"/>
        <v>2.18945204833073</v>
      </c>
      <c r="AJ64" s="126">
        <f ca="1" t="shared" si="52"/>
        <v>8.7324336895341</v>
      </c>
      <c r="AK64" s="126">
        <f ca="1" t="shared" si="53"/>
        <v>16.8691227637569</v>
      </c>
      <c r="AL64" s="126">
        <f ca="1" t="shared" si="54"/>
        <v>43.2678692160383</v>
      </c>
    </row>
    <row r="65" spans="1:38">
      <c r="A65" s="132">
        <v>797.5</v>
      </c>
      <c r="B65" s="133">
        <v>1227.71</v>
      </c>
      <c r="C65" s="133">
        <v>1214.86</v>
      </c>
      <c r="D65" s="133">
        <v>1174.43</v>
      </c>
      <c r="E65" s="133">
        <v>1087.41</v>
      </c>
      <c r="F65" s="133">
        <v>973.56</v>
      </c>
      <c r="G65" s="133">
        <v>843.61</v>
      </c>
      <c r="H65" s="133">
        <v>691.65</v>
      </c>
      <c r="I65" s="133">
        <v>606.52</v>
      </c>
      <c r="J65" s="133"/>
      <c r="K65" s="132">
        <f t="shared" si="37"/>
        <v>797.5</v>
      </c>
      <c r="L65" s="133">
        <f t="shared" si="39"/>
        <v>1244.05446043165</v>
      </c>
      <c r="M65" s="133">
        <f t="shared" si="40"/>
        <v>1186.58545712355</v>
      </c>
      <c r="N65" s="133">
        <f t="shared" si="41"/>
        <v>1134.63512964858</v>
      </c>
      <c r="O65" s="133">
        <f t="shared" si="42"/>
        <v>1087.88019447203</v>
      </c>
      <c r="P65" s="133">
        <f t="shared" si="43"/>
        <v>1027.71205226284</v>
      </c>
      <c r="Q65" s="133">
        <f t="shared" si="44"/>
        <v>974.482127110093</v>
      </c>
      <c r="R65" s="133">
        <f t="shared" si="45"/>
        <v>907.286832296373</v>
      </c>
      <c r="S65" s="133">
        <f t="shared" si="46"/>
        <v>845.151753096278</v>
      </c>
      <c r="T65" s="133">
        <f t="shared" si="47"/>
        <v>767.457736681397</v>
      </c>
      <c r="U65" s="133">
        <f t="shared" si="48"/>
        <v>693.975044815008</v>
      </c>
      <c r="V65" s="133">
        <f t="shared" si="49"/>
        <v>614.59802919708</v>
      </c>
      <c r="X65" s="106" t="s">
        <v>59</v>
      </c>
      <c r="Y65" s="106"/>
      <c r="Z65" s="106"/>
      <c r="AA65" s="106">
        <v>7.28933540914948e-11</v>
      </c>
      <c r="AB65" s="106">
        <v>1.10715255233751e-10</v>
      </c>
      <c r="AC65" s="106">
        <v>1.32970494449128e-10</v>
      </c>
      <c r="AD65" s="106">
        <v>8.4792723843009e-11</v>
      </c>
      <c r="AE65" s="106">
        <v>8.4792723843009e-11</v>
      </c>
      <c r="AG65" s="91" t="str">
        <f t="shared" si="50"/>
        <v>I-135</v>
      </c>
      <c r="AI65" s="126">
        <f ca="1" t="shared" si="51"/>
        <v>2.18803756626048</v>
      </c>
      <c r="AJ65" s="126">
        <f ca="1" t="shared" si="52"/>
        <v>8.67514149107357</v>
      </c>
      <c r="AK65" s="126">
        <f ca="1" t="shared" si="53"/>
        <v>16.607552384993</v>
      </c>
      <c r="AL65" s="126">
        <f ca="1" t="shared" si="54"/>
        <v>41.4215292533115</v>
      </c>
    </row>
    <row r="66" spans="1:38">
      <c r="A66" s="132">
        <v>852.5</v>
      </c>
      <c r="B66" s="133">
        <v>1193.41</v>
      </c>
      <c r="C66" s="133">
        <v>1180.79</v>
      </c>
      <c r="D66" s="133">
        <v>1141.21</v>
      </c>
      <c r="E66" s="133">
        <v>1056.03</v>
      </c>
      <c r="F66" s="133">
        <v>944.36</v>
      </c>
      <c r="G66" s="133">
        <v>816.8</v>
      </c>
      <c r="H66" s="133">
        <v>667.77</v>
      </c>
      <c r="I66" s="133">
        <v>584.48</v>
      </c>
      <c r="J66" s="133"/>
      <c r="K66" s="132">
        <f t="shared" si="37"/>
        <v>852.5</v>
      </c>
      <c r="L66" s="133">
        <f t="shared" si="39"/>
        <v>1209.46191366906</v>
      </c>
      <c r="M66" s="133">
        <f t="shared" si="40"/>
        <v>1153.10990088919</v>
      </c>
      <c r="N66" s="133">
        <f t="shared" si="41"/>
        <v>1102.25657485022</v>
      </c>
      <c r="O66" s="133">
        <f t="shared" si="42"/>
        <v>1056.4902524147</v>
      </c>
      <c r="P66" s="133">
        <f t="shared" si="43"/>
        <v>997.475148670978</v>
      </c>
      <c r="Q66" s="133">
        <f t="shared" si="44"/>
        <v>945.264470218569</v>
      </c>
      <c r="R66" s="133">
        <f t="shared" si="45"/>
        <v>879.305707793192</v>
      </c>
      <c r="S66" s="133">
        <f t="shared" si="46"/>
        <v>818.313397652645</v>
      </c>
      <c r="T66" s="133">
        <f t="shared" si="47"/>
        <v>742.116058157598</v>
      </c>
      <c r="U66" s="133">
        <f t="shared" si="48"/>
        <v>670.050214719536</v>
      </c>
      <c r="V66" s="133">
        <f t="shared" si="49"/>
        <v>592.383430656934</v>
      </c>
      <c r="X66" s="106" t="s">
        <v>60</v>
      </c>
      <c r="Y66" s="106"/>
      <c r="Z66" s="106"/>
      <c r="AA66" s="106">
        <v>1.87058362504722e-14</v>
      </c>
      <c r="AB66" s="106">
        <v>3.67966088199021e-14</v>
      </c>
      <c r="AC66" s="106">
        <v>4.44259196940252e-14</v>
      </c>
      <c r="AD66" s="106">
        <v>2.36734405932852e-14</v>
      </c>
      <c r="AE66" s="106">
        <v>2.36734405932852e-14</v>
      </c>
      <c r="AG66" s="91" t="str">
        <f t="shared" si="50"/>
        <v>Sr-89</v>
      </c>
      <c r="AI66" s="126">
        <f t="shared" si="51"/>
        <v>584.441969443884</v>
      </c>
      <c r="AJ66" s="126">
        <f t="shared" si="52"/>
        <v>19134.6573475979</v>
      </c>
      <c r="AK66" s="126">
        <f t="shared" si="53"/>
        <v>32372.4767864352</v>
      </c>
      <c r="AL66" s="126">
        <f t="shared" si="54"/>
        <v>13025.4163302382</v>
      </c>
    </row>
    <row r="67" spans="1:38">
      <c r="A67" s="132">
        <v>907.5</v>
      </c>
      <c r="B67" s="133">
        <v>1156.98</v>
      </c>
      <c r="C67" s="133">
        <v>1144.48</v>
      </c>
      <c r="D67" s="133">
        <v>1105.47</v>
      </c>
      <c r="E67" s="133">
        <v>1021.86</v>
      </c>
      <c r="F67" s="133">
        <v>912.18</v>
      </c>
      <c r="G67" s="133">
        <v>786.92</v>
      </c>
      <c r="H67" s="133">
        <v>640.74</v>
      </c>
      <c r="I67" s="133">
        <v>559.33</v>
      </c>
      <c r="J67" s="133"/>
      <c r="K67" s="132">
        <f t="shared" si="37"/>
        <v>907.5</v>
      </c>
      <c r="L67" s="133">
        <f t="shared" si="39"/>
        <v>1172.87928057554</v>
      </c>
      <c r="M67" s="133">
        <f t="shared" si="40"/>
        <v>1117.19852788498</v>
      </c>
      <c r="N67" s="133">
        <f t="shared" si="41"/>
        <v>1067.23454711466</v>
      </c>
      <c r="O67" s="133">
        <f t="shared" si="42"/>
        <v>1022.31176924622</v>
      </c>
      <c r="P67" s="133">
        <f t="shared" si="43"/>
        <v>964.34861741052</v>
      </c>
      <c r="Q67" s="133">
        <f t="shared" si="44"/>
        <v>913.068352230435</v>
      </c>
      <c r="R67" s="133">
        <f t="shared" si="45"/>
        <v>848.298684212726</v>
      </c>
      <c r="S67" s="133">
        <f t="shared" si="46"/>
        <v>788.406109987224</v>
      </c>
      <c r="T67" s="133">
        <f t="shared" si="47"/>
        <v>713.664288945029</v>
      </c>
      <c r="U67" s="133">
        <f t="shared" si="48"/>
        <v>642.976608653974</v>
      </c>
      <c r="V67" s="133">
        <f t="shared" si="49"/>
        <v>567.05503649635</v>
      </c>
      <c r="X67" s="106" t="s">
        <v>61</v>
      </c>
      <c r="Y67" s="106"/>
      <c r="Z67" s="106"/>
      <c r="AA67" s="106">
        <v>1.82527476678322e-14</v>
      </c>
      <c r="AB67" s="106">
        <v>3.63596036990621e-14</v>
      </c>
      <c r="AC67" s="106">
        <v>4.39110485639452e-14</v>
      </c>
      <c r="AD67" s="106">
        <v>2.32031735857652e-14</v>
      </c>
      <c r="AE67" s="106">
        <v>2.32031735857652e-14</v>
      </c>
      <c r="AG67" s="91" t="str">
        <f t="shared" si="50"/>
        <v>Sr-90</v>
      </c>
      <c r="AI67" s="126">
        <f t="shared" si="51"/>
        <v>585.124920081104</v>
      </c>
      <c r="AJ67" s="126">
        <f t="shared" si="52"/>
        <v>19424.4541289235</v>
      </c>
      <c r="AK67" s="126">
        <f t="shared" si="53"/>
        <v>34171.1344006741</v>
      </c>
      <c r="AL67" s="126">
        <f t="shared" si="54"/>
        <v>13949.7972403623</v>
      </c>
    </row>
    <row r="68" spans="1:38">
      <c r="A68" s="132">
        <v>962.5</v>
      </c>
      <c r="B68" s="133">
        <v>1116.38</v>
      </c>
      <c r="C68" s="133">
        <v>1103.74</v>
      </c>
      <c r="D68" s="133">
        <v>1064.78</v>
      </c>
      <c r="E68" s="133">
        <v>982.37</v>
      </c>
      <c r="F68" s="133">
        <v>875.15</v>
      </c>
      <c r="G68" s="133">
        <v>753.28</v>
      </c>
      <c r="H68" s="133">
        <v>611.51</v>
      </c>
      <c r="I68" s="133">
        <v>532.91</v>
      </c>
      <c r="J68" s="133"/>
      <c r="K68" s="132">
        <f t="shared" si="37"/>
        <v>962.5</v>
      </c>
      <c r="L68" s="133">
        <f t="shared" si="39"/>
        <v>1132.45735251799</v>
      </c>
      <c r="M68" s="133">
        <f t="shared" si="40"/>
        <v>1076.49349516531</v>
      </c>
      <c r="N68" s="133">
        <f t="shared" si="41"/>
        <v>1027.09331572442</v>
      </c>
      <c r="O68" s="133">
        <f t="shared" si="42"/>
        <v>982.815285295791</v>
      </c>
      <c r="P68" s="133">
        <f t="shared" si="43"/>
        <v>926.14853354081</v>
      </c>
      <c r="Q68" s="133">
        <f t="shared" si="44"/>
        <v>876.018427481284</v>
      </c>
      <c r="R68" s="133">
        <f t="shared" si="45"/>
        <v>812.997549457168</v>
      </c>
      <c r="S68" s="133">
        <f t="shared" si="46"/>
        <v>754.725890341234</v>
      </c>
      <c r="T68" s="133">
        <f t="shared" si="47"/>
        <v>682.234288163475</v>
      </c>
      <c r="U68" s="133">
        <f t="shared" si="48"/>
        <v>613.679134005157</v>
      </c>
      <c r="V68" s="133">
        <f t="shared" si="49"/>
        <v>540.368394160584</v>
      </c>
      <c r="X68" s="106" t="s">
        <v>62</v>
      </c>
      <c r="Y68" s="106"/>
      <c r="Z68" s="106"/>
      <c r="AA68" s="106">
        <v>2.57998310286e-12</v>
      </c>
      <c r="AB68" s="106">
        <v>1.922639414973e-11</v>
      </c>
      <c r="AC68" s="106">
        <v>2.284550118676e-11</v>
      </c>
      <c r="AD68" s="106">
        <v>7.87179935976e-12</v>
      </c>
      <c r="AE68" s="106">
        <v>7.87179935976e-12</v>
      </c>
      <c r="AG68" s="91" t="str">
        <f t="shared" si="50"/>
        <v>Cs-134</v>
      </c>
      <c r="AI68" s="126">
        <f t="shared" si="51"/>
        <v>42.6539312084667</v>
      </c>
      <c r="AJ68" s="126">
        <f t="shared" si="52"/>
        <v>510.425178439577</v>
      </c>
      <c r="AK68" s="126">
        <f t="shared" si="53"/>
        <v>8697.60644843711</v>
      </c>
      <c r="AL68" s="126">
        <f t="shared" si="54"/>
        <v>7397.41262613832</v>
      </c>
    </row>
    <row r="69" spans="1:38">
      <c r="A69" s="132">
        <v>1017.5</v>
      </c>
      <c r="B69" s="133">
        <v>1054.01</v>
      </c>
      <c r="C69" s="133">
        <v>1040.69</v>
      </c>
      <c r="D69" s="133">
        <v>1001.45</v>
      </c>
      <c r="E69" s="133">
        <v>921.68</v>
      </c>
      <c r="F69" s="133">
        <v>820.46</v>
      </c>
      <c r="G69" s="133">
        <v>707.53</v>
      </c>
      <c r="H69" s="133">
        <v>577.74</v>
      </c>
      <c r="I69" s="133">
        <v>506.17</v>
      </c>
      <c r="J69" s="133"/>
      <c r="K69" s="132">
        <f t="shared" si="37"/>
        <v>1017.5</v>
      </c>
      <c r="L69" s="133">
        <f t="shared" si="39"/>
        <v>1070.95227338129</v>
      </c>
      <c r="M69" s="133">
        <f t="shared" si="40"/>
        <v>1013.24767839545</v>
      </c>
      <c r="N69" s="133">
        <f t="shared" si="41"/>
        <v>964.970606665904</v>
      </c>
      <c r="O69" s="133">
        <f t="shared" si="42"/>
        <v>922.111020604844</v>
      </c>
      <c r="P69" s="133">
        <f t="shared" si="43"/>
        <v>868.604670443954</v>
      </c>
      <c r="Q69" s="133">
        <f t="shared" si="44"/>
        <v>821.279830532136</v>
      </c>
      <c r="R69" s="133">
        <f t="shared" si="45"/>
        <v>762.866857800919</v>
      </c>
      <c r="S69" s="133">
        <f t="shared" si="46"/>
        <v>708.869824372164</v>
      </c>
      <c r="T69" s="133">
        <f t="shared" si="47"/>
        <v>642.487868806782</v>
      </c>
      <c r="U69" s="133">
        <f t="shared" si="48"/>
        <v>579.725835526059</v>
      </c>
      <c r="V69" s="133">
        <f t="shared" si="49"/>
        <v>512.961313868613</v>
      </c>
      <c r="X69" s="106" t="s">
        <v>63</v>
      </c>
      <c r="Y69" s="106"/>
      <c r="Z69" s="106"/>
      <c r="AA69" s="106">
        <v>2.89948010648e-12</v>
      </c>
      <c r="AB69" s="106">
        <v>2.004840821654e-11</v>
      </c>
      <c r="AC69" s="106">
        <v>2.382290323648e-11</v>
      </c>
      <c r="AD69" s="106">
        <v>8.36041984028e-12</v>
      </c>
      <c r="AE69" s="106">
        <v>8.36041984028e-12</v>
      </c>
      <c r="AG69" s="91" t="str">
        <f t="shared" si="50"/>
        <v>Cs-137</v>
      </c>
      <c r="AI69" s="126">
        <f t="shared" si="51"/>
        <v>42.7120611134812</v>
      </c>
      <c r="AJ69" s="126">
        <f t="shared" si="52"/>
        <v>502.167235494881</v>
      </c>
      <c r="AK69" s="126">
        <f t="shared" si="53"/>
        <v>7580.69005972696</v>
      </c>
      <c r="AL69" s="126">
        <f t="shared" si="54"/>
        <v>6409.86561433447</v>
      </c>
    </row>
    <row r="70" spans="1:38">
      <c r="A70" s="132">
        <v>1072.5</v>
      </c>
      <c r="B70" s="133">
        <v>901.58</v>
      </c>
      <c r="C70" s="133">
        <v>883.09</v>
      </c>
      <c r="D70" s="133">
        <v>845.18</v>
      </c>
      <c r="E70" s="133">
        <v>780.07</v>
      </c>
      <c r="F70" s="133">
        <v>703.13</v>
      </c>
      <c r="G70" s="133">
        <v>620.91</v>
      </c>
      <c r="H70" s="133">
        <v>530.31</v>
      </c>
      <c r="I70" s="133">
        <v>480.95</v>
      </c>
      <c r="J70" s="133"/>
      <c r="K70" s="132">
        <f t="shared" si="37"/>
        <v>1072.5</v>
      </c>
      <c r="L70" s="133">
        <f t="shared" si="39"/>
        <v>925.098215827338</v>
      </c>
      <c r="M70" s="133">
        <f t="shared" si="40"/>
        <v>856.577808052283</v>
      </c>
      <c r="N70" s="133">
        <f t="shared" si="41"/>
        <v>815.404729848527</v>
      </c>
      <c r="O70" s="133">
        <f t="shared" si="42"/>
        <v>780.421808343756</v>
      </c>
      <c r="P70" s="133">
        <f t="shared" si="43"/>
        <v>739.726037778678</v>
      </c>
      <c r="Q70" s="133">
        <f t="shared" si="44"/>
        <v>703.753174877915</v>
      </c>
      <c r="R70" s="133">
        <f t="shared" si="45"/>
        <v>661.198642950426</v>
      </c>
      <c r="S70" s="133">
        <f t="shared" si="46"/>
        <v>621.885474717784</v>
      </c>
      <c r="T70" s="133">
        <f t="shared" si="47"/>
        <v>575.507294967982</v>
      </c>
      <c r="U70" s="133">
        <f t="shared" si="48"/>
        <v>531.696213873649</v>
      </c>
      <c r="V70" s="133">
        <f t="shared" si="49"/>
        <v>485.633795620438</v>
      </c>
      <c r="X70" s="106" t="s">
        <v>64</v>
      </c>
      <c r="Y70" s="106"/>
      <c r="Z70" s="106"/>
      <c r="AA70" s="106">
        <v>6.02542925514e-10</v>
      </c>
      <c r="AB70" s="106">
        <v>7.90489291897e-10</v>
      </c>
      <c r="AC70" s="106">
        <v>9.10008561164e-10</v>
      </c>
      <c r="AD70" s="106">
        <v>7.27061055404e-10</v>
      </c>
      <c r="AE70" s="106">
        <v>7.27061055404e-10</v>
      </c>
      <c r="AG70" s="91" t="str">
        <f t="shared" si="50"/>
        <v>Ag-110m</v>
      </c>
      <c r="AI70" s="126">
        <f t="shared" si="51"/>
        <v>205.298329962746</v>
      </c>
      <c r="AJ70" s="126">
        <f t="shared" si="52"/>
        <v>256.883847791378</v>
      </c>
      <c r="AK70" s="126">
        <f t="shared" si="53"/>
        <v>761.305215540181</v>
      </c>
      <c r="AL70" s="126">
        <f t="shared" si="54"/>
        <v>21777.3803885045</v>
      </c>
    </row>
    <row r="71" ht="13.5" spans="1:22">
      <c r="A71" s="129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</row>
    <row r="72" ht="13.5" spans="1:22">
      <c r="A72" s="129" t="s">
        <v>138</v>
      </c>
      <c r="B72" s="129"/>
      <c r="C72" s="129"/>
      <c r="D72" s="129"/>
      <c r="E72" s="129"/>
      <c r="F72" s="129"/>
      <c r="G72" s="129"/>
      <c r="H72" s="129"/>
      <c r="I72" s="129"/>
      <c r="J72" s="129"/>
      <c r="K72" s="129" t="s">
        <v>138</v>
      </c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</row>
    <row r="73" spans="1:31">
      <c r="A73" s="132" t="s">
        <v>128</v>
      </c>
      <c r="B73" s="133">
        <v>17.68</v>
      </c>
      <c r="C73" s="133">
        <v>31.58</v>
      </c>
      <c r="D73" s="133">
        <v>54.25</v>
      </c>
      <c r="E73" s="133">
        <v>82.31</v>
      </c>
      <c r="F73" s="133">
        <v>106.26</v>
      </c>
      <c r="G73" s="133">
        <v>125.73</v>
      </c>
      <c r="H73" s="133">
        <v>142.56</v>
      </c>
      <c r="I73" s="133">
        <v>150.78</v>
      </c>
      <c r="J73" s="133"/>
      <c r="K73" s="132" t="str">
        <f t="shared" ref="K73:K93" si="55">A73</f>
        <v>R/Z[cm]</v>
      </c>
      <c r="L73" s="141">
        <v>0</v>
      </c>
      <c r="M73" s="141">
        <f t="shared" ref="M73:V73" si="56">SQRT(L73*L73+150*150/10)</f>
        <v>47.4341649025257</v>
      </c>
      <c r="N73" s="141">
        <f t="shared" si="56"/>
        <v>67.0820393249937</v>
      </c>
      <c r="O73" s="141">
        <f t="shared" si="56"/>
        <v>82.1583836257749</v>
      </c>
      <c r="P73" s="141">
        <f t="shared" si="56"/>
        <v>94.8683298050514</v>
      </c>
      <c r="Q73" s="141">
        <f t="shared" si="56"/>
        <v>106.066017177982</v>
      </c>
      <c r="R73" s="141">
        <f t="shared" si="56"/>
        <v>116.189500386223</v>
      </c>
      <c r="S73" s="141">
        <f t="shared" si="56"/>
        <v>125.499003980111</v>
      </c>
      <c r="T73" s="141">
        <f t="shared" si="56"/>
        <v>134.164078649987</v>
      </c>
      <c r="U73" s="141">
        <f t="shared" si="56"/>
        <v>142.302494707577</v>
      </c>
      <c r="V73" s="141">
        <f t="shared" si="56"/>
        <v>150</v>
      </c>
      <c r="X73" s="147" t="s">
        <v>141</v>
      </c>
      <c r="Y73" s="106"/>
      <c r="Z73" s="106"/>
      <c r="AA73" s="106" t="s">
        <v>136</v>
      </c>
      <c r="AB73" s="106" t="s">
        <v>138</v>
      </c>
      <c r="AC73" s="106" t="s">
        <v>139</v>
      </c>
      <c r="AD73" s="106" t="s">
        <v>140</v>
      </c>
      <c r="AE73" s="106" t="s">
        <v>142</v>
      </c>
    </row>
    <row r="74" spans="1:31">
      <c r="A74" s="132">
        <v>27.5</v>
      </c>
      <c r="B74" s="133">
        <v>583.77</v>
      </c>
      <c r="C74" s="133">
        <v>579.2</v>
      </c>
      <c r="D74" s="133">
        <v>564.72</v>
      </c>
      <c r="E74" s="133">
        <v>533.1</v>
      </c>
      <c r="F74" s="133">
        <v>490.49</v>
      </c>
      <c r="G74" s="133">
        <v>439.92</v>
      </c>
      <c r="H74" s="133">
        <v>378.47</v>
      </c>
      <c r="I74" s="133">
        <v>343.33</v>
      </c>
      <c r="J74" s="133"/>
      <c r="K74" s="132">
        <f t="shared" si="55"/>
        <v>27.5</v>
      </c>
      <c r="L74" s="133">
        <f t="shared" ref="L74:L93" si="57">TREND(B74:C74,B$4:C$4,L$4)</f>
        <v>589.582776978417</v>
      </c>
      <c r="M74" s="133">
        <f t="shared" ref="M74:M93" si="58">TREND(C74:D74,C$4:D$4,M$4)</f>
        <v>569.073475615855</v>
      </c>
      <c r="N74" s="133">
        <f t="shared" ref="N74:N93" si="59">TREND(D74:E74,D$4:E$4,N$4)</f>
        <v>550.259947132705</v>
      </c>
      <c r="O74" s="133">
        <f t="shared" ref="O74:O93" si="60">TREND(D74:E74,D$4:E$4,O$4)</f>
        <v>533.270852093835</v>
      </c>
      <c r="P74" s="133">
        <f t="shared" ref="P74:P93" si="61">TREND(E74:F74,E$4:F$4,P$4)</f>
        <v>510.75718442617</v>
      </c>
      <c r="Q74" s="133">
        <f t="shared" ref="Q74:Q93" si="62">TREND(E74:F74,E$4:F$4,Q$4)</f>
        <v>490.83511933387</v>
      </c>
      <c r="R74" s="133">
        <f t="shared" ref="R74:R93" si="63">TREND(F74:G74,F$4:G$4,R$4)</f>
        <v>464.699818462698</v>
      </c>
      <c r="S74" s="133">
        <f t="shared" ref="S74:S93" si="64">TREND(F74:G74,F$4:G$4,S$4)</f>
        <v>440.519972713188</v>
      </c>
      <c r="T74" s="133">
        <f t="shared" ref="T74:T93" si="65">TREND(G74:H74,G$4:H$4,T$4)</f>
        <v>409.125339688549</v>
      </c>
      <c r="U74" s="133">
        <f t="shared" ref="U74:U93" si="66">TREND(G74:H74,G$4:H$4,U$4)</f>
        <v>379.410207975008</v>
      </c>
      <c r="V74" s="133">
        <f t="shared" ref="V74:V93" si="67">TREND(H74:I74,H$4:I$4,V$4)</f>
        <v>346.664452554745</v>
      </c>
      <c r="X74" s="106" t="s">
        <v>46</v>
      </c>
      <c r="Y74" s="106"/>
      <c r="Z74" s="106"/>
      <c r="AA74" s="160">
        <f ca="1" t="shared" ref="AA74:AE74" si="68">AA27/AA52</f>
        <v>1.0964428505208</v>
      </c>
      <c r="AB74" s="160">
        <f ca="1" t="shared" si="68"/>
        <v>1.32434722246411</v>
      </c>
      <c r="AC74" s="160">
        <f ca="1" t="shared" si="68"/>
        <v>2.63165889051199</v>
      </c>
      <c r="AD74" s="160">
        <f ca="1" t="shared" si="68"/>
        <v>2.45902513268084</v>
      </c>
      <c r="AE74" s="160">
        <f ca="1" t="shared" si="68"/>
        <v>1.80090804926049</v>
      </c>
    </row>
    <row r="75" spans="1:31">
      <c r="A75" s="132">
        <v>82.5</v>
      </c>
      <c r="B75" s="133">
        <v>792.4</v>
      </c>
      <c r="C75" s="133">
        <v>784.33</v>
      </c>
      <c r="D75" s="133">
        <v>759.44</v>
      </c>
      <c r="E75" s="133">
        <v>706.32</v>
      </c>
      <c r="F75" s="133">
        <v>636.58</v>
      </c>
      <c r="G75" s="133">
        <v>555.84</v>
      </c>
      <c r="H75" s="133">
        <v>458.74</v>
      </c>
      <c r="I75" s="133">
        <v>403.75</v>
      </c>
      <c r="J75" s="133"/>
      <c r="K75" s="132">
        <f t="shared" si="55"/>
        <v>82.5</v>
      </c>
      <c r="L75" s="133">
        <f t="shared" si="57"/>
        <v>802.664575539568</v>
      </c>
      <c r="M75" s="133">
        <f t="shared" si="58"/>
        <v>766.923287850734</v>
      </c>
      <c r="N75" s="133">
        <f t="shared" si="59"/>
        <v>735.147842874424</v>
      </c>
      <c r="O75" s="133">
        <f t="shared" si="60"/>
        <v>706.607022872375</v>
      </c>
      <c r="P75" s="133">
        <f t="shared" si="61"/>
        <v>669.751402062452</v>
      </c>
      <c r="Q75" s="133">
        <f t="shared" si="62"/>
        <v>637.144858538937</v>
      </c>
      <c r="R75" s="133">
        <f t="shared" si="63"/>
        <v>595.403427776908</v>
      </c>
      <c r="S75" s="133">
        <f t="shared" si="64"/>
        <v>556.797915698295</v>
      </c>
      <c r="T75" s="133">
        <f t="shared" si="65"/>
        <v>507.17992650542</v>
      </c>
      <c r="U75" s="133">
        <f t="shared" si="66"/>
        <v>460.225666303878</v>
      </c>
      <c r="V75" s="133">
        <f t="shared" si="67"/>
        <v>408.96802919708</v>
      </c>
      <c r="X75" s="106" t="s">
        <v>113</v>
      </c>
      <c r="Y75" s="106"/>
      <c r="Z75" s="106"/>
      <c r="AA75" s="160">
        <f ca="1" t="shared" ref="AA75:AA92" si="69">AA28/AA53</f>
        <v>1.07216628921637</v>
      </c>
      <c r="AB75" s="160">
        <f ca="1" t="shared" ref="AB75:AB92" si="70">AB28/AB53</f>
        <v>1.28176173584121</v>
      </c>
      <c r="AC75" s="160">
        <f ca="1" t="shared" ref="AC75:AC92" si="71">AC28/AC53</f>
        <v>2.09276564045941</v>
      </c>
      <c r="AD75" s="160">
        <f ca="1" t="shared" ref="AD75:AD92" si="72">AD28/AD53</f>
        <v>2.23121225810788</v>
      </c>
      <c r="AE75" s="160">
        <f ca="1" t="shared" ref="AE75:AE92" si="73">AE28/AE53</f>
        <v>1.66440375127407</v>
      </c>
    </row>
    <row r="76" spans="1:31">
      <c r="A76" s="132">
        <v>137.5</v>
      </c>
      <c r="B76" s="133">
        <v>937.96</v>
      </c>
      <c r="C76" s="133">
        <v>927.62</v>
      </c>
      <c r="D76" s="133">
        <v>895.84</v>
      </c>
      <c r="E76" s="133">
        <v>828.6</v>
      </c>
      <c r="F76" s="133">
        <v>741.67</v>
      </c>
      <c r="G76" s="133">
        <v>642.96</v>
      </c>
      <c r="H76" s="133">
        <v>526.33</v>
      </c>
      <c r="I76" s="133">
        <v>460.86</v>
      </c>
      <c r="J76" s="133"/>
      <c r="K76" s="132">
        <f t="shared" si="55"/>
        <v>137.5</v>
      </c>
      <c r="L76" s="133">
        <f t="shared" si="57"/>
        <v>951.111884892086</v>
      </c>
      <c r="M76" s="133">
        <f t="shared" si="58"/>
        <v>905.394796620985</v>
      </c>
      <c r="N76" s="133">
        <f t="shared" si="59"/>
        <v>865.090665566195</v>
      </c>
      <c r="O76" s="133">
        <f t="shared" si="60"/>
        <v>828.96331735577</v>
      </c>
      <c r="P76" s="133">
        <f t="shared" si="61"/>
        <v>783.017719834943</v>
      </c>
      <c r="Q76" s="133">
        <f t="shared" si="62"/>
        <v>742.374088798247</v>
      </c>
      <c r="R76" s="133">
        <f t="shared" si="63"/>
        <v>691.32891201212</v>
      </c>
      <c r="S76" s="133">
        <f t="shared" si="64"/>
        <v>644.131115414649</v>
      </c>
      <c r="T76" s="133">
        <f t="shared" si="65"/>
        <v>584.512787109446</v>
      </c>
      <c r="U76" s="133">
        <f t="shared" si="66"/>
        <v>528.114482605781</v>
      </c>
      <c r="V76" s="133">
        <f t="shared" si="67"/>
        <v>467.072481751825</v>
      </c>
      <c r="X76" s="106" t="s">
        <v>48</v>
      </c>
      <c r="Y76" s="106"/>
      <c r="Z76" s="106"/>
      <c r="AA76" s="160">
        <f ca="1" t="shared" si="69"/>
        <v>1.09882488169462</v>
      </c>
      <c r="AB76" s="160">
        <f ca="1" t="shared" si="70"/>
        <v>1.32165974233001</v>
      </c>
      <c r="AC76" s="160">
        <f ca="1" t="shared" si="71"/>
        <v>2.59295951269051</v>
      </c>
      <c r="AD76" s="160">
        <f ca="1" t="shared" si="72"/>
        <v>2.45033879509232</v>
      </c>
      <c r="AE76" s="160">
        <f ca="1" t="shared" si="73"/>
        <v>1.79760416069011</v>
      </c>
    </row>
    <row r="77" spans="1:31">
      <c r="A77" s="132">
        <v>192.5</v>
      </c>
      <c r="B77" s="133">
        <v>1067.11</v>
      </c>
      <c r="C77" s="133">
        <v>1054.94</v>
      </c>
      <c r="D77" s="133">
        <v>1017.72</v>
      </c>
      <c r="E77" s="133">
        <v>939.5</v>
      </c>
      <c r="F77" s="133">
        <v>839.04</v>
      </c>
      <c r="G77" s="133">
        <v>725.91</v>
      </c>
      <c r="H77" s="133">
        <v>593.9</v>
      </c>
      <c r="I77" s="133">
        <v>520.04</v>
      </c>
      <c r="J77" s="133"/>
      <c r="K77" s="132">
        <f t="shared" si="55"/>
        <v>192.5</v>
      </c>
      <c r="L77" s="133">
        <f t="shared" si="57"/>
        <v>1082.58953956835</v>
      </c>
      <c r="M77" s="133">
        <f t="shared" si="58"/>
        <v>1028.91035652086</v>
      </c>
      <c r="N77" s="133">
        <f t="shared" si="59"/>
        <v>981.949432786849</v>
      </c>
      <c r="O77" s="133">
        <f t="shared" si="60"/>
        <v>939.922645502205</v>
      </c>
      <c r="P77" s="133">
        <f t="shared" si="61"/>
        <v>886.823181118352</v>
      </c>
      <c r="Q77" s="133">
        <f t="shared" si="62"/>
        <v>839.853674918577</v>
      </c>
      <c r="R77" s="133">
        <f t="shared" si="63"/>
        <v>781.344859851394</v>
      </c>
      <c r="S77" s="133">
        <f t="shared" si="64"/>
        <v>727.252197212635</v>
      </c>
      <c r="T77" s="133">
        <f t="shared" si="65"/>
        <v>659.755352193415</v>
      </c>
      <c r="U77" s="133">
        <f t="shared" si="66"/>
        <v>595.919802356076</v>
      </c>
      <c r="V77" s="133">
        <f t="shared" si="67"/>
        <v>527.048613138686</v>
      </c>
      <c r="X77" s="106" t="s">
        <v>49</v>
      </c>
      <c r="Y77" s="106"/>
      <c r="Z77" s="106"/>
      <c r="AA77" s="160">
        <f ca="1" t="shared" si="69"/>
        <v>1.08943280996003</v>
      </c>
      <c r="AB77" s="160">
        <f ca="1" t="shared" si="70"/>
        <v>1.31475388816514</v>
      </c>
      <c r="AC77" s="160">
        <f ca="1" t="shared" si="71"/>
        <v>2.62242388751048</v>
      </c>
      <c r="AD77" s="160">
        <f ca="1" t="shared" si="72"/>
        <v>2.44307480358548</v>
      </c>
      <c r="AE77" s="160">
        <f ca="1" t="shared" si="73"/>
        <v>1.78833800458564</v>
      </c>
    </row>
    <row r="78" spans="1:31">
      <c r="A78" s="132">
        <v>241.5</v>
      </c>
      <c r="B78" s="133">
        <v>1172.3</v>
      </c>
      <c r="C78" s="133">
        <v>1158.82</v>
      </c>
      <c r="D78" s="133">
        <v>1117.71</v>
      </c>
      <c r="E78" s="133">
        <v>1032.01</v>
      </c>
      <c r="F78" s="133">
        <v>922.91</v>
      </c>
      <c r="G78" s="133">
        <v>800.42</v>
      </c>
      <c r="H78" s="133">
        <v>657.7</v>
      </c>
      <c r="I78" s="133">
        <v>577.23</v>
      </c>
      <c r="J78" s="133"/>
      <c r="K78" s="132">
        <f t="shared" si="55"/>
        <v>241.5</v>
      </c>
      <c r="L78" s="133">
        <f t="shared" si="57"/>
        <v>1189.44578417266</v>
      </c>
      <c r="M78" s="133">
        <f t="shared" si="58"/>
        <v>1130.06990211104</v>
      </c>
      <c r="N78" s="133">
        <f t="shared" si="59"/>
        <v>1078.51877511932</v>
      </c>
      <c r="O78" s="133">
        <f t="shared" si="60"/>
        <v>1032.47306212655</v>
      </c>
      <c r="P78" s="133">
        <f t="shared" si="61"/>
        <v>974.802743977824</v>
      </c>
      <c r="Q78" s="133">
        <f t="shared" si="62"/>
        <v>923.793654525351</v>
      </c>
      <c r="R78" s="133">
        <f t="shared" si="63"/>
        <v>860.441355813642</v>
      </c>
      <c r="S78" s="133">
        <f t="shared" si="64"/>
        <v>801.873246146696</v>
      </c>
      <c r="T78" s="133">
        <f t="shared" si="65"/>
        <v>728.898211234332</v>
      </c>
      <c r="U78" s="133">
        <f t="shared" si="66"/>
        <v>659.883669360345</v>
      </c>
      <c r="V78" s="133">
        <f t="shared" si="67"/>
        <v>584.865839416058</v>
      </c>
      <c r="X78" s="106" t="s">
        <v>50</v>
      </c>
      <c r="Y78" s="106"/>
      <c r="Z78" s="106"/>
      <c r="AA78" s="160">
        <f ca="1" t="shared" si="69"/>
        <v>1.09336579822458</v>
      </c>
      <c r="AB78" s="160">
        <f ca="1" t="shared" si="70"/>
        <v>1.3146816921039</v>
      </c>
      <c r="AC78" s="160">
        <f ca="1" t="shared" si="71"/>
        <v>2.5990244449058</v>
      </c>
      <c r="AD78" s="160">
        <f ca="1" t="shared" si="72"/>
        <v>2.44186174710447</v>
      </c>
      <c r="AE78" s="160">
        <f ca="1" t="shared" si="73"/>
        <v>1.78965803217957</v>
      </c>
    </row>
    <row r="79" spans="1:31">
      <c r="A79" s="132">
        <v>296.5</v>
      </c>
      <c r="B79" s="133">
        <v>1272.24</v>
      </c>
      <c r="C79" s="133">
        <v>1257.82</v>
      </c>
      <c r="D79" s="133">
        <v>1213.62</v>
      </c>
      <c r="E79" s="133">
        <v>1121.65</v>
      </c>
      <c r="F79" s="133">
        <v>1005.92</v>
      </c>
      <c r="G79" s="133">
        <v>878.46</v>
      </c>
      <c r="H79" s="133">
        <v>734.38</v>
      </c>
      <c r="I79" s="133">
        <v>655.01</v>
      </c>
      <c r="J79" s="133"/>
      <c r="K79" s="132">
        <f t="shared" si="55"/>
        <v>296.5</v>
      </c>
      <c r="L79" s="133">
        <f t="shared" si="57"/>
        <v>1290.58141007194</v>
      </c>
      <c r="M79" s="133">
        <f t="shared" si="58"/>
        <v>1226.90892418652</v>
      </c>
      <c r="N79" s="133">
        <f t="shared" si="59"/>
        <v>1171.5614591333</v>
      </c>
      <c r="O79" s="133">
        <f t="shared" si="60"/>
        <v>1122.14694076755</v>
      </c>
      <c r="P79" s="133">
        <f t="shared" si="61"/>
        <v>1060.96626269985</v>
      </c>
      <c r="Q79" s="133">
        <f t="shared" si="62"/>
        <v>1006.85735415416</v>
      </c>
      <c r="R79" s="133">
        <f t="shared" si="63"/>
        <v>940.916706767955</v>
      </c>
      <c r="S79" s="133">
        <f t="shared" si="64"/>
        <v>879.972211232409</v>
      </c>
      <c r="T79" s="133">
        <f t="shared" si="65"/>
        <v>806.256669525242</v>
      </c>
      <c r="U79" s="133">
        <f t="shared" si="66"/>
        <v>736.584477868823</v>
      </c>
      <c r="V79" s="133">
        <f t="shared" si="67"/>
        <v>662.541459854015</v>
      </c>
      <c r="X79" s="106" t="s">
        <v>51</v>
      </c>
      <c r="Y79" s="106"/>
      <c r="Z79" s="106"/>
      <c r="AA79" s="160">
        <f ca="1" t="shared" si="69"/>
        <v>1.0421212968977</v>
      </c>
      <c r="AB79" s="160">
        <f ca="1" t="shared" si="70"/>
        <v>1.15375405208939</v>
      </c>
      <c r="AC79" s="160">
        <f ca="1" t="shared" si="71"/>
        <v>1.8106264002835</v>
      </c>
      <c r="AD79" s="160">
        <f ca="1" t="shared" si="72"/>
        <v>2.06831788409433</v>
      </c>
      <c r="AE79" s="160">
        <f ca="1" t="shared" si="73"/>
        <v>1.5757025944234</v>
      </c>
    </row>
    <row r="80" spans="1:31">
      <c r="A80" s="132">
        <v>357.5</v>
      </c>
      <c r="B80" s="133">
        <v>1355.85</v>
      </c>
      <c r="C80" s="133">
        <v>1340.68</v>
      </c>
      <c r="D80" s="133">
        <v>1294.27</v>
      </c>
      <c r="E80" s="133">
        <v>1197.2</v>
      </c>
      <c r="F80" s="133">
        <v>1075.25</v>
      </c>
      <c r="G80" s="133">
        <v>942.31</v>
      </c>
      <c r="H80" s="133">
        <v>793.19</v>
      </c>
      <c r="I80" s="133">
        <v>710.58</v>
      </c>
      <c r="J80" s="133"/>
      <c r="K80" s="132">
        <f t="shared" si="55"/>
        <v>357.5</v>
      </c>
      <c r="L80" s="133">
        <f t="shared" si="57"/>
        <v>1375.14536690647</v>
      </c>
      <c r="M80" s="133">
        <f t="shared" si="58"/>
        <v>1308.22337039584</v>
      </c>
      <c r="N80" s="133">
        <f t="shared" si="59"/>
        <v>1249.8791925418</v>
      </c>
      <c r="O80" s="133">
        <f t="shared" si="60"/>
        <v>1197.72449755688</v>
      </c>
      <c r="P80" s="133">
        <f t="shared" si="61"/>
        <v>1133.25476744359</v>
      </c>
      <c r="Q80" s="133">
        <f t="shared" si="62"/>
        <v>1076.23773299144</v>
      </c>
      <c r="R80" s="133">
        <f t="shared" si="63"/>
        <v>1007.45196295098</v>
      </c>
      <c r="S80" s="133">
        <f t="shared" si="64"/>
        <v>943.887227061325</v>
      </c>
      <c r="T80" s="133">
        <f t="shared" si="65"/>
        <v>867.580956132732</v>
      </c>
      <c r="U80" s="133">
        <f t="shared" si="66"/>
        <v>795.471591753186</v>
      </c>
      <c r="V80" s="133">
        <f t="shared" si="67"/>
        <v>718.418905109489</v>
      </c>
      <c r="X80" s="106" t="s">
        <v>52</v>
      </c>
      <c r="Y80" s="106"/>
      <c r="Z80" s="106"/>
      <c r="AA80" s="160">
        <f ca="1" t="shared" si="69"/>
        <v>1.06118346384493</v>
      </c>
      <c r="AB80" s="160">
        <f ca="1" t="shared" si="70"/>
        <v>1.21413944694113</v>
      </c>
      <c r="AC80" s="160">
        <f ca="1" t="shared" si="71"/>
        <v>2.03863635639542</v>
      </c>
      <c r="AD80" s="160">
        <f ca="1" t="shared" si="72"/>
        <v>2.20688903996547</v>
      </c>
      <c r="AE80" s="160">
        <f ca="1" t="shared" si="73"/>
        <v>1.65511339202167</v>
      </c>
    </row>
    <row r="81" spans="1:31">
      <c r="A81" s="132">
        <v>412.5</v>
      </c>
      <c r="B81" s="133">
        <v>1402.81</v>
      </c>
      <c r="C81" s="133">
        <v>1387.17</v>
      </c>
      <c r="D81" s="133">
        <v>1339.4</v>
      </c>
      <c r="E81" s="133">
        <v>1239.58</v>
      </c>
      <c r="F81" s="133">
        <v>1114.13</v>
      </c>
      <c r="G81" s="133">
        <v>978.16</v>
      </c>
      <c r="H81" s="133">
        <v>827.1</v>
      </c>
      <c r="I81" s="133">
        <v>743.45</v>
      </c>
      <c r="J81" s="133"/>
      <c r="K81" s="132">
        <f t="shared" si="55"/>
        <v>412.5</v>
      </c>
      <c r="L81" s="133">
        <f t="shared" si="57"/>
        <v>1422.70317985611</v>
      </c>
      <c r="M81" s="133">
        <f t="shared" si="58"/>
        <v>1353.76226037081</v>
      </c>
      <c r="N81" s="133">
        <f t="shared" si="59"/>
        <v>1293.75159781109</v>
      </c>
      <c r="O81" s="133">
        <f t="shared" si="60"/>
        <v>1240.11935660995</v>
      </c>
      <c r="P81" s="133">
        <f t="shared" si="61"/>
        <v>1173.79952091676</v>
      </c>
      <c r="Q81" s="133">
        <f t="shared" si="62"/>
        <v>1115.14608121178</v>
      </c>
      <c r="R81" s="133">
        <f t="shared" si="63"/>
        <v>1044.78669401568</v>
      </c>
      <c r="S81" s="133">
        <f t="shared" si="64"/>
        <v>979.773175594466</v>
      </c>
      <c r="T81" s="133">
        <f t="shared" si="65"/>
        <v>902.45875693006</v>
      </c>
      <c r="U81" s="133">
        <f t="shared" si="66"/>
        <v>829.411274478515</v>
      </c>
      <c r="V81" s="133">
        <f t="shared" si="67"/>
        <v>751.387591240876</v>
      </c>
      <c r="X81" s="106" t="s">
        <v>53</v>
      </c>
      <c r="Y81" s="106"/>
      <c r="Z81" s="106"/>
      <c r="AA81" s="160">
        <f ca="1" t="shared" si="69"/>
        <v>0.847913435912473</v>
      </c>
      <c r="AB81" s="160">
        <f ca="1" t="shared" si="70"/>
        <v>1.13096922963291</v>
      </c>
      <c r="AC81" s="160">
        <f ca="1" t="shared" si="71"/>
        <v>2.09013455315655</v>
      </c>
      <c r="AD81" s="160">
        <f ca="1" t="shared" si="72"/>
        <v>2.05425472699282</v>
      </c>
      <c r="AE81" s="160">
        <f ca="1" t="shared" si="73"/>
        <v>1.5248022756937</v>
      </c>
    </row>
    <row r="82" spans="1:31">
      <c r="A82" s="132">
        <v>467.5</v>
      </c>
      <c r="B82" s="133">
        <v>1424.46</v>
      </c>
      <c r="C82" s="133">
        <v>1408.56</v>
      </c>
      <c r="D82" s="133">
        <v>1360.01</v>
      </c>
      <c r="E82" s="133">
        <v>1258.76</v>
      </c>
      <c r="F82" s="133">
        <v>1131.65</v>
      </c>
      <c r="G82" s="133">
        <v>994.57</v>
      </c>
      <c r="H82" s="133">
        <v>843.69</v>
      </c>
      <c r="I82" s="133">
        <v>760.49</v>
      </c>
      <c r="J82" s="133"/>
      <c r="K82" s="132">
        <f t="shared" si="55"/>
        <v>467.5</v>
      </c>
      <c r="L82" s="133">
        <f t="shared" si="57"/>
        <v>1444.68388489209</v>
      </c>
      <c r="M82" s="133">
        <f t="shared" si="58"/>
        <v>1374.60677079763</v>
      </c>
      <c r="N82" s="133">
        <f t="shared" si="59"/>
        <v>1313.70764855112</v>
      </c>
      <c r="O82" s="133">
        <f t="shared" si="60"/>
        <v>1259.30708331754</v>
      </c>
      <c r="P82" s="133">
        <f t="shared" si="61"/>
        <v>1192.10908970689</v>
      </c>
      <c r="Q82" s="133">
        <f t="shared" si="62"/>
        <v>1132.67952636771</v>
      </c>
      <c r="R82" s="133">
        <f t="shared" si="63"/>
        <v>1061.74060539582</v>
      </c>
      <c r="S82" s="133">
        <f t="shared" si="64"/>
        <v>996.196344859083</v>
      </c>
      <c r="T82" s="133">
        <f t="shared" si="65"/>
        <v>918.958960979792</v>
      </c>
      <c r="U82" s="133">
        <f t="shared" si="66"/>
        <v>845.998520411216</v>
      </c>
      <c r="V82" s="133">
        <f t="shared" si="67"/>
        <v>768.384890510949</v>
      </c>
      <c r="X82" s="106" t="s">
        <v>54</v>
      </c>
      <c r="Y82" s="106"/>
      <c r="Z82" s="106"/>
      <c r="AA82" s="160">
        <f ca="1" t="shared" si="69"/>
        <v>1.09064179534807</v>
      </c>
      <c r="AB82" s="160">
        <f ca="1" t="shared" si="70"/>
        <v>1.30488293999012</v>
      </c>
      <c r="AC82" s="160">
        <f ca="1" t="shared" si="71"/>
        <v>2.52193897071628</v>
      </c>
      <c r="AD82" s="160">
        <f ca="1" t="shared" si="72"/>
        <v>2.41739271797907</v>
      </c>
      <c r="AE82" s="160">
        <f ca="1" t="shared" si="73"/>
        <v>1.77627822943144</v>
      </c>
    </row>
    <row r="83" spans="1:31">
      <c r="A83" s="132">
        <v>522.5</v>
      </c>
      <c r="B83" s="133">
        <v>1423.32</v>
      </c>
      <c r="C83" s="133">
        <v>1407.2</v>
      </c>
      <c r="D83" s="133">
        <v>1358.04</v>
      </c>
      <c r="E83" s="133">
        <v>1255.56</v>
      </c>
      <c r="F83" s="133">
        <v>1127.11</v>
      </c>
      <c r="G83" s="133">
        <v>988.99</v>
      </c>
      <c r="H83" s="133">
        <v>838.31</v>
      </c>
      <c r="I83" s="133">
        <v>756.48</v>
      </c>
      <c r="J83" s="133"/>
      <c r="K83" s="132">
        <f t="shared" si="55"/>
        <v>522.5</v>
      </c>
      <c r="L83" s="133">
        <f t="shared" si="57"/>
        <v>1443.82371223022</v>
      </c>
      <c r="M83" s="133">
        <f t="shared" si="58"/>
        <v>1372.82016997758</v>
      </c>
      <c r="N83" s="133">
        <f t="shared" si="59"/>
        <v>1311.17516072611</v>
      </c>
      <c r="O83" s="133">
        <f t="shared" si="60"/>
        <v>1256.11372936674</v>
      </c>
      <c r="P83" s="133">
        <f t="shared" si="61"/>
        <v>1188.20645246518</v>
      </c>
      <c r="Q83" s="133">
        <f t="shared" si="62"/>
        <v>1128.15037968635</v>
      </c>
      <c r="R83" s="133">
        <f t="shared" si="63"/>
        <v>1056.67021605829</v>
      </c>
      <c r="S83" s="133">
        <f t="shared" si="64"/>
        <v>990.628683629534</v>
      </c>
      <c r="T83" s="133">
        <f t="shared" si="65"/>
        <v>913.479187701717</v>
      </c>
      <c r="U83" s="133">
        <f t="shared" si="66"/>
        <v>840.61546033644</v>
      </c>
      <c r="V83" s="133">
        <f t="shared" si="67"/>
        <v>764.244890510949</v>
      </c>
      <c r="X83" s="106" t="s">
        <v>55</v>
      </c>
      <c r="Y83" s="106"/>
      <c r="Z83" s="106"/>
      <c r="AA83" s="160">
        <f ca="1" t="shared" si="69"/>
        <v>0.923657839393561</v>
      </c>
      <c r="AB83" s="160">
        <f ca="1" t="shared" si="70"/>
        <v>1.08585587204323</v>
      </c>
      <c r="AC83" s="160">
        <f ca="1" t="shared" si="71"/>
        <v>1.87385842825222</v>
      </c>
      <c r="AD83" s="160">
        <f ca="1" t="shared" si="72"/>
        <v>2.07261708108603</v>
      </c>
      <c r="AE83" s="160">
        <f ca="1" t="shared" si="73"/>
        <v>1.51107532737163</v>
      </c>
    </row>
    <row r="84" spans="1:31">
      <c r="A84" s="132">
        <v>577.5</v>
      </c>
      <c r="B84" s="133">
        <v>1404.96</v>
      </c>
      <c r="C84" s="133">
        <v>1388.67</v>
      </c>
      <c r="D84" s="133">
        <v>1339.01</v>
      </c>
      <c r="E84" s="133">
        <v>1235.21</v>
      </c>
      <c r="F84" s="133">
        <v>1104.43</v>
      </c>
      <c r="G84" s="133">
        <v>961.6</v>
      </c>
      <c r="H84" s="133">
        <v>799.11</v>
      </c>
      <c r="I84" s="133">
        <v>707.14</v>
      </c>
      <c r="J84" s="133"/>
      <c r="K84" s="132">
        <f t="shared" si="55"/>
        <v>577.5</v>
      </c>
      <c r="L84" s="133">
        <f t="shared" si="57"/>
        <v>1425.67994244604</v>
      </c>
      <c r="M84" s="133">
        <f t="shared" si="58"/>
        <v>1353.94049717426</v>
      </c>
      <c r="N84" s="133">
        <f t="shared" si="59"/>
        <v>1291.54151525537</v>
      </c>
      <c r="O84" s="133">
        <f t="shared" si="60"/>
        <v>1235.77086171221</v>
      </c>
      <c r="P84" s="133">
        <f t="shared" si="61"/>
        <v>1166.63470263446</v>
      </c>
      <c r="Q84" s="133">
        <f t="shared" si="62"/>
        <v>1105.48925150161</v>
      </c>
      <c r="R84" s="133">
        <f t="shared" si="63"/>
        <v>1031.58816434699</v>
      </c>
      <c r="S84" s="133">
        <f t="shared" si="64"/>
        <v>963.294564022635</v>
      </c>
      <c r="T84" s="133">
        <f t="shared" si="65"/>
        <v>880.170799772047</v>
      </c>
      <c r="U84" s="133">
        <f t="shared" si="66"/>
        <v>801.596157751979</v>
      </c>
      <c r="V84" s="133">
        <f t="shared" si="67"/>
        <v>715.867080291971</v>
      </c>
      <c r="X84" s="106" t="s">
        <v>56</v>
      </c>
      <c r="Y84" s="106"/>
      <c r="Z84" s="106"/>
      <c r="AA84" s="160">
        <f ca="1" t="shared" si="69"/>
        <v>0.949720752492597</v>
      </c>
      <c r="AB84" s="160">
        <f ca="1" t="shared" si="70"/>
        <v>1.20113297818405</v>
      </c>
      <c r="AC84" s="160">
        <f ca="1" t="shared" si="71"/>
        <v>2.54058320516703</v>
      </c>
      <c r="AD84" s="160">
        <f ca="1" t="shared" si="72"/>
        <v>2.35243777738698</v>
      </c>
      <c r="AE84" s="160">
        <f ca="1" t="shared" si="73"/>
        <v>1.6641431012989</v>
      </c>
    </row>
    <row r="85" spans="1:31">
      <c r="A85" s="132">
        <v>632.5</v>
      </c>
      <c r="B85" s="133">
        <v>1376.96</v>
      </c>
      <c r="C85" s="133">
        <v>1360.86</v>
      </c>
      <c r="D85" s="133">
        <v>1311.76</v>
      </c>
      <c r="E85" s="133">
        <v>1209.08</v>
      </c>
      <c r="F85" s="133">
        <v>1079.98</v>
      </c>
      <c r="G85" s="133">
        <v>939.21</v>
      </c>
      <c r="H85" s="133">
        <v>780.23</v>
      </c>
      <c r="I85" s="133">
        <v>691.71</v>
      </c>
      <c r="J85" s="133"/>
      <c r="K85" s="132">
        <f t="shared" si="55"/>
        <v>632.5</v>
      </c>
      <c r="L85" s="133">
        <f t="shared" si="57"/>
        <v>1397.4382733813</v>
      </c>
      <c r="M85" s="133">
        <f t="shared" si="58"/>
        <v>1326.52213071398</v>
      </c>
      <c r="N85" s="133">
        <f t="shared" si="59"/>
        <v>1264.80369929115</v>
      </c>
      <c r="O85" s="133">
        <f t="shared" si="60"/>
        <v>1209.63481002514</v>
      </c>
      <c r="P85" s="133">
        <f t="shared" si="61"/>
        <v>1141.38562096734</v>
      </c>
      <c r="Q85" s="133">
        <f t="shared" si="62"/>
        <v>1081.02564435585</v>
      </c>
      <c r="R85" s="133">
        <f t="shared" si="63"/>
        <v>1008.18874322709</v>
      </c>
      <c r="S85" s="133">
        <f t="shared" si="64"/>
        <v>940.88012376578</v>
      </c>
      <c r="T85" s="133">
        <f t="shared" si="65"/>
        <v>859.539778741831</v>
      </c>
      <c r="U85" s="133">
        <f t="shared" si="66"/>
        <v>782.662453439655</v>
      </c>
      <c r="V85" s="133">
        <f t="shared" si="67"/>
        <v>700.109708029197</v>
      </c>
      <c r="X85" s="106" t="s">
        <v>57</v>
      </c>
      <c r="Y85" s="106"/>
      <c r="Z85" s="106"/>
      <c r="AA85" s="160">
        <f ca="1" t="shared" si="69"/>
        <v>0.961660848037803</v>
      </c>
      <c r="AB85" s="160">
        <f ca="1" t="shared" si="70"/>
        <v>1.1965974741801</v>
      </c>
      <c r="AC85" s="160">
        <f ca="1" t="shared" si="71"/>
        <v>2.39590897440638</v>
      </c>
      <c r="AD85" s="160">
        <f ca="1" t="shared" si="72"/>
        <v>2.33013084462301</v>
      </c>
      <c r="AE85" s="160">
        <f ca="1" t="shared" si="73"/>
        <v>1.65944501209013</v>
      </c>
    </row>
    <row r="86" ht="13.5" customHeight="1" spans="1:31">
      <c r="A86" s="132">
        <v>687.5</v>
      </c>
      <c r="B86" s="133">
        <v>1342.72</v>
      </c>
      <c r="C86" s="133">
        <v>1327.03</v>
      </c>
      <c r="D86" s="133">
        <v>1279.05</v>
      </c>
      <c r="E86" s="133">
        <v>1178.93</v>
      </c>
      <c r="F86" s="133">
        <v>1053.41</v>
      </c>
      <c r="G86" s="133">
        <v>916.58</v>
      </c>
      <c r="H86" s="133">
        <v>762.36</v>
      </c>
      <c r="I86" s="133">
        <v>676.86</v>
      </c>
      <c r="J86" s="133"/>
      <c r="K86" s="132">
        <f t="shared" si="55"/>
        <v>687.5</v>
      </c>
      <c r="L86" s="133">
        <f t="shared" si="57"/>
        <v>1362.67677697842</v>
      </c>
      <c r="M86" s="133">
        <f t="shared" si="58"/>
        <v>1293.47539779342</v>
      </c>
      <c r="N86" s="133">
        <f t="shared" si="59"/>
        <v>1233.26440565865</v>
      </c>
      <c r="O86" s="133">
        <f t="shared" si="60"/>
        <v>1179.47097759756</v>
      </c>
      <c r="P86" s="133">
        <f t="shared" si="61"/>
        <v>1113.11281598622</v>
      </c>
      <c r="Q86" s="133">
        <f t="shared" si="62"/>
        <v>1054.42664817619</v>
      </c>
      <c r="R86" s="133">
        <f t="shared" si="63"/>
        <v>983.628102832726</v>
      </c>
      <c r="S86" s="133">
        <f t="shared" si="64"/>
        <v>918.203378808493</v>
      </c>
      <c r="T86" s="133">
        <f t="shared" si="65"/>
        <v>839.295174723645</v>
      </c>
      <c r="U86" s="133">
        <f t="shared" si="66"/>
        <v>764.71962365998</v>
      </c>
      <c r="V86" s="133">
        <f t="shared" si="67"/>
        <v>684.973138686132</v>
      </c>
      <c r="X86" s="106" t="s">
        <v>58</v>
      </c>
      <c r="Y86" s="106"/>
      <c r="Z86" s="106"/>
      <c r="AA86" s="160">
        <f ca="1" t="shared" si="69"/>
        <v>0.906601845812545</v>
      </c>
      <c r="AB86" s="160">
        <f ca="1" t="shared" si="70"/>
        <v>1.15041355092469</v>
      </c>
      <c r="AC86" s="160">
        <f ca="1" t="shared" si="71"/>
        <v>2.45663430544734</v>
      </c>
      <c r="AD86" s="160">
        <f ca="1" t="shared" si="72"/>
        <v>2.25511810799325</v>
      </c>
      <c r="AE86" s="160">
        <f ca="1" t="shared" si="73"/>
        <v>1.59334424196809</v>
      </c>
    </row>
    <row r="87" ht="13.5" customHeight="1" spans="1:31">
      <c r="A87" s="132">
        <v>742.5</v>
      </c>
      <c r="B87" s="133">
        <v>1303.52</v>
      </c>
      <c r="C87" s="133">
        <v>1288.24</v>
      </c>
      <c r="D87" s="133">
        <v>1241.46</v>
      </c>
      <c r="E87" s="133">
        <v>1144.25</v>
      </c>
      <c r="F87" s="133">
        <v>1022.69</v>
      </c>
      <c r="G87" s="133">
        <v>890.04</v>
      </c>
      <c r="H87" s="133">
        <v>740.53</v>
      </c>
      <c r="I87" s="133">
        <v>657.88</v>
      </c>
      <c r="J87" s="133"/>
      <c r="K87" s="132">
        <f t="shared" si="55"/>
        <v>742.5</v>
      </c>
      <c r="L87" s="133">
        <f t="shared" si="57"/>
        <v>1322.95528057554</v>
      </c>
      <c r="M87" s="133">
        <f t="shared" si="58"/>
        <v>1255.52461252139</v>
      </c>
      <c r="N87" s="133">
        <f t="shared" si="59"/>
        <v>1197.00516953733</v>
      </c>
      <c r="O87" s="133">
        <f t="shared" si="60"/>
        <v>1144.77525401776</v>
      </c>
      <c r="P87" s="133">
        <f t="shared" si="61"/>
        <v>1080.50926634229</v>
      </c>
      <c r="Q87" s="133">
        <f t="shared" si="62"/>
        <v>1023.67457418975</v>
      </c>
      <c r="R87" s="133">
        <f t="shared" si="63"/>
        <v>955.039859977791</v>
      </c>
      <c r="S87" s="133">
        <f t="shared" si="64"/>
        <v>891.613786442642</v>
      </c>
      <c r="T87" s="133">
        <f t="shared" si="65"/>
        <v>815.115514024979</v>
      </c>
      <c r="U87" s="133">
        <f t="shared" si="66"/>
        <v>742.817558898999</v>
      </c>
      <c r="V87" s="133">
        <f t="shared" si="67"/>
        <v>665.722700729927</v>
      </c>
      <c r="X87" s="106" t="s">
        <v>59</v>
      </c>
      <c r="Y87" s="106"/>
      <c r="Z87" s="106"/>
      <c r="AA87" s="160">
        <f ca="1" t="shared" si="69"/>
        <v>0.971825801880929</v>
      </c>
      <c r="AB87" s="160">
        <f ca="1" t="shared" si="70"/>
        <v>1.22489245108302</v>
      </c>
      <c r="AC87" s="160">
        <f ca="1" t="shared" si="71"/>
        <v>2.5437278079946</v>
      </c>
      <c r="AD87" s="160">
        <f ca="1" t="shared" si="72"/>
        <v>2.39250997080367</v>
      </c>
      <c r="AE87" s="160">
        <f ca="1" t="shared" si="73"/>
        <v>1.6963132089634</v>
      </c>
    </row>
    <row r="88" spans="1:31">
      <c r="A88" s="132">
        <v>797.5</v>
      </c>
      <c r="B88" s="133">
        <v>1260.74</v>
      </c>
      <c r="C88" s="133">
        <v>1245.85</v>
      </c>
      <c r="D88" s="133">
        <v>1200.29</v>
      </c>
      <c r="E88" s="133">
        <v>1106.11</v>
      </c>
      <c r="F88" s="133">
        <v>988.46</v>
      </c>
      <c r="G88" s="133">
        <v>859.73</v>
      </c>
      <c r="H88" s="133">
        <v>714.68</v>
      </c>
      <c r="I88" s="133">
        <v>634.79</v>
      </c>
      <c r="J88" s="133"/>
      <c r="K88" s="132">
        <f t="shared" si="55"/>
        <v>797.5</v>
      </c>
      <c r="L88" s="133">
        <f t="shared" si="57"/>
        <v>1279.67922302158</v>
      </c>
      <c r="M88" s="133">
        <f t="shared" si="58"/>
        <v>1213.98781416149</v>
      </c>
      <c r="N88" s="133">
        <f t="shared" si="59"/>
        <v>1157.22081027698</v>
      </c>
      <c r="O88" s="133">
        <f t="shared" si="60"/>
        <v>1106.61888204293</v>
      </c>
      <c r="P88" s="133">
        <f t="shared" si="61"/>
        <v>1044.41949889084</v>
      </c>
      <c r="Q88" s="133">
        <f t="shared" si="62"/>
        <v>989.412905177887</v>
      </c>
      <c r="R88" s="133">
        <f t="shared" si="63"/>
        <v>922.809019788473</v>
      </c>
      <c r="S88" s="133">
        <f t="shared" si="64"/>
        <v>861.257278769403</v>
      </c>
      <c r="T88" s="133">
        <f t="shared" si="65"/>
        <v>787.040569923906</v>
      </c>
      <c r="U88" s="133">
        <f t="shared" si="66"/>
        <v>716.899319231488</v>
      </c>
      <c r="V88" s="133">
        <f t="shared" si="67"/>
        <v>642.370802919708</v>
      </c>
      <c r="X88" s="106" t="s">
        <v>60</v>
      </c>
      <c r="Y88" s="106"/>
      <c r="Z88" s="106"/>
      <c r="AA88" s="160">
        <f t="shared" si="69"/>
        <v>10.1351354978965</v>
      </c>
      <c r="AB88" s="160">
        <f t="shared" si="70"/>
        <v>8.71674076189648</v>
      </c>
      <c r="AC88" s="160">
        <f t="shared" si="71"/>
        <v>2.90496687269159</v>
      </c>
      <c r="AD88" s="160">
        <f t="shared" si="72"/>
        <v>3.0095403631447</v>
      </c>
      <c r="AE88" s="160">
        <f t="shared" si="73"/>
        <v>1.60558410807347</v>
      </c>
    </row>
    <row r="89" spans="1:31">
      <c r="A89" s="132">
        <v>852.5</v>
      </c>
      <c r="B89" s="133">
        <v>1215.19</v>
      </c>
      <c r="C89" s="133">
        <v>1200.65</v>
      </c>
      <c r="D89" s="133">
        <v>1156.47</v>
      </c>
      <c r="E89" s="133">
        <v>1065.41</v>
      </c>
      <c r="F89" s="133">
        <v>951.49</v>
      </c>
      <c r="G89" s="133">
        <v>826.61</v>
      </c>
      <c r="H89" s="133">
        <v>686.02</v>
      </c>
      <c r="I89" s="133">
        <v>608.79</v>
      </c>
      <c r="J89" s="133"/>
      <c r="K89" s="132">
        <f t="shared" si="55"/>
        <v>852.5</v>
      </c>
      <c r="L89" s="133">
        <f t="shared" si="57"/>
        <v>1233.68404316547</v>
      </c>
      <c r="M89" s="133">
        <f t="shared" si="58"/>
        <v>1169.75291109865</v>
      </c>
      <c r="N89" s="133">
        <f t="shared" si="59"/>
        <v>1114.82760866237</v>
      </c>
      <c r="O89" s="133">
        <f t="shared" si="60"/>
        <v>1065.90202377181</v>
      </c>
      <c r="P89" s="133">
        <f t="shared" si="61"/>
        <v>1005.6753473323</v>
      </c>
      <c r="Q89" s="133">
        <f t="shared" si="62"/>
        <v>952.4126940745</v>
      </c>
      <c r="R89" s="133">
        <f t="shared" si="63"/>
        <v>887.802480316822</v>
      </c>
      <c r="S89" s="133">
        <f t="shared" si="64"/>
        <v>828.091601590329</v>
      </c>
      <c r="T89" s="133">
        <f t="shared" si="65"/>
        <v>756.155625822833</v>
      </c>
      <c r="U89" s="133">
        <f t="shared" si="66"/>
        <v>688.171079563977</v>
      </c>
      <c r="V89" s="133">
        <f t="shared" si="67"/>
        <v>616.118394160584</v>
      </c>
      <c r="X89" s="106" t="s">
        <v>61</v>
      </c>
      <c r="Y89" s="106"/>
      <c r="Z89" s="106"/>
      <c r="AA89" s="160">
        <f t="shared" si="69"/>
        <v>10.1034524147291</v>
      </c>
      <c r="AB89" s="160">
        <f t="shared" si="70"/>
        <v>8.92256012153313</v>
      </c>
      <c r="AC89" s="160">
        <f t="shared" si="71"/>
        <v>3.01608318023051</v>
      </c>
      <c r="AD89" s="160">
        <f t="shared" si="72"/>
        <v>3.20018185122547</v>
      </c>
      <c r="AE89" s="160">
        <f t="shared" si="73"/>
        <v>1.73340943433164</v>
      </c>
    </row>
    <row r="90" spans="1:31">
      <c r="A90" s="132">
        <v>907.5</v>
      </c>
      <c r="B90" s="133">
        <v>1166.36</v>
      </c>
      <c r="C90" s="133">
        <v>1152.21</v>
      </c>
      <c r="D90" s="133">
        <v>1109.5</v>
      </c>
      <c r="E90" s="133">
        <v>1021.75</v>
      </c>
      <c r="F90" s="133">
        <v>911.78</v>
      </c>
      <c r="G90" s="133">
        <v>791.1</v>
      </c>
      <c r="H90" s="133">
        <v>655.37</v>
      </c>
      <c r="I90" s="133">
        <v>581.01</v>
      </c>
      <c r="J90" s="133"/>
      <c r="K90" s="132">
        <f t="shared" si="55"/>
        <v>907.5</v>
      </c>
      <c r="L90" s="133">
        <f t="shared" si="57"/>
        <v>1184.35798561151</v>
      </c>
      <c r="M90" s="133">
        <f t="shared" si="58"/>
        <v>1122.34094914041</v>
      </c>
      <c r="N90" s="133">
        <f t="shared" si="59"/>
        <v>1069.37129541097</v>
      </c>
      <c r="O90" s="133">
        <f t="shared" si="60"/>
        <v>1022.2241388752</v>
      </c>
      <c r="P90" s="133">
        <f t="shared" si="61"/>
        <v>964.086554126869</v>
      </c>
      <c r="Q90" s="133">
        <f t="shared" si="62"/>
        <v>912.670701082977</v>
      </c>
      <c r="R90" s="133">
        <f t="shared" si="63"/>
        <v>850.23443725684</v>
      </c>
      <c r="S90" s="133">
        <f t="shared" si="64"/>
        <v>792.53177194043</v>
      </c>
      <c r="T90" s="133">
        <f t="shared" si="65"/>
        <v>723.08113516561</v>
      </c>
      <c r="U90" s="133">
        <f t="shared" si="66"/>
        <v>657.446719746914</v>
      </c>
      <c r="V90" s="133">
        <f t="shared" si="67"/>
        <v>588.066058394161</v>
      </c>
      <c r="X90" s="106" t="s">
        <v>62</v>
      </c>
      <c r="Y90" s="106"/>
      <c r="Z90" s="106"/>
      <c r="AA90" s="160">
        <f t="shared" si="69"/>
        <v>8.03826000914912</v>
      </c>
      <c r="AB90" s="160">
        <f t="shared" si="70"/>
        <v>18.3801365585217</v>
      </c>
      <c r="AC90" s="160">
        <f t="shared" si="71"/>
        <v>13.1560639682611</v>
      </c>
      <c r="AD90" s="160">
        <f t="shared" si="72"/>
        <v>22.4927322087384</v>
      </c>
      <c r="AE90" s="160">
        <f t="shared" si="73"/>
        <v>12.2872605842115</v>
      </c>
    </row>
    <row r="91" spans="1:31">
      <c r="A91" s="132">
        <v>962.5</v>
      </c>
      <c r="B91" s="133">
        <v>1107.94</v>
      </c>
      <c r="C91" s="133">
        <v>1094.23</v>
      </c>
      <c r="D91" s="133">
        <v>1053.2</v>
      </c>
      <c r="E91" s="133">
        <v>969.58</v>
      </c>
      <c r="F91" s="133">
        <v>865.18</v>
      </c>
      <c r="G91" s="133">
        <v>750.85</v>
      </c>
      <c r="H91" s="133">
        <v>622.41</v>
      </c>
      <c r="I91" s="133">
        <v>552.21</v>
      </c>
      <c r="J91" s="133"/>
      <c r="K91" s="132">
        <f t="shared" si="55"/>
        <v>962.5</v>
      </c>
      <c r="L91" s="133">
        <f t="shared" si="57"/>
        <v>1125.37833093525</v>
      </c>
      <c r="M91" s="133">
        <f t="shared" si="58"/>
        <v>1065.53584975957</v>
      </c>
      <c r="N91" s="133">
        <f t="shared" si="59"/>
        <v>1014.95997404291</v>
      </c>
      <c r="O91" s="133">
        <f t="shared" si="60"/>
        <v>970.031823279141</v>
      </c>
      <c r="P91" s="133">
        <f t="shared" si="61"/>
        <v>914.837217885288</v>
      </c>
      <c r="Q91" s="133">
        <f t="shared" si="62"/>
        <v>866.025586915184</v>
      </c>
      <c r="R91" s="133">
        <f t="shared" si="63"/>
        <v>806.872872154247</v>
      </c>
      <c r="S91" s="133">
        <f t="shared" si="64"/>
        <v>752.206434255463</v>
      </c>
      <c r="T91" s="133">
        <f t="shared" si="65"/>
        <v>686.484399179776</v>
      </c>
      <c r="U91" s="133">
        <f t="shared" si="66"/>
        <v>624.375180021319</v>
      </c>
      <c r="V91" s="133">
        <f t="shared" si="67"/>
        <v>558.871313868613</v>
      </c>
      <c r="X91" s="106" t="s">
        <v>63</v>
      </c>
      <c r="Y91" s="106"/>
      <c r="Z91" s="106"/>
      <c r="AA91" s="160">
        <f t="shared" si="69"/>
        <v>8.11924867061073</v>
      </c>
      <c r="AB91" s="160">
        <f t="shared" si="70"/>
        <v>17.7262327343678</v>
      </c>
      <c r="AC91" s="160">
        <f t="shared" si="71"/>
        <v>12.6136809194546</v>
      </c>
      <c r="AD91" s="160">
        <f t="shared" si="72"/>
        <v>21.1794925832421</v>
      </c>
      <c r="AE91" s="160">
        <f t="shared" si="73"/>
        <v>11.5839009105022</v>
      </c>
    </row>
    <row r="92" spans="1:31">
      <c r="A92" s="132">
        <v>1017.5</v>
      </c>
      <c r="B92" s="133">
        <v>1016.6</v>
      </c>
      <c r="C92" s="133">
        <v>1003.27</v>
      </c>
      <c r="D92" s="133">
        <v>964.8</v>
      </c>
      <c r="E92" s="133">
        <v>888.83</v>
      </c>
      <c r="F92" s="133">
        <v>795.57</v>
      </c>
      <c r="G92" s="133">
        <v>694.72</v>
      </c>
      <c r="H92" s="133">
        <v>582.23</v>
      </c>
      <c r="I92" s="133">
        <v>520.85</v>
      </c>
      <c r="J92" s="133"/>
      <c r="K92" s="132">
        <f t="shared" si="55"/>
        <v>1017.5</v>
      </c>
      <c r="L92" s="133">
        <f t="shared" si="57"/>
        <v>1033.55499280576</v>
      </c>
      <c r="M92" s="133">
        <f t="shared" si="58"/>
        <v>976.366174512565</v>
      </c>
      <c r="N92" s="133">
        <f t="shared" si="59"/>
        <v>930.058373930158</v>
      </c>
      <c r="O92" s="133">
        <f t="shared" si="60"/>
        <v>889.240488095149</v>
      </c>
      <c r="P92" s="133">
        <f t="shared" si="61"/>
        <v>839.928545402126</v>
      </c>
      <c r="Q92" s="133">
        <f t="shared" si="62"/>
        <v>796.325358579599</v>
      </c>
      <c r="R92" s="133">
        <f t="shared" si="63"/>
        <v>744.137533952206</v>
      </c>
      <c r="S92" s="133">
        <f t="shared" si="64"/>
        <v>695.916504807692</v>
      </c>
      <c r="T92" s="133">
        <f t="shared" si="65"/>
        <v>638.347480253293</v>
      </c>
      <c r="U92" s="133">
        <f t="shared" si="66"/>
        <v>583.951139057912</v>
      </c>
      <c r="V92" s="133">
        <f t="shared" si="67"/>
        <v>526.674379562044</v>
      </c>
      <c r="X92" s="106" t="s">
        <v>64</v>
      </c>
      <c r="Y92" s="106"/>
      <c r="Z92" s="106"/>
      <c r="AA92" s="160">
        <f t="shared" si="69"/>
        <v>0.80107944108421</v>
      </c>
      <c r="AB92" s="160">
        <f t="shared" si="70"/>
        <v>1.80962919379608</v>
      </c>
      <c r="AC92" s="160">
        <f t="shared" si="71"/>
        <v>44.9662777871664</v>
      </c>
      <c r="AD92" s="160">
        <f t="shared" si="72"/>
        <v>64.9564086110452</v>
      </c>
      <c r="AE92" s="160">
        <f t="shared" si="73"/>
        <v>49.0091825647301</v>
      </c>
    </row>
    <row r="93" ht="13.5" spans="1:22">
      <c r="A93" s="132">
        <v>1072.5</v>
      </c>
      <c r="B93" s="133">
        <v>827.28</v>
      </c>
      <c r="C93" s="133">
        <v>810.76</v>
      </c>
      <c r="D93" s="133">
        <v>778.16</v>
      </c>
      <c r="E93" s="133">
        <v>724.23</v>
      </c>
      <c r="F93" s="133">
        <v>661.48</v>
      </c>
      <c r="G93" s="133">
        <v>595.21</v>
      </c>
      <c r="H93" s="133">
        <v>523.97</v>
      </c>
      <c r="I93" s="133">
        <v>485.73</v>
      </c>
      <c r="J93" s="133"/>
      <c r="K93" s="132">
        <f t="shared" si="55"/>
        <v>1072.5</v>
      </c>
      <c r="L93" s="133">
        <f t="shared" si="57"/>
        <v>848.292489208633</v>
      </c>
      <c r="M93" s="133">
        <f t="shared" si="58"/>
        <v>787.96133322354</v>
      </c>
      <c r="N93" s="133">
        <f t="shared" si="59"/>
        <v>753.497424062833</v>
      </c>
      <c r="O93" s="133">
        <f t="shared" si="60"/>
        <v>724.521399538915</v>
      </c>
      <c r="P93" s="133">
        <f t="shared" si="61"/>
        <v>691.326651554615</v>
      </c>
      <c r="Q93" s="133">
        <f t="shared" si="62"/>
        <v>661.988243093178</v>
      </c>
      <c r="R93" s="133">
        <f t="shared" si="63"/>
        <v>627.682979425015</v>
      </c>
      <c r="S93" s="133">
        <f t="shared" si="64"/>
        <v>595.996240690191</v>
      </c>
      <c r="T93" s="133">
        <f t="shared" si="65"/>
        <v>559.509241650321</v>
      </c>
      <c r="U93" s="133">
        <f t="shared" si="66"/>
        <v>525.059998635307</v>
      </c>
      <c r="V93" s="133">
        <f t="shared" si="67"/>
        <v>489.358613138686</v>
      </c>
    </row>
    <row r="94" ht="13.5" spans="1:22">
      <c r="A94" s="129"/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</row>
    <row r="95" ht="13.5" spans="1:22">
      <c r="A95" s="129" t="s">
        <v>139</v>
      </c>
      <c r="B95" s="129"/>
      <c r="C95" s="129"/>
      <c r="D95" s="129"/>
      <c r="E95" s="129"/>
      <c r="F95" s="129"/>
      <c r="G95" s="129"/>
      <c r="H95" s="129"/>
      <c r="I95" s="129"/>
      <c r="J95" s="129"/>
      <c r="K95" s="129" t="s">
        <v>139</v>
      </c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</row>
    <row r="96" ht="13.5" spans="1:24">
      <c r="A96" s="132" t="s">
        <v>128</v>
      </c>
      <c r="B96" s="133">
        <v>17.68</v>
      </c>
      <c r="C96" s="133">
        <v>31.58</v>
      </c>
      <c r="D96" s="133">
        <v>54.25</v>
      </c>
      <c r="E96" s="133">
        <v>82.31</v>
      </c>
      <c r="F96" s="133">
        <v>106.26</v>
      </c>
      <c r="G96" s="133">
        <v>125.73</v>
      </c>
      <c r="H96" s="133">
        <v>142.56</v>
      </c>
      <c r="I96" s="133">
        <v>150.78</v>
      </c>
      <c r="J96" s="133"/>
      <c r="K96" s="132" t="str">
        <f t="shared" ref="K96:K116" si="74">A96</f>
        <v>R/Z[cm]</v>
      </c>
      <c r="L96" s="141">
        <v>0</v>
      </c>
      <c r="M96" s="141">
        <f t="shared" ref="M96:V96" si="75">SQRT(L96*L96+150*150/10)</f>
        <v>47.4341649025257</v>
      </c>
      <c r="N96" s="141">
        <f t="shared" si="75"/>
        <v>67.0820393249937</v>
      </c>
      <c r="O96" s="141">
        <f t="shared" si="75"/>
        <v>82.1583836257749</v>
      </c>
      <c r="P96" s="141">
        <f t="shared" si="75"/>
        <v>94.8683298050514</v>
      </c>
      <c r="Q96" s="141">
        <f t="shared" si="75"/>
        <v>106.066017177982</v>
      </c>
      <c r="R96" s="141">
        <f t="shared" si="75"/>
        <v>116.189500386223</v>
      </c>
      <c r="S96" s="141">
        <f t="shared" si="75"/>
        <v>125.499003980111</v>
      </c>
      <c r="T96" s="141">
        <f t="shared" si="75"/>
        <v>134.164078649987</v>
      </c>
      <c r="U96" s="141">
        <f t="shared" si="75"/>
        <v>142.302494707577</v>
      </c>
      <c r="V96" s="141">
        <f t="shared" si="75"/>
        <v>150</v>
      </c>
      <c r="X96" s="373" t="s">
        <v>143</v>
      </c>
    </row>
    <row r="97" spans="1:25">
      <c r="A97" s="132">
        <v>27.5</v>
      </c>
      <c r="B97" s="133">
        <v>694.98</v>
      </c>
      <c r="C97" s="133">
        <v>688.63</v>
      </c>
      <c r="D97" s="133">
        <v>669.65</v>
      </c>
      <c r="E97" s="133">
        <v>630.98</v>
      </c>
      <c r="F97" s="133">
        <v>583</v>
      </c>
      <c r="G97" s="133">
        <v>531.17</v>
      </c>
      <c r="H97" s="133">
        <v>474.19</v>
      </c>
      <c r="I97" s="133">
        <v>443.37</v>
      </c>
      <c r="J97" s="133"/>
      <c r="K97" s="132">
        <f t="shared" si="74"/>
        <v>27.5</v>
      </c>
      <c r="L97" s="133">
        <f t="shared" ref="L97:L116" si="76">TREND(B97:C97,B$4:C$4,L$4)</f>
        <v>703.056834532374</v>
      </c>
      <c r="M97" s="133">
        <f t="shared" ref="M97:M116" si="77">TREND(C97:D97,C$4:D$4,M$4)</f>
        <v>675.356420385975</v>
      </c>
      <c r="N97" s="133">
        <f t="shared" ref="N97:N116" si="78">TREND(D97:E97,D$4:E$4,N$4)</f>
        <v>651.965931550338</v>
      </c>
      <c r="O97" s="133">
        <f t="shared" ref="O97:O116" si="79">TREND(D97:E97,D$4:E$4,O$4)</f>
        <v>631.188945302612</v>
      </c>
      <c r="P97" s="133">
        <f t="shared" ref="P97:P116" si="80">TREND(E97:F97,E$4:F$4,P$4)</f>
        <v>605.821391897855</v>
      </c>
      <c r="Q97" s="133">
        <f t="shared" ref="Q97:Q116" si="81">TREND(E97:F97,E$4:F$4,Q$4)</f>
        <v>583.388613603358</v>
      </c>
      <c r="R97" s="133">
        <f t="shared" ref="R97:R116" si="82">TREND(F97:G97,F$4:G$4,R$4)</f>
        <v>556.567231380693</v>
      </c>
      <c r="S97" s="133">
        <f t="shared" ref="S97:S116" si="83">TREND(F97:G97,F$4:G$4,S$4)</f>
        <v>531.784921608158</v>
      </c>
      <c r="T97" s="133">
        <f t="shared" ref="T97:T116" si="84">TREND(G97:H97,G$4:H$4,T$4)</f>
        <v>502.615406923572</v>
      </c>
      <c r="U97" s="133">
        <f t="shared" ref="U97:U116" si="85">TREND(G97:H97,G$4:H$4,U$4)</f>
        <v>475.061815303759</v>
      </c>
      <c r="V97" s="133">
        <f t="shared" ref="V97:V116" si="86">TREND(H97:I97,H$4:I$4,V$4)</f>
        <v>446.294525547445</v>
      </c>
      <c r="X97" s="91" t="s">
        <v>144</v>
      </c>
      <c r="Y97" s="91" t="s">
        <v>145</v>
      </c>
    </row>
    <row r="98" spans="1:27">
      <c r="A98" s="132">
        <v>82.5</v>
      </c>
      <c r="B98" s="133">
        <v>955.22</v>
      </c>
      <c r="C98" s="133">
        <v>944.7</v>
      </c>
      <c r="D98" s="133">
        <v>913.53</v>
      </c>
      <c r="E98" s="133">
        <v>850.33</v>
      </c>
      <c r="F98" s="133">
        <v>772.2</v>
      </c>
      <c r="G98" s="133">
        <v>688.12</v>
      </c>
      <c r="H98" s="133">
        <v>595.48</v>
      </c>
      <c r="I98" s="133">
        <v>544.95</v>
      </c>
      <c r="J98" s="133"/>
      <c r="K98" s="132">
        <f t="shared" si="74"/>
        <v>82.5</v>
      </c>
      <c r="L98" s="133">
        <f t="shared" si="76"/>
        <v>968.600834532374</v>
      </c>
      <c r="M98" s="133">
        <f t="shared" si="77"/>
        <v>922.901397441036</v>
      </c>
      <c r="N98" s="133">
        <f t="shared" si="78"/>
        <v>884.628186552402</v>
      </c>
      <c r="O98" s="133">
        <f t="shared" si="79"/>
        <v>850.671488055988</v>
      </c>
      <c r="P98" s="133">
        <f t="shared" si="80"/>
        <v>809.362053959555</v>
      </c>
      <c r="Q98" s="133">
        <f t="shared" si="81"/>
        <v>772.832813272829</v>
      </c>
      <c r="R98" s="133">
        <f t="shared" si="82"/>
        <v>729.320062019847</v>
      </c>
      <c r="S98" s="133">
        <f t="shared" si="83"/>
        <v>689.117542134167</v>
      </c>
      <c r="T98" s="133">
        <f t="shared" si="84"/>
        <v>641.694982404348</v>
      </c>
      <c r="U98" s="133">
        <f t="shared" si="85"/>
        <v>596.897426636367</v>
      </c>
      <c r="V98" s="133">
        <f t="shared" si="86"/>
        <v>549.744817518248</v>
      </c>
      <c r="X98" s="91">
        <v>0.005</v>
      </c>
      <c r="Y98" s="126">
        <v>68148</v>
      </c>
      <c r="Z98" s="91">
        <f>X98*60</f>
        <v>0.3</v>
      </c>
      <c r="AA98" s="154">
        <f>Y98/752034</f>
        <v>0.090618243324105</v>
      </c>
    </row>
    <row r="99" spans="1:27">
      <c r="A99" s="132">
        <v>137.5</v>
      </c>
      <c r="B99" s="133">
        <v>1113.19</v>
      </c>
      <c r="C99" s="133">
        <v>1100.69</v>
      </c>
      <c r="D99" s="133">
        <v>1063.6</v>
      </c>
      <c r="E99" s="133">
        <v>988.82</v>
      </c>
      <c r="F99" s="133">
        <v>897.27</v>
      </c>
      <c r="G99" s="133">
        <v>799.56</v>
      </c>
      <c r="H99" s="133">
        <v>693.57</v>
      </c>
      <c r="I99" s="133">
        <v>636.24</v>
      </c>
      <c r="J99" s="133"/>
      <c r="K99" s="132">
        <f t="shared" si="74"/>
        <v>137.5</v>
      </c>
      <c r="L99" s="133">
        <f t="shared" si="76"/>
        <v>1129.08928057554</v>
      </c>
      <c r="M99" s="133">
        <f t="shared" si="77"/>
        <v>1074.75127144973</v>
      </c>
      <c r="N99" s="133">
        <f t="shared" si="78"/>
        <v>1029.40256946817</v>
      </c>
      <c r="O99" s="133">
        <f t="shared" si="79"/>
        <v>989.224058177639</v>
      </c>
      <c r="P99" s="133">
        <f t="shared" si="80"/>
        <v>940.815194419522</v>
      </c>
      <c r="Q99" s="133">
        <f t="shared" si="81"/>
        <v>898.011508449091</v>
      </c>
      <c r="R99" s="133">
        <f t="shared" si="82"/>
        <v>847.438901759743</v>
      </c>
      <c r="S99" s="133">
        <f t="shared" si="83"/>
        <v>800.719251212292</v>
      </c>
      <c r="T99" s="133">
        <f t="shared" si="84"/>
        <v>746.444848715855</v>
      </c>
      <c r="U99" s="133">
        <f t="shared" si="85"/>
        <v>695.191686627683</v>
      </c>
      <c r="V99" s="133">
        <f t="shared" si="86"/>
        <v>641.680072992701</v>
      </c>
      <c r="X99" s="91">
        <v>0.01</v>
      </c>
      <c r="Y99" s="91">
        <v>129800</v>
      </c>
      <c r="Z99" s="91">
        <f t="shared" ref="Z99:Z108" si="87">X99*60</f>
        <v>0.6</v>
      </c>
      <c r="AA99" s="154">
        <f>Y99/752034</f>
        <v>0.172598579319552</v>
      </c>
    </row>
    <row r="100" spans="1:27">
      <c r="A100" s="132">
        <v>192.5</v>
      </c>
      <c r="B100" s="133">
        <v>1236.61</v>
      </c>
      <c r="C100" s="133">
        <v>1222.95</v>
      </c>
      <c r="D100" s="133">
        <v>1182.16</v>
      </c>
      <c r="E100" s="133">
        <v>1100</v>
      </c>
      <c r="F100" s="133">
        <v>1000.41</v>
      </c>
      <c r="G100" s="133">
        <v>895.37</v>
      </c>
      <c r="H100" s="133">
        <v>782.41</v>
      </c>
      <c r="I100" s="133">
        <v>721.17</v>
      </c>
      <c r="J100" s="133"/>
      <c r="K100" s="132">
        <f t="shared" si="74"/>
        <v>192.5</v>
      </c>
      <c r="L100" s="133">
        <f t="shared" si="76"/>
        <v>1253.98473381295</v>
      </c>
      <c r="M100" s="133">
        <f t="shared" si="77"/>
        <v>1194.42369270516</v>
      </c>
      <c r="N100" s="133">
        <f t="shared" si="78"/>
        <v>1144.58764251812</v>
      </c>
      <c r="O100" s="133">
        <f t="shared" si="79"/>
        <v>1100.44393447278</v>
      </c>
      <c r="P100" s="133">
        <f t="shared" si="80"/>
        <v>1047.77937096931</v>
      </c>
      <c r="Q100" s="133">
        <f t="shared" si="81"/>
        <v>1001.21662836095</v>
      </c>
      <c r="R100" s="133">
        <f t="shared" si="82"/>
        <v>946.840676909666</v>
      </c>
      <c r="S100" s="133">
        <f t="shared" si="83"/>
        <v>896.616215815568</v>
      </c>
      <c r="T100" s="133">
        <f t="shared" si="84"/>
        <v>838.761947456769</v>
      </c>
      <c r="U100" s="133">
        <f t="shared" si="85"/>
        <v>784.138330233636</v>
      </c>
      <c r="V100" s="133">
        <f t="shared" si="86"/>
        <v>726.981094890511</v>
      </c>
      <c r="X100" s="91">
        <v>0.02</v>
      </c>
      <c r="Y100" s="126">
        <v>236470</v>
      </c>
      <c r="Z100" s="91">
        <f t="shared" si="87"/>
        <v>1.2</v>
      </c>
      <c r="AA100" s="154">
        <f t="shared" ref="AA100:AA113" si="88">Y100/752034</f>
        <v>0.314440570506121</v>
      </c>
    </row>
    <row r="101" spans="1:27">
      <c r="A101" s="132">
        <v>241.5</v>
      </c>
      <c r="B101" s="133">
        <v>1328.74</v>
      </c>
      <c r="C101" s="133">
        <v>1314.64</v>
      </c>
      <c r="D101" s="133">
        <v>1272.49</v>
      </c>
      <c r="E101" s="133">
        <v>1186.99</v>
      </c>
      <c r="F101" s="133">
        <v>1083.13</v>
      </c>
      <c r="G101" s="133">
        <v>974.55</v>
      </c>
      <c r="H101" s="133">
        <v>858.24</v>
      </c>
      <c r="I101" s="133">
        <v>794.24</v>
      </c>
      <c r="J101" s="133"/>
      <c r="K101" s="132">
        <f t="shared" si="74"/>
        <v>241.5</v>
      </c>
      <c r="L101" s="133">
        <f t="shared" si="76"/>
        <v>1346.67438848921</v>
      </c>
      <c r="M101" s="133">
        <f t="shared" si="77"/>
        <v>1285.16258268013</v>
      </c>
      <c r="N101" s="133">
        <f t="shared" si="78"/>
        <v>1233.39023655428</v>
      </c>
      <c r="O101" s="133">
        <f t="shared" si="79"/>
        <v>1187.45198146815</v>
      </c>
      <c r="P101" s="133">
        <f t="shared" si="80"/>
        <v>1132.53037020657</v>
      </c>
      <c r="Q101" s="133">
        <f t="shared" si="81"/>
        <v>1083.97121318976</v>
      </c>
      <c r="R101" s="133">
        <f t="shared" si="82"/>
        <v>1027.75531320308</v>
      </c>
      <c r="S101" s="133">
        <f t="shared" si="83"/>
        <v>975.838215091911</v>
      </c>
      <c r="T101" s="133">
        <f t="shared" si="84"/>
        <v>916.263149864526</v>
      </c>
      <c r="U101" s="133">
        <f t="shared" si="85"/>
        <v>860.019586486138</v>
      </c>
      <c r="V101" s="133">
        <f t="shared" si="86"/>
        <v>800.31299270073</v>
      </c>
      <c r="X101" s="91">
        <v>0.03</v>
      </c>
      <c r="Y101" s="126">
        <v>324580</v>
      </c>
      <c r="Z101" s="91">
        <f t="shared" si="87"/>
        <v>1.8</v>
      </c>
      <c r="AA101" s="154">
        <f t="shared" si="88"/>
        <v>0.431602826467952</v>
      </c>
    </row>
    <row r="102" spans="1:27">
      <c r="A102" s="132">
        <v>296.5</v>
      </c>
      <c r="B102" s="133">
        <v>1411.02</v>
      </c>
      <c r="C102" s="133">
        <v>1396.79</v>
      </c>
      <c r="D102" s="133">
        <v>1354.21</v>
      </c>
      <c r="E102" s="133">
        <v>1267.8</v>
      </c>
      <c r="F102" s="133">
        <v>1162.55</v>
      </c>
      <c r="G102" s="133">
        <v>1053.52</v>
      </c>
      <c r="H102" s="133">
        <v>940.69</v>
      </c>
      <c r="I102" s="133">
        <v>880.14</v>
      </c>
      <c r="J102" s="133"/>
      <c r="K102" s="132">
        <f t="shared" si="74"/>
        <v>296.5</v>
      </c>
      <c r="L102" s="133">
        <f t="shared" si="76"/>
        <v>1429.11974100719</v>
      </c>
      <c r="M102" s="133">
        <f t="shared" si="77"/>
        <v>1367.01186406927</v>
      </c>
      <c r="N102" s="133">
        <f t="shared" si="78"/>
        <v>1314.69408702521</v>
      </c>
      <c r="O102" s="133">
        <f t="shared" si="79"/>
        <v>1268.26689846389</v>
      </c>
      <c r="P102" s="133">
        <f t="shared" si="80"/>
        <v>1212.61151515734</v>
      </c>
      <c r="Q102" s="133">
        <f t="shared" si="81"/>
        <v>1163.40247148298</v>
      </c>
      <c r="R102" s="133">
        <f t="shared" si="82"/>
        <v>1106.94581781665</v>
      </c>
      <c r="S102" s="133">
        <f t="shared" si="83"/>
        <v>1054.81355398297</v>
      </c>
      <c r="T102" s="133">
        <f t="shared" si="84"/>
        <v>996.977094826021</v>
      </c>
      <c r="U102" s="133">
        <f t="shared" si="85"/>
        <v>942.416341185032</v>
      </c>
      <c r="V102" s="133">
        <f t="shared" si="86"/>
        <v>885.885620437956</v>
      </c>
      <c r="X102" s="91">
        <v>0.04</v>
      </c>
      <c r="Y102" s="126">
        <v>396730</v>
      </c>
      <c r="Z102" s="91">
        <f t="shared" si="87"/>
        <v>2.4</v>
      </c>
      <c r="AA102" s="154">
        <f t="shared" si="88"/>
        <v>0.527542637699891</v>
      </c>
    </row>
    <row r="103" spans="1:27">
      <c r="A103" s="132">
        <v>357.5</v>
      </c>
      <c r="B103" s="133">
        <v>1475.67</v>
      </c>
      <c r="C103" s="133">
        <v>1461.35</v>
      </c>
      <c r="D103" s="133">
        <v>1418.46</v>
      </c>
      <c r="E103" s="133">
        <v>1331.54</v>
      </c>
      <c r="F103" s="133">
        <v>1225.5</v>
      </c>
      <c r="G103" s="133">
        <v>1115.06</v>
      </c>
      <c r="H103" s="133">
        <v>1001.07</v>
      </c>
      <c r="I103" s="133">
        <v>939.64</v>
      </c>
      <c r="J103" s="133"/>
      <c r="K103" s="132">
        <f t="shared" si="74"/>
        <v>357.5</v>
      </c>
      <c r="L103" s="133">
        <f t="shared" si="76"/>
        <v>1493.88421582734</v>
      </c>
      <c r="M103" s="133">
        <f t="shared" si="77"/>
        <v>1431.35506693122</v>
      </c>
      <c r="N103" s="133">
        <f t="shared" si="78"/>
        <v>1378.71086036606</v>
      </c>
      <c r="O103" s="133">
        <f t="shared" si="79"/>
        <v>1332.00965414282</v>
      </c>
      <c r="P103" s="133">
        <f t="shared" si="80"/>
        <v>1275.93727379843</v>
      </c>
      <c r="Q103" s="133">
        <f t="shared" si="81"/>
        <v>1226.35887008129</v>
      </c>
      <c r="R103" s="133">
        <f t="shared" si="82"/>
        <v>1169.1767322725</v>
      </c>
      <c r="S103" s="133">
        <f t="shared" si="83"/>
        <v>1116.3702825083</v>
      </c>
      <c r="T103" s="133">
        <f t="shared" si="84"/>
        <v>1057.93577983886</v>
      </c>
      <c r="U103" s="133">
        <f t="shared" si="85"/>
        <v>1002.81408961873</v>
      </c>
      <c r="V103" s="133">
        <f t="shared" si="86"/>
        <v>945.469124087591</v>
      </c>
      <c r="X103" s="91">
        <v>0.05</v>
      </c>
      <c r="Y103" s="126">
        <v>455990</v>
      </c>
      <c r="Z103" s="91">
        <f t="shared" si="87"/>
        <v>3</v>
      </c>
      <c r="AA103" s="154">
        <f t="shared" si="88"/>
        <v>0.606342266440081</v>
      </c>
    </row>
    <row r="104" spans="1:27">
      <c r="A104" s="132">
        <v>412.5</v>
      </c>
      <c r="B104" s="133">
        <v>1505.54</v>
      </c>
      <c r="C104" s="133">
        <v>1491.19</v>
      </c>
      <c r="D104" s="133">
        <v>1448.24</v>
      </c>
      <c r="E104" s="133">
        <v>1361.32</v>
      </c>
      <c r="F104" s="133">
        <v>1255.47</v>
      </c>
      <c r="G104" s="133">
        <v>1145.05</v>
      </c>
      <c r="H104" s="133">
        <v>1031.09</v>
      </c>
      <c r="I104" s="133">
        <v>969.63</v>
      </c>
      <c r="J104" s="133"/>
      <c r="K104" s="132">
        <f t="shared" si="74"/>
        <v>412.5</v>
      </c>
      <c r="L104" s="133">
        <f t="shared" si="76"/>
        <v>1523.79237410072</v>
      </c>
      <c r="M104" s="133">
        <f t="shared" si="77"/>
        <v>1461.15310619482</v>
      </c>
      <c r="N104" s="133">
        <f t="shared" si="78"/>
        <v>1408.49086036606</v>
      </c>
      <c r="O104" s="133">
        <f t="shared" si="79"/>
        <v>1361.78965414282</v>
      </c>
      <c r="P104" s="133">
        <f t="shared" si="80"/>
        <v>1305.81690146703</v>
      </c>
      <c r="Q104" s="133">
        <f t="shared" si="81"/>
        <v>1256.3273311779</v>
      </c>
      <c r="R104" s="133">
        <f t="shared" si="82"/>
        <v>1199.15693206745</v>
      </c>
      <c r="S104" s="133">
        <f t="shared" si="83"/>
        <v>1146.36004522425</v>
      </c>
      <c r="T104" s="133">
        <f t="shared" si="84"/>
        <v>1087.94081384714</v>
      </c>
      <c r="U104" s="133">
        <f t="shared" si="85"/>
        <v>1032.83363060752</v>
      </c>
      <c r="V104" s="133">
        <f t="shared" si="86"/>
        <v>975.46197080292</v>
      </c>
      <c r="X104" s="91">
        <v>0.07</v>
      </c>
      <c r="Y104" s="126">
        <v>545720</v>
      </c>
      <c r="Z104" s="91">
        <f t="shared" si="87"/>
        <v>4.2</v>
      </c>
      <c r="AA104" s="154">
        <f t="shared" si="88"/>
        <v>0.725658680325624</v>
      </c>
    </row>
    <row r="105" spans="1:27">
      <c r="A105" s="132">
        <v>467.5</v>
      </c>
      <c r="B105" s="133">
        <v>1509.87</v>
      </c>
      <c r="C105" s="133">
        <v>1495.58</v>
      </c>
      <c r="D105" s="133">
        <v>1452.77</v>
      </c>
      <c r="E105" s="133">
        <v>1366.19</v>
      </c>
      <c r="F105" s="133">
        <v>1260.93</v>
      </c>
      <c r="G105" s="133">
        <v>1151.37</v>
      </c>
      <c r="H105" s="133">
        <v>1038.72</v>
      </c>
      <c r="I105" s="133">
        <v>978.13</v>
      </c>
      <c r="J105" s="133"/>
      <c r="K105" s="132">
        <f t="shared" si="74"/>
        <v>467.5</v>
      </c>
      <c r="L105" s="133">
        <f t="shared" si="76"/>
        <v>1528.04605755396</v>
      </c>
      <c r="M105" s="133">
        <f t="shared" si="77"/>
        <v>1465.64101457975</v>
      </c>
      <c r="N105" s="133">
        <f t="shared" si="78"/>
        <v>1413.17634480549</v>
      </c>
      <c r="O105" s="133">
        <f t="shared" si="79"/>
        <v>1366.65781702354</v>
      </c>
      <c r="P105" s="133">
        <f t="shared" si="80"/>
        <v>1310.99627159584</v>
      </c>
      <c r="Q105" s="133">
        <f t="shared" si="81"/>
        <v>1261.7825524779</v>
      </c>
      <c r="R105" s="133">
        <f t="shared" si="82"/>
        <v>1205.05552325041</v>
      </c>
      <c r="S105" s="133">
        <f t="shared" si="83"/>
        <v>1152.66984201022</v>
      </c>
      <c r="T105" s="133">
        <f t="shared" si="84"/>
        <v>1094.91729887575</v>
      </c>
      <c r="U105" s="133">
        <f t="shared" si="85"/>
        <v>1040.44358711773</v>
      </c>
      <c r="V105" s="133">
        <f t="shared" si="86"/>
        <v>983.879416058394</v>
      </c>
      <c r="X105" s="91">
        <v>0.1</v>
      </c>
      <c r="Y105" s="126">
        <v>632000</v>
      </c>
      <c r="Z105" s="91">
        <f t="shared" si="87"/>
        <v>6</v>
      </c>
      <c r="AA105" s="154">
        <f t="shared" si="88"/>
        <v>0.84038753566993</v>
      </c>
    </row>
    <row r="106" spans="1:27">
      <c r="A106" s="132">
        <v>522.5</v>
      </c>
      <c r="B106" s="133">
        <v>1490.69</v>
      </c>
      <c r="C106" s="133">
        <v>1476.39</v>
      </c>
      <c r="D106" s="133">
        <v>1433.58</v>
      </c>
      <c r="E106" s="133">
        <v>1346.93</v>
      </c>
      <c r="F106" s="133">
        <v>1241.5</v>
      </c>
      <c r="G106" s="133">
        <v>1132.18</v>
      </c>
      <c r="H106" s="133">
        <v>1020.87</v>
      </c>
      <c r="I106" s="133">
        <v>961.91</v>
      </c>
      <c r="J106" s="133"/>
      <c r="K106" s="132">
        <f t="shared" si="74"/>
        <v>522.5</v>
      </c>
      <c r="L106" s="133">
        <f t="shared" si="76"/>
        <v>1508.87877697842</v>
      </c>
      <c r="M106" s="133">
        <f t="shared" si="77"/>
        <v>1446.45101457975</v>
      </c>
      <c r="N106" s="133">
        <f t="shared" si="78"/>
        <v>1393.95433330325</v>
      </c>
      <c r="O106" s="133">
        <f t="shared" si="79"/>
        <v>1347.39819525398</v>
      </c>
      <c r="P106" s="133">
        <f t="shared" si="80"/>
        <v>1291.64713105025</v>
      </c>
      <c r="Q106" s="133">
        <f t="shared" si="81"/>
        <v>1242.35392939145</v>
      </c>
      <c r="R106" s="133">
        <f t="shared" si="82"/>
        <v>1185.74792078984</v>
      </c>
      <c r="S106" s="133">
        <f t="shared" si="83"/>
        <v>1133.47699460166</v>
      </c>
      <c r="T106" s="133">
        <f t="shared" si="84"/>
        <v>1076.39881791265</v>
      </c>
      <c r="U106" s="133">
        <f t="shared" si="85"/>
        <v>1022.57308461673</v>
      </c>
      <c r="V106" s="133">
        <f t="shared" si="86"/>
        <v>967.504744525547</v>
      </c>
      <c r="X106" s="91">
        <v>0.2</v>
      </c>
      <c r="Y106" s="126">
        <v>734330</v>
      </c>
      <c r="Z106" s="91">
        <f t="shared" si="87"/>
        <v>12</v>
      </c>
      <c r="AA106" s="154">
        <f t="shared" si="88"/>
        <v>0.976458511184335</v>
      </c>
    </row>
    <row r="107" spans="1:27">
      <c r="A107" s="132">
        <v>577.5</v>
      </c>
      <c r="B107" s="133">
        <v>1453.41</v>
      </c>
      <c r="C107" s="133">
        <v>1439.06</v>
      </c>
      <c r="D107" s="133">
        <v>1396.11</v>
      </c>
      <c r="E107" s="133">
        <v>1308.88</v>
      </c>
      <c r="F107" s="133">
        <v>1201.81</v>
      </c>
      <c r="G107" s="133">
        <v>1089.34</v>
      </c>
      <c r="H107" s="133">
        <v>970.5</v>
      </c>
      <c r="I107" s="133">
        <v>904.75</v>
      </c>
      <c r="J107" s="133"/>
      <c r="K107" s="132">
        <f t="shared" si="74"/>
        <v>577.5</v>
      </c>
      <c r="L107" s="133">
        <f t="shared" si="76"/>
        <v>1471.66237410072</v>
      </c>
      <c r="M107" s="133">
        <f t="shared" si="77"/>
        <v>1409.02310619482</v>
      </c>
      <c r="N107" s="133">
        <f t="shared" si="78"/>
        <v>1356.21909514187</v>
      </c>
      <c r="O107" s="133">
        <f t="shared" si="79"/>
        <v>1309.35132916335</v>
      </c>
      <c r="P107" s="133">
        <f t="shared" si="80"/>
        <v>1252.73718696339</v>
      </c>
      <c r="Q107" s="133">
        <f t="shared" si="81"/>
        <v>1202.67721255756</v>
      </c>
      <c r="R107" s="133">
        <f t="shared" si="82"/>
        <v>1144.45145308483</v>
      </c>
      <c r="S107" s="133">
        <f t="shared" si="83"/>
        <v>1090.67436683908</v>
      </c>
      <c r="T107" s="133">
        <f t="shared" si="84"/>
        <v>1029.78528183217</v>
      </c>
      <c r="U107" s="133">
        <f t="shared" si="85"/>
        <v>972.318296432058</v>
      </c>
      <c r="V107" s="133">
        <f t="shared" si="86"/>
        <v>910.98905109489</v>
      </c>
      <c r="X107" s="91">
        <v>0.3</v>
      </c>
      <c r="Y107" s="126">
        <v>742840</v>
      </c>
      <c r="Z107" s="91">
        <f t="shared" si="87"/>
        <v>18</v>
      </c>
      <c r="AA107" s="154">
        <f t="shared" si="88"/>
        <v>0.987774488919384</v>
      </c>
    </row>
    <row r="108" spans="1:30">
      <c r="A108" s="132">
        <v>632.5</v>
      </c>
      <c r="B108" s="133">
        <v>1405.68</v>
      </c>
      <c r="C108" s="133">
        <v>1391.59</v>
      </c>
      <c r="D108" s="133">
        <v>1349.35</v>
      </c>
      <c r="E108" s="133">
        <v>1263.37</v>
      </c>
      <c r="F108" s="133">
        <v>1158.14</v>
      </c>
      <c r="G108" s="133">
        <v>1048.35</v>
      </c>
      <c r="H108" s="133">
        <v>933.09</v>
      </c>
      <c r="I108" s="133">
        <v>870.34</v>
      </c>
      <c r="J108" s="133"/>
      <c r="K108" s="132">
        <f t="shared" si="74"/>
        <v>632.5</v>
      </c>
      <c r="L108" s="133">
        <f t="shared" si="76"/>
        <v>1423.60166906475</v>
      </c>
      <c r="M108" s="133">
        <f t="shared" si="77"/>
        <v>1362.04964157553</v>
      </c>
      <c r="N108" s="133">
        <f t="shared" si="78"/>
        <v>1310.03072911037</v>
      </c>
      <c r="O108" s="133">
        <f t="shared" si="79"/>
        <v>1263.83457504832</v>
      </c>
      <c r="P108" s="133">
        <f t="shared" si="80"/>
        <v>1208.19200228035</v>
      </c>
      <c r="Q108" s="133">
        <f t="shared" si="81"/>
        <v>1158.99230949315</v>
      </c>
      <c r="R108" s="133">
        <f t="shared" si="82"/>
        <v>1102.14822560846</v>
      </c>
      <c r="S108" s="133">
        <f t="shared" si="83"/>
        <v>1049.65257077676</v>
      </c>
      <c r="T108" s="133">
        <f t="shared" si="84"/>
        <v>990.589340154632</v>
      </c>
      <c r="U108" s="133">
        <f t="shared" si="85"/>
        <v>934.853521093563</v>
      </c>
      <c r="V108" s="133">
        <f t="shared" si="86"/>
        <v>876.294379562044</v>
      </c>
      <c r="X108" s="91">
        <v>0.5</v>
      </c>
      <c r="Y108" s="126">
        <v>742840</v>
      </c>
      <c r="Z108" s="91">
        <f t="shared" si="87"/>
        <v>30</v>
      </c>
      <c r="AA108" s="154">
        <f t="shared" si="88"/>
        <v>0.987774488919384</v>
      </c>
      <c r="AC108" s="91">
        <f>1/(1-AA108)</f>
        <v>81.7961714161413</v>
      </c>
      <c r="AD108" s="91">
        <f>6.9/AC108</f>
        <v>0.0843560264562503</v>
      </c>
    </row>
    <row r="109" ht="13.5" customHeight="1" spans="1:27">
      <c r="A109" s="132">
        <v>687.5</v>
      </c>
      <c r="B109" s="133">
        <v>1351.35</v>
      </c>
      <c r="C109" s="133">
        <v>1337.7</v>
      </c>
      <c r="D109" s="133">
        <v>1296.72</v>
      </c>
      <c r="E109" s="133">
        <v>1213.21</v>
      </c>
      <c r="F109" s="133">
        <v>1111.58</v>
      </c>
      <c r="G109" s="133">
        <v>1005.99</v>
      </c>
      <c r="H109" s="133">
        <v>894.71</v>
      </c>
      <c r="I109" s="133">
        <v>834.21</v>
      </c>
      <c r="J109" s="133"/>
      <c r="K109" s="132">
        <f t="shared" si="74"/>
        <v>687.5</v>
      </c>
      <c r="L109" s="133">
        <f t="shared" si="76"/>
        <v>1368.71201438849</v>
      </c>
      <c r="M109" s="133">
        <f t="shared" si="77"/>
        <v>1309.0408170399</v>
      </c>
      <c r="N109" s="133">
        <f t="shared" si="78"/>
        <v>1258.53027783214</v>
      </c>
      <c r="O109" s="133">
        <f t="shared" si="79"/>
        <v>1213.66122891702</v>
      </c>
      <c r="P109" s="133">
        <f t="shared" si="80"/>
        <v>1159.91968442224</v>
      </c>
      <c r="Q109" s="133">
        <f t="shared" si="81"/>
        <v>1112.40315132366</v>
      </c>
      <c r="R109" s="133">
        <f t="shared" si="82"/>
        <v>1057.73018254847</v>
      </c>
      <c r="S109" s="133">
        <f t="shared" si="83"/>
        <v>1007.24274112686</v>
      </c>
      <c r="T109" s="133">
        <f t="shared" si="84"/>
        <v>950.223851920939</v>
      </c>
      <c r="U109" s="133">
        <f t="shared" si="85"/>
        <v>896.412625605515</v>
      </c>
      <c r="V109" s="133">
        <f t="shared" si="86"/>
        <v>839.950875912409</v>
      </c>
      <c r="Y109" s="126"/>
      <c r="AA109" s="154"/>
    </row>
    <row r="110" ht="13.5" customHeight="1" spans="1:27">
      <c r="A110" s="132">
        <v>742.5</v>
      </c>
      <c r="B110" s="133">
        <v>1291.39</v>
      </c>
      <c r="C110" s="133">
        <v>1278.22</v>
      </c>
      <c r="D110" s="133">
        <v>1238.61</v>
      </c>
      <c r="E110" s="133">
        <v>1158.26</v>
      </c>
      <c r="F110" s="133">
        <v>1061</v>
      </c>
      <c r="G110" s="133">
        <v>959.7</v>
      </c>
      <c r="H110" s="133">
        <v>852.23</v>
      </c>
      <c r="I110" s="133">
        <v>793.83</v>
      </c>
      <c r="J110" s="133"/>
      <c r="K110" s="132">
        <f t="shared" si="74"/>
        <v>742.5</v>
      </c>
      <c r="L110" s="133">
        <f t="shared" si="76"/>
        <v>1308.14148201439</v>
      </c>
      <c r="M110" s="133">
        <f t="shared" si="77"/>
        <v>1250.51892052099</v>
      </c>
      <c r="N110" s="133">
        <f t="shared" si="78"/>
        <v>1201.86536850452</v>
      </c>
      <c r="O110" s="133">
        <f t="shared" si="79"/>
        <v>1158.69415451422</v>
      </c>
      <c r="P110" s="133">
        <f t="shared" si="80"/>
        <v>1107.26112080003</v>
      </c>
      <c r="Q110" s="133">
        <f t="shared" si="81"/>
        <v>1061.7877565457</v>
      </c>
      <c r="R110" s="133">
        <f t="shared" si="82"/>
        <v>1009.33803856578</v>
      </c>
      <c r="S110" s="133">
        <f t="shared" si="83"/>
        <v>960.901843698753</v>
      </c>
      <c r="T110" s="133">
        <f t="shared" si="84"/>
        <v>905.84317097361</v>
      </c>
      <c r="U110" s="133">
        <f t="shared" si="85"/>
        <v>853.874331181028</v>
      </c>
      <c r="V110" s="133">
        <f t="shared" si="86"/>
        <v>799.371605839416</v>
      </c>
      <c r="Y110" s="126"/>
      <c r="AA110" s="154"/>
    </row>
    <row r="111" spans="1:27">
      <c r="A111" s="132">
        <v>797.5</v>
      </c>
      <c r="B111" s="133">
        <v>1225.98</v>
      </c>
      <c r="C111" s="133">
        <v>1213.33</v>
      </c>
      <c r="D111" s="133">
        <v>1175.44</v>
      </c>
      <c r="E111" s="133">
        <v>1099.03</v>
      </c>
      <c r="F111" s="133">
        <v>1006.57</v>
      </c>
      <c r="G111" s="133">
        <v>909.58</v>
      </c>
      <c r="H111" s="133">
        <v>805.99</v>
      </c>
      <c r="I111" s="133">
        <v>749.8</v>
      </c>
      <c r="J111" s="133"/>
      <c r="K111" s="132">
        <f t="shared" si="74"/>
        <v>797.5</v>
      </c>
      <c r="L111" s="133">
        <f t="shared" si="76"/>
        <v>1242.07007194245</v>
      </c>
      <c r="M111" s="133">
        <f t="shared" si="77"/>
        <v>1186.83179496442</v>
      </c>
      <c r="N111" s="133">
        <f t="shared" si="78"/>
        <v>1140.49715877324</v>
      </c>
      <c r="O111" s="133">
        <f t="shared" si="79"/>
        <v>1099.44286554364</v>
      </c>
      <c r="P111" s="133">
        <f t="shared" si="80"/>
        <v>1050.54803032254</v>
      </c>
      <c r="Q111" s="133">
        <f t="shared" si="81"/>
        <v>1007.31887898638</v>
      </c>
      <c r="R111" s="133">
        <f t="shared" si="82"/>
        <v>957.106094378032</v>
      </c>
      <c r="S111" s="133">
        <f t="shared" si="83"/>
        <v>910.730708986595</v>
      </c>
      <c r="T111" s="133">
        <f t="shared" si="84"/>
        <v>857.667569378955</v>
      </c>
      <c r="U111" s="133">
        <f t="shared" si="85"/>
        <v>807.574965730368</v>
      </c>
      <c r="V111" s="133">
        <f t="shared" si="86"/>
        <v>755.131897810219</v>
      </c>
      <c r="X111" s="373" t="s">
        <v>146</v>
      </c>
      <c r="Y111" s="126">
        <f>Y108*4/1000</f>
        <v>2971.36</v>
      </c>
      <c r="AA111" s="154"/>
    </row>
    <row r="112" spans="1:28">
      <c r="A112" s="132">
        <v>852.5</v>
      </c>
      <c r="B112" s="133">
        <v>1154.39</v>
      </c>
      <c r="C112" s="133">
        <v>1142.47</v>
      </c>
      <c r="D112" s="133">
        <v>1106.94</v>
      </c>
      <c r="E112" s="133">
        <v>1035.23</v>
      </c>
      <c r="F112" s="133">
        <v>947.91</v>
      </c>
      <c r="G112" s="133">
        <v>855.6</v>
      </c>
      <c r="H112" s="133">
        <v>756.55</v>
      </c>
      <c r="I112" s="133">
        <v>702.88</v>
      </c>
      <c r="J112" s="133"/>
      <c r="K112" s="132">
        <f t="shared" si="74"/>
        <v>852.5</v>
      </c>
      <c r="L112" s="133">
        <f t="shared" si="76"/>
        <v>1169.55155395683</v>
      </c>
      <c r="M112" s="133">
        <f t="shared" si="77"/>
        <v>1117.62225059609</v>
      </c>
      <c r="N112" s="133">
        <f t="shared" si="78"/>
        <v>1074.14650249482</v>
      </c>
      <c r="O112" s="133">
        <f t="shared" si="79"/>
        <v>1035.61747007112</v>
      </c>
      <c r="P112" s="133">
        <f t="shared" si="80"/>
        <v>989.443220936239</v>
      </c>
      <c r="Q112" s="133">
        <f t="shared" si="81"/>
        <v>948.617247599942</v>
      </c>
      <c r="R112" s="133">
        <f t="shared" si="82"/>
        <v>900.832846396908</v>
      </c>
      <c r="S112" s="133">
        <f t="shared" si="83"/>
        <v>856.695184519565</v>
      </c>
      <c r="T112" s="133">
        <f t="shared" si="84"/>
        <v>805.962715966652</v>
      </c>
      <c r="U112" s="133">
        <f t="shared" si="85"/>
        <v>758.065502032947</v>
      </c>
      <c r="V112" s="133">
        <f t="shared" si="86"/>
        <v>707.972773722628</v>
      </c>
      <c r="X112" s="91" t="s">
        <v>147</v>
      </c>
      <c r="Y112" s="91">
        <v>250</v>
      </c>
      <c r="Z112" s="373" t="s">
        <v>148</v>
      </c>
      <c r="AA112" s="815" t="s">
        <v>149</v>
      </c>
      <c r="AB112" s="373" t="s">
        <v>150</v>
      </c>
    </row>
    <row r="113" spans="1:28">
      <c r="A113" s="132">
        <v>907.5</v>
      </c>
      <c r="B113" s="133">
        <v>1074.39</v>
      </c>
      <c r="C113" s="133">
        <v>1063.43</v>
      </c>
      <c r="D113" s="133">
        <v>1030.72</v>
      </c>
      <c r="E113" s="133">
        <v>964.52</v>
      </c>
      <c r="F113" s="133">
        <v>883.31</v>
      </c>
      <c r="G113" s="133">
        <v>796.85</v>
      </c>
      <c r="H113" s="133">
        <v>703.59</v>
      </c>
      <c r="I113" s="133">
        <v>653.07</v>
      </c>
      <c r="J113" s="133"/>
      <c r="K113" s="132">
        <f t="shared" si="74"/>
        <v>907.5</v>
      </c>
      <c r="L113" s="133">
        <f t="shared" si="76"/>
        <v>1088.33048920863</v>
      </c>
      <c r="M113" s="133">
        <f t="shared" si="77"/>
        <v>1040.55440520681</v>
      </c>
      <c r="N113" s="133">
        <f t="shared" si="78"/>
        <v>1000.44626502799</v>
      </c>
      <c r="O113" s="133">
        <f t="shared" si="79"/>
        <v>964.877697932063</v>
      </c>
      <c r="P113" s="133">
        <f t="shared" si="80"/>
        <v>921.937037015941</v>
      </c>
      <c r="Q113" s="133">
        <f t="shared" si="81"/>
        <v>883.967759706725</v>
      </c>
      <c r="R113" s="133">
        <f t="shared" si="82"/>
        <v>839.216286420503</v>
      </c>
      <c r="S113" s="133">
        <f t="shared" si="83"/>
        <v>797.875778935777</v>
      </c>
      <c r="T113" s="133">
        <f t="shared" si="84"/>
        <v>750.11427956638</v>
      </c>
      <c r="U113" s="133">
        <f t="shared" si="85"/>
        <v>705.016912868174</v>
      </c>
      <c r="V113" s="133">
        <f t="shared" si="86"/>
        <v>657.863868613139</v>
      </c>
      <c r="X113" s="91" t="s">
        <v>151</v>
      </c>
      <c r="Y113" s="91">
        <v>8.4</v>
      </c>
      <c r="Z113" s="91">
        <v>150</v>
      </c>
      <c r="AA113" s="816">
        <f>0.101+(Z113+273)/(Y$112+273)*Y$114/Y$115*Y$113</f>
        <v>0.178203198331305</v>
      </c>
      <c r="AB113" s="369">
        <f t="shared" ref="AB113:AB118" si="89">(AA113-0.101)/AA113</f>
        <v>0.433231272245594</v>
      </c>
    </row>
    <row r="114" spans="1:28">
      <c r="A114" s="132">
        <v>962.5</v>
      </c>
      <c r="B114" s="133">
        <v>978.73</v>
      </c>
      <c r="C114" s="133">
        <v>968.85</v>
      </c>
      <c r="D114" s="133">
        <v>939.46</v>
      </c>
      <c r="E114" s="133">
        <v>880.24</v>
      </c>
      <c r="F114" s="133">
        <v>807.63</v>
      </c>
      <c r="G114" s="133">
        <v>730.07</v>
      </c>
      <c r="H114" s="133">
        <v>645.7</v>
      </c>
      <c r="I114" s="133">
        <v>599.82</v>
      </c>
      <c r="J114" s="133"/>
      <c r="K114" s="132">
        <f t="shared" si="74"/>
        <v>962.5</v>
      </c>
      <c r="L114" s="133">
        <f t="shared" si="76"/>
        <v>991.296791366907</v>
      </c>
      <c r="M114" s="133">
        <f t="shared" si="77"/>
        <v>948.296232620854</v>
      </c>
      <c r="N114" s="133">
        <f t="shared" si="78"/>
        <v>912.378269108121</v>
      </c>
      <c r="O114" s="133">
        <f t="shared" si="79"/>
        <v>880.559982953728</v>
      </c>
      <c r="P114" s="133">
        <f t="shared" si="80"/>
        <v>842.166499910448</v>
      </c>
      <c r="Q114" s="133">
        <f t="shared" si="81"/>
        <v>808.218104079613</v>
      </c>
      <c r="R114" s="133">
        <f t="shared" si="82"/>
        <v>768.07519517435</v>
      </c>
      <c r="S114" s="133">
        <f t="shared" si="83"/>
        <v>730.990187534801</v>
      </c>
      <c r="T114" s="133">
        <f t="shared" si="84"/>
        <v>687.789357355946</v>
      </c>
      <c r="U114" s="133">
        <f t="shared" si="85"/>
        <v>646.990892544369</v>
      </c>
      <c r="V114" s="133">
        <f t="shared" si="86"/>
        <v>604.173576642336</v>
      </c>
      <c r="X114" s="91" t="s">
        <v>152</v>
      </c>
      <c r="Y114" s="91">
        <f>500</f>
        <v>500</v>
      </c>
      <c r="Z114" s="91">
        <v>100</v>
      </c>
      <c r="AA114" s="816">
        <f>0.101+(Z114+273)/(Y$112+273)*Y$114/Y$115*Y$113</f>
        <v>0.169077524769685</v>
      </c>
      <c r="AB114" s="369">
        <f t="shared" si="89"/>
        <v>0.402640888328709</v>
      </c>
    </row>
    <row r="115" spans="1:28">
      <c r="A115" s="132">
        <v>1017.5</v>
      </c>
      <c r="B115" s="133">
        <v>851.06</v>
      </c>
      <c r="C115" s="133">
        <v>842.28</v>
      </c>
      <c r="D115" s="133">
        <v>817.16</v>
      </c>
      <c r="E115" s="133">
        <v>768.4</v>
      </c>
      <c r="F115" s="133">
        <v>709.66</v>
      </c>
      <c r="G115" s="133">
        <v>647.29</v>
      </c>
      <c r="H115" s="133">
        <v>579.19</v>
      </c>
      <c r="I115" s="133">
        <v>541.97</v>
      </c>
      <c r="J115" s="133"/>
      <c r="K115" s="132">
        <f t="shared" si="74"/>
        <v>1017.5</v>
      </c>
      <c r="L115" s="133">
        <f t="shared" si="76"/>
        <v>862.227654676259</v>
      </c>
      <c r="M115" s="133">
        <f t="shared" si="77"/>
        <v>824.712438361207</v>
      </c>
      <c r="N115" s="133">
        <f t="shared" si="78"/>
        <v>794.861702156568</v>
      </c>
      <c r="O115" s="133">
        <f t="shared" si="79"/>
        <v>768.663464519145</v>
      </c>
      <c r="P115" s="133">
        <f t="shared" si="80"/>
        <v>737.599319718216</v>
      </c>
      <c r="Q115" s="133">
        <f t="shared" si="81"/>
        <v>710.135764132164</v>
      </c>
      <c r="R115" s="133">
        <f t="shared" si="82"/>
        <v>677.851939440745</v>
      </c>
      <c r="S115" s="133">
        <f t="shared" si="83"/>
        <v>648.029970300999</v>
      </c>
      <c r="T115" s="133">
        <f t="shared" si="84"/>
        <v>613.162801184543</v>
      </c>
      <c r="U115" s="133">
        <f t="shared" si="85"/>
        <v>580.231955461319</v>
      </c>
      <c r="V115" s="133">
        <f t="shared" si="86"/>
        <v>545.501824817518</v>
      </c>
      <c r="X115" s="91" t="s">
        <v>153</v>
      </c>
      <c r="Y115" s="91">
        <v>44000</v>
      </c>
      <c r="Z115" s="91">
        <v>50</v>
      </c>
      <c r="AA115" s="816">
        <f>0.101+(Z115+273)/(Y$112+273)*Y$114/Y$115*Y$113</f>
        <v>0.159951851208065</v>
      </c>
      <c r="AB115" s="369">
        <f t="shared" si="89"/>
        <v>0.368559980786848</v>
      </c>
    </row>
    <row r="116" spans="1:28">
      <c r="A116" s="132">
        <v>1072.5</v>
      </c>
      <c r="B116" s="133">
        <v>651.76</v>
      </c>
      <c r="C116" s="133">
        <v>642.16</v>
      </c>
      <c r="D116" s="133">
        <v>624.42</v>
      </c>
      <c r="E116" s="133">
        <v>596.34</v>
      </c>
      <c r="F116" s="133">
        <v>563.92</v>
      </c>
      <c r="G116" s="133">
        <v>530.11</v>
      </c>
      <c r="H116" s="133">
        <v>495.84</v>
      </c>
      <c r="I116" s="133">
        <v>478.35</v>
      </c>
      <c r="J116" s="133"/>
      <c r="K116" s="132">
        <f t="shared" si="74"/>
        <v>1072.5</v>
      </c>
      <c r="L116" s="133">
        <f t="shared" si="76"/>
        <v>663.970647482014</v>
      </c>
      <c r="M116" s="133">
        <f t="shared" si="77"/>
        <v>629.753608938209</v>
      </c>
      <c r="N116" s="133">
        <f t="shared" si="78"/>
        <v>611.57881453151</v>
      </c>
      <c r="O116" s="133">
        <f t="shared" si="79"/>
        <v>596.491724440066</v>
      </c>
      <c r="P116" s="133">
        <f t="shared" si="80"/>
        <v>579.34037360001</v>
      </c>
      <c r="Q116" s="133">
        <f t="shared" si="81"/>
        <v>564.182585515233</v>
      </c>
      <c r="R116" s="133">
        <f t="shared" si="82"/>
        <v>546.677246632862</v>
      </c>
      <c r="S116" s="133">
        <f t="shared" si="83"/>
        <v>530.511128681687</v>
      </c>
      <c r="T116" s="133">
        <f t="shared" si="84"/>
        <v>512.936151198154</v>
      </c>
      <c r="U116" s="133">
        <f t="shared" si="85"/>
        <v>496.364343812913</v>
      </c>
      <c r="V116" s="133">
        <f t="shared" si="86"/>
        <v>480.009635036496</v>
      </c>
      <c r="Z116" s="91">
        <v>30</v>
      </c>
      <c r="AA116" s="816">
        <f>0.101+(Z116+273)/(Y$112+273)*Y$114/Y$115*Y$113</f>
        <v>0.156301581783417</v>
      </c>
      <c r="AB116" s="369">
        <f t="shared" si="89"/>
        <v>0.353813321352353</v>
      </c>
    </row>
    <row r="117" spans="1:28">
      <c r="A117" s="129"/>
      <c r="B117" s="129"/>
      <c r="C117" s="129"/>
      <c r="D117" s="129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Z117" s="91">
        <v>25</v>
      </c>
      <c r="AA117" s="816">
        <f>0.101+(Z117+273)/(Y$112+273)*Y$114/Y$115*Y$113</f>
        <v>0.155389014427255</v>
      </c>
      <c r="AB117" s="369">
        <f t="shared" si="89"/>
        <v>0.35001840141484</v>
      </c>
    </row>
    <row r="118" spans="1:28">
      <c r="A118" s="129" t="s">
        <v>140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 t="s">
        <v>140</v>
      </c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AA118" s="91">
        <v>0.145</v>
      </c>
      <c r="AB118" s="369">
        <f t="shared" si="89"/>
        <v>0.303448275862069</v>
      </c>
    </row>
    <row r="119" ht="13.5" spans="1:22">
      <c r="A119" s="132" t="s">
        <v>128</v>
      </c>
      <c r="B119" s="133">
        <v>17.68</v>
      </c>
      <c r="C119" s="133">
        <v>31.58</v>
      </c>
      <c r="D119" s="133">
        <v>54.25</v>
      </c>
      <c r="E119" s="133">
        <v>82.31</v>
      </c>
      <c r="F119" s="133">
        <v>106.26</v>
      </c>
      <c r="G119" s="133">
        <v>125.73</v>
      </c>
      <c r="H119" s="133">
        <v>142.56</v>
      </c>
      <c r="I119" s="133">
        <v>150.78</v>
      </c>
      <c r="J119" s="133"/>
      <c r="K119" s="132" t="str">
        <f t="shared" ref="K119:K139" si="90">A119</f>
        <v>R/Z[cm]</v>
      </c>
      <c r="L119" s="141">
        <v>0</v>
      </c>
      <c r="M119" s="141">
        <f t="shared" ref="M119:V119" si="91">SQRT(L119*L119+150*150/10)</f>
        <v>47.4341649025257</v>
      </c>
      <c r="N119" s="141">
        <f t="shared" si="91"/>
        <v>67.0820393249937</v>
      </c>
      <c r="O119" s="141">
        <f t="shared" si="91"/>
        <v>82.1583836257749</v>
      </c>
      <c r="P119" s="141">
        <f t="shared" si="91"/>
        <v>94.8683298050514</v>
      </c>
      <c r="Q119" s="141">
        <f t="shared" si="91"/>
        <v>106.066017177982</v>
      </c>
      <c r="R119" s="141">
        <f t="shared" si="91"/>
        <v>116.189500386223</v>
      </c>
      <c r="S119" s="141">
        <f t="shared" si="91"/>
        <v>125.499003980111</v>
      </c>
      <c r="T119" s="141">
        <f t="shared" si="91"/>
        <v>134.164078649987</v>
      </c>
      <c r="U119" s="141">
        <f t="shared" si="91"/>
        <v>142.302494707577</v>
      </c>
      <c r="V119" s="141">
        <f t="shared" si="91"/>
        <v>150</v>
      </c>
    </row>
    <row r="120" ht="13.5" spans="1:22">
      <c r="A120" s="132">
        <v>27.5</v>
      </c>
      <c r="B120" s="133">
        <v>691.81</v>
      </c>
      <c r="C120" s="133">
        <v>686.11</v>
      </c>
      <c r="D120" s="133">
        <v>669.1</v>
      </c>
      <c r="E120" s="133">
        <v>634.55</v>
      </c>
      <c r="F120" s="133">
        <v>591.91</v>
      </c>
      <c r="G120" s="133">
        <v>546.22</v>
      </c>
      <c r="H120" s="133">
        <v>496.52</v>
      </c>
      <c r="I120" s="133">
        <v>469.7</v>
      </c>
      <c r="J120" s="133"/>
      <c r="K120" s="132">
        <f t="shared" si="90"/>
        <v>27.5</v>
      </c>
      <c r="L120" s="133">
        <f t="shared" ref="L120:L139" si="92">TREND(B120:C120,B$4:C$4,L$4)</f>
        <v>699.060071942446</v>
      </c>
      <c r="M120" s="133">
        <f t="shared" ref="M120:M139" si="93">TREND(C120:D120,C$4:D$4,M$4)</f>
        <v>674.214131231056</v>
      </c>
      <c r="N120" s="133">
        <f t="shared" ref="N120:N139" si="94">TREND(D120:E120,D$4:E$4,N$4)</f>
        <v>653.30003711053</v>
      </c>
      <c r="O120" s="133">
        <f t="shared" ref="O120:O139" si="95">TREND(D120:E120,D$4:E$4,O$4)</f>
        <v>634.736683739468</v>
      </c>
      <c r="P120" s="133">
        <f t="shared" ref="P120:P139" si="96">TREND(E120:F120,E$4:F$4,P$4)</f>
        <v>612.191453741654</v>
      </c>
      <c r="Q120" s="133">
        <f t="shared" ref="Q120:Q139" si="97">TREND(E120:F120,E$4:F$4,Q$4)</f>
        <v>592.255362318616</v>
      </c>
      <c r="R120" s="133">
        <f t="shared" ref="R120:R139" si="98">TREND(F120:G120,F$4:G$4,R$4)</f>
        <v>568.608568431099</v>
      </c>
      <c r="S120" s="133">
        <f t="shared" ref="S120:S139" si="99">TREND(F120:G120,F$4:G$4,S$4)</f>
        <v>546.762075405686</v>
      </c>
      <c r="T120" s="133">
        <f t="shared" ref="T120:T139" si="100">TREND(G120:H120,G$4:H$4,T$4)</f>
        <v>521.313659601642</v>
      </c>
      <c r="U120" s="133">
        <f t="shared" ref="U120:U139" si="101">TREND(G120:H120,G$4:H$4,U$4)</f>
        <v>497.280428581903</v>
      </c>
      <c r="V120" s="133">
        <f t="shared" ref="V120:V139" si="102">TREND(H120:I120,H$4:I$4,V$4)</f>
        <v>472.24496350365</v>
      </c>
    </row>
    <row r="121" ht="13.5" spans="1:22">
      <c r="A121" s="132">
        <v>82.5</v>
      </c>
      <c r="B121" s="133">
        <v>939.86</v>
      </c>
      <c r="C121" s="133">
        <v>930.31</v>
      </c>
      <c r="D121" s="133">
        <v>902.06</v>
      </c>
      <c r="E121" s="133">
        <v>844.87</v>
      </c>
      <c r="F121" s="133">
        <v>774.31</v>
      </c>
      <c r="G121" s="133">
        <v>698.71</v>
      </c>
      <c r="H121" s="133">
        <v>616.1</v>
      </c>
      <c r="I121" s="133">
        <v>571.07</v>
      </c>
      <c r="J121" s="133"/>
      <c r="K121" s="132">
        <f t="shared" si="90"/>
        <v>82.5</v>
      </c>
      <c r="L121" s="133">
        <f t="shared" si="92"/>
        <v>952.007050359712</v>
      </c>
      <c r="M121" s="133">
        <f t="shared" si="93"/>
        <v>910.553486612424</v>
      </c>
      <c r="N121" s="133">
        <f t="shared" si="94"/>
        <v>875.906602672973</v>
      </c>
      <c r="O121" s="133">
        <f t="shared" si="95"/>
        <v>845.179014270917</v>
      </c>
      <c r="P121" s="133">
        <f t="shared" si="96"/>
        <v>807.871430019022</v>
      </c>
      <c r="Q121" s="133">
        <f t="shared" si="97"/>
        <v>774.881500121987</v>
      </c>
      <c r="R121" s="133">
        <f t="shared" si="98"/>
        <v>735.754775079691</v>
      </c>
      <c r="S121" s="133">
        <f t="shared" si="99"/>
        <v>699.606933698181</v>
      </c>
      <c r="T121" s="133">
        <f t="shared" si="100"/>
        <v>657.311352508885</v>
      </c>
      <c r="U121" s="133">
        <f t="shared" si="101"/>
        <v>617.363963886337</v>
      </c>
      <c r="V121" s="133">
        <f t="shared" si="102"/>
        <v>575.342919708029</v>
      </c>
    </row>
    <row r="122" ht="13.5" spans="1:22">
      <c r="A122" s="132">
        <v>137.5</v>
      </c>
      <c r="B122" s="133">
        <v>1091.18</v>
      </c>
      <c r="C122" s="133">
        <v>1079.86</v>
      </c>
      <c r="D122" s="133">
        <v>1046.28</v>
      </c>
      <c r="E122" s="133">
        <v>978.59</v>
      </c>
      <c r="F122" s="133">
        <v>895.79</v>
      </c>
      <c r="G122" s="133">
        <v>807.78</v>
      </c>
      <c r="H122" s="133">
        <v>713.06</v>
      </c>
      <c r="I122" s="133">
        <v>661.85</v>
      </c>
      <c r="J122" s="133"/>
      <c r="K122" s="132">
        <f t="shared" si="90"/>
        <v>137.5</v>
      </c>
      <c r="L122" s="133">
        <f t="shared" si="92"/>
        <v>1105.57838848921</v>
      </c>
      <c r="M122" s="133">
        <f t="shared" si="93"/>
        <v>1056.37597452903</v>
      </c>
      <c r="N122" s="133">
        <f t="shared" si="94"/>
        <v>1015.32487733753</v>
      </c>
      <c r="O122" s="133">
        <f t="shared" si="95"/>
        <v>978.955748837181</v>
      </c>
      <c r="P122" s="133">
        <f t="shared" si="96"/>
        <v>935.173310736607</v>
      </c>
      <c r="Q122" s="133">
        <f t="shared" si="97"/>
        <v>896.46063789825</v>
      </c>
      <c r="R122" s="133">
        <f t="shared" si="98"/>
        <v>850.905802311688</v>
      </c>
      <c r="S122" s="133">
        <f t="shared" si="99"/>
        <v>808.82416844943</v>
      </c>
      <c r="T122" s="133">
        <f t="shared" si="100"/>
        <v>760.312624496328</v>
      </c>
      <c r="U122" s="133">
        <f t="shared" si="101"/>
        <v>714.50925141404</v>
      </c>
      <c r="V122" s="133">
        <f t="shared" si="102"/>
        <v>666.709343065693</v>
      </c>
    </row>
    <row r="123" ht="13.5" spans="1:22">
      <c r="A123" s="132">
        <v>192.5</v>
      </c>
      <c r="B123" s="133">
        <v>1208.7</v>
      </c>
      <c r="C123" s="133">
        <v>1196.3</v>
      </c>
      <c r="D123" s="133">
        <v>1159.4</v>
      </c>
      <c r="E123" s="133">
        <v>1085.19</v>
      </c>
      <c r="F123" s="133">
        <v>995.33</v>
      </c>
      <c r="G123" s="133">
        <v>900.88</v>
      </c>
      <c r="H123" s="133">
        <v>800.03</v>
      </c>
      <c r="I123" s="133">
        <v>745.39</v>
      </c>
      <c r="J123" s="133"/>
      <c r="K123" s="132">
        <f t="shared" si="90"/>
        <v>192.5</v>
      </c>
      <c r="L123" s="133">
        <f t="shared" si="92"/>
        <v>1224.47208633094</v>
      </c>
      <c r="M123" s="133">
        <f t="shared" si="93"/>
        <v>1170.49414711499</v>
      </c>
      <c r="N123" s="133">
        <f t="shared" si="94"/>
        <v>1125.46323455781</v>
      </c>
      <c r="O123" s="133">
        <f t="shared" si="95"/>
        <v>1085.59097830118</v>
      </c>
      <c r="P123" s="133">
        <f t="shared" si="96"/>
        <v>1038.07135631391</v>
      </c>
      <c r="Q123" s="133">
        <f t="shared" si="97"/>
        <v>996.057820308415</v>
      </c>
      <c r="R123" s="133">
        <f t="shared" si="98"/>
        <v>947.161468336995</v>
      </c>
      <c r="S123" s="133">
        <f t="shared" si="99"/>
        <v>902.000573912609</v>
      </c>
      <c r="T123" s="133">
        <f t="shared" si="100"/>
        <v>850.340675469327</v>
      </c>
      <c r="U123" s="133">
        <f t="shared" si="101"/>
        <v>801.573042705933</v>
      </c>
      <c r="V123" s="133">
        <f t="shared" si="102"/>
        <v>750.574817518248</v>
      </c>
    </row>
    <row r="124" ht="13.5" spans="1:22">
      <c r="A124" s="132">
        <v>241.5</v>
      </c>
      <c r="B124" s="133">
        <v>1296.06</v>
      </c>
      <c r="C124" s="133">
        <v>1283.29</v>
      </c>
      <c r="D124" s="133">
        <v>1245.1</v>
      </c>
      <c r="E124" s="133">
        <v>1167.87</v>
      </c>
      <c r="F124" s="133">
        <v>1074.34</v>
      </c>
      <c r="G124" s="133">
        <v>976.86</v>
      </c>
      <c r="H124" s="133">
        <v>873.07</v>
      </c>
      <c r="I124" s="133">
        <v>816</v>
      </c>
      <c r="J124" s="133"/>
      <c r="K124" s="132">
        <f t="shared" si="90"/>
        <v>241.5</v>
      </c>
      <c r="L124" s="133">
        <f t="shared" si="92"/>
        <v>1312.30270503597</v>
      </c>
      <c r="M124" s="133">
        <f t="shared" si="93"/>
        <v>1256.58199128242</v>
      </c>
      <c r="N124" s="133">
        <f t="shared" si="94"/>
        <v>1209.78216688991</v>
      </c>
      <c r="O124" s="133">
        <f t="shared" si="95"/>
        <v>1168.2872962431</v>
      </c>
      <c r="P124" s="133">
        <f t="shared" si="96"/>
        <v>1118.82696924148</v>
      </c>
      <c r="Q124" s="133">
        <f t="shared" si="97"/>
        <v>1075.09754544231</v>
      </c>
      <c r="R124" s="133">
        <f t="shared" si="98"/>
        <v>1024.6261994017</v>
      </c>
      <c r="S124" s="133">
        <f t="shared" si="99"/>
        <v>978.01652244575</v>
      </c>
      <c r="T124" s="133">
        <f t="shared" si="100"/>
        <v>924.84734265703</v>
      </c>
      <c r="U124" s="133">
        <f t="shared" si="101"/>
        <v>874.658025805144</v>
      </c>
      <c r="V124" s="133">
        <f t="shared" si="102"/>
        <v>821.415401459854</v>
      </c>
    </row>
    <row r="125" ht="13.5" spans="1:22">
      <c r="A125" s="132">
        <v>296.5</v>
      </c>
      <c r="B125" s="133">
        <v>1373.66</v>
      </c>
      <c r="C125" s="133">
        <v>1360.81</v>
      </c>
      <c r="D125" s="133">
        <v>1322.34</v>
      </c>
      <c r="E125" s="133">
        <v>1244.31</v>
      </c>
      <c r="F125" s="133">
        <v>1149.56</v>
      </c>
      <c r="G125" s="133">
        <v>1051.83</v>
      </c>
      <c r="H125" s="133">
        <v>951.15</v>
      </c>
      <c r="I125" s="133">
        <v>897.14</v>
      </c>
      <c r="J125" s="133"/>
      <c r="K125" s="132">
        <f t="shared" si="90"/>
        <v>296.5</v>
      </c>
      <c r="L125" s="133">
        <f t="shared" si="92"/>
        <v>1390.00446043165</v>
      </c>
      <c r="M125" s="133">
        <f t="shared" si="93"/>
        <v>1333.90617451256</v>
      </c>
      <c r="N125" s="133">
        <f t="shared" si="94"/>
        <v>1286.65632115006</v>
      </c>
      <c r="O125" s="133">
        <f t="shared" si="95"/>
        <v>1244.73161887672</v>
      </c>
      <c r="P125" s="133">
        <f t="shared" si="96"/>
        <v>1194.62725473784</v>
      </c>
      <c r="Q125" s="133">
        <f t="shared" si="97"/>
        <v>1150.32742682197</v>
      </c>
      <c r="R125" s="133">
        <f t="shared" si="98"/>
        <v>1099.71870196479</v>
      </c>
      <c r="S125" s="133">
        <f t="shared" si="99"/>
        <v>1052.98948849634</v>
      </c>
      <c r="T125" s="133">
        <f t="shared" si="100"/>
        <v>1001.37586818296</v>
      </c>
      <c r="U125" s="133">
        <f t="shared" si="101"/>
        <v>952.690441642373</v>
      </c>
      <c r="V125" s="133">
        <f t="shared" si="102"/>
        <v>902.26503649635</v>
      </c>
    </row>
    <row r="126" ht="13.5" spans="1:22">
      <c r="A126" s="132">
        <v>357.5</v>
      </c>
      <c r="B126" s="133">
        <v>1434.5</v>
      </c>
      <c r="C126" s="133">
        <v>1421.58</v>
      </c>
      <c r="D126" s="133">
        <v>1382.89</v>
      </c>
      <c r="E126" s="133">
        <v>1304.51</v>
      </c>
      <c r="F126" s="133">
        <v>1209.02</v>
      </c>
      <c r="G126" s="133">
        <v>1109.96</v>
      </c>
      <c r="H126" s="133">
        <v>1008.15</v>
      </c>
      <c r="I126" s="133">
        <v>953.25</v>
      </c>
      <c r="J126" s="133"/>
      <c r="K126" s="132">
        <f t="shared" si="90"/>
        <v>357.5</v>
      </c>
      <c r="L126" s="133">
        <f t="shared" si="92"/>
        <v>1450.93349640288</v>
      </c>
      <c r="M126" s="133">
        <f t="shared" si="93"/>
        <v>1394.5223184791</v>
      </c>
      <c r="N126" s="133">
        <f t="shared" si="94"/>
        <v>1347.04626363888</v>
      </c>
      <c r="O126" s="133">
        <f t="shared" si="95"/>
        <v>1304.93351002893</v>
      </c>
      <c r="P126" s="133">
        <f t="shared" si="96"/>
        <v>1254.43923118646</v>
      </c>
      <c r="Q126" s="133">
        <f t="shared" si="97"/>
        <v>1209.7934204457</v>
      </c>
      <c r="R126" s="133">
        <f t="shared" si="98"/>
        <v>1158.50041560045</v>
      </c>
      <c r="S126" s="133">
        <f t="shared" si="99"/>
        <v>1111.13526788547</v>
      </c>
      <c r="T126" s="133">
        <f t="shared" si="100"/>
        <v>1058.93958720409</v>
      </c>
      <c r="U126" s="133">
        <f t="shared" si="101"/>
        <v>1009.70773106486</v>
      </c>
      <c r="V126" s="133">
        <f t="shared" si="102"/>
        <v>958.459489051095</v>
      </c>
    </row>
    <row r="127" ht="13.5" spans="1:22">
      <c r="A127" s="132">
        <v>412.5</v>
      </c>
      <c r="B127" s="133">
        <v>1462.59</v>
      </c>
      <c r="C127" s="133">
        <v>1449.65</v>
      </c>
      <c r="D127" s="133">
        <v>1410.92</v>
      </c>
      <c r="E127" s="133">
        <v>1332.56</v>
      </c>
      <c r="F127" s="133">
        <v>1237.19</v>
      </c>
      <c r="G127" s="133">
        <v>1138.04</v>
      </c>
      <c r="H127" s="133">
        <v>1036.12</v>
      </c>
      <c r="I127" s="133">
        <v>981.09</v>
      </c>
      <c r="J127" s="133"/>
      <c r="K127" s="132">
        <f t="shared" si="90"/>
        <v>412.5</v>
      </c>
      <c r="L127" s="133">
        <f t="shared" si="92"/>
        <v>1479.0489352518</v>
      </c>
      <c r="M127" s="133">
        <f t="shared" si="93"/>
        <v>1422.56434465484</v>
      </c>
      <c r="N127" s="133">
        <f t="shared" si="94"/>
        <v>1375.08540978238</v>
      </c>
      <c r="O127" s="133">
        <f t="shared" si="95"/>
        <v>1332.98340196309</v>
      </c>
      <c r="P127" s="133">
        <f t="shared" si="96"/>
        <v>1282.55215392452</v>
      </c>
      <c r="Q127" s="133">
        <f t="shared" si="97"/>
        <v>1237.96244850672</v>
      </c>
      <c r="R127" s="133">
        <f t="shared" si="98"/>
        <v>1186.62451652317</v>
      </c>
      <c r="S127" s="133">
        <f t="shared" si="99"/>
        <v>1139.21633566369</v>
      </c>
      <c r="T127" s="133">
        <f t="shared" si="100"/>
        <v>1086.96446250703</v>
      </c>
      <c r="U127" s="133">
        <f t="shared" si="101"/>
        <v>1037.67941410599</v>
      </c>
      <c r="V127" s="133">
        <f t="shared" si="102"/>
        <v>986.311824817518</v>
      </c>
    </row>
    <row r="128" ht="13.5" spans="1:22">
      <c r="A128" s="132">
        <v>467.5</v>
      </c>
      <c r="B128" s="133">
        <v>1466.56</v>
      </c>
      <c r="C128" s="133">
        <v>1453.67</v>
      </c>
      <c r="D128" s="133">
        <v>1415.06</v>
      </c>
      <c r="E128" s="133">
        <v>1336.95</v>
      </c>
      <c r="F128" s="133">
        <v>1242.01</v>
      </c>
      <c r="G128" s="133">
        <v>1143.53</v>
      </c>
      <c r="H128" s="133">
        <v>1042.64</v>
      </c>
      <c r="I128" s="133">
        <v>988.29</v>
      </c>
      <c r="J128" s="133"/>
      <c r="K128" s="132">
        <f t="shared" si="90"/>
        <v>467.5</v>
      </c>
      <c r="L128" s="133">
        <f t="shared" si="92"/>
        <v>1482.9553381295</v>
      </c>
      <c r="M128" s="133">
        <f t="shared" si="93"/>
        <v>1426.66826612763</v>
      </c>
      <c r="N128" s="133">
        <f t="shared" si="94"/>
        <v>1379.33973657608</v>
      </c>
      <c r="O128" s="133">
        <f t="shared" si="95"/>
        <v>1337.37205114008</v>
      </c>
      <c r="P128" s="133">
        <f t="shared" si="96"/>
        <v>1287.16762706925</v>
      </c>
      <c r="Q128" s="133">
        <f t="shared" si="97"/>
        <v>1242.77896572536</v>
      </c>
      <c r="R128" s="133">
        <f t="shared" si="98"/>
        <v>1191.78620965407</v>
      </c>
      <c r="S128" s="133">
        <f t="shared" si="99"/>
        <v>1144.69838664811</v>
      </c>
      <c r="T128" s="133">
        <f t="shared" si="100"/>
        <v>1092.97063012494</v>
      </c>
      <c r="U128" s="133">
        <f t="shared" si="101"/>
        <v>1044.18365472089</v>
      </c>
      <c r="V128" s="133">
        <f t="shared" si="102"/>
        <v>993.447299270073</v>
      </c>
    </row>
    <row r="129" ht="13.5" spans="1:22">
      <c r="A129" s="132">
        <v>522.5</v>
      </c>
      <c r="B129" s="133">
        <v>1448.17</v>
      </c>
      <c r="C129" s="133">
        <v>1435.25</v>
      </c>
      <c r="D129" s="133">
        <v>1396.56</v>
      </c>
      <c r="E129" s="133">
        <v>1318.26</v>
      </c>
      <c r="F129" s="133">
        <v>1223.05</v>
      </c>
      <c r="G129" s="133">
        <v>1124.66</v>
      </c>
      <c r="H129" s="133">
        <v>1024.83</v>
      </c>
      <c r="I129" s="133">
        <v>971.88</v>
      </c>
      <c r="J129" s="133"/>
      <c r="K129" s="132">
        <f t="shared" si="90"/>
        <v>522.5</v>
      </c>
      <c r="L129" s="133">
        <f t="shared" si="92"/>
        <v>1464.60349640288</v>
      </c>
      <c r="M129" s="133">
        <f t="shared" si="93"/>
        <v>1408.1923184791</v>
      </c>
      <c r="N129" s="133">
        <f t="shared" si="94"/>
        <v>1360.75284821287</v>
      </c>
      <c r="O129" s="133">
        <f t="shared" si="95"/>
        <v>1318.68307776557</v>
      </c>
      <c r="P129" s="133">
        <f t="shared" si="96"/>
        <v>1268.3360509086</v>
      </c>
      <c r="Q129" s="133">
        <f t="shared" si="97"/>
        <v>1223.82115258807</v>
      </c>
      <c r="R129" s="133">
        <f t="shared" si="98"/>
        <v>1172.87210873136</v>
      </c>
      <c r="S129" s="133">
        <f t="shared" si="99"/>
        <v>1125.82731886989</v>
      </c>
      <c r="T129" s="133">
        <f t="shared" si="100"/>
        <v>1074.63183175114</v>
      </c>
      <c r="U129" s="133">
        <f t="shared" si="101"/>
        <v>1026.35743632457</v>
      </c>
      <c r="V129" s="133">
        <f t="shared" si="102"/>
        <v>976.904452554745</v>
      </c>
    </row>
    <row r="130" ht="13.5" spans="1:22">
      <c r="A130" s="132">
        <v>577.5</v>
      </c>
      <c r="B130" s="133">
        <v>1412.23</v>
      </c>
      <c r="C130" s="133">
        <v>1399.24</v>
      </c>
      <c r="D130" s="133">
        <v>1360.34</v>
      </c>
      <c r="E130" s="133">
        <v>1281.27</v>
      </c>
      <c r="F130" s="133">
        <v>1184.42</v>
      </c>
      <c r="G130" s="133">
        <v>1083.05</v>
      </c>
      <c r="H130" s="133">
        <v>976.26</v>
      </c>
      <c r="I130" s="133">
        <v>917.13</v>
      </c>
      <c r="J130" s="133"/>
      <c r="K130" s="132">
        <f t="shared" si="90"/>
        <v>577.5</v>
      </c>
      <c r="L130" s="133">
        <f t="shared" si="92"/>
        <v>1428.7525323741</v>
      </c>
      <c r="M130" s="133">
        <f t="shared" si="93"/>
        <v>1372.03545590171</v>
      </c>
      <c r="N130" s="133">
        <f t="shared" si="94"/>
        <v>1324.18072168827</v>
      </c>
      <c r="O130" s="133">
        <f t="shared" si="95"/>
        <v>1281.69723830043</v>
      </c>
      <c r="P130" s="133">
        <f t="shared" si="96"/>
        <v>1230.48610682174</v>
      </c>
      <c r="Q130" s="133">
        <f t="shared" si="97"/>
        <v>1185.20443575417</v>
      </c>
      <c r="R130" s="133">
        <f t="shared" si="98"/>
        <v>1132.72233928344</v>
      </c>
      <c r="S130" s="133">
        <f t="shared" si="99"/>
        <v>1084.25267419292</v>
      </c>
      <c r="T130" s="133">
        <f t="shared" si="100"/>
        <v>1029.53394182815</v>
      </c>
      <c r="U130" s="133">
        <f t="shared" si="101"/>
        <v>977.893926926788</v>
      </c>
      <c r="V130" s="133">
        <f t="shared" si="102"/>
        <v>922.740875912409</v>
      </c>
    </row>
    <row r="131" ht="13.5" spans="1:22">
      <c r="A131" s="132">
        <v>632.5</v>
      </c>
      <c r="B131" s="133">
        <v>1365.71</v>
      </c>
      <c r="C131" s="133">
        <v>1352.91</v>
      </c>
      <c r="D131" s="133">
        <v>1314.55</v>
      </c>
      <c r="E131" s="133">
        <v>1236.44</v>
      </c>
      <c r="F131" s="133">
        <v>1141.15</v>
      </c>
      <c r="G131" s="133">
        <v>1042.07</v>
      </c>
      <c r="H131" s="133">
        <v>938.32</v>
      </c>
      <c r="I131" s="133">
        <v>881.79</v>
      </c>
      <c r="J131" s="133"/>
      <c r="K131" s="132">
        <f t="shared" si="90"/>
        <v>632.5</v>
      </c>
      <c r="L131" s="133">
        <f t="shared" si="92"/>
        <v>1381.99086330935</v>
      </c>
      <c r="M131" s="133">
        <f t="shared" si="93"/>
        <v>1326.08310252929</v>
      </c>
      <c r="N131" s="133">
        <f t="shared" si="94"/>
        <v>1278.82973657608</v>
      </c>
      <c r="O131" s="133">
        <f t="shared" si="95"/>
        <v>1236.86205114008</v>
      </c>
      <c r="P131" s="133">
        <f t="shared" si="96"/>
        <v>1186.47410241656</v>
      </c>
      <c r="Q131" s="133">
        <f t="shared" si="97"/>
        <v>1141.92180054739</v>
      </c>
      <c r="R131" s="133">
        <f t="shared" si="98"/>
        <v>1090.6202158055</v>
      </c>
      <c r="S131" s="133">
        <f t="shared" si="99"/>
        <v>1043.24550516952</v>
      </c>
      <c r="T131" s="133">
        <f t="shared" si="100"/>
        <v>990.077388001415</v>
      </c>
      <c r="U131" s="133">
        <f t="shared" si="101"/>
        <v>939.907413790189</v>
      </c>
      <c r="V131" s="133">
        <f t="shared" si="102"/>
        <v>887.154160583942</v>
      </c>
    </row>
    <row r="132" ht="13.5" customHeight="1" spans="1:22">
      <c r="A132" s="132">
        <v>687.5</v>
      </c>
      <c r="B132" s="133">
        <v>1312.09</v>
      </c>
      <c r="C132" s="133">
        <v>1299.66</v>
      </c>
      <c r="D132" s="133">
        <v>1262.32</v>
      </c>
      <c r="E132" s="133">
        <v>1186.38</v>
      </c>
      <c r="F132" s="133">
        <v>1094.3</v>
      </c>
      <c r="G132" s="133">
        <v>998.79</v>
      </c>
      <c r="H132" s="133">
        <v>898.36</v>
      </c>
      <c r="I132" s="133">
        <v>843.72</v>
      </c>
      <c r="J132" s="133"/>
      <c r="K132" s="132">
        <f t="shared" si="90"/>
        <v>687.5</v>
      </c>
      <c r="L132" s="133">
        <f t="shared" si="92"/>
        <v>1327.90024460432</v>
      </c>
      <c r="M132" s="133">
        <f t="shared" si="93"/>
        <v>1273.54643504807</v>
      </c>
      <c r="N132" s="133">
        <f t="shared" si="94"/>
        <v>1227.5920931454</v>
      </c>
      <c r="O132" s="133">
        <f t="shared" si="95"/>
        <v>1186.79032599639</v>
      </c>
      <c r="P132" s="133">
        <f t="shared" si="96"/>
        <v>1138.09728565974</v>
      </c>
      <c r="Q132" s="133">
        <f t="shared" si="97"/>
        <v>1095.0458011796</v>
      </c>
      <c r="R132" s="133">
        <f t="shared" si="98"/>
        <v>1045.59087920451</v>
      </c>
      <c r="S132" s="133">
        <f t="shared" si="99"/>
        <v>999.923149967107</v>
      </c>
      <c r="T132" s="133">
        <f t="shared" si="100"/>
        <v>948.46115158537</v>
      </c>
      <c r="U132" s="133">
        <f t="shared" si="101"/>
        <v>899.896616548903</v>
      </c>
      <c r="V132" s="133">
        <f t="shared" si="102"/>
        <v>848.904817518248</v>
      </c>
    </row>
    <row r="133" ht="13.5" customHeight="1" spans="1:22">
      <c r="A133" s="132">
        <v>742.5</v>
      </c>
      <c r="B133" s="133">
        <v>1252.23</v>
      </c>
      <c r="C133" s="133">
        <v>1240.2</v>
      </c>
      <c r="D133" s="133">
        <v>1204.09</v>
      </c>
      <c r="E133" s="133">
        <v>1131.09</v>
      </c>
      <c r="F133" s="133">
        <v>1042.89</v>
      </c>
      <c r="G133" s="133">
        <v>951</v>
      </c>
      <c r="H133" s="133">
        <v>853.69</v>
      </c>
      <c r="I133" s="133">
        <v>800.78</v>
      </c>
      <c r="J133" s="133"/>
      <c r="K133" s="132">
        <f t="shared" si="90"/>
        <v>742.5</v>
      </c>
      <c r="L133" s="133">
        <f t="shared" si="92"/>
        <v>1267.5314676259</v>
      </c>
      <c r="M133" s="133">
        <f t="shared" si="93"/>
        <v>1214.94663014423</v>
      </c>
      <c r="N133" s="133">
        <f t="shared" si="94"/>
        <v>1170.70657623932</v>
      </c>
      <c r="O133" s="133">
        <f t="shared" si="95"/>
        <v>1131.48444031783</v>
      </c>
      <c r="P133" s="133">
        <f t="shared" si="96"/>
        <v>1084.84178752378</v>
      </c>
      <c r="Q133" s="133">
        <f t="shared" si="97"/>
        <v>1043.60437515248</v>
      </c>
      <c r="R133" s="133">
        <f t="shared" si="98"/>
        <v>996.02704209091</v>
      </c>
      <c r="S133" s="133">
        <f t="shared" si="99"/>
        <v>952.090201554575</v>
      </c>
      <c r="T133" s="133">
        <f t="shared" si="100"/>
        <v>902.234688447399</v>
      </c>
      <c r="U133" s="133">
        <f t="shared" si="101"/>
        <v>855.178879382393</v>
      </c>
      <c r="V133" s="133">
        <f t="shared" si="102"/>
        <v>805.800656934307</v>
      </c>
    </row>
    <row r="134" ht="13.5" spans="1:22">
      <c r="A134" s="132">
        <v>797.5</v>
      </c>
      <c r="B134" s="133">
        <v>1186.46</v>
      </c>
      <c r="C134" s="133">
        <v>1174.94</v>
      </c>
      <c r="D134" s="133">
        <v>1140.55</v>
      </c>
      <c r="E134" s="133">
        <v>1071.19</v>
      </c>
      <c r="F134" s="133">
        <v>987.15</v>
      </c>
      <c r="G134" s="133">
        <v>898.89</v>
      </c>
      <c r="H134" s="133">
        <v>804.81</v>
      </c>
      <c r="I134" s="133">
        <v>753.74</v>
      </c>
      <c r="J134" s="133"/>
      <c r="K134" s="132">
        <f t="shared" si="90"/>
        <v>797.5</v>
      </c>
      <c r="L134" s="133">
        <f t="shared" si="92"/>
        <v>1201.11277697842</v>
      </c>
      <c r="M134" s="133">
        <f t="shared" si="93"/>
        <v>1150.88950458765</v>
      </c>
      <c r="N134" s="133">
        <f t="shared" si="94"/>
        <v>1108.83117435561</v>
      </c>
      <c r="O134" s="133">
        <f t="shared" si="95"/>
        <v>1071.56477233486</v>
      </c>
      <c r="P134" s="133">
        <f t="shared" si="96"/>
        <v>1027.12310910996</v>
      </c>
      <c r="Q134" s="133">
        <f t="shared" si="97"/>
        <v>987.83068126774</v>
      </c>
      <c r="R134" s="133">
        <f t="shared" si="98"/>
        <v>942.138304874782</v>
      </c>
      <c r="S134" s="133">
        <f t="shared" si="99"/>
        <v>899.937134500019</v>
      </c>
      <c r="T134" s="133">
        <f t="shared" si="100"/>
        <v>851.743350006488</v>
      </c>
      <c r="U134" s="133">
        <f t="shared" si="101"/>
        <v>806.249459174756</v>
      </c>
      <c r="V134" s="133">
        <f t="shared" si="102"/>
        <v>758.586058394161</v>
      </c>
    </row>
    <row r="135" ht="13.5" spans="1:22">
      <c r="A135" s="132">
        <v>852.5</v>
      </c>
      <c r="B135" s="133">
        <v>1114.71</v>
      </c>
      <c r="C135" s="133">
        <v>1103.92</v>
      </c>
      <c r="D135" s="133">
        <v>1071.7</v>
      </c>
      <c r="E135" s="133">
        <v>1006.51</v>
      </c>
      <c r="F135" s="133">
        <v>926.93</v>
      </c>
      <c r="G135" s="133">
        <v>842.72</v>
      </c>
      <c r="H135" s="133">
        <v>752.52</v>
      </c>
      <c r="I135" s="133">
        <v>703.61</v>
      </c>
      <c r="J135" s="133"/>
      <c r="K135" s="132">
        <f t="shared" si="90"/>
        <v>852.5</v>
      </c>
      <c r="L135" s="133">
        <f t="shared" si="92"/>
        <v>1128.43425899281</v>
      </c>
      <c r="M135" s="133">
        <f t="shared" si="93"/>
        <v>1081.38708455406</v>
      </c>
      <c r="N135" s="133">
        <f t="shared" si="94"/>
        <v>1041.88814527454</v>
      </c>
      <c r="O135" s="133">
        <f t="shared" si="95"/>
        <v>1006.86224060712</v>
      </c>
      <c r="P135" s="133">
        <f t="shared" si="96"/>
        <v>964.781737541295</v>
      </c>
      <c r="Q135" s="133">
        <f t="shared" si="97"/>
        <v>927.57455753554</v>
      </c>
      <c r="R135" s="133">
        <f t="shared" si="98"/>
        <v>883.983763352655</v>
      </c>
      <c r="S135" s="133">
        <f t="shared" si="99"/>
        <v>843.719084480474</v>
      </c>
      <c r="T135" s="133">
        <f t="shared" si="100"/>
        <v>797.517748411832</v>
      </c>
      <c r="U135" s="133">
        <f t="shared" si="101"/>
        <v>753.900093724097</v>
      </c>
      <c r="V135" s="133">
        <f t="shared" si="102"/>
        <v>708.251094890511</v>
      </c>
    </row>
    <row r="136" ht="13.5" spans="1:22">
      <c r="A136" s="132">
        <v>907.5</v>
      </c>
      <c r="B136" s="133">
        <v>1035.17</v>
      </c>
      <c r="C136" s="133">
        <v>1025.22</v>
      </c>
      <c r="D136" s="133">
        <v>995.5</v>
      </c>
      <c r="E136" s="133">
        <v>935.16</v>
      </c>
      <c r="F136" s="133">
        <v>860.99</v>
      </c>
      <c r="G136" s="133">
        <v>782.03</v>
      </c>
      <c r="H136" s="133">
        <v>696.95</v>
      </c>
      <c r="I136" s="133">
        <v>650.81</v>
      </c>
      <c r="J136" s="133"/>
      <c r="K136" s="132">
        <f t="shared" si="90"/>
        <v>907.5</v>
      </c>
      <c r="L136" s="133">
        <f t="shared" si="92"/>
        <v>1047.82582733813</v>
      </c>
      <c r="M136" s="133">
        <f t="shared" si="93"/>
        <v>1004.43544857066</v>
      </c>
      <c r="N136" s="133">
        <f t="shared" si="94"/>
        <v>967.906085072341</v>
      </c>
      <c r="O136" s="133">
        <f t="shared" si="95"/>
        <v>935.486034640796</v>
      </c>
      <c r="P136" s="133">
        <f t="shared" si="96"/>
        <v>896.26850431563</v>
      </c>
      <c r="Q136" s="133">
        <f t="shared" si="97"/>
        <v>861.590739286391</v>
      </c>
      <c r="R136" s="133">
        <f t="shared" si="98"/>
        <v>820.721209527677</v>
      </c>
      <c r="S136" s="133">
        <f t="shared" si="99"/>
        <v>782.9667974181</v>
      </c>
      <c r="T136" s="133">
        <f t="shared" si="100"/>
        <v>739.393552493112</v>
      </c>
      <c r="U136" s="133">
        <f t="shared" si="101"/>
        <v>698.251755809824</v>
      </c>
      <c r="V136" s="133">
        <f t="shared" si="102"/>
        <v>655.188248175182</v>
      </c>
    </row>
    <row r="137" ht="13.5" spans="1:22">
      <c r="A137" s="132">
        <v>962.5</v>
      </c>
      <c r="B137" s="133">
        <v>941.19</v>
      </c>
      <c r="C137" s="133">
        <v>932.19</v>
      </c>
      <c r="D137" s="133">
        <v>905.42</v>
      </c>
      <c r="E137" s="133">
        <v>851.42</v>
      </c>
      <c r="F137" s="133">
        <v>785.16</v>
      </c>
      <c r="G137" s="133">
        <v>714.36</v>
      </c>
      <c r="H137" s="133">
        <v>637.32</v>
      </c>
      <c r="I137" s="133">
        <v>595.35</v>
      </c>
      <c r="J137" s="133"/>
      <c r="K137" s="132">
        <f t="shared" si="90"/>
        <v>962.5</v>
      </c>
      <c r="L137" s="133">
        <f t="shared" si="92"/>
        <v>952.637482014389</v>
      </c>
      <c r="M137" s="133">
        <f t="shared" si="93"/>
        <v>913.468518110251</v>
      </c>
      <c r="N137" s="133">
        <f t="shared" si="94"/>
        <v>880.725412560597</v>
      </c>
      <c r="O137" s="133">
        <f t="shared" si="95"/>
        <v>851.711777769357</v>
      </c>
      <c r="P137" s="133">
        <f t="shared" si="96"/>
        <v>816.676161466275</v>
      </c>
      <c r="Q137" s="133">
        <f t="shared" si="97"/>
        <v>785.69667230843</v>
      </c>
      <c r="R137" s="133">
        <f t="shared" si="98"/>
        <v>749.052725868282</v>
      </c>
      <c r="S137" s="133">
        <f t="shared" si="99"/>
        <v>715.199985526868</v>
      </c>
      <c r="T137" s="133">
        <f t="shared" si="100"/>
        <v>675.752666714496</v>
      </c>
      <c r="U137" s="133">
        <f t="shared" si="101"/>
        <v>638.498740803818</v>
      </c>
      <c r="V137" s="133">
        <f t="shared" si="102"/>
        <v>599.332554744526</v>
      </c>
    </row>
    <row r="138" ht="13.5" spans="1:22">
      <c r="A138" s="132">
        <v>1017.5</v>
      </c>
      <c r="B138" s="133">
        <v>817.93</v>
      </c>
      <c r="C138" s="133">
        <v>809.95</v>
      </c>
      <c r="D138" s="133">
        <v>787.14</v>
      </c>
      <c r="E138" s="133">
        <v>742.86</v>
      </c>
      <c r="F138" s="133">
        <v>689.46</v>
      </c>
      <c r="G138" s="133">
        <v>632.66</v>
      </c>
      <c r="H138" s="133">
        <v>570.6</v>
      </c>
      <c r="I138" s="133">
        <v>536.61</v>
      </c>
      <c r="J138" s="133"/>
      <c r="K138" s="132">
        <f t="shared" si="90"/>
        <v>1017.5</v>
      </c>
      <c r="L138" s="133">
        <f t="shared" si="92"/>
        <v>828.080100719424</v>
      </c>
      <c r="M138" s="133">
        <f t="shared" si="93"/>
        <v>793.997926712545</v>
      </c>
      <c r="N138" s="133">
        <f t="shared" si="94"/>
        <v>766.890438299689</v>
      </c>
      <c r="O138" s="133">
        <f t="shared" si="95"/>
        <v>743.099257770873</v>
      </c>
      <c r="P138" s="133">
        <f t="shared" si="96"/>
        <v>714.859381562015</v>
      </c>
      <c r="Q138" s="133">
        <f t="shared" si="97"/>
        <v>689.892512847422</v>
      </c>
      <c r="R138" s="133">
        <f t="shared" si="98"/>
        <v>660.492582335006</v>
      </c>
      <c r="S138" s="133">
        <f t="shared" si="99"/>
        <v>633.333886693871</v>
      </c>
      <c r="T138" s="133">
        <f t="shared" si="100"/>
        <v>601.559648186677</v>
      </c>
      <c r="U138" s="133">
        <f t="shared" si="101"/>
        <v>571.549541203076</v>
      </c>
      <c r="V138" s="133">
        <f t="shared" si="102"/>
        <v>539.835328467153</v>
      </c>
    </row>
    <row r="139" ht="13.5" spans="1:22">
      <c r="A139" s="132">
        <v>1072.5</v>
      </c>
      <c r="B139" s="133">
        <v>628.73</v>
      </c>
      <c r="C139" s="133">
        <v>620.12</v>
      </c>
      <c r="D139" s="133">
        <v>604.28</v>
      </c>
      <c r="E139" s="133">
        <v>579.09</v>
      </c>
      <c r="F139" s="133">
        <v>549.91</v>
      </c>
      <c r="G139" s="133">
        <v>519.47</v>
      </c>
      <c r="H139" s="133">
        <v>488.85</v>
      </c>
      <c r="I139" s="133">
        <v>473.35</v>
      </c>
      <c r="J139" s="133"/>
      <c r="K139" s="132">
        <f t="shared" si="90"/>
        <v>1072.5</v>
      </c>
      <c r="L139" s="133">
        <f t="shared" si="92"/>
        <v>639.681424460432</v>
      </c>
      <c r="M139" s="133">
        <f t="shared" si="93"/>
        <v>609.042365590825</v>
      </c>
      <c r="N139" s="133">
        <f t="shared" si="94"/>
        <v>592.760432266693</v>
      </c>
      <c r="O139" s="133">
        <f t="shared" si="95"/>
        <v>579.226108926113</v>
      </c>
      <c r="P139" s="133">
        <f t="shared" si="96"/>
        <v>563.789287527708</v>
      </c>
      <c r="Q139" s="133">
        <f t="shared" si="97"/>
        <v>550.146343162692</v>
      </c>
      <c r="R139" s="133">
        <f t="shared" si="98"/>
        <v>534.385912082352</v>
      </c>
      <c r="S139" s="133">
        <f t="shared" si="99"/>
        <v>519.831146319744</v>
      </c>
      <c r="T139" s="133">
        <f t="shared" si="100"/>
        <v>504.125288873285</v>
      </c>
      <c r="U139" s="133">
        <f t="shared" si="101"/>
        <v>489.318497448247</v>
      </c>
      <c r="V139" s="133">
        <f t="shared" si="102"/>
        <v>474.820802919708</v>
      </c>
    </row>
    <row r="140" s="91" customFormat="1" spans="1:22">
      <c r="A140" s="129"/>
      <c r="B140" s="129"/>
      <c r="C140" s="129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</row>
    <row r="141" s="91" customFormat="1" spans="1:22">
      <c r="A141" s="129" t="s">
        <v>142</v>
      </c>
      <c r="B141" s="129"/>
      <c r="C141" s="129"/>
      <c r="D141" s="129"/>
      <c r="E141" s="129"/>
      <c r="F141" s="129"/>
      <c r="G141" s="129"/>
      <c r="H141" s="129"/>
      <c r="I141" s="129"/>
      <c r="J141" s="129"/>
      <c r="K141" s="129" t="str">
        <f>A141</f>
        <v>96h</v>
      </c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</row>
    <row r="142" s="91" customFormat="1" spans="1:22">
      <c r="A142" s="132" t="s">
        <v>128</v>
      </c>
      <c r="B142" s="133">
        <v>17.68</v>
      </c>
      <c r="C142" s="133">
        <v>31.58</v>
      </c>
      <c r="D142" s="133">
        <v>54.25</v>
      </c>
      <c r="E142" s="133">
        <v>82.31</v>
      </c>
      <c r="F142" s="133">
        <v>106.26</v>
      </c>
      <c r="G142" s="133">
        <v>125.73</v>
      </c>
      <c r="H142" s="133">
        <v>142.56</v>
      </c>
      <c r="I142" s="133">
        <v>150.78</v>
      </c>
      <c r="J142" s="133"/>
      <c r="K142" s="132" t="str">
        <f t="shared" ref="K142:K162" si="103">A142</f>
        <v>R/Z[cm]</v>
      </c>
      <c r="L142" s="141">
        <v>0</v>
      </c>
      <c r="M142" s="141">
        <f t="shared" ref="M142:V142" si="104">SQRT(L142*L142+150*150/10)</f>
        <v>47.4341649025257</v>
      </c>
      <c r="N142" s="141">
        <f t="shared" si="104"/>
        <v>67.0820393249937</v>
      </c>
      <c r="O142" s="141">
        <f t="shared" si="104"/>
        <v>82.1583836257749</v>
      </c>
      <c r="P142" s="141">
        <f t="shared" si="104"/>
        <v>94.8683298050514</v>
      </c>
      <c r="Q142" s="141">
        <f t="shared" si="104"/>
        <v>106.066017177982</v>
      </c>
      <c r="R142" s="141">
        <f t="shared" si="104"/>
        <v>116.189500386223</v>
      </c>
      <c r="S142" s="141">
        <f t="shared" si="104"/>
        <v>125.499003980111</v>
      </c>
      <c r="T142" s="141">
        <f t="shared" si="104"/>
        <v>134.164078649987</v>
      </c>
      <c r="U142" s="141">
        <f t="shared" si="104"/>
        <v>142.302494707577</v>
      </c>
      <c r="V142" s="141">
        <f t="shared" si="104"/>
        <v>150</v>
      </c>
    </row>
    <row r="143" s="91" customFormat="1" spans="1:22">
      <c r="A143" s="132">
        <v>27.5</v>
      </c>
      <c r="B143" s="133">
        <v>683.86</v>
      </c>
      <c r="C143" s="133">
        <v>678.58</v>
      </c>
      <c r="D143" s="133">
        <v>662.82</v>
      </c>
      <c r="E143" s="133">
        <v>630.82</v>
      </c>
      <c r="F143" s="133">
        <v>591.38</v>
      </c>
      <c r="G143" s="133">
        <v>549.2</v>
      </c>
      <c r="H143" s="133">
        <v>503.43</v>
      </c>
      <c r="I143" s="133">
        <v>478.7</v>
      </c>
      <c r="J143" s="133"/>
      <c r="K143" s="132">
        <f t="shared" si="103"/>
        <v>27.5</v>
      </c>
      <c r="L143" s="133">
        <f t="shared" ref="L143:L162" si="105">TREND(B143:C143,B$4:C$4,L$4)</f>
        <v>690.575856115108</v>
      </c>
      <c r="M143" s="133">
        <f t="shared" ref="M143:M162" si="106">TREND(C143:D143,C$4:D$4,M$4)</f>
        <v>667.558313239356</v>
      </c>
      <c r="N143" s="133">
        <f t="shared" ref="N143:N162" si="107">TREND(D143:E143,D$4:E$4,N$4)</f>
        <v>648.18617040628</v>
      </c>
      <c r="O143" s="133">
        <f t="shared" ref="O143:O162" si="108">TREND(D143:E143,D$4:E$4,O$4)</f>
        <v>630.992905344804</v>
      </c>
      <c r="P143" s="133">
        <f t="shared" ref="P143:P162" si="109">TREND(E143:F143,E$4:F$4,P$4)</f>
        <v>610.139393423331</v>
      </c>
      <c r="Q143" s="133">
        <f t="shared" ref="Q143:Q162" si="110">TREND(E143:F143,E$4:F$4,Q$4)</f>
        <v>591.699443945736</v>
      </c>
      <c r="R143" s="133">
        <f t="shared" ref="R143:R162" si="111">TREND(F143:G143,F$4:G$4,R$4)</f>
        <v>569.868632445256</v>
      </c>
      <c r="S143" s="133">
        <f t="shared" ref="S143:S162" si="112">TREND(F143:G143,F$4:G$4,S$4)</f>
        <v>549.700432055414</v>
      </c>
      <c r="T143" s="133">
        <f t="shared" ref="T143:T162" si="113">TREND(G143:H143,G$4:H$4,T$4)</f>
        <v>526.263114687467</v>
      </c>
      <c r="U143" s="133">
        <f t="shared" ref="U143:U162" si="114">TREND(G143:H143,G$4:H$4,U$4)</f>
        <v>504.130298112549</v>
      </c>
      <c r="V143" s="133">
        <f t="shared" ref="V143:V162" si="115">TREND(H143:I143,H$4:I$4,V$4)</f>
        <v>481.046642335766</v>
      </c>
    </row>
    <row r="144" s="91" customFormat="1" spans="1:22">
      <c r="A144" s="132">
        <v>82.5</v>
      </c>
      <c r="B144" s="133">
        <v>918.61</v>
      </c>
      <c r="C144" s="133">
        <v>909.7</v>
      </c>
      <c r="D144" s="133">
        <v>883.36</v>
      </c>
      <c r="E144" s="133">
        <v>830.02</v>
      </c>
      <c r="F144" s="133">
        <v>764.23</v>
      </c>
      <c r="G144" s="133">
        <v>693.79</v>
      </c>
      <c r="H144" s="133">
        <v>616.98</v>
      </c>
      <c r="I144" s="133">
        <v>575.11</v>
      </c>
      <c r="J144" s="133"/>
      <c r="K144" s="132">
        <f t="shared" si="103"/>
        <v>82.5</v>
      </c>
      <c r="L144" s="133">
        <f t="shared" si="105"/>
        <v>929.943007194245</v>
      </c>
      <c r="M144" s="133">
        <f t="shared" si="106"/>
        <v>891.279236721106</v>
      </c>
      <c r="N144" s="133">
        <f t="shared" si="107"/>
        <v>858.967235295967</v>
      </c>
      <c r="O144" s="133">
        <f t="shared" si="108"/>
        <v>830.30821159662</v>
      </c>
      <c r="P144" s="133">
        <f t="shared" si="109"/>
        <v>795.522608857022</v>
      </c>
      <c r="Q144" s="133">
        <f t="shared" si="110"/>
        <v>764.762865547414</v>
      </c>
      <c r="R144" s="133">
        <f t="shared" si="111"/>
        <v>728.306322177426</v>
      </c>
      <c r="S144" s="133">
        <f t="shared" si="112"/>
        <v>694.625714414019</v>
      </c>
      <c r="T144" s="133">
        <f t="shared" si="113"/>
        <v>655.29792744471</v>
      </c>
      <c r="U144" s="133">
        <f t="shared" si="114"/>
        <v>618.155221717826</v>
      </c>
      <c r="V144" s="133">
        <f t="shared" si="115"/>
        <v>579.083065693431</v>
      </c>
    </row>
    <row r="145" s="91" customFormat="1" spans="1:22">
      <c r="A145" s="132">
        <v>137.5</v>
      </c>
      <c r="B145" s="133">
        <v>1061.77</v>
      </c>
      <c r="C145" s="133">
        <v>1051.22</v>
      </c>
      <c r="D145" s="133">
        <v>1019.93</v>
      </c>
      <c r="E145" s="133">
        <v>956.75</v>
      </c>
      <c r="F145" s="133">
        <v>879.35</v>
      </c>
      <c r="G145" s="133">
        <v>797.12</v>
      </c>
      <c r="H145" s="133">
        <v>708.77</v>
      </c>
      <c r="I145" s="133">
        <v>661.03</v>
      </c>
      <c r="J145" s="133"/>
      <c r="K145" s="132">
        <f t="shared" si="103"/>
        <v>137.5</v>
      </c>
      <c r="L145" s="133">
        <f t="shared" si="105"/>
        <v>1075.18899280576</v>
      </c>
      <c r="M145" s="133">
        <f t="shared" si="106"/>
        <v>1029.33747596824</v>
      </c>
      <c r="N145" s="133">
        <f t="shared" si="107"/>
        <v>991.037332695898</v>
      </c>
      <c r="O145" s="133">
        <f t="shared" si="108"/>
        <v>957.091379990148</v>
      </c>
      <c r="P145" s="133">
        <f t="shared" si="109"/>
        <v>916.164833949437</v>
      </c>
      <c r="Q145" s="133">
        <f t="shared" si="110"/>
        <v>879.976900644016</v>
      </c>
      <c r="R145" s="133">
        <f t="shared" si="111"/>
        <v>837.413543052949</v>
      </c>
      <c r="S145" s="133">
        <f t="shared" si="112"/>
        <v>798.095593359807</v>
      </c>
      <c r="T145" s="133">
        <f t="shared" si="113"/>
        <v>752.844845589638</v>
      </c>
      <c r="U145" s="133">
        <f t="shared" si="114"/>
        <v>710.121788032416</v>
      </c>
      <c r="V145" s="133">
        <f t="shared" si="115"/>
        <v>665.560072992701</v>
      </c>
    </row>
    <row r="146" s="91" customFormat="1" spans="1:22">
      <c r="A146" s="132">
        <v>192.5</v>
      </c>
      <c r="B146" s="133">
        <v>1172.39</v>
      </c>
      <c r="C146" s="133">
        <v>1160.8</v>
      </c>
      <c r="D146" s="133">
        <v>1126.39</v>
      </c>
      <c r="E146" s="133">
        <v>1057.2</v>
      </c>
      <c r="F146" s="133">
        <v>973.27</v>
      </c>
      <c r="G146" s="133">
        <v>884.93</v>
      </c>
      <c r="H146" s="133">
        <v>790.7</v>
      </c>
      <c r="I146" s="133">
        <v>739.68</v>
      </c>
      <c r="J146" s="133"/>
      <c r="K146" s="132">
        <f t="shared" si="103"/>
        <v>192.5</v>
      </c>
      <c r="L146" s="133">
        <f t="shared" si="105"/>
        <v>1187.13181294964</v>
      </c>
      <c r="M146" s="133">
        <f t="shared" si="106"/>
        <v>1136.73551767552</v>
      </c>
      <c r="N146" s="133">
        <f t="shared" si="107"/>
        <v>1094.74891657533</v>
      </c>
      <c r="O146" s="133">
        <f t="shared" si="108"/>
        <v>1057.57385377522</v>
      </c>
      <c r="P146" s="133">
        <f t="shared" si="109"/>
        <v>1013.19078828652</v>
      </c>
      <c r="Q146" s="133">
        <f t="shared" si="110"/>
        <v>973.949790323673</v>
      </c>
      <c r="R146" s="133">
        <f t="shared" si="111"/>
        <v>928.217505694972</v>
      </c>
      <c r="S146" s="133">
        <f t="shared" si="112"/>
        <v>885.978083636208</v>
      </c>
      <c r="T146" s="133">
        <f t="shared" si="113"/>
        <v>837.708179965044</v>
      </c>
      <c r="U146" s="133">
        <f t="shared" si="114"/>
        <v>792.141754230839</v>
      </c>
      <c r="V146" s="133">
        <f t="shared" si="115"/>
        <v>744.521313868613</v>
      </c>
    </row>
    <row r="147" s="91" customFormat="1" spans="1:22">
      <c r="A147" s="132">
        <v>241.5</v>
      </c>
      <c r="B147" s="133">
        <v>1254.79</v>
      </c>
      <c r="C147" s="133">
        <v>1242.79</v>
      </c>
      <c r="D147" s="133">
        <v>1206.95</v>
      </c>
      <c r="E147" s="133">
        <v>1134.71</v>
      </c>
      <c r="F147" s="133">
        <v>1047.4</v>
      </c>
      <c r="G147" s="133">
        <v>956.26</v>
      </c>
      <c r="H147" s="133">
        <v>859.14</v>
      </c>
      <c r="I147" s="133">
        <v>805.76</v>
      </c>
      <c r="J147" s="133"/>
      <c r="K147" s="132">
        <f t="shared" si="103"/>
        <v>241.5</v>
      </c>
      <c r="L147" s="133">
        <f t="shared" si="105"/>
        <v>1270.05330935252</v>
      </c>
      <c r="M147" s="133">
        <f t="shared" si="106"/>
        <v>1217.72545345803</v>
      </c>
      <c r="N147" s="133">
        <f t="shared" si="107"/>
        <v>1173.91412969218</v>
      </c>
      <c r="O147" s="133">
        <f t="shared" si="108"/>
        <v>1135.1003338159</v>
      </c>
      <c r="P147" s="133">
        <f t="shared" si="109"/>
        <v>1088.92846449774</v>
      </c>
      <c r="Q147" s="133">
        <f t="shared" si="110"/>
        <v>1048.10716660503</v>
      </c>
      <c r="R147" s="133">
        <f t="shared" si="111"/>
        <v>1000.91953440163</v>
      </c>
      <c r="S147" s="133">
        <f t="shared" si="112"/>
        <v>957.341303402807</v>
      </c>
      <c r="T147" s="133">
        <f t="shared" si="113"/>
        <v>907.589903833228</v>
      </c>
      <c r="U147" s="133">
        <f t="shared" si="114"/>
        <v>860.625972311356</v>
      </c>
      <c r="V147" s="133">
        <f t="shared" si="115"/>
        <v>810.825255474453</v>
      </c>
    </row>
    <row r="148" s="91" customFormat="1" spans="1:22">
      <c r="A148" s="132">
        <v>296.5</v>
      </c>
      <c r="B148" s="133">
        <v>1327.96</v>
      </c>
      <c r="C148" s="133">
        <v>1315.89</v>
      </c>
      <c r="D148" s="133">
        <v>1279.74</v>
      </c>
      <c r="E148" s="133">
        <v>1206.41</v>
      </c>
      <c r="F148" s="133">
        <v>1117.69</v>
      </c>
      <c r="G148" s="133">
        <v>1026.4</v>
      </c>
      <c r="H148" s="133">
        <v>932.11</v>
      </c>
      <c r="I148" s="133">
        <v>881.49</v>
      </c>
      <c r="J148" s="133"/>
      <c r="K148" s="132">
        <f t="shared" si="103"/>
        <v>296.5</v>
      </c>
      <c r="L148" s="133">
        <f t="shared" si="105"/>
        <v>1343.31234532374</v>
      </c>
      <c r="M148" s="133">
        <f t="shared" si="106"/>
        <v>1290.60865631997</v>
      </c>
      <c r="N148" s="133">
        <f t="shared" si="107"/>
        <v>1246.20566487164</v>
      </c>
      <c r="O148" s="133">
        <f t="shared" si="108"/>
        <v>1206.8062234042</v>
      </c>
      <c r="P148" s="133">
        <f t="shared" si="109"/>
        <v>1159.88912232551</v>
      </c>
      <c r="Q148" s="133">
        <f t="shared" si="110"/>
        <v>1118.40858688808</v>
      </c>
      <c r="R148" s="133">
        <f t="shared" si="111"/>
        <v>1071.13303593948</v>
      </c>
      <c r="S148" s="133">
        <f t="shared" si="112"/>
        <v>1027.48308303316</v>
      </c>
      <c r="T148" s="133">
        <f t="shared" si="113"/>
        <v>979.148111948467</v>
      </c>
      <c r="U148" s="133">
        <f t="shared" si="114"/>
        <v>933.552672253272</v>
      </c>
      <c r="V148" s="133">
        <f t="shared" si="115"/>
        <v>886.293357664234</v>
      </c>
    </row>
    <row r="149" s="91" customFormat="1" spans="1:22">
      <c r="A149" s="132">
        <v>357.5</v>
      </c>
      <c r="B149" s="133">
        <v>1385.2</v>
      </c>
      <c r="C149" s="133">
        <v>1373.08</v>
      </c>
      <c r="D149" s="133">
        <v>1336.74</v>
      </c>
      <c r="E149" s="133">
        <v>1262.99</v>
      </c>
      <c r="F149" s="133">
        <v>1173.26</v>
      </c>
      <c r="G149" s="133">
        <v>1080.56</v>
      </c>
      <c r="H149" s="133">
        <v>985.2</v>
      </c>
      <c r="I149" s="133">
        <v>933.72</v>
      </c>
      <c r="J149" s="133"/>
      <c r="K149" s="132">
        <f t="shared" si="103"/>
        <v>357.5</v>
      </c>
      <c r="L149" s="133">
        <f t="shared" si="105"/>
        <v>1400.61594244604</v>
      </c>
      <c r="M149" s="133">
        <f t="shared" si="106"/>
        <v>1347.66578065471</v>
      </c>
      <c r="N149" s="133">
        <f t="shared" si="107"/>
        <v>1303.01359585822</v>
      </c>
      <c r="O149" s="133">
        <f t="shared" si="108"/>
        <v>1263.38849278685</v>
      </c>
      <c r="P149" s="133">
        <f t="shared" si="109"/>
        <v>1215.93952261348</v>
      </c>
      <c r="Q149" s="133">
        <f t="shared" si="110"/>
        <v>1173.98676737452</v>
      </c>
      <c r="R149" s="133">
        <f t="shared" si="111"/>
        <v>1125.98395039534</v>
      </c>
      <c r="S149" s="133">
        <f t="shared" si="112"/>
        <v>1081.65981155848</v>
      </c>
      <c r="T149" s="133">
        <f t="shared" si="113"/>
        <v>1032.77189898617</v>
      </c>
      <c r="U149" s="133">
        <f t="shared" si="114"/>
        <v>986.659043653325</v>
      </c>
      <c r="V149" s="133">
        <f t="shared" si="115"/>
        <v>938.60496350365</v>
      </c>
    </row>
    <row r="150" s="91" customFormat="1" spans="1:22">
      <c r="A150" s="132">
        <v>412.5</v>
      </c>
      <c r="B150" s="133">
        <v>1411.71</v>
      </c>
      <c r="C150" s="133">
        <v>1399.57</v>
      </c>
      <c r="D150" s="133">
        <v>1363.19</v>
      </c>
      <c r="E150" s="133">
        <v>1289.46</v>
      </c>
      <c r="F150" s="133">
        <v>1199.64</v>
      </c>
      <c r="G150" s="133">
        <v>1106.62</v>
      </c>
      <c r="H150" s="133">
        <v>1011.13</v>
      </c>
      <c r="I150" s="133">
        <v>959.53</v>
      </c>
      <c r="J150" s="133"/>
      <c r="K150" s="132">
        <f t="shared" si="103"/>
        <v>412.5</v>
      </c>
      <c r="L150" s="133">
        <f t="shared" si="105"/>
        <v>1427.15138129496</v>
      </c>
      <c r="M150" s="133">
        <f t="shared" si="106"/>
        <v>1374.12780683044</v>
      </c>
      <c r="N150" s="133">
        <f t="shared" si="107"/>
        <v>1329.47274200172</v>
      </c>
      <c r="O150" s="133">
        <f t="shared" si="108"/>
        <v>1289.85838472101</v>
      </c>
      <c r="P150" s="133">
        <f t="shared" si="109"/>
        <v>1242.36233055993</v>
      </c>
      <c r="Q150" s="133">
        <f t="shared" si="110"/>
        <v>1200.36749632875</v>
      </c>
      <c r="R150" s="133">
        <f t="shared" si="111"/>
        <v>1152.2007536761</v>
      </c>
      <c r="S150" s="133">
        <f t="shared" si="112"/>
        <v>1107.72360810324</v>
      </c>
      <c r="T150" s="133">
        <f t="shared" si="113"/>
        <v>1058.76675161692</v>
      </c>
      <c r="U150" s="133">
        <f t="shared" si="114"/>
        <v>1012.59103270193</v>
      </c>
      <c r="V150" s="133">
        <f t="shared" si="115"/>
        <v>964.426350364964</v>
      </c>
    </row>
    <row r="151" s="91" customFormat="1" spans="1:22">
      <c r="A151" s="132">
        <v>467.5</v>
      </c>
      <c r="B151" s="133">
        <v>1415.57</v>
      </c>
      <c r="C151" s="133">
        <v>1403.45</v>
      </c>
      <c r="D151" s="133">
        <v>1367.16</v>
      </c>
      <c r="E151" s="133">
        <v>1293.61</v>
      </c>
      <c r="F151" s="133">
        <v>1204.12</v>
      </c>
      <c r="G151" s="133">
        <v>1111.62</v>
      </c>
      <c r="H151" s="133">
        <v>1017.01</v>
      </c>
      <c r="I151" s="133">
        <v>966</v>
      </c>
      <c r="J151" s="133"/>
      <c r="K151" s="132">
        <f t="shared" si="103"/>
        <v>467.5</v>
      </c>
      <c r="L151" s="133">
        <f t="shared" si="105"/>
        <v>1430.98594244604</v>
      </c>
      <c r="M151" s="133">
        <f t="shared" si="106"/>
        <v>1378.07074793504</v>
      </c>
      <c r="N151" s="133">
        <f t="shared" si="107"/>
        <v>1333.52505729318</v>
      </c>
      <c r="O151" s="133">
        <f t="shared" si="108"/>
        <v>1294.00741212845</v>
      </c>
      <c r="P151" s="133">
        <f t="shared" si="109"/>
        <v>1246.6853680896</v>
      </c>
      <c r="Q151" s="133">
        <f t="shared" si="110"/>
        <v>1204.84482349655</v>
      </c>
      <c r="R151" s="133">
        <f t="shared" si="111"/>
        <v>1156.94594834486</v>
      </c>
      <c r="S151" s="133">
        <f t="shared" si="112"/>
        <v>1112.71743871801</v>
      </c>
      <c r="T151" s="133">
        <f t="shared" si="113"/>
        <v>1064.20774919339</v>
      </c>
      <c r="U151" s="133">
        <f t="shared" si="114"/>
        <v>1018.45756837291</v>
      </c>
      <c r="V151" s="133">
        <f t="shared" si="115"/>
        <v>970.840364963504</v>
      </c>
    </row>
    <row r="152" s="91" customFormat="1" spans="1:22">
      <c r="A152" s="132">
        <v>522.5</v>
      </c>
      <c r="B152" s="133">
        <v>1398.3</v>
      </c>
      <c r="C152" s="133">
        <v>1386.15</v>
      </c>
      <c r="D152" s="133">
        <v>1349.75</v>
      </c>
      <c r="E152" s="133">
        <v>1275.91</v>
      </c>
      <c r="F152" s="133">
        <v>1186.14</v>
      </c>
      <c r="G152" s="133">
        <v>1093.74</v>
      </c>
      <c r="H152" s="133">
        <v>1000</v>
      </c>
      <c r="I152" s="133">
        <v>950.21</v>
      </c>
      <c r="J152" s="133"/>
      <c r="K152" s="132">
        <f t="shared" si="103"/>
        <v>522.5</v>
      </c>
      <c r="L152" s="133">
        <f t="shared" si="105"/>
        <v>1413.75410071942</v>
      </c>
      <c r="M152" s="133">
        <f t="shared" si="106"/>
        <v>1360.69381991831</v>
      </c>
      <c r="N152" s="133">
        <f t="shared" si="107"/>
        <v>1315.98243821249</v>
      </c>
      <c r="O152" s="133">
        <f t="shared" si="108"/>
        <v>1276.30897908314</v>
      </c>
      <c r="P152" s="133">
        <f t="shared" si="109"/>
        <v>1228.83854836745</v>
      </c>
      <c r="Q152" s="133">
        <f t="shared" si="110"/>
        <v>1186.86709135418</v>
      </c>
      <c r="R152" s="133">
        <f t="shared" si="111"/>
        <v>1139.01694731962</v>
      </c>
      <c r="S152" s="133">
        <f t="shared" si="112"/>
        <v>1094.83625229778</v>
      </c>
      <c r="T152" s="133">
        <f t="shared" si="113"/>
        <v>1046.76373543376</v>
      </c>
      <c r="U152" s="133">
        <f t="shared" si="114"/>
        <v>1001.43425704764</v>
      </c>
      <c r="V152" s="133">
        <f t="shared" si="115"/>
        <v>954.934598540146</v>
      </c>
    </row>
    <row r="153" s="91" customFormat="1" spans="1:22">
      <c r="A153" s="132">
        <v>577.5</v>
      </c>
      <c r="B153" s="133">
        <v>1364.32</v>
      </c>
      <c r="C153" s="133">
        <v>1352.08</v>
      </c>
      <c r="D153" s="133">
        <v>1315.41</v>
      </c>
      <c r="E153" s="133">
        <v>1240.73</v>
      </c>
      <c r="F153" s="133">
        <v>1149.5</v>
      </c>
      <c r="G153" s="133">
        <v>1054.35</v>
      </c>
      <c r="H153" s="133">
        <v>953.86</v>
      </c>
      <c r="I153" s="133">
        <v>898.16</v>
      </c>
      <c r="J153" s="133"/>
      <c r="K153" s="132">
        <f t="shared" si="103"/>
        <v>577.5</v>
      </c>
      <c r="L153" s="133">
        <f t="shared" si="105"/>
        <v>1379.88857553957</v>
      </c>
      <c r="M153" s="133">
        <f t="shared" si="106"/>
        <v>1326.43499660452</v>
      </c>
      <c r="N153" s="133">
        <f t="shared" si="107"/>
        <v>1281.25830018565</v>
      </c>
      <c r="O153" s="133">
        <f t="shared" si="108"/>
        <v>1241.13351784844</v>
      </c>
      <c r="P153" s="133">
        <f t="shared" si="109"/>
        <v>1192.89298838769</v>
      </c>
      <c r="Q153" s="133">
        <f t="shared" si="110"/>
        <v>1150.2389166118</v>
      </c>
      <c r="R153" s="133">
        <f t="shared" si="111"/>
        <v>1100.97447551366</v>
      </c>
      <c r="S153" s="133">
        <f t="shared" si="112"/>
        <v>1055.47887885426</v>
      </c>
      <c r="T153" s="133">
        <f t="shared" si="113"/>
        <v>1003.99108356879</v>
      </c>
      <c r="U153" s="133">
        <f t="shared" si="114"/>
        <v>955.397534571336</v>
      </c>
      <c r="V153" s="133">
        <f t="shared" si="115"/>
        <v>903.445401459854</v>
      </c>
    </row>
    <row r="154" s="91" customFormat="1" spans="1:22">
      <c r="A154" s="132">
        <v>632.5</v>
      </c>
      <c r="B154" s="133">
        <v>1320.02</v>
      </c>
      <c r="C154" s="133">
        <v>1307.95</v>
      </c>
      <c r="D154" s="133">
        <v>1271.7</v>
      </c>
      <c r="E154" s="133">
        <v>1197.91</v>
      </c>
      <c r="F154" s="133">
        <v>1108.24</v>
      </c>
      <c r="G154" s="133">
        <v>1015.17</v>
      </c>
      <c r="H154" s="133">
        <v>917.36</v>
      </c>
      <c r="I154" s="133">
        <v>864.03</v>
      </c>
      <c r="J154" s="133"/>
      <c r="K154" s="132">
        <f t="shared" si="103"/>
        <v>632.5</v>
      </c>
      <c r="L154" s="133">
        <f t="shared" si="105"/>
        <v>1335.37234532374</v>
      </c>
      <c r="M154" s="133">
        <f t="shared" si="106"/>
        <v>1282.5987217593</v>
      </c>
      <c r="N154" s="133">
        <f t="shared" si="107"/>
        <v>1237.95530357123</v>
      </c>
      <c r="O154" s="133">
        <f t="shared" si="108"/>
        <v>1198.30870891853</v>
      </c>
      <c r="P154" s="133">
        <f t="shared" si="109"/>
        <v>1150.89098398251</v>
      </c>
      <c r="Q154" s="133">
        <f t="shared" si="110"/>
        <v>1108.96628140502</v>
      </c>
      <c r="R154" s="133">
        <f t="shared" si="111"/>
        <v>1060.77525418871</v>
      </c>
      <c r="S154" s="133">
        <f t="shared" si="112"/>
        <v>1016.27420131336</v>
      </c>
      <c r="T154" s="133">
        <f t="shared" si="113"/>
        <v>966.154121642587</v>
      </c>
      <c r="U154" s="133">
        <f t="shared" si="114"/>
        <v>918.856529569334</v>
      </c>
      <c r="V154" s="133">
        <f t="shared" si="115"/>
        <v>869.090510948905</v>
      </c>
    </row>
    <row r="155" s="91" customFormat="1" ht="13.5" customHeight="1" spans="1:22">
      <c r="A155" s="132">
        <v>687.5</v>
      </c>
      <c r="B155" s="133">
        <v>1268.55</v>
      </c>
      <c r="C155" s="133">
        <v>1256.78</v>
      </c>
      <c r="D155" s="133">
        <v>1221.44</v>
      </c>
      <c r="E155" s="133">
        <v>1149.87</v>
      </c>
      <c r="F155" s="133">
        <v>1063.33</v>
      </c>
      <c r="G155" s="133">
        <v>973.37</v>
      </c>
      <c r="H155" s="133">
        <v>878.49</v>
      </c>
      <c r="I155" s="133">
        <v>826.87</v>
      </c>
      <c r="J155" s="133"/>
      <c r="K155" s="132">
        <f t="shared" si="103"/>
        <v>687.5</v>
      </c>
      <c r="L155" s="133">
        <f t="shared" si="105"/>
        <v>1283.52076258993</v>
      </c>
      <c r="M155" s="133">
        <f t="shared" si="106"/>
        <v>1232.06512626135</v>
      </c>
      <c r="N155" s="133">
        <f t="shared" si="107"/>
        <v>1188.71052549929</v>
      </c>
      <c r="O155" s="133">
        <f t="shared" si="108"/>
        <v>1150.25671361024</v>
      </c>
      <c r="P155" s="133">
        <f t="shared" si="109"/>
        <v>1104.49221873365</v>
      </c>
      <c r="Q155" s="133">
        <f t="shared" si="110"/>
        <v>1064.03092999655</v>
      </c>
      <c r="R155" s="133">
        <f t="shared" si="111"/>
        <v>1017.45132230382</v>
      </c>
      <c r="S155" s="133">
        <f t="shared" si="112"/>
        <v>974.437303644026</v>
      </c>
      <c r="T155" s="133">
        <f t="shared" si="113"/>
        <v>925.822443118788</v>
      </c>
      <c r="U155" s="133">
        <f t="shared" si="114"/>
        <v>879.941699473861</v>
      </c>
      <c r="V155" s="133">
        <f t="shared" si="115"/>
        <v>831.768248175183</v>
      </c>
    </row>
    <row r="156" s="91" customFormat="1" ht="13.5" customHeight="1" spans="1:22">
      <c r="A156" s="132">
        <v>742.5</v>
      </c>
      <c r="B156" s="133">
        <v>1210.74</v>
      </c>
      <c r="C156" s="133">
        <v>1199.35</v>
      </c>
      <c r="D156" s="133">
        <v>1165.31</v>
      </c>
      <c r="E156" s="133">
        <v>1096.68</v>
      </c>
      <c r="F156" s="133">
        <v>1013.69</v>
      </c>
      <c r="G156" s="133">
        <v>926.91</v>
      </c>
      <c r="H156" s="133">
        <v>834.82</v>
      </c>
      <c r="I156" s="133">
        <v>784.76</v>
      </c>
      <c r="J156" s="133"/>
      <c r="K156" s="132">
        <f t="shared" si="103"/>
        <v>742.5</v>
      </c>
      <c r="L156" s="133">
        <f t="shared" si="105"/>
        <v>1225.22742446043</v>
      </c>
      <c r="M156" s="133">
        <f t="shared" si="106"/>
        <v>1175.54427554998</v>
      </c>
      <c r="N156" s="133">
        <f t="shared" si="107"/>
        <v>1133.92500859322</v>
      </c>
      <c r="O156" s="133">
        <f t="shared" si="108"/>
        <v>1097.05082793168</v>
      </c>
      <c r="P156" s="133">
        <f t="shared" si="109"/>
        <v>1053.16368306801</v>
      </c>
      <c r="Q156" s="133">
        <f t="shared" si="110"/>
        <v>1014.36217680164</v>
      </c>
      <c r="R156" s="133">
        <f t="shared" si="111"/>
        <v>969.433089701264</v>
      </c>
      <c r="S156" s="133">
        <f t="shared" si="112"/>
        <v>927.939575480531</v>
      </c>
      <c r="T156" s="133">
        <f t="shared" si="113"/>
        <v>880.760605889641</v>
      </c>
      <c r="U156" s="133">
        <f t="shared" si="114"/>
        <v>836.229011430733</v>
      </c>
      <c r="V156" s="133">
        <f t="shared" si="115"/>
        <v>789.510218978102</v>
      </c>
    </row>
    <row r="157" s="91" customFormat="1" spans="1:22">
      <c r="A157" s="132">
        <v>797.5</v>
      </c>
      <c r="B157" s="133">
        <v>1147.25</v>
      </c>
      <c r="C157" s="133">
        <v>1136.42</v>
      </c>
      <c r="D157" s="133">
        <v>1104.12</v>
      </c>
      <c r="E157" s="133">
        <v>1038.88</v>
      </c>
      <c r="F157" s="133">
        <v>959.57</v>
      </c>
      <c r="G157" s="133">
        <v>876.04</v>
      </c>
      <c r="H157" s="133">
        <v>786.91</v>
      </c>
      <c r="I157" s="133">
        <v>738.54</v>
      </c>
      <c r="J157" s="133"/>
      <c r="K157" s="132">
        <f t="shared" si="103"/>
        <v>797.5</v>
      </c>
      <c r="L157" s="133">
        <f t="shared" si="105"/>
        <v>1161.02513669065</v>
      </c>
      <c r="M157" s="133">
        <f t="shared" si="106"/>
        <v>1113.83113690553</v>
      </c>
      <c r="N157" s="133">
        <f t="shared" si="107"/>
        <v>1074.2852799158</v>
      </c>
      <c r="O157" s="133">
        <f t="shared" si="108"/>
        <v>1039.23251077172</v>
      </c>
      <c r="P157" s="133">
        <f t="shared" si="109"/>
        <v>997.293313701936</v>
      </c>
      <c r="Q157" s="133">
        <f t="shared" si="110"/>
        <v>960.212370672828</v>
      </c>
      <c r="R157" s="133">
        <f t="shared" si="111"/>
        <v>916.970556381039</v>
      </c>
      <c r="S157" s="133">
        <f t="shared" si="112"/>
        <v>877.031016822871</v>
      </c>
      <c r="T157" s="133">
        <f t="shared" si="113"/>
        <v>831.373961374131</v>
      </c>
      <c r="U157" s="133">
        <f t="shared" si="114"/>
        <v>788.273722324044</v>
      </c>
      <c r="V157" s="133">
        <f t="shared" si="115"/>
        <v>743.129854014599</v>
      </c>
    </row>
    <row r="158" s="91" customFormat="1" spans="1:22">
      <c r="A158" s="132">
        <v>852.5</v>
      </c>
      <c r="B158" s="133">
        <v>1078.24</v>
      </c>
      <c r="C158" s="133">
        <v>1068.1</v>
      </c>
      <c r="D158" s="133">
        <v>1037.79</v>
      </c>
      <c r="E158" s="133">
        <v>976.3</v>
      </c>
      <c r="F158" s="133">
        <v>901.01</v>
      </c>
      <c r="G158" s="133">
        <v>821.2</v>
      </c>
      <c r="H158" s="133">
        <v>735.68</v>
      </c>
      <c r="I158" s="133">
        <v>689.32</v>
      </c>
      <c r="J158" s="133"/>
      <c r="K158" s="132">
        <f t="shared" si="103"/>
        <v>852.5</v>
      </c>
      <c r="L158" s="133">
        <f t="shared" si="105"/>
        <v>1091.13749640288</v>
      </c>
      <c r="M158" s="133">
        <f t="shared" si="106"/>
        <v>1046.90283466275</v>
      </c>
      <c r="N158" s="133">
        <f t="shared" si="107"/>
        <v>1009.67018182132</v>
      </c>
      <c r="O158" s="133">
        <f t="shared" si="108"/>
        <v>976.632248426625</v>
      </c>
      <c r="P158" s="133">
        <f t="shared" si="109"/>
        <v>936.821225427043</v>
      </c>
      <c r="Q158" s="133">
        <f t="shared" si="110"/>
        <v>901.619810716899</v>
      </c>
      <c r="R158" s="133">
        <f t="shared" si="111"/>
        <v>860.307718242197</v>
      </c>
      <c r="S158" s="133">
        <f t="shared" si="112"/>
        <v>822.146881990103</v>
      </c>
      <c r="T158" s="133">
        <f t="shared" si="113"/>
        <v>778.343053704877</v>
      </c>
      <c r="U158" s="133">
        <f t="shared" si="114"/>
        <v>736.988487974332</v>
      </c>
      <c r="V158" s="133">
        <f t="shared" si="115"/>
        <v>693.719124087591</v>
      </c>
    </row>
    <row r="159" s="91" customFormat="1" spans="1:22">
      <c r="A159" s="132">
        <v>907.5</v>
      </c>
      <c r="B159" s="133">
        <v>1001.77</v>
      </c>
      <c r="C159" s="133">
        <v>992.4</v>
      </c>
      <c r="D159" s="133">
        <v>964.34</v>
      </c>
      <c r="E159" s="133">
        <v>907.27</v>
      </c>
      <c r="F159" s="133">
        <v>837.02</v>
      </c>
      <c r="G159" s="133">
        <v>762.19</v>
      </c>
      <c r="H159" s="133">
        <v>681.49</v>
      </c>
      <c r="I159" s="133">
        <v>637.69</v>
      </c>
      <c r="J159" s="133"/>
      <c r="K159" s="132">
        <f t="shared" si="103"/>
        <v>907.5</v>
      </c>
      <c r="L159" s="133">
        <f t="shared" si="105"/>
        <v>1013.68810071942</v>
      </c>
      <c r="M159" s="133">
        <f t="shared" si="106"/>
        <v>972.776362277686</v>
      </c>
      <c r="N159" s="133">
        <f t="shared" si="107"/>
        <v>938.241479533949</v>
      </c>
      <c r="O159" s="133">
        <f t="shared" si="108"/>
        <v>907.578365875874</v>
      </c>
      <c r="P159" s="133">
        <f t="shared" si="109"/>
        <v>870.433980425684</v>
      </c>
      <c r="Q159" s="133">
        <f t="shared" si="110"/>
        <v>837.588989279614</v>
      </c>
      <c r="R159" s="133">
        <f t="shared" si="111"/>
        <v>798.857467185361</v>
      </c>
      <c r="S159" s="133">
        <f t="shared" si="112"/>
        <v>763.077798262366</v>
      </c>
      <c r="T159" s="133">
        <f t="shared" si="113"/>
        <v>721.748517703269</v>
      </c>
      <c r="U159" s="133">
        <f t="shared" si="114"/>
        <v>682.724740172224</v>
      </c>
      <c r="V159" s="133">
        <f t="shared" si="115"/>
        <v>641.846204379562</v>
      </c>
    </row>
    <row r="160" s="91" customFormat="1" spans="1:22">
      <c r="A160" s="132">
        <v>962.5</v>
      </c>
      <c r="B160" s="133">
        <v>911.51</v>
      </c>
      <c r="C160" s="133">
        <v>903</v>
      </c>
      <c r="D160" s="133">
        <v>877.7</v>
      </c>
      <c r="E160" s="133">
        <v>826.62</v>
      </c>
      <c r="F160" s="133">
        <v>763.9</v>
      </c>
      <c r="G160" s="133">
        <v>696.84</v>
      </c>
      <c r="H160" s="133">
        <v>623.76</v>
      </c>
      <c r="I160" s="133">
        <v>583.9</v>
      </c>
      <c r="J160" s="133"/>
      <c r="K160" s="132">
        <f t="shared" si="103"/>
        <v>962.5</v>
      </c>
      <c r="L160" s="133">
        <f t="shared" si="105"/>
        <v>922.334230215827</v>
      </c>
      <c r="M160" s="133">
        <f t="shared" si="106"/>
        <v>885.306556152011</v>
      </c>
      <c r="N160" s="133">
        <f t="shared" si="107"/>
        <v>854.340749511024</v>
      </c>
      <c r="O160" s="133">
        <f t="shared" si="108"/>
        <v>826.896000156643</v>
      </c>
      <c r="P160" s="133">
        <f t="shared" si="109"/>
        <v>793.732382239131</v>
      </c>
      <c r="Q160" s="133">
        <f t="shared" si="110"/>
        <v>764.408000108432</v>
      </c>
      <c r="R160" s="133">
        <f t="shared" si="111"/>
        <v>729.700087524392</v>
      </c>
      <c r="S160" s="133">
        <f t="shared" si="112"/>
        <v>697.635613410053</v>
      </c>
      <c r="T160" s="133">
        <f t="shared" si="113"/>
        <v>660.217155808611</v>
      </c>
      <c r="U160" s="133">
        <f t="shared" si="114"/>
        <v>624.878151323248</v>
      </c>
      <c r="V160" s="133">
        <f t="shared" si="115"/>
        <v>587.682335766423</v>
      </c>
    </row>
    <row r="161" s="91" customFormat="1" spans="1:22">
      <c r="A161" s="132">
        <v>1017.5</v>
      </c>
      <c r="B161" s="133">
        <v>793.51</v>
      </c>
      <c r="C161" s="133">
        <v>785.99</v>
      </c>
      <c r="D161" s="133">
        <v>764.49</v>
      </c>
      <c r="E161" s="133">
        <v>722.72</v>
      </c>
      <c r="F161" s="133">
        <v>672.28</v>
      </c>
      <c r="G161" s="133">
        <v>618.54</v>
      </c>
      <c r="H161" s="133">
        <v>559.73</v>
      </c>
      <c r="I161" s="133">
        <v>527.5</v>
      </c>
      <c r="J161" s="133"/>
      <c r="K161" s="132">
        <f t="shared" si="103"/>
        <v>1017.5</v>
      </c>
      <c r="L161" s="133">
        <f t="shared" si="105"/>
        <v>803.075007194245</v>
      </c>
      <c r="M161" s="133">
        <f t="shared" si="106"/>
        <v>770.954069457243</v>
      </c>
      <c r="N161" s="133">
        <f t="shared" si="107"/>
        <v>745.388279308447</v>
      </c>
      <c r="O161" s="133">
        <f t="shared" si="108"/>
        <v>722.94569550789</v>
      </c>
      <c r="P161" s="133">
        <f t="shared" si="109"/>
        <v>696.271475767566</v>
      </c>
      <c r="Q161" s="133">
        <f t="shared" si="110"/>
        <v>672.688538352509</v>
      </c>
      <c r="R161" s="133">
        <f t="shared" si="111"/>
        <v>644.873150962733</v>
      </c>
      <c r="S161" s="133">
        <f t="shared" si="112"/>
        <v>619.177582234659</v>
      </c>
      <c r="T161" s="133">
        <f t="shared" si="113"/>
        <v>589.068332417959</v>
      </c>
      <c r="U161" s="133">
        <f t="shared" si="114"/>
        <v>560.629814987962</v>
      </c>
      <c r="V161" s="133">
        <f t="shared" si="115"/>
        <v>530.558321167883</v>
      </c>
    </row>
    <row r="162" s="91" customFormat="1" spans="1:22">
      <c r="A162" s="132">
        <v>1072.5</v>
      </c>
      <c r="B162" s="133">
        <v>613.14</v>
      </c>
      <c r="C162" s="133">
        <v>605.1</v>
      </c>
      <c r="D162" s="133">
        <v>590.3</v>
      </c>
      <c r="E162" s="133">
        <v>566.7</v>
      </c>
      <c r="F162" s="133">
        <v>539.26</v>
      </c>
      <c r="G162" s="133">
        <v>510.59</v>
      </c>
      <c r="H162" s="133">
        <v>481.77</v>
      </c>
      <c r="I162" s="133">
        <v>467.2</v>
      </c>
      <c r="J162" s="133"/>
      <c r="K162" s="132">
        <f t="shared" si="103"/>
        <v>1072.5</v>
      </c>
      <c r="L162" s="133">
        <f t="shared" si="105"/>
        <v>623.366417266187</v>
      </c>
      <c r="M162" s="133">
        <f t="shared" si="106"/>
        <v>594.74968502173</v>
      </c>
      <c r="N162" s="133">
        <f t="shared" si="107"/>
        <v>579.507550674631</v>
      </c>
      <c r="O162" s="133">
        <f t="shared" si="108"/>
        <v>566.827517691793</v>
      </c>
      <c r="P162" s="133">
        <f t="shared" si="109"/>
        <v>552.31166722962</v>
      </c>
      <c r="Q162" s="133">
        <f t="shared" si="110"/>
        <v>539.482250047439</v>
      </c>
      <c r="R162" s="133">
        <f t="shared" si="111"/>
        <v>524.638593935645</v>
      </c>
      <c r="S162" s="133">
        <f t="shared" si="112"/>
        <v>510.930146681572</v>
      </c>
      <c r="T162" s="133">
        <f t="shared" si="113"/>
        <v>496.14732937061</v>
      </c>
      <c r="U162" s="133">
        <f t="shared" si="114"/>
        <v>482.21095677526</v>
      </c>
      <c r="V162" s="133">
        <f t="shared" si="115"/>
        <v>468.582554744526</v>
      </c>
    </row>
  </sheetData>
  <conditionalFormatting sqref="B5:J24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U2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J47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8:U4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1:J70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1:U7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4:J93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74:U9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7:J11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97:U1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0:J139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0:U13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3:J16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43:U16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S77"/>
  <sheetViews>
    <sheetView zoomScale="115" zoomScaleNormal="115" workbookViewId="0">
      <selection activeCell="AS1" sqref="AS$1:AS$1048576"/>
    </sheetView>
  </sheetViews>
  <sheetFormatPr defaultColWidth="9" defaultRowHeight="12.75"/>
  <cols>
    <col min="1" max="1" width="9.025" style="391" customWidth="1"/>
    <col min="2" max="2" width="19.0166666666667" style="390" customWidth="1"/>
    <col min="3" max="3" width="7.825" style="390" customWidth="1"/>
    <col min="4" max="4" width="5.65" style="390" customWidth="1"/>
    <col min="5" max="5" width="6.625" style="390" customWidth="1"/>
    <col min="6" max="6" width="3.58333333333333" style="390" customWidth="1"/>
    <col min="7" max="7" width="9.00833333333333" style="392" customWidth="1"/>
    <col min="8" max="12" width="9.00833333333333" style="390" customWidth="1"/>
    <col min="13" max="13" width="9.55833333333333" style="390" customWidth="1"/>
    <col min="14" max="14" width="9.00833333333333" style="390" customWidth="1"/>
    <col min="15" max="15" width="9.00833333333333" style="390" hidden="1" customWidth="1"/>
    <col min="16" max="16" width="1.84166666666667" style="390" customWidth="1"/>
    <col min="17" max="17" width="9.00833333333333" style="392" hidden="1" customWidth="1"/>
    <col min="18" max="22" width="9.00833333333333" style="390" customWidth="1"/>
    <col min="23" max="23" width="9.55833333333333" style="390" customWidth="1"/>
    <col min="24" max="24" width="9.00833333333333" style="390" customWidth="1"/>
    <col min="25" max="25" width="3.475" style="393" customWidth="1"/>
    <col min="26" max="26" width="7.5" style="394" customWidth="1"/>
    <col min="27" max="35" width="8.81666666666667" style="390" customWidth="1"/>
    <col min="36" max="36" width="7.93333333333333" style="390" customWidth="1"/>
    <col min="37" max="37" width="7.39166666666667" style="390" customWidth="1"/>
    <col min="38" max="39" width="8.81666666666667" style="390" customWidth="1"/>
    <col min="40" max="40" width="7.60833333333333" style="390" customWidth="1"/>
    <col min="41" max="42" width="8.81666666666667" style="390" customWidth="1"/>
    <col min="43" max="46" width="9.35" style="390" customWidth="1"/>
    <col min="47" max="47" width="7.93333333333333" style="390" customWidth="1"/>
    <col min="48" max="54" width="8.15833333333333" style="394" customWidth="1"/>
    <col min="55" max="55" width="9.11666666666667" style="394" customWidth="1"/>
    <col min="56" max="173" width="8.15833333333333" style="394" customWidth="1"/>
    <col min="174" max="174" width="8.15833333333333" style="393" customWidth="1"/>
    <col min="175" max="176" width="10.375" style="390"/>
    <col min="177" max="179" width="9.375" style="390"/>
    <col min="180" max="184" width="9" style="390"/>
    <col min="185" max="185" width="11.125" style="390"/>
    <col min="186" max="186" width="9" style="390"/>
    <col min="187" max="188" width="10.375" style="390"/>
    <col min="189" max="193" width="9.375" style="390"/>
    <col min="194" max="194" width="8.125" style="390" customWidth="1"/>
    <col min="195" max="196" width="5.625" style="390" customWidth="1"/>
    <col min="197" max="197" width="4.875" style="390" customWidth="1"/>
    <col min="198" max="198" width="5.75" style="390" customWidth="1"/>
    <col min="199" max="199" width="8.125" style="390" customWidth="1"/>
    <col min="200" max="200" width="11.125" style="390"/>
    <col min="201" max="201" width="12.625" style="390"/>
    <col min="202" max="16384" width="9" style="390"/>
  </cols>
  <sheetData>
    <row r="1" ht="13.5" spans="1:194">
      <c r="A1" s="395" t="s">
        <v>154</v>
      </c>
      <c r="B1" s="396" t="s">
        <v>155</v>
      </c>
      <c r="G1" s="397"/>
      <c r="H1" s="398" t="s">
        <v>156</v>
      </c>
      <c r="I1" s="398" t="s">
        <v>157</v>
      </c>
      <c r="J1" s="388"/>
      <c r="K1" s="388"/>
      <c r="L1" s="388"/>
      <c r="M1" s="388"/>
      <c r="N1" s="388"/>
      <c r="O1" s="388"/>
      <c r="Q1" s="397"/>
      <c r="R1" s="398" t="s">
        <v>158</v>
      </c>
      <c r="S1" s="388"/>
      <c r="T1" s="388"/>
      <c r="U1" s="388"/>
      <c r="V1" s="388"/>
      <c r="W1" s="388"/>
      <c r="X1" s="388"/>
      <c r="Y1" s="478"/>
      <c r="Z1" s="394"/>
      <c r="AA1" s="479" t="s">
        <v>159</v>
      </c>
      <c r="AB1" s="480"/>
      <c r="AC1" s="480"/>
      <c r="AD1" s="480"/>
      <c r="AE1" s="480"/>
      <c r="AF1" s="481" t="s">
        <v>156</v>
      </c>
      <c r="AG1" s="480"/>
      <c r="AH1" s="507"/>
      <c r="AI1" s="508"/>
      <c r="AJ1" s="480"/>
      <c r="AK1" s="508"/>
      <c r="AL1" s="508"/>
      <c r="AM1" s="508"/>
      <c r="AN1" s="508"/>
      <c r="AO1" s="508"/>
      <c r="AP1" s="534" t="s">
        <v>160</v>
      </c>
      <c r="AQ1" s="535"/>
      <c r="AR1" s="536"/>
      <c r="AS1" s="537"/>
      <c r="AT1" s="538"/>
      <c r="AU1" s="539"/>
      <c r="AV1" s="536" t="s">
        <v>161</v>
      </c>
      <c r="AW1" s="538"/>
      <c r="AX1" s="538"/>
      <c r="AY1" s="538"/>
      <c r="AZ1" s="538"/>
      <c r="BA1" s="538"/>
      <c r="BB1" s="538"/>
      <c r="BC1" s="538"/>
      <c r="BD1" s="538"/>
      <c r="BE1" s="538"/>
      <c r="BF1" s="538"/>
      <c r="BG1" s="538"/>
      <c r="BH1" s="538"/>
      <c r="BI1" s="538"/>
      <c r="BJ1" s="538"/>
      <c r="BK1" s="538"/>
      <c r="BL1" s="538"/>
      <c r="BM1" s="538"/>
      <c r="BN1" s="538"/>
      <c r="BO1" s="538"/>
      <c r="BP1" s="538"/>
      <c r="BQ1" s="538"/>
      <c r="BR1" s="538"/>
      <c r="BS1" s="538"/>
      <c r="BT1" s="538"/>
      <c r="BU1" s="538"/>
      <c r="BV1" s="538"/>
      <c r="BW1" s="538"/>
      <c r="BX1" s="538"/>
      <c r="BY1" s="538"/>
      <c r="BZ1" s="538"/>
      <c r="CA1" s="538"/>
      <c r="CB1" s="538"/>
      <c r="CC1" s="538"/>
      <c r="CD1" s="538"/>
      <c r="CE1" s="538"/>
      <c r="CF1" s="538"/>
      <c r="CG1" s="538"/>
      <c r="CH1" s="538"/>
      <c r="CI1" s="538"/>
      <c r="CJ1" s="538"/>
      <c r="CK1" s="538"/>
      <c r="CL1" s="538"/>
      <c r="CM1" s="538"/>
      <c r="CN1" s="538"/>
      <c r="CO1" s="538"/>
      <c r="CP1" s="538"/>
      <c r="CQ1" s="538"/>
      <c r="CR1" s="538"/>
      <c r="CS1" s="538"/>
      <c r="CT1" s="538"/>
      <c r="CU1" s="538"/>
      <c r="CV1" s="538"/>
      <c r="CW1" s="538"/>
      <c r="CX1" s="538"/>
      <c r="CY1" s="538"/>
      <c r="CZ1" s="538"/>
      <c r="DA1" s="538"/>
      <c r="DB1" s="538"/>
      <c r="DC1" s="538"/>
      <c r="DD1" s="538"/>
      <c r="DE1" s="538"/>
      <c r="DF1" s="538"/>
      <c r="DG1" s="538"/>
      <c r="DH1" s="538"/>
      <c r="DI1" s="538"/>
      <c r="DJ1" s="538"/>
      <c r="DK1" s="538"/>
      <c r="DL1" s="538"/>
      <c r="DM1" s="538"/>
      <c r="DN1" s="538"/>
      <c r="DO1" s="538"/>
      <c r="DP1" s="538"/>
      <c r="DQ1" s="538"/>
      <c r="DR1" s="538"/>
      <c r="DS1" s="538"/>
      <c r="DT1" s="538"/>
      <c r="DU1" s="538"/>
      <c r="DV1" s="538"/>
      <c r="DW1" s="538"/>
      <c r="DX1" s="538"/>
      <c r="DY1" s="538"/>
      <c r="DZ1" s="538"/>
      <c r="EA1" s="538"/>
      <c r="EB1" s="538"/>
      <c r="EC1" s="538"/>
      <c r="ED1" s="538"/>
      <c r="EE1" s="538"/>
      <c r="EF1" s="538"/>
      <c r="EG1" s="538"/>
      <c r="EH1" s="538"/>
      <c r="EI1" s="538"/>
      <c r="EJ1" s="538"/>
      <c r="EK1" s="538"/>
      <c r="EL1" s="538"/>
      <c r="EM1" s="538"/>
      <c r="EN1" s="538"/>
      <c r="EO1" s="538"/>
      <c r="EP1" s="538"/>
      <c r="EQ1" s="538"/>
      <c r="ER1" s="538"/>
      <c r="ES1" s="538"/>
      <c r="ET1" s="538"/>
      <c r="EU1" s="538"/>
      <c r="EV1" s="538"/>
      <c r="EW1" s="538"/>
      <c r="EX1" s="538"/>
      <c r="EY1" s="538"/>
      <c r="EZ1" s="538"/>
      <c r="FA1" s="538"/>
      <c r="FB1" s="538"/>
      <c r="FC1" s="538"/>
      <c r="FD1" s="538"/>
      <c r="FE1" s="538"/>
      <c r="FF1" s="538"/>
      <c r="FG1" s="538"/>
      <c r="FH1" s="538"/>
      <c r="FI1" s="538"/>
      <c r="FJ1" s="538"/>
      <c r="FK1" s="538"/>
      <c r="FL1" s="538"/>
      <c r="FM1" s="538"/>
      <c r="FN1" s="538"/>
      <c r="FO1" s="538"/>
      <c r="FP1" s="538"/>
      <c r="FQ1" s="538"/>
      <c r="FR1" s="604"/>
      <c r="FS1" s="390" t="s">
        <v>162</v>
      </c>
      <c r="FX1" s="611" t="s">
        <v>163</v>
      </c>
      <c r="GE1" s="390" t="s">
        <v>164</v>
      </c>
      <c r="GL1" s="611" t="s">
        <v>163</v>
      </c>
    </row>
    <row r="2" spans="1:174">
      <c r="A2" s="399" t="s">
        <v>165</v>
      </c>
      <c r="B2" s="400" t="s">
        <v>166</v>
      </c>
      <c r="G2" s="401"/>
      <c r="H2" s="388"/>
      <c r="I2" s="388"/>
      <c r="J2" s="388"/>
      <c r="K2" s="388"/>
      <c r="L2" s="388"/>
      <c r="M2" s="388"/>
      <c r="N2" s="388"/>
      <c r="O2" s="388"/>
      <c r="Q2" s="401"/>
      <c r="R2" s="388"/>
      <c r="S2" s="388"/>
      <c r="T2" s="388"/>
      <c r="U2" s="388"/>
      <c r="V2" s="388"/>
      <c r="W2" s="388"/>
      <c r="X2" s="388"/>
      <c r="Y2" s="478"/>
      <c r="Z2" s="394"/>
      <c r="AA2" s="482"/>
      <c r="AB2" s="388"/>
      <c r="AC2" s="388"/>
      <c r="AD2" s="388"/>
      <c r="AE2" s="483"/>
      <c r="AF2" s="484"/>
      <c r="AG2" s="388"/>
      <c r="AH2" s="509"/>
      <c r="AI2" s="390"/>
      <c r="AJ2" s="388"/>
      <c r="AK2" s="390"/>
      <c r="AL2" s="390"/>
      <c r="AM2" s="390"/>
      <c r="AN2" s="390"/>
      <c r="AO2" s="540"/>
      <c r="AP2" s="541"/>
      <c r="AQ2" s="542"/>
      <c r="AR2" s="543" t="s">
        <v>167</v>
      </c>
      <c r="AS2" s="544"/>
      <c r="AT2" s="545" t="s">
        <v>168</v>
      </c>
      <c r="AU2" s="546"/>
      <c r="AV2" s="547" t="s">
        <v>169</v>
      </c>
      <c r="AW2" s="573" t="s">
        <v>170</v>
      </c>
      <c r="AX2" s="573" t="s">
        <v>171</v>
      </c>
      <c r="AY2" s="538"/>
      <c r="AZ2" s="538"/>
      <c r="BA2" s="574" t="s">
        <v>172</v>
      </c>
      <c r="BB2" s="574" t="s">
        <v>173</v>
      </c>
      <c r="BC2" s="574" t="s">
        <v>174</v>
      </c>
      <c r="BD2" s="538"/>
      <c r="BE2" s="538"/>
      <c r="BF2" s="538"/>
      <c r="BG2" s="538"/>
      <c r="BH2" s="538"/>
      <c r="BI2" s="538"/>
      <c r="BJ2" s="538"/>
      <c r="BK2" s="538"/>
      <c r="BL2" s="538"/>
      <c r="BM2" s="538"/>
      <c r="BN2" s="538"/>
      <c r="BO2" s="538"/>
      <c r="BP2" s="588"/>
      <c r="BQ2" s="589" t="s">
        <v>175</v>
      </c>
      <c r="BR2" s="573" t="s">
        <v>170</v>
      </c>
      <c r="BS2" s="573" t="s">
        <v>171</v>
      </c>
      <c r="BT2" s="573"/>
      <c r="BU2" s="538"/>
      <c r="BV2" s="574" t="s">
        <v>172</v>
      </c>
      <c r="BW2" s="574" t="s">
        <v>173</v>
      </c>
      <c r="BX2" s="574" t="s">
        <v>174</v>
      </c>
      <c r="BY2" s="538"/>
      <c r="BZ2" s="538"/>
      <c r="CA2" s="538"/>
      <c r="CB2" s="538"/>
      <c r="CC2" s="538"/>
      <c r="CD2" s="538"/>
      <c r="CE2" s="538"/>
      <c r="CF2" s="538"/>
      <c r="CG2" s="538"/>
      <c r="CH2" s="538"/>
      <c r="CI2" s="538"/>
      <c r="CJ2" s="538"/>
      <c r="CK2" s="588"/>
      <c r="CL2" s="589" t="s">
        <v>176</v>
      </c>
      <c r="CM2" s="573" t="s">
        <v>170</v>
      </c>
      <c r="CN2" s="573" t="s">
        <v>171</v>
      </c>
      <c r="CO2" s="538"/>
      <c r="CP2" s="538"/>
      <c r="CQ2" s="574" t="s">
        <v>172</v>
      </c>
      <c r="CR2" s="574" t="s">
        <v>173</v>
      </c>
      <c r="CS2" s="574" t="s">
        <v>174</v>
      </c>
      <c r="CT2" s="538"/>
      <c r="CU2" s="538"/>
      <c r="CV2" s="538"/>
      <c r="CW2" s="538"/>
      <c r="CX2" s="538"/>
      <c r="CY2" s="538"/>
      <c r="CZ2" s="538"/>
      <c r="DA2" s="538"/>
      <c r="DB2" s="538"/>
      <c r="DC2" s="538"/>
      <c r="DD2" s="538"/>
      <c r="DE2" s="538"/>
      <c r="DF2" s="588"/>
      <c r="DG2" s="589" t="s">
        <v>177</v>
      </c>
      <c r="DH2" s="573" t="s">
        <v>170</v>
      </c>
      <c r="DI2" s="573" t="s">
        <v>171</v>
      </c>
      <c r="DJ2" s="538"/>
      <c r="DK2" s="538"/>
      <c r="DL2" s="574" t="s">
        <v>172</v>
      </c>
      <c r="DM2" s="574" t="s">
        <v>173</v>
      </c>
      <c r="DN2" s="574" t="s">
        <v>174</v>
      </c>
      <c r="DO2" s="538"/>
      <c r="DP2" s="538"/>
      <c r="DQ2" s="538"/>
      <c r="DR2" s="538"/>
      <c r="DS2" s="538"/>
      <c r="DT2" s="538"/>
      <c r="DU2" s="538"/>
      <c r="DV2" s="538"/>
      <c r="DW2" s="538"/>
      <c r="DX2" s="538"/>
      <c r="DY2" s="538"/>
      <c r="DZ2" s="538"/>
      <c r="EA2" s="588"/>
      <c r="EB2" s="589" t="s">
        <v>178</v>
      </c>
      <c r="EC2" s="573" t="s">
        <v>170</v>
      </c>
      <c r="ED2" s="573" t="s">
        <v>171</v>
      </c>
      <c r="EE2" s="538"/>
      <c r="EF2" s="538"/>
      <c r="EG2" s="574" t="s">
        <v>172</v>
      </c>
      <c r="EH2" s="574" t="s">
        <v>173</v>
      </c>
      <c r="EI2" s="574" t="s">
        <v>174</v>
      </c>
      <c r="EJ2" s="538"/>
      <c r="EK2" s="538"/>
      <c r="EL2" s="538"/>
      <c r="EM2" s="538"/>
      <c r="EN2" s="538"/>
      <c r="EO2" s="538"/>
      <c r="EP2" s="538"/>
      <c r="EQ2" s="538"/>
      <c r="ER2" s="538"/>
      <c r="ES2" s="538"/>
      <c r="ET2" s="538"/>
      <c r="EU2" s="538"/>
      <c r="EV2" s="588"/>
      <c r="EW2" s="589" t="s">
        <v>179</v>
      </c>
      <c r="EX2" s="573" t="s">
        <v>170</v>
      </c>
      <c r="EY2" s="573" t="s">
        <v>171</v>
      </c>
      <c r="EZ2" s="538"/>
      <c r="FA2" s="538"/>
      <c r="FB2" s="574" t="s">
        <v>172</v>
      </c>
      <c r="FC2" s="574" t="s">
        <v>173</v>
      </c>
      <c r="FD2" s="574" t="s">
        <v>174</v>
      </c>
      <c r="FE2" s="538"/>
      <c r="FF2" s="538"/>
      <c r="FG2" s="538"/>
      <c r="FH2" s="538"/>
      <c r="FI2" s="538"/>
      <c r="FJ2" s="538"/>
      <c r="FK2" s="538"/>
      <c r="FL2" s="538"/>
      <c r="FM2" s="538"/>
      <c r="FN2" s="538"/>
      <c r="FO2" s="538"/>
      <c r="FP2" s="538"/>
      <c r="FQ2" s="588"/>
      <c r="FR2" s="604"/>
    </row>
    <row r="3" spans="7:174">
      <c r="G3" s="401"/>
      <c r="H3" s="388"/>
      <c r="I3" s="388"/>
      <c r="J3" s="388"/>
      <c r="K3" s="388"/>
      <c r="L3" s="388"/>
      <c r="M3" s="388"/>
      <c r="N3" s="388"/>
      <c r="O3" s="388"/>
      <c r="Q3" s="401"/>
      <c r="R3" s="388"/>
      <c r="S3" s="388"/>
      <c r="T3" s="388"/>
      <c r="U3" s="388"/>
      <c r="V3" s="388"/>
      <c r="W3" s="388"/>
      <c r="X3" s="388"/>
      <c r="Y3" s="478"/>
      <c r="Z3" s="485"/>
      <c r="AA3" s="486"/>
      <c r="AB3" s="388"/>
      <c r="AC3" s="388"/>
      <c r="AD3" s="388"/>
      <c r="AE3" s="483"/>
      <c r="AF3" s="487" t="s">
        <v>180</v>
      </c>
      <c r="AG3" s="510"/>
      <c r="AH3" s="511" t="s">
        <v>181</v>
      </c>
      <c r="AI3" s="512"/>
      <c r="AJ3" s="513"/>
      <c r="AK3" s="512"/>
      <c r="AL3" s="512"/>
      <c r="AM3" s="512"/>
      <c r="AN3" s="512"/>
      <c r="AO3" s="548"/>
      <c r="AP3" s="549"/>
      <c r="AQ3" s="510"/>
      <c r="AR3" s="550">
        <f>C14</f>
        <v>1</v>
      </c>
      <c r="AS3" s="513"/>
      <c r="AT3" s="551">
        <f>C15</f>
        <v>1</v>
      </c>
      <c r="AU3" s="552"/>
      <c r="AV3" s="553">
        <f>AX3-AW3</f>
        <v>2</v>
      </c>
      <c r="AW3" s="553">
        <v>0</v>
      </c>
      <c r="AX3" s="553">
        <v>2</v>
      </c>
      <c r="AY3" s="575"/>
      <c r="AZ3" s="575"/>
      <c r="BA3" s="553">
        <f>$C$17</f>
        <v>0</v>
      </c>
      <c r="BB3" s="576">
        <f ca="1">$C$18</f>
        <v>0.245916365044988</v>
      </c>
      <c r="BC3" s="577">
        <f>$C$19</f>
        <v>1e+20</v>
      </c>
      <c r="BD3" s="578"/>
      <c r="BE3" s="578"/>
      <c r="BF3" s="578"/>
      <c r="BG3" s="578"/>
      <c r="BH3" s="578"/>
      <c r="BI3" s="578"/>
      <c r="BJ3" s="578"/>
      <c r="BK3" s="578"/>
      <c r="BL3" s="578"/>
      <c r="BM3" s="578"/>
      <c r="BN3" s="575"/>
      <c r="BO3" s="575"/>
      <c r="BP3" s="590"/>
      <c r="BQ3" s="591">
        <f>BS3-BR3</f>
        <v>6</v>
      </c>
      <c r="BR3" s="553">
        <v>2</v>
      </c>
      <c r="BS3" s="553">
        <v>8</v>
      </c>
      <c r="BT3" s="553"/>
      <c r="BU3" s="575"/>
      <c r="BV3" s="553">
        <f>$C$20</f>
        <v>0</v>
      </c>
      <c r="BW3" s="576">
        <f ca="1">$C$21</f>
        <v>0.188660509598155</v>
      </c>
      <c r="BX3" s="577">
        <f>$C$22</f>
        <v>1e+20</v>
      </c>
      <c r="BY3" s="578"/>
      <c r="BZ3" s="578"/>
      <c r="CA3" s="578"/>
      <c r="CB3" s="578"/>
      <c r="CC3" s="578"/>
      <c r="CD3" s="578"/>
      <c r="CE3" s="578"/>
      <c r="CF3" s="578"/>
      <c r="CG3" s="578"/>
      <c r="CH3" s="578"/>
      <c r="CI3" s="575"/>
      <c r="CJ3" s="575"/>
      <c r="CK3" s="590"/>
      <c r="CL3" s="591">
        <f>CN3-CM3</f>
        <v>16</v>
      </c>
      <c r="CM3" s="553">
        <v>8</v>
      </c>
      <c r="CN3" s="553">
        <v>24</v>
      </c>
      <c r="CO3" s="575"/>
      <c r="CP3" s="575"/>
      <c r="CQ3" s="553">
        <f>$C$23</f>
        <v>0</v>
      </c>
      <c r="CR3" s="576">
        <f ca="1">$C$24</f>
        <v>0.0559413510751039</v>
      </c>
      <c r="CS3" s="577">
        <f>$C$25</f>
        <v>1e+20</v>
      </c>
      <c r="CT3" s="578"/>
      <c r="CU3" s="578"/>
      <c r="CV3" s="578"/>
      <c r="CW3" s="578"/>
      <c r="CX3" s="578"/>
      <c r="CY3" s="578"/>
      <c r="CZ3" s="578"/>
      <c r="DA3" s="578"/>
      <c r="DB3" s="578"/>
      <c r="DC3" s="578"/>
      <c r="DD3" s="575"/>
      <c r="DE3" s="575"/>
      <c r="DF3" s="590"/>
      <c r="DG3" s="591">
        <f>DI3-DH3</f>
        <v>24</v>
      </c>
      <c r="DH3" s="553">
        <v>24</v>
      </c>
      <c r="DI3" s="553">
        <v>48</v>
      </c>
      <c r="DJ3" s="575"/>
      <c r="DK3" s="575"/>
      <c r="DL3" s="553">
        <f>$C$26</f>
        <v>0</v>
      </c>
      <c r="DM3" s="576">
        <f ca="1">$C$27</f>
        <v>0.0889450883468533</v>
      </c>
      <c r="DN3" s="577">
        <f>$C$28</f>
        <v>1e+20</v>
      </c>
      <c r="DO3" s="578"/>
      <c r="DP3" s="578"/>
      <c r="DQ3" s="578"/>
      <c r="DR3" s="578"/>
      <c r="DS3" s="578"/>
      <c r="DT3" s="578"/>
      <c r="DU3" s="578"/>
      <c r="DV3" s="578"/>
      <c r="DW3" s="578"/>
      <c r="DX3" s="578"/>
      <c r="DY3" s="575"/>
      <c r="DZ3" s="575"/>
      <c r="EA3" s="590"/>
      <c r="EB3" s="591">
        <f>ED3-EC3</f>
        <v>48</v>
      </c>
      <c r="EC3" s="553">
        <v>48</v>
      </c>
      <c r="ED3" s="553">
        <v>96</v>
      </c>
      <c r="EE3" s="575"/>
      <c r="EF3" s="575"/>
      <c r="EG3" s="553">
        <f>$C$29</f>
        <v>0</v>
      </c>
      <c r="EH3" s="576">
        <f ca="1">$C$30</f>
        <v>0.01</v>
      </c>
      <c r="EI3" s="577">
        <f>$C$31</f>
        <v>1e+20</v>
      </c>
      <c r="EJ3" s="578"/>
      <c r="EK3" s="578"/>
      <c r="EL3" s="578"/>
      <c r="EM3" s="578"/>
      <c r="EN3" s="578"/>
      <c r="EO3" s="578"/>
      <c r="EP3" s="578"/>
      <c r="EQ3" s="578"/>
      <c r="ER3" s="578"/>
      <c r="ES3" s="578"/>
      <c r="ET3" s="575"/>
      <c r="EU3" s="575"/>
      <c r="EV3" s="590"/>
      <c r="EW3" s="591">
        <f>EY3-EX3</f>
        <v>624</v>
      </c>
      <c r="EX3" s="553">
        <v>96</v>
      </c>
      <c r="EY3" s="553">
        <f>30*24</f>
        <v>720</v>
      </c>
      <c r="EZ3" s="575"/>
      <c r="FA3" s="575"/>
      <c r="FB3" s="553">
        <f>$C$32</f>
        <v>0</v>
      </c>
      <c r="FC3" s="576">
        <f ca="1">$C$33</f>
        <v>0.01</v>
      </c>
      <c r="FD3" s="577">
        <f>$C$34</f>
        <v>1e+20</v>
      </c>
      <c r="FE3" s="578"/>
      <c r="FF3" s="578"/>
      <c r="FG3" s="578"/>
      <c r="FH3" s="578"/>
      <c r="FI3" s="578"/>
      <c r="FJ3" s="578"/>
      <c r="FK3" s="578"/>
      <c r="FL3" s="578"/>
      <c r="FM3" s="578"/>
      <c r="FN3" s="578"/>
      <c r="FO3" s="575"/>
      <c r="FP3" s="575"/>
      <c r="FQ3" s="590"/>
      <c r="FR3" s="604"/>
    </row>
    <row r="4" s="387" customFormat="1" ht="60" spans="1:201">
      <c r="A4" s="402" t="s">
        <v>182</v>
      </c>
      <c r="B4" s="403" t="s">
        <v>183</v>
      </c>
      <c r="C4" s="403" t="s">
        <v>184</v>
      </c>
      <c r="D4" s="403" t="s">
        <v>185</v>
      </c>
      <c r="E4" s="403" t="s">
        <v>186</v>
      </c>
      <c r="G4" s="404" t="s">
        <v>35</v>
      </c>
      <c r="H4" s="405" t="s">
        <v>160</v>
      </c>
      <c r="I4" s="448" t="s">
        <v>187</v>
      </c>
      <c r="J4" s="448" t="s">
        <v>188</v>
      </c>
      <c r="K4" s="448" t="s">
        <v>189</v>
      </c>
      <c r="L4" s="448" t="s">
        <v>190</v>
      </c>
      <c r="M4" s="448" t="s">
        <v>191</v>
      </c>
      <c r="N4" s="405" t="s">
        <v>192</v>
      </c>
      <c r="O4" s="449" t="s">
        <v>193</v>
      </c>
      <c r="Q4" s="476" t="str">
        <f t="shared" ref="Q4:Q27" si="0">G4</f>
        <v>核素</v>
      </c>
      <c r="R4" s="405" t="s">
        <v>160</v>
      </c>
      <c r="S4" s="448" t="s">
        <v>187</v>
      </c>
      <c r="T4" s="448" t="s">
        <v>188</v>
      </c>
      <c r="U4" s="448" t="s">
        <v>189</v>
      </c>
      <c r="V4" s="448" t="s">
        <v>190</v>
      </c>
      <c r="W4" s="448" t="s">
        <v>191</v>
      </c>
      <c r="X4" s="405" t="s">
        <v>192</v>
      </c>
      <c r="Y4" s="488"/>
      <c r="Z4" s="489" t="s">
        <v>194</v>
      </c>
      <c r="AA4" s="490" t="s">
        <v>195</v>
      </c>
      <c r="AB4" s="491" t="s">
        <v>40</v>
      </c>
      <c r="AC4" s="491" t="s">
        <v>196</v>
      </c>
      <c r="AD4" s="491" t="s">
        <v>42</v>
      </c>
      <c r="AE4" s="491" t="s">
        <v>43</v>
      </c>
      <c r="AF4" s="492" t="s">
        <v>197</v>
      </c>
      <c r="AG4" s="514" t="s">
        <v>198</v>
      </c>
      <c r="AH4" s="515" t="s">
        <v>199</v>
      </c>
      <c r="AI4" s="514" t="s">
        <v>200</v>
      </c>
      <c r="AJ4" s="516" t="s">
        <v>201</v>
      </c>
      <c r="AK4" s="514" t="s">
        <v>202</v>
      </c>
      <c r="AL4" s="514" t="s">
        <v>203</v>
      </c>
      <c r="AM4" s="517" t="s">
        <v>204</v>
      </c>
      <c r="AN4" s="514" t="s">
        <v>205</v>
      </c>
      <c r="AO4" s="514" t="s">
        <v>206</v>
      </c>
      <c r="AP4" s="554" t="s">
        <v>207</v>
      </c>
      <c r="AQ4" s="555" t="s">
        <v>208</v>
      </c>
      <c r="AR4" s="556" t="s">
        <v>209</v>
      </c>
      <c r="AS4" s="557" t="s">
        <v>210</v>
      </c>
      <c r="AT4" s="556" t="s">
        <v>211</v>
      </c>
      <c r="AU4" s="558" t="s">
        <v>212</v>
      </c>
      <c r="AV4" s="559" t="s">
        <v>213</v>
      </c>
      <c r="AW4" s="559" t="s">
        <v>214</v>
      </c>
      <c r="AX4" s="559" t="s">
        <v>215</v>
      </c>
      <c r="AY4" s="579" t="s">
        <v>216</v>
      </c>
      <c r="AZ4" s="559" t="s">
        <v>217</v>
      </c>
      <c r="BA4" s="559" t="s">
        <v>218</v>
      </c>
      <c r="BB4" s="559" t="s">
        <v>219</v>
      </c>
      <c r="BC4" s="559" t="s">
        <v>220</v>
      </c>
      <c r="BD4" s="559" t="s">
        <v>221</v>
      </c>
      <c r="BE4" s="559" t="s">
        <v>222</v>
      </c>
      <c r="BF4" s="559" t="s">
        <v>223</v>
      </c>
      <c r="BG4" s="559" t="s">
        <v>224</v>
      </c>
      <c r="BH4" s="559" t="s">
        <v>225</v>
      </c>
      <c r="BI4" s="559" t="s">
        <v>226</v>
      </c>
      <c r="BJ4" s="559" t="s">
        <v>227</v>
      </c>
      <c r="BK4" s="559" t="s">
        <v>228</v>
      </c>
      <c r="BL4" s="579" t="s">
        <v>229</v>
      </c>
      <c r="BM4" s="559" t="s">
        <v>230</v>
      </c>
      <c r="BN4" s="559" t="s">
        <v>231</v>
      </c>
      <c r="BO4" s="559" t="s">
        <v>232</v>
      </c>
      <c r="BP4" s="592" t="s">
        <v>233</v>
      </c>
      <c r="BQ4" s="593" t="s">
        <v>213</v>
      </c>
      <c r="BR4" s="559" t="s">
        <v>214</v>
      </c>
      <c r="BS4" s="559" t="s">
        <v>215</v>
      </c>
      <c r="BT4" s="579" t="s">
        <v>216</v>
      </c>
      <c r="BU4" s="559" t="s">
        <v>217</v>
      </c>
      <c r="BV4" s="559" t="s">
        <v>218</v>
      </c>
      <c r="BW4" s="559" t="s">
        <v>219</v>
      </c>
      <c r="BX4" s="559" t="s">
        <v>220</v>
      </c>
      <c r="BY4" s="559" t="s">
        <v>221</v>
      </c>
      <c r="BZ4" s="559" t="s">
        <v>222</v>
      </c>
      <c r="CA4" s="559" t="s">
        <v>223</v>
      </c>
      <c r="CB4" s="559" t="s">
        <v>224</v>
      </c>
      <c r="CC4" s="559" t="s">
        <v>225</v>
      </c>
      <c r="CD4" s="559" t="s">
        <v>226</v>
      </c>
      <c r="CE4" s="559" t="s">
        <v>227</v>
      </c>
      <c r="CF4" s="559" t="s">
        <v>228</v>
      </c>
      <c r="CG4" s="579" t="s">
        <v>229</v>
      </c>
      <c r="CH4" s="559" t="s">
        <v>230</v>
      </c>
      <c r="CI4" s="559" t="s">
        <v>231</v>
      </c>
      <c r="CJ4" s="559" t="s">
        <v>232</v>
      </c>
      <c r="CK4" s="592" t="s">
        <v>233</v>
      </c>
      <c r="CL4" s="593" t="s">
        <v>213</v>
      </c>
      <c r="CM4" s="559" t="s">
        <v>214</v>
      </c>
      <c r="CN4" s="559" t="s">
        <v>215</v>
      </c>
      <c r="CO4" s="579" t="s">
        <v>216</v>
      </c>
      <c r="CP4" s="559" t="s">
        <v>217</v>
      </c>
      <c r="CQ4" s="559" t="s">
        <v>218</v>
      </c>
      <c r="CR4" s="559" t="s">
        <v>219</v>
      </c>
      <c r="CS4" s="559" t="s">
        <v>220</v>
      </c>
      <c r="CT4" s="559" t="s">
        <v>221</v>
      </c>
      <c r="CU4" s="559" t="s">
        <v>222</v>
      </c>
      <c r="CV4" s="559" t="s">
        <v>223</v>
      </c>
      <c r="CW4" s="559" t="s">
        <v>224</v>
      </c>
      <c r="CX4" s="559" t="s">
        <v>225</v>
      </c>
      <c r="CY4" s="559" t="s">
        <v>226</v>
      </c>
      <c r="CZ4" s="559" t="s">
        <v>227</v>
      </c>
      <c r="DA4" s="559" t="s">
        <v>228</v>
      </c>
      <c r="DB4" s="579" t="s">
        <v>229</v>
      </c>
      <c r="DC4" s="559" t="s">
        <v>230</v>
      </c>
      <c r="DD4" s="559" t="s">
        <v>231</v>
      </c>
      <c r="DE4" s="559" t="s">
        <v>232</v>
      </c>
      <c r="DF4" s="592" t="s">
        <v>233</v>
      </c>
      <c r="DG4" s="593" t="s">
        <v>213</v>
      </c>
      <c r="DH4" s="559" t="s">
        <v>214</v>
      </c>
      <c r="DI4" s="559" t="s">
        <v>215</v>
      </c>
      <c r="DJ4" s="579" t="s">
        <v>216</v>
      </c>
      <c r="DK4" s="559" t="s">
        <v>217</v>
      </c>
      <c r="DL4" s="559" t="s">
        <v>218</v>
      </c>
      <c r="DM4" s="559" t="s">
        <v>219</v>
      </c>
      <c r="DN4" s="559" t="s">
        <v>220</v>
      </c>
      <c r="DO4" s="559" t="s">
        <v>221</v>
      </c>
      <c r="DP4" s="559" t="s">
        <v>222</v>
      </c>
      <c r="DQ4" s="559" t="s">
        <v>223</v>
      </c>
      <c r="DR4" s="559" t="s">
        <v>224</v>
      </c>
      <c r="DS4" s="559" t="s">
        <v>225</v>
      </c>
      <c r="DT4" s="559" t="s">
        <v>226</v>
      </c>
      <c r="DU4" s="559" t="s">
        <v>227</v>
      </c>
      <c r="DV4" s="559" t="s">
        <v>228</v>
      </c>
      <c r="DW4" s="579" t="s">
        <v>229</v>
      </c>
      <c r="DX4" s="559" t="s">
        <v>230</v>
      </c>
      <c r="DY4" s="559" t="s">
        <v>231</v>
      </c>
      <c r="DZ4" s="559" t="s">
        <v>232</v>
      </c>
      <c r="EA4" s="592" t="s">
        <v>233</v>
      </c>
      <c r="EB4" s="593" t="s">
        <v>213</v>
      </c>
      <c r="EC4" s="559" t="s">
        <v>214</v>
      </c>
      <c r="ED4" s="559" t="s">
        <v>215</v>
      </c>
      <c r="EE4" s="579" t="s">
        <v>216</v>
      </c>
      <c r="EF4" s="559" t="s">
        <v>217</v>
      </c>
      <c r="EG4" s="559" t="s">
        <v>218</v>
      </c>
      <c r="EH4" s="559" t="s">
        <v>219</v>
      </c>
      <c r="EI4" s="559" t="s">
        <v>220</v>
      </c>
      <c r="EJ4" s="559" t="s">
        <v>221</v>
      </c>
      <c r="EK4" s="559" t="s">
        <v>222</v>
      </c>
      <c r="EL4" s="559" t="s">
        <v>223</v>
      </c>
      <c r="EM4" s="559" t="s">
        <v>224</v>
      </c>
      <c r="EN4" s="559" t="s">
        <v>225</v>
      </c>
      <c r="EO4" s="559" t="s">
        <v>226</v>
      </c>
      <c r="EP4" s="559" t="s">
        <v>227</v>
      </c>
      <c r="EQ4" s="559" t="s">
        <v>228</v>
      </c>
      <c r="ER4" s="579" t="s">
        <v>229</v>
      </c>
      <c r="ES4" s="559" t="s">
        <v>230</v>
      </c>
      <c r="ET4" s="559" t="s">
        <v>231</v>
      </c>
      <c r="EU4" s="559" t="s">
        <v>232</v>
      </c>
      <c r="EV4" s="592" t="s">
        <v>233</v>
      </c>
      <c r="EW4" s="593" t="s">
        <v>213</v>
      </c>
      <c r="EX4" s="559" t="s">
        <v>214</v>
      </c>
      <c r="EY4" s="559" t="s">
        <v>215</v>
      </c>
      <c r="EZ4" s="579" t="s">
        <v>216</v>
      </c>
      <c r="FA4" s="559" t="s">
        <v>217</v>
      </c>
      <c r="FB4" s="559" t="s">
        <v>218</v>
      </c>
      <c r="FC4" s="559" t="s">
        <v>219</v>
      </c>
      <c r="FD4" s="559" t="s">
        <v>220</v>
      </c>
      <c r="FE4" s="559" t="s">
        <v>221</v>
      </c>
      <c r="FF4" s="559" t="s">
        <v>222</v>
      </c>
      <c r="FG4" s="559" t="s">
        <v>223</v>
      </c>
      <c r="FH4" s="559" t="s">
        <v>224</v>
      </c>
      <c r="FI4" s="559" t="s">
        <v>225</v>
      </c>
      <c r="FJ4" s="559" t="s">
        <v>226</v>
      </c>
      <c r="FK4" s="559" t="s">
        <v>227</v>
      </c>
      <c r="FL4" s="559" t="s">
        <v>228</v>
      </c>
      <c r="FM4" s="579" t="s">
        <v>229</v>
      </c>
      <c r="FN4" s="559" t="s">
        <v>230</v>
      </c>
      <c r="FO4" s="559" t="s">
        <v>231</v>
      </c>
      <c r="FP4" s="559" t="s">
        <v>232</v>
      </c>
      <c r="FQ4" s="592" t="s">
        <v>233</v>
      </c>
      <c r="FR4" s="605"/>
      <c r="FS4" s="606" t="s">
        <v>160</v>
      </c>
      <c r="FT4" s="607" t="s">
        <v>234</v>
      </c>
      <c r="FU4" s="607" t="s">
        <v>235</v>
      </c>
      <c r="FV4" s="607" t="s">
        <v>236</v>
      </c>
      <c r="FW4" s="612" t="s">
        <v>237</v>
      </c>
      <c r="FX4" s="606" t="s">
        <v>160</v>
      </c>
      <c r="FY4" s="607" t="s">
        <v>234</v>
      </c>
      <c r="FZ4" s="607" t="s">
        <v>235</v>
      </c>
      <c r="GA4" s="607" t="s">
        <v>236</v>
      </c>
      <c r="GB4" s="613" t="s">
        <v>238</v>
      </c>
      <c r="GC4" s="616" t="s">
        <v>192</v>
      </c>
      <c r="GE4" s="606" t="s">
        <v>239</v>
      </c>
      <c r="GF4" s="607" t="s">
        <v>234</v>
      </c>
      <c r="GG4" s="607" t="s">
        <v>235</v>
      </c>
      <c r="GH4" s="607" t="s">
        <v>240</v>
      </c>
      <c r="GI4" s="607" t="s">
        <v>241</v>
      </c>
      <c r="GJ4" s="607" t="s">
        <v>242</v>
      </c>
      <c r="GK4" s="612" t="s">
        <v>243</v>
      </c>
      <c r="GL4" s="606" t="s">
        <v>239</v>
      </c>
      <c r="GM4" s="607" t="s">
        <v>234</v>
      </c>
      <c r="GN4" s="607" t="s">
        <v>235</v>
      </c>
      <c r="GO4" s="607" t="s">
        <v>244</v>
      </c>
      <c r="GP4" s="607" t="s">
        <v>242</v>
      </c>
      <c r="GQ4" s="612" t="s">
        <v>243</v>
      </c>
      <c r="GR4" s="387" t="s">
        <v>245</v>
      </c>
      <c r="GS4" s="387" t="s">
        <v>246</v>
      </c>
    </row>
    <row r="5" spans="1:201">
      <c r="A5" s="406" t="s">
        <v>247</v>
      </c>
      <c r="B5" s="407" t="s">
        <v>248</v>
      </c>
      <c r="C5" s="408">
        <v>1</v>
      </c>
      <c r="D5" s="409" t="s">
        <v>249</v>
      </c>
      <c r="E5" s="410"/>
      <c r="G5" s="411" t="s">
        <v>46</v>
      </c>
      <c r="H5" s="412">
        <f ca="1">AU5</f>
        <v>4429000000</v>
      </c>
      <c r="I5" s="412">
        <f ca="1" t="shared" ref="I5:I27" si="1">BP5</f>
        <v>1060844580.49679</v>
      </c>
      <c r="J5" s="412">
        <f ca="1">CK5</f>
        <v>1461674825.61366</v>
      </c>
      <c r="K5" s="412">
        <f ca="1">DF5</f>
        <v>69454071.197199</v>
      </c>
      <c r="L5" s="412">
        <f ca="1">EA5+EV5</f>
        <v>715055.323052502</v>
      </c>
      <c r="M5" s="412">
        <f ca="1">FQ5</f>
        <v>3.17431134495039e-8</v>
      </c>
      <c r="N5" s="412">
        <f ca="1">SUM(H5:M5)</f>
        <v>7021688532.6307</v>
      </c>
      <c r="O5" s="450">
        <f ca="1">AS5</f>
        <v>4429000000</v>
      </c>
      <c r="P5" s="451"/>
      <c r="Q5" s="477" t="str">
        <f t="shared" si="0"/>
        <v>Kr-83m</v>
      </c>
      <c r="R5" s="412">
        <f ca="1">H5</f>
        <v>4429000000</v>
      </c>
      <c r="S5" s="412">
        <f ca="1">I5*(1-过滤效率!$B2)</f>
        <v>1060844580.49679</v>
      </c>
      <c r="T5" s="412">
        <f ca="1">J5*(1-过滤效率!$B2)</f>
        <v>1461674825.61366</v>
      </c>
      <c r="U5" s="412">
        <f ca="1">K5*(1-过滤效率!$B2)</f>
        <v>69454071.197199</v>
      </c>
      <c r="V5" s="412">
        <f ca="1">L5*(1-过滤效率!$B2)</f>
        <v>715055.323052502</v>
      </c>
      <c r="W5" s="412">
        <f ca="1">M5*(1-过滤效率!$B2)</f>
        <v>3.17431134495039e-8</v>
      </c>
      <c r="X5" s="412">
        <f ca="1">SUM(R5:W5)</f>
        <v>7021688532.6307</v>
      </c>
      <c r="Y5" s="493"/>
      <c r="Z5" s="494">
        <f>VLOOKUP(G5,衰变常数!$A$1:$H$3800,7,FALSE)</f>
        <v>0.000105213597534903</v>
      </c>
      <c r="AA5" s="495">
        <f>正常源项!C2</f>
        <v>2.35e+16</v>
      </c>
      <c r="AB5" s="496">
        <f>正常源项!F2</f>
        <v>0</v>
      </c>
      <c r="AC5" s="496">
        <f>正常源项!I2</f>
        <v>4250000000</v>
      </c>
      <c r="AD5" s="496">
        <f>正常源项!L2</f>
        <v>179000000</v>
      </c>
      <c r="AE5" s="497"/>
      <c r="AF5" s="498"/>
      <c r="AG5" s="483"/>
      <c r="AH5" s="518"/>
      <c r="AI5" s="483"/>
      <c r="AJ5" s="390"/>
      <c r="AK5" s="519"/>
      <c r="AL5" s="519">
        <f>AA5*0.0000007*0.000209</f>
        <v>3438050</v>
      </c>
      <c r="AM5" s="520">
        <f t="shared" ref="AM5:AM18" si="2">(0.00016*2%+0.00026*2%)/2*AA5</f>
        <v>98700000000</v>
      </c>
      <c r="AN5" s="519">
        <f ca="1">MAX(INDIRECT("'"&amp;$B$2&amp;"-事故进程'!Y"&amp;(ROW()+22)),INDIRECT("'"&amp;$B$2&amp;"-事故进程'!Z"&amp;(ROW()+22)),INDIRECT("'"&amp;$B$2&amp;"-事故进程'!AA"&amp;(ROW()+22)))</f>
        <v>1.72058450478074e-10</v>
      </c>
      <c r="AO5" s="519">
        <f ca="1" t="shared" ref="AO5:AO23" si="3">AA5*(EXP(-Z5*$C$12*3600)-EXP(-(Z5+AN5)*$C$12*3600))</f>
        <v>0</v>
      </c>
      <c r="AP5" s="560">
        <f t="shared" ref="AP5:AP27" si="4">AA5*EXP(-Z5*$C$12*3600)</f>
        <v>2.35e+16</v>
      </c>
      <c r="AQ5" s="561">
        <f ca="1">(AC5*$C$5+AD5*$C$8+AF5+AG5+AI5+(AL5+AM5)*$C$10)*EXP(-Z5*$C$12*3600)+AO5*$C$11</f>
        <v>4429000000</v>
      </c>
      <c r="AR5" s="562">
        <f ca="1">AQ5*(1-AR$3)</f>
        <v>0</v>
      </c>
      <c r="AS5" s="563">
        <f ca="1" t="shared" ref="AS5:AS27" si="5">(AQ5-AR5)+AB5*EXP(-Z5*$C$12*3600)</f>
        <v>4429000000</v>
      </c>
      <c r="AT5" s="562">
        <f ca="1">AS5*(1-AT$3)</f>
        <v>0</v>
      </c>
      <c r="AU5" s="564">
        <f ca="1">AS5-AT5</f>
        <v>4429000000</v>
      </c>
      <c r="AV5" s="565">
        <f>AV$3*3600</f>
        <v>7200</v>
      </c>
      <c r="AW5" s="580">
        <f>AP5*EXP(-Z5*AW$3*3600)</f>
        <v>2.35e+16</v>
      </c>
      <c r="AX5" s="580">
        <f ca="1">AR5</f>
        <v>0</v>
      </c>
      <c r="AY5" s="581">
        <f ca="1">AT5</f>
        <v>0</v>
      </c>
      <c r="AZ5" s="580">
        <v>0</v>
      </c>
      <c r="BA5" s="580">
        <f ca="1">MAX(INDIRECT("'"&amp;$B$2&amp;"-事故进程'!Y"&amp;(ROW()+22)),INDIRECT("'"&amp;$B$2&amp;"-事故进程'!Z"&amp;(ROW()+22)))</f>
        <v>7.89035175982642e-11</v>
      </c>
      <c r="BB5" s="580">
        <f ca="1">SUM(BA$3,-LN(1-BB$3)/AV5)</f>
        <v>3.92016660325749e-5</v>
      </c>
      <c r="BC5" s="580">
        <f>BC$3/24/3600</f>
        <v>1157407407407410</v>
      </c>
      <c r="BD5" s="582">
        <f ca="1">EXP(-AV5*($Z5+BA5))</f>
        <v>0.468819019771853</v>
      </c>
      <c r="BE5" s="582">
        <f ca="1">EXP(-AV5*($Z5+BB5))</f>
        <v>0.353528951407228</v>
      </c>
      <c r="BF5" s="582">
        <f>EXP(-AV5*($Z5+BC5))</f>
        <v>0</v>
      </c>
      <c r="BG5" s="582">
        <f ca="1">AW5*BA5+AX5*(BA5-BB5)</f>
        <v>1854232.66355921</v>
      </c>
      <c r="BH5" s="582">
        <f ca="1">(AW5*BB5*BA5/(BA5-BC5)+AX5*BB5)/(BB5-BC5)+AY5</f>
        <v>5.42620549279341e-29</v>
      </c>
      <c r="BI5" s="582">
        <f ca="1" t="shared" ref="BI5:BI27" si="6">IF(BB5=0,0,BB5/(BB5-BA5))</f>
        <v>1.00000201276334</v>
      </c>
      <c r="BJ5" s="580">
        <f ca="1">AW5*BD5</f>
        <v>1.10172469646386e+16</v>
      </c>
      <c r="BK5" s="580">
        <f ca="1">BA5/(BB5-BA5)*BJ5+(AX5-AW5*BA5/(BB5-BA5))*BE5</f>
        <v>5453213152.87274</v>
      </c>
      <c r="BL5" s="586">
        <f ca="1">BF5*BH5+BI5*(BE5*BG5/(BB5-BC5)-BJ5*BA5/(BA5-BC5))</f>
        <v>1.84701635271385e-10</v>
      </c>
      <c r="BM5" s="594">
        <f ca="1">(AW5+AX5+AY5+AZ5)*EXP(-$Z5*AV5)-BJ5-BK5-BL5</f>
        <v>805745311.127264</v>
      </c>
      <c r="BN5" s="580">
        <f ca="1">AW5*BA5/($Z5+BA5)*(1-BD5)</f>
        <v>9361265161.91922</v>
      </c>
      <c r="BO5" s="580">
        <f ca="1">BI5*(BN5-(1-BE5)*BG5/($Z5+BB5))</f>
        <v>1060844580.49679</v>
      </c>
      <c r="BP5" s="595">
        <f ca="1">BC5*(1-BF5)*BH5/($Z5+BC5)+BC5*BI5*((1-BE5)*BG5/($Z5+BB5)/(BB5-BC5)-BN5/(BA5-BC5))</f>
        <v>1060844580.49679</v>
      </c>
      <c r="BQ5" s="596">
        <f>BQ$3*3600</f>
        <v>21600</v>
      </c>
      <c r="BR5" s="580">
        <f ca="1" t="shared" ref="BR5:BT5" si="7">BJ5</f>
        <v>1.10172469646386e+16</v>
      </c>
      <c r="BS5" s="580">
        <f ca="1" t="shared" si="7"/>
        <v>5453213152.87274</v>
      </c>
      <c r="BT5" s="581">
        <f ca="1" t="shared" si="7"/>
        <v>1.84701635271385e-10</v>
      </c>
      <c r="BU5" s="580">
        <f ca="1">BM5</f>
        <v>805745311.127264</v>
      </c>
      <c r="BV5" s="580">
        <f ca="1">MAX(INDIRECT("'"&amp;$B$2&amp;"-事故进程'!Z"&amp;(ROW()+22)),INDIRECT("'"&amp;$B$2&amp;"-事故进程'!AA"&amp;(ROW()+22)))</f>
        <v>1.72058450478074e-10</v>
      </c>
      <c r="BW5" s="580">
        <f ca="1">SUM(BV$3,-LN(1-BW$3)/BQ5)</f>
        <v>9.67910672705165e-6</v>
      </c>
      <c r="BX5" s="580">
        <f>BX$3/24/3600</f>
        <v>1157407407407410</v>
      </c>
      <c r="BY5" s="582">
        <f ca="1">EXP(-BQ5*($Z5+BV5))</f>
        <v>0.10304212196678</v>
      </c>
      <c r="BZ5" s="582">
        <f ca="1">EXP(-BQ5*($Z5+BW5))</f>
        <v>0.0836024534312607</v>
      </c>
      <c r="CA5" s="582">
        <f>EXP(-BQ5*($Z5+BX5))</f>
        <v>0</v>
      </c>
      <c r="CB5" s="582">
        <f ca="1">BR5*BV5+BS5*(BV5-BW5)</f>
        <v>1842829.14742937</v>
      </c>
      <c r="CC5" s="582">
        <f ca="1">(BR5*BW5*BV5/(BV5-BX5)+BS5*BW5)/(BW5-BX5)+BT5</f>
        <v>1.39097786726602e-10</v>
      </c>
      <c r="CD5" s="582">
        <f ca="1" t="shared" ref="CD5:CD27" si="8">IF(BW5=0,0,BW5/(BW5-BV5))</f>
        <v>1.00001777658971</v>
      </c>
      <c r="CE5" s="580">
        <f ca="1">BR5*BY5</f>
        <v>1135240505468430</v>
      </c>
      <c r="CF5" s="580">
        <f ca="1">BV5/(BW5-BV5)*CE5+(BS5-BR5*BV5/(BW5-BV5))*BZ5</f>
        <v>4263143178.86325</v>
      </c>
      <c r="CG5" s="586">
        <f ca="1">CA5*CC5+CD5*(BZ5*CB5/(BW5-BX5)-CE5*BV5/(BV5-BX5))</f>
        <v>3.56515929972746e-11</v>
      </c>
      <c r="CH5" s="594">
        <f ca="1">(BR5+BS5+BT5+BU5)*EXP(-$Z5*BQ5)-CE5-CF5-CG5</f>
        <v>600882220.636749</v>
      </c>
      <c r="CI5" s="580">
        <f ca="1">BR5*BV5/($Z5+BV5)*(1-BY5)</f>
        <v>16160268048.0953</v>
      </c>
      <c r="CJ5" s="580">
        <f ca="1">CD5*(CI5-(1-BZ5)*CB5/($Z5+BW5))</f>
        <v>1461674825.61366</v>
      </c>
      <c r="CK5" s="595">
        <f ca="1">BX5*(1-CA5)*CC5/($Z5+BX5)+BX5*CD5*((1-BZ5)*CB5/($Z5+BW5)/(BW5-BX5)-CI5/(BV5-BX5))</f>
        <v>1461674825.61366</v>
      </c>
      <c r="CL5" s="596">
        <f>CL$3*3600</f>
        <v>57600</v>
      </c>
      <c r="CM5" s="580">
        <f ca="1" t="shared" ref="CM5:CO5" si="9">CE5</f>
        <v>1135240505468430</v>
      </c>
      <c r="CN5" s="580">
        <f ca="1" t="shared" si="9"/>
        <v>4263143178.86325</v>
      </c>
      <c r="CO5" s="581">
        <f ca="1" t="shared" si="9"/>
        <v>3.56515929972746e-11</v>
      </c>
      <c r="CP5" s="580">
        <f ca="1">CH5</f>
        <v>600882220.636749</v>
      </c>
      <c r="CQ5" s="580">
        <f ca="1">MAX(INDIRECT("'"&amp;$B$2&amp;"-事故进程'!AA"&amp;(ROW()+22)),INDIRECT("'"&amp;$B$2&amp;"-事故进程'!AB"&amp;(ROW()+22)))</f>
        <v>2.94583541033059e-10</v>
      </c>
      <c r="CR5" s="580">
        <f ca="1">SUM(CQ$3,-LN(1-CR$3)/CL5)</f>
        <v>9.99426851876734e-7</v>
      </c>
      <c r="CS5" s="580">
        <f>CS$3/24/3600</f>
        <v>1157407407407410</v>
      </c>
      <c r="CT5" s="582">
        <f ca="1">EXP(-CL5*($Z5+CQ5))</f>
        <v>0.00233365356464188</v>
      </c>
      <c r="CU5" s="582">
        <f ca="1">EXP(-CL5*($Z5+CR5))</f>
        <v>0.00220314321393784</v>
      </c>
      <c r="CV5" s="582">
        <f>EXP(-CL5*($Z5+CS5))</f>
        <v>0</v>
      </c>
      <c r="CW5" s="582">
        <f ca="1">CM5*CQ5+CN5*(CQ5-CR5)</f>
        <v>330163.724110511</v>
      </c>
      <c r="CX5" s="582">
        <f ca="1">(CM5*CR5*CQ5/(CQ5-CS5)+CN5*CR5)/(CR5-CS5)+CO5</f>
        <v>3.19703483991472e-11</v>
      </c>
      <c r="CY5" s="582">
        <f ca="1" t="shared" ref="CY5:CY27" si="10">IF(CR5=0,0,CR5/(CR5-CQ5))</f>
        <v>1.0002948393825</v>
      </c>
      <c r="CZ5" s="580">
        <f ca="1">CM5*CT5</f>
        <v>2649258052312.25</v>
      </c>
      <c r="DA5" s="580">
        <f ca="1">CQ5/(CR5-CQ5)*CZ5+(CN5-CM5*CQ5/(CR5-CQ5))*CU5</f>
        <v>53075905.5418185</v>
      </c>
      <c r="DB5" s="586">
        <f ca="1">CV5*CX5+CY5*(CU5*CW5/(CR5-CS5)-CZ5*CQ5/(CQ5-CS5))</f>
        <v>4.58312992008477e-14</v>
      </c>
      <c r="DC5" s="594">
        <f ca="1">(CM5+CN5+CO5+CP5)*EXP(-$Z5*CL5)-CZ5-DA5-DB5</f>
        <v>3228260.981619</v>
      </c>
      <c r="DD5" s="580">
        <f ca="1">CM5*CQ5/($Z5+CQ5)*(1-CT5)</f>
        <v>3171090181.05035</v>
      </c>
      <c r="DE5" s="580">
        <f ca="1">CY5*(DD5-(1-CU5)*CW5/($Z5+CR5))</f>
        <v>69454071.1971994</v>
      </c>
      <c r="DF5" s="595">
        <f ca="1">CS5*(1-CV5)*CX5/($Z5+CS5)+CS5*CY5*((1-CU5)*CW5/($Z5+CR5)/(CR5-CS5)-DD5/(CQ5-CS5))</f>
        <v>69454071.197199</v>
      </c>
      <c r="DG5" s="596">
        <f>DG$3*3600</f>
        <v>86400</v>
      </c>
      <c r="DH5" s="580">
        <f ca="1" t="shared" ref="DH5:DK5" si="11">CZ5</f>
        <v>2649258052312.25</v>
      </c>
      <c r="DI5" s="580">
        <f ca="1" t="shared" si="11"/>
        <v>53075905.5418185</v>
      </c>
      <c r="DJ5" s="581">
        <f ca="1" t="shared" si="11"/>
        <v>4.58312992008477e-14</v>
      </c>
      <c r="DK5" s="580">
        <f ca="1" t="shared" si="11"/>
        <v>3228260.981619</v>
      </c>
      <c r="DL5" s="580">
        <f ca="1">MAX(INDIRECT("'"&amp;$B$2&amp;"-事故进程'!AB"&amp;(ROW()+22)),INDIRECT("'"&amp;$B$2&amp;"-事故进程'!AC"&amp;(ROW()+22)))</f>
        <v>6.92724732300375e-10</v>
      </c>
      <c r="DM5" s="580">
        <f ca="1">SUM(DL$3,-LN(1-DM$3)/DG5)</f>
        <v>1.07814939005043e-6</v>
      </c>
      <c r="DN5" s="580">
        <f>DN$3/24/3600</f>
        <v>1157407407407410</v>
      </c>
      <c r="DO5" s="582">
        <f ca="1">EXP(-DG5*($Z5+DL5))</f>
        <v>0.000112730033872591</v>
      </c>
      <c r="DP5" s="582">
        <f ca="1">EXP(-DG5*($Z5+DM5))</f>
        <v>0.000102709398169497</v>
      </c>
      <c r="DQ5" s="582">
        <f>EXP(-DG5*($Z5+DN5))</f>
        <v>0</v>
      </c>
      <c r="DR5" s="582">
        <f ca="1">DH5*DL5+DI5*(DL5-DM5)</f>
        <v>1778.01958688878</v>
      </c>
      <c r="DS5" s="582">
        <f ca="1">(DH5*DM5*DL5/(DL5-DN5)+DI5*DM5)/(DM5-DN5)+DJ5</f>
        <v>-3.61002528010339e-15</v>
      </c>
      <c r="DT5" s="582">
        <f ca="1" t="shared" ref="DT5:DT27" si="12">IF(DM5=0,0,DM5/(DM5-DL5))</f>
        <v>1.00064292584064</v>
      </c>
      <c r="DU5" s="580">
        <f ca="1">DH5*DO5</f>
        <v>298650949.974393</v>
      </c>
      <c r="DV5" s="580">
        <f ca="1">DL5/(DM5-DL5)*DU5+(DI5-DH5*DL5/(DM5-DL5))*DP5</f>
        <v>22519.3072263146</v>
      </c>
      <c r="DW5" s="586">
        <f ca="1">DQ5*DS5+DT5*(DP5*DR5/(DM5-DN5)-DU5*DL5/(DL5-DN5))</f>
        <v>2.09772092307537e-17</v>
      </c>
      <c r="DX5" s="594">
        <f ca="1">(DH5+DI5+DJ5+DK5)*EXP(-$Z5*DG5)-DU5-DV5-DW5</f>
        <v>1703.46070019959</v>
      </c>
      <c r="DY5" s="580">
        <f ca="1">DH5*DL5/($Z5+DL5)*(1-DO5)</f>
        <v>17440593.7411643</v>
      </c>
      <c r="DZ5" s="580">
        <f ca="1">DT5*(DY5-(1-DP5)*DR5/($Z5+DM5))</f>
        <v>715041.794982923</v>
      </c>
      <c r="EA5" s="595">
        <f ca="1">DN5*(1-DQ5)*DS5/($Z5+DN5)+DN5*DT5*((1-DP5)*DR5/($Z5+DM5)/(DM5-DN5)-DY5/(DL5-DN5))</f>
        <v>715041.794982924</v>
      </c>
      <c r="EB5" s="596">
        <f>EB$3*3600</f>
        <v>172800</v>
      </c>
      <c r="EC5" s="580">
        <f ca="1" t="shared" ref="EC5:EF5" si="13">DU5</f>
        <v>298650949.974393</v>
      </c>
      <c r="ED5" s="580">
        <f ca="1" t="shared" si="13"/>
        <v>22519.3072263146</v>
      </c>
      <c r="EE5" s="581">
        <f ca="1" t="shared" si="13"/>
        <v>2.09772092307537e-17</v>
      </c>
      <c r="EF5" s="580">
        <f ca="1" t="shared" si="13"/>
        <v>1703.46070019959</v>
      </c>
      <c r="EG5" s="580">
        <f ca="1">MAX(INDIRECT("'"&amp;$B$2&amp;"-事故进程'!AC"&amp;(ROW()+22)),INDIRECT("'"&amp;$B$2&amp;"-事故进程'!AD"&amp;(ROW()+22)),INDIRECT("'"&amp;$B$2&amp;"-事故进程'!AE"&amp;(ROW()+22)))</f>
        <v>6.92724732300375e-10</v>
      </c>
      <c r="EH5" s="580">
        <f ca="1">SUM(EG$3,-LN(1-EH$3)/EB5)</f>
        <v>5.81616658188741e-8</v>
      </c>
      <c r="EI5" s="580">
        <f>EI$3/24/3600</f>
        <v>1157407407407410</v>
      </c>
      <c r="EJ5" s="582">
        <f ca="1">EXP(-EB5*($Z5+EG5))</f>
        <v>1.27080605369154e-8</v>
      </c>
      <c r="EK5" s="582">
        <f ca="1">EXP(-EB5*($Z5+EH5))</f>
        <v>1.25824860006339e-8</v>
      </c>
      <c r="EL5" s="582">
        <f>EXP(-EB5*($Z5+EI5))</f>
        <v>0</v>
      </c>
      <c r="EM5" s="582">
        <f ca="1">EC5*EG5+ED5*(EG5-EH5)</f>
        <v>0.205588738631965</v>
      </c>
      <c r="EN5" s="582">
        <f ca="1">(EC5*EH5*EG5/(EG5-EI5)+ED5*EH5)/(EH5-EI5)+EE5</f>
        <v>1.98455762266905e-17</v>
      </c>
      <c r="EO5" s="582">
        <f ca="1" t="shared" ref="EO5:EO27" si="14">IF(EH5=0,0,EH5/(EH5-EG5))</f>
        <v>1.01205389762197</v>
      </c>
      <c r="EP5" s="580">
        <f ca="1">EC5*EJ5</f>
        <v>3.79527435168189</v>
      </c>
      <c r="EQ5" s="580">
        <f ca="1">EG5/(EH5-EG5)*EP5+(ED5-EC5*EG5/(EH5-EG5))*EK5</f>
        <v>0.000735405642623088</v>
      </c>
      <c r="ER5" s="586">
        <f ca="1">EL5*EN5+EO5*(EK5*EM5/(EH5-EI5)-EP5*EG5/(EG5-EI5))</f>
        <v>3.69553684846107e-26</v>
      </c>
      <c r="ES5" s="594">
        <f ca="1">(EC5+ED5+EE5+EF5)*EXP(-$Z5*EB5)-EP5-EQ5-ER5</f>
        <v>2.67878948206901e-5</v>
      </c>
      <c r="ET5" s="580">
        <f ca="1">EC5*EG5/($Z5+EG5)*(1-EJ5)</f>
        <v>1966.30035932061</v>
      </c>
      <c r="EU5" s="580">
        <f ca="1">EO5*(ET5-(1-EK5)*EM5/($Z5+EH5))</f>
        <v>13.5280695773311</v>
      </c>
      <c r="EV5" s="595">
        <f ca="1">EI5*(1-EL5)*EN5/($Z5+EI5)+EI5*EO5*((1-EK5)*EM5/($Z5+EH5)/(EH5-EI5)-ET5/(EG5-EI5))</f>
        <v>13.5280695773311</v>
      </c>
      <c r="EW5" s="596">
        <f>EW$3*3600</f>
        <v>2246400</v>
      </c>
      <c r="EX5" s="580">
        <f ca="1" t="shared" ref="EX5:FA5" si="15">EP5</f>
        <v>3.79527435168189</v>
      </c>
      <c r="EY5" s="580">
        <f ca="1" t="shared" si="15"/>
        <v>0.000735405642623088</v>
      </c>
      <c r="EZ5" s="581">
        <f ca="1" t="shared" si="15"/>
        <v>3.69553684846107e-26</v>
      </c>
      <c r="FA5" s="580">
        <f ca="1" t="shared" si="15"/>
        <v>2.67878948206901e-5</v>
      </c>
      <c r="FB5" s="580">
        <f ca="1">INDIRECT("'"&amp;$B$2&amp;"-事故进程'!AE"&amp;(ROW()+22))</f>
        <v>3.08350839073874e-10</v>
      </c>
      <c r="FC5" s="580">
        <f ca="1">SUM(FB$3,-LN(1-FC$3)/EW5)</f>
        <v>4.47397429375955e-9</v>
      </c>
      <c r="FD5" s="580">
        <f>FD$3/24/3600</f>
        <v>1157407407407410</v>
      </c>
      <c r="FE5" s="582">
        <f ca="1" t="shared" ref="FE5:FE27" si="16">EXP(-EW5*($Z5+FB5))</f>
        <v>2.2563453366014e-103</v>
      </c>
      <c r="FF5" s="582">
        <f ca="1" t="shared" ref="FF5:FF27" si="17">EXP(-EW5*($Z5+FC5))</f>
        <v>2.23532971377545e-103</v>
      </c>
      <c r="FG5" s="582">
        <f t="shared" ref="FG5:FG27" si="18">EXP(-EW5*($Z5+FD5))</f>
        <v>0</v>
      </c>
      <c r="FH5" s="582">
        <f ca="1" t="shared" ref="FH5:FH27" si="19">EX5*FB5+EY5*(FB5-FC5)</f>
        <v>1.16721260786305e-9</v>
      </c>
      <c r="FI5" s="582">
        <f ca="1" t="shared" ref="FI5:FI27" si="20">(EX5*FC5*FB5/(FB5-FD5)+EY5*FC5)/(FC5-FD5)+EZ5</f>
        <v>3.41126478319483e-26</v>
      </c>
      <c r="FJ5" s="582">
        <f ca="1" t="shared" ref="FJ5:FJ27" si="21">IF(FC5=0,0,FC5/(FC5-FB5))</f>
        <v>1.07402273451457</v>
      </c>
      <c r="FK5" s="580">
        <f ca="1" t="shared" ref="FK5:FK27" si="22">EX5*FE5</f>
        <v>8.56344958454035e-103</v>
      </c>
      <c r="FL5" s="580">
        <f ca="1" t="shared" ref="FL5:FL27" si="23">FB5/(FC5-FB5)*FK5+(EY5-EX5*FB5/(FC5-FB5))*FF5</f>
        <v>7.54793140865164e-106</v>
      </c>
      <c r="FM5" s="586">
        <f ca="1" t="shared" ref="FM5:FM27" si="24">FG5*FI5+FJ5*(FF5*FH5/(FC5-FD5)-FK5*FB5/(FB5-FD5))</f>
        <v>2.91766329446698e-129</v>
      </c>
      <c r="FN5" s="594">
        <f ca="1" t="shared" ref="FN5:FN27" si="25">(EX5+EY5+EZ5+FA5)*EXP(-$Z5*EW5)-FK5-FL5-FM5</f>
        <v>1.06811430999149e-107</v>
      </c>
      <c r="FO5" s="580">
        <f ca="1" t="shared" ref="FO5:FO27" si="26">EX5*FB5/($Z5+FB5)*(1-FE5)</f>
        <v>1.1122826597917e-5</v>
      </c>
      <c r="FP5" s="580">
        <f ca="1" t="shared" ref="FP5:FP27" si="27">FJ5*(FO5-(1-FF5)*FH5/($Z5+FC5))</f>
        <v>3.17431134495037e-8</v>
      </c>
      <c r="FQ5" s="595">
        <f ca="1" t="shared" ref="FQ5:FQ27" si="28">FD5*(1-FG5)*FI5/($Z5+FD5)+FD5*FJ5*((1-FF5)*FH5/($Z5+FC5)/(FC5-FD5)-FO5/(FB5-FD5))</f>
        <v>3.17431134495039e-8</v>
      </c>
      <c r="FR5" s="608" t="str">
        <f t="shared" ref="FR5:FR27" si="29">G5</f>
        <v>Kr-83m</v>
      </c>
      <c r="FS5" s="609">
        <v>5560000000</v>
      </c>
      <c r="FT5" s="610">
        <v>3000000000</v>
      </c>
      <c r="FU5" s="610">
        <v>217000000</v>
      </c>
      <c r="FV5" s="610">
        <v>395000</v>
      </c>
      <c r="FW5" s="610">
        <v>8780000000</v>
      </c>
      <c r="FX5" s="614">
        <f ca="1" t="shared" ref="FX5:FX23" si="30">H5/FS5</f>
        <v>0.79658273381295</v>
      </c>
      <c r="FY5" s="614">
        <f ca="1">(I5+J5)/FT5</f>
        <v>0.840839802036817</v>
      </c>
      <c r="FZ5" s="614">
        <f ca="1">K5/FU5</f>
        <v>0.320064844226724</v>
      </c>
      <c r="GA5" s="614">
        <f ca="1">L5/FV5</f>
        <v>1.81026664063924</v>
      </c>
      <c r="GB5" s="614">
        <f ca="1">SUM(H5:L5)/FW5</f>
        <v>0.79973673492377</v>
      </c>
      <c r="GC5" s="455">
        <f ca="1" t="shared" ref="GC5:GC26" si="31">N5/FW5</f>
        <v>0.79973673492377</v>
      </c>
      <c r="GE5" s="609">
        <v>1129063323.15744</v>
      </c>
      <c r="GF5" s="610">
        <v>140440921.932809</v>
      </c>
      <c r="GG5" s="610">
        <v>12115600.5687868</v>
      </c>
      <c r="GH5" s="610">
        <v>33581.6637031985</v>
      </c>
      <c r="GI5" s="610">
        <v>57.1973546594997</v>
      </c>
      <c r="GJ5" s="610">
        <v>4.31110717077839e-8</v>
      </c>
      <c r="GK5" s="617">
        <v>1281653484.52009</v>
      </c>
      <c r="GL5" s="614">
        <f ca="1">H5/GE5</f>
        <v>3.92272063856812</v>
      </c>
      <c r="GM5" s="614">
        <f ca="1">(I5+J5)/GF5</f>
        <v>17.9614272777082</v>
      </c>
      <c r="GN5" s="614">
        <f ca="1">K5/GG5</f>
        <v>5.73261480542139</v>
      </c>
      <c r="GO5" s="614">
        <f ca="1">L5/(GH5+GI5)</f>
        <v>21.2568232266433</v>
      </c>
      <c r="GP5" s="614">
        <f ca="1">M5/GJ5</f>
        <v>0.736310005575031</v>
      </c>
      <c r="GQ5" s="614">
        <f ca="1">N5/GK5</f>
        <v>5.4786169720905</v>
      </c>
      <c r="GR5" s="451">
        <f>Z5</f>
        <v>0.000105213597534903</v>
      </c>
      <c r="GS5" s="390">
        <f>LN(2)/GR5</f>
        <v>6588.00000000004</v>
      </c>
    </row>
    <row r="6" spans="1:201">
      <c r="A6" s="413"/>
      <c r="B6" s="407" t="s">
        <v>250</v>
      </c>
      <c r="C6" s="414">
        <v>4.31</v>
      </c>
      <c r="D6" s="409" t="s">
        <v>251</v>
      </c>
      <c r="E6" s="410"/>
      <c r="G6" s="411" t="s">
        <v>47</v>
      </c>
      <c r="H6" s="412">
        <f ca="1">AU6</f>
        <v>1076200000</v>
      </c>
      <c r="I6" s="412">
        <f ca="1" t="shared" si="1"/>
        <v>1035491.83422581</v>
      </c>
      <c r="J6" s="412">
        <f ca="1">CK6</f>
        <v>25077855.1240133</v>
      </c>
      <c r="K6" s="412">
        <f ca="1">DF6</f>
        <v>44147502.3933254</v>
      </c>
      <c r="L6" s="412">
        <f ca="1">EA6+EV6</f>
        <v>333395047.66748</v>
      </c>
      <c r="M6" s="412">
        <f ca="1">FQ6</f>
        <v>340683542.154182</v>
      </c>
      <c r="N6" s="412">
        <f ca="1">SUM(H6:M6)</f>
        <v>1820539439.17323</v>
      </c>
      <c r="O6" s="450">
        <f ca="1">AS6</f>
        <v>1076200000</v>
      </c>
      <c r="P6" s="451"/>
      <c r="Q6" s="477" t="str">
        <f t="shared" si="0"/>
        <v>Kr-85</v>
      </c>
      <c r="R6" s="412">
        <f ca="1">H6</f>
        <v>1076200000</v>
      </c>
      <c r="S6" s="412">
        <f ca="1">I6*(1-过滤效率!$B3)</f>
        <v>1035491.83422581</v>
      </c>
      <c r="T6" s="412">
        <f ca="1">J6*(1-过滤效率!$B3)</f>
        <v>25077855.1240133</v>
      </c>
      <c r="U6" s="412">
        <f ca="1">K6*(1-过滤效率!$B3)</f>
        <v>44147502.3933254</v>
      </c>
      <c r="V6" s="412">
        <f ca="1">L6*(1-过滤效率!$B3)</f>
        <v>333395047.66748</v>
      </c>
      <c r="W6" s="412">
        <f ca="1">M6*(1-过滤效率!$B3)</f>
        <v>340683542.154182</v>
      </c>
      <c r="X6" s="412">
        <f ca="1">SUM(R6:W6)</f>
        <v>1820539439.17323</v>
      </c>
      <c r="Y6" s="493"/>
      <c r="Z6" s="494">
        <f>VLOOKUP(G6,衰变常数!$A$1:$H$3800,7,FALSE)</f>
        <v>2.04207062814938e-9</v>
      </c>
      <c r="AA6" s="495">
        <f>正常源项!C3</f>
        <v>1860000000000000</v>
      </c>
      <c r="AB6" s="496">
        <f>正常源项!F3</f>
        <v>0</v>
      </c>
      <c r="AC6" s="496">
        <f>正常源项!I3</f>
        <v>46200000</v>
      </c>
      <c r="AD6" s="496">
        <f>正常源项!L3</f>
        <v>1030000000</v>
      </c>
      <c r="AE6" s="496"/>
      <c r="AF6" s="498"/>
      <c r="AG6" s="519"/>
      <c r="AH6" s="518"/>
      <c r="AI6" s="519"/>
      <c r="AJ6" s="521">
        <v>0.00066</v>
      </c>
      <c r="AK6" s="521">
        <v>5.457e-5</v>
      </c>
      <c r="AL6" s="522">
        <f>AA6*(AJ6-AK6)*0.00000209</f>
        <v>2353548.582</v>
      </c>
      <c r="AM6" s="522">
        <f>(0.00016*10%+0.00026*30%)/2*AA6</f>
        <v>87420000000</v>
      </c>
      <c r="AN6" s="519">
        <f ca="1">MAX(INDIRECT("'"&amp;$B$2&amp;"-事故进程'!Y"&amp;(ROW()+22)),INDIRECT("'"&amp;$B$2&amp;"-事故进程'!Z"&amp;(ROW()+22)),INDIRECT("'"&amp;$B$2&amp;"-事故进程'!AA"&amp;(ROW()+22)))</f>
        <v>6.0576651e-12</v>
      </c>
      <c r="AO6" s="519">
        <f ca="1" t="shared" si="3"/>
        <v>0</v>
      </c>
      <c r="AP6" s="560">
        <f t="shared" si="4"/>
        <v>1860000000000000</v>
      </c>
      <c r="AQ6" s="561">
        <f ca="1">(AC6*$C$5+AD6*$C$8+AF6+AG6+AI6+(AL6+AM6)*$C$10)*EXP(-Z6*$C$12*3600)+AO6*$C$11</f>
        <v>1076200000</v>
      </c>
      <c r="AR6" s="562">
        <f ca="1">AQ6*(1-AR$3)</f>
        <v>0</v>
      </c>
      <c r="AS6" s="563">
        <f ca="1" t="shared" si="5"/>
        <v>1076200000</v>
      </c>
      <c r="AT6" s="562">
        <f ca="1">AS6*(1-AT$3)</f>
        <v>0</v>
      </c>
      <c r="AU6" s="564">
        <f ca="1">AS6-AT6</f>
        <v>1076200000</v>
      </c>
      <c r="AV6" s="565">
        <f>AV$3*3600</f>
        <v>7200</v>
      </c>
      <c r="AW6" s="580">
        <f>AP6*EXP(-Z6*AW$3*3600)</f>
        <v>1860000000000000</v>
      </c>
      <c r="AX6" s="580">
        <f ca="1">AR6</f>
        <v>0</v>
      </c>
      <c r="AY6" s="581">
        <f ca="1">AT6</f>
        <v>0</v>
      </c>
      <c r="AZ6" s="580">
        <v>0</v>
      </c>
      <c r="BA6" s="580">
        <f ca="1" t="shared" ref="BA6:BA16" si="32">MAX(INDIRECT("'"&amp;$B$2&amp;"-事故进程'!Y"&amp;(ROW()+22)),INDIRECT("'"&amp;$B$2&amp;"-事故进程'!Z"&amp;(ROW()+22)))</f>
        <v>6.006338e-13</v>
      </c>
      <c r="BB6" s="580">
        <f ca="1">SUM(BA$3,-LN(1-BB$3)/AV6)</f>
        <v>3.92016660325749e-5</v>
      </c>
      <c r="BC6" s="580">
        <f>BC$3/24/3600</f>
        <v>1157407407407410</v>
      </c>
      <c r="BD6" s="582">
        <f ca="1">EXP(-AV6*($Z6+BA6))</f>
        <v>0.999985292875065</v>
      </c>
      <c r="BE6" s="582">
        <f ca="1">EXP(-AV6*($Z6+BB6))</f>
        <v>0.754072547813816</v>
      </c>
      <c r="BF6" s="582">
        <f>EXP(-AV6*($Z6+BC6))</f>
        <v>0</v>
      </c>
      <c r="BG6" s="582">
        <f ca="1">AW6*BA6+AX6*(BA6-BB6)</f>
        <v>1117.178868</v>
      </c>
      <c r="BH6" s="582">
        <f ca="1">(AW6*BB6*BA6/(BA6-BC6)+AX6*BB6)/(BB6-BC6)+AY6</f>
        <v>3.26929960253111e-32</v>
      </c>
      <c r="BI6" s="582">
        <f ca="1" t="shared" si="6"/>
        <v>1.00000001532164</v>
      </c>
      <c r="BJ6" s="580">
        <f ca="1">AW6*BD6</f>
        <v>1859972644747620</v>
      </c>
      <c r="BK6" s="580">
        <f ca="1">BA6/(BB6-BA6)*BJ6+(AX6-AW6*BA6/(BB6-BA6))*BE6</f>
        <v>7008082.9252334</v>
      </c>
      <c r="BL6" s="586">
        <f ca="1">BF6*BH6+BI6*(BE6*BG6/(BB6-BC6)-BJ6*BA6/(BA6-BC6))</f>
        <v>2.37365446778142e-13</v>
      </c>
      <c r="BM6" s="594">
        <f ca="1">(AW6+AX6+AY6+AZ6)*EXP(-$Z6*AV6)-BJ6-BK6-BL6</f>
        <v>1035486.5747666</v>
      </c>
      <c r="BN6" s="580">
        <f ca="1">AW6*BA6/($Z6+BA6)*(1-BD6)</f>
        <v>8043628.69970395</v>
      </c>
      <c r="BO6" s="580">
        <f ca="1">BI6*(BN6-(1-BE6)*BG6/($Z6+BB6))</f>
        <v>1035491.83422581</v>
      </c>
      <c r="BP6" s="595">
        <f ca="1">BC6*(1-BF6)*BH6/($Z6+BC6)+BC6*BI6*((1-BE6)*BG6/($Z6+BB6)/(BB6-BC6)-BN6/(BA6-BC6))</f>
        <v>1035491.83422581</v>
      </c>
      <c r="BQ6" s="596">
        <f>BQ$3*3600</f>
        <v>21600</v>
      </c>
      <c r="BR6" s="580">
        <f ca="1" t="shared" ref="BR6:BT6" si="33">BJ6</f>
        <v>1859972644747620</v>
      </c>
      <c r="BS6" s="580">
        <f ca="1" t="shared" si="33"/>
        <v>7008082.9252334</v>
      </c>
      <c r="BT6" s="581">
        <f ca="1" t="shared" si="33"/>
        <v>2.37365446778142e-13</v>
      </c>
      <c r="BU6" s="580">
        <f ca="1">BM6</f>
        <v>1035486.5747666</v>
      </c>
      <c r="BV6" s="580">
        <f ca="1">MAX(INDIRECT("'"&amp;$B$2&amp;"-事故进程'!Z"&amp;(ROW()+22)),INDIRECT("'"&amp;$B$2&amp;"-事故进程'!AA"&amp;(ROW()+22)))</f>
        <v>6.0576651e-12</v>
      </c>
      <c r="BW6" s="580">
        <f ca="1">SUM(BV$3,-LN(1-BW$3)/BQ6)</f>
        <v>9.67910672705165e-6</v>
      </c>
      <c r="BX6" s="580">
        <f>BX$3/24/3600</f>
        <v>1157407407407410</v>
      </c>
      <c r="BY6" s="582">
        <f ca="1">EXP(-BQ6*($Z6+BV6))</f>
        <v>0.999955761407421</v>
      </c>
      <c r="BZ6" s="582">
        <f ca="1">EXP(-BQ6*($Z6+BW6))</f>
        <v>0.811303704040172</v>
      </c>
      <c r="CA6" s="582">
        <f>EXP(-BQ6*($Z6+BX6))</f>
        <v>0</v>
      </c>
      <c r="CB6" s="582">
        <f ca="1">BR6*BV6+BS6*(BV6-BW6)</f>
        <v>11199.2594369096</v>
      </c>
      <c r="CC6" s="582">
        <f ca="1">(BR6*BW6*BV6/(BV6-BX6)+BS6*BW6)/(BW6-BX6)+BT6</f>
        <v>1.78758613824389e-13</v>
      </c>
      <c r="CD6" s="582">
        <f ca="1" t="shared" si="8"/>
        <v>1.00000062584999</v>
      </c>
      <c r="CE6" s="580">
        <f ca="1">BR6*BY6</f>
        <v>1859890362175580</v>
      </c>
      <c r="CF6" s="580">
        <f ca="1">BV6/(BW6-BV6)*CE6+(BS6-BR6*BV6/(BW6-BV6))*BZ6</f>
        <v>225288727.495379</v>
      </c>
      <c r="CG6" s="586">
        <f ca="1">CA6*CC6+CD6*(BZ6*CB6/(BW6-BX6)-CE6*BV6/(BV6-BX6))</f>
        <v>1.88403290308462e-12</v>
      </c>
      <c r="CH6" s="594">
        <f ca="1">(BR6+BS6+BT6+BU6)*EXP(-$Z6*BQ6)-CE6-CF6-CG6</f>
        <v>26112910.2546214</v>
      </c>
      <c r="CI6" s="580">
        <f ca="1">BR6*BV6/($Z6+BV6)*(1-BY6)</f>
        <v>243363790.549277</v>
      </c>
      <c r="CJ6" s="580">
        <f ca="1">CD6*(CI6-(1-BZ6)*CB6/($Z6+BW6))</f>
        <v>25077855.1240133</v>
      </c>
      <c r="CK6" s="595">
        <f ca="1">BX6*(1-CA6)*CC6/($Z6+BX6)+BX6*CD6*((1-BZ6)*CB6/($Z6+BW6)/(BW6-BX6)-CI6/(BV6-BX6))</f>
        <v>25077855.1240133</v>
      </c>
      <c r="CL6" s="596">
        <f>CL$3*3600</f>
        <v>57600</v>
      </c>
      <c r="CM6" s="580">
        <f ca="1" t="shared" ref="CM6:CO6" si="34">CE6</f>
        <v>1859890362175580</v>
      </c>
      <c r="CN6" s="580">
        <f ca="1" t="shared" si="34"/>
        <v>225288727.495379</v>
      </c>
      <c r="CO6" s="581">
        <f ca="1" t="shared" si="34"/>
        <v>1.88403290308462e-12</v>
      </c>
      <c r="CP6" s="580">
        <f ca="1">CH6</f>
        <v>26112910.2546214</v>
      </c>
      <c r="CQ6" s="580">
        <f ca="1">MAX(INDIRECT("'"&amp;$B$2&amp;"-事故进程'!AA"&amp;(ROW()+22)),INDIRECT("'"&amp;$B$2&amp;"-事故进程'!AB"&amp;(ROW()+22)))</f>
        <v>1.04281898e-11</v>
      </c>
      <c r="CR6" s="580">
        <f ca="1">SUM(CQ$3,-LN(1-CR$3)/CL6)</f>
        <v>9.99426851876734e-7</v>
      </c>
      <c r="CS6" s="580">
        <f>CS$3/24/3600</f>
        <v>1157407407407410</v>
      </c>
      <c r="CT6" s="582">
        <f ca="1">EXP(-CL6*($Z6+CQ6))</f>
        <v>0.99988178305626</v>
      </c>
      <c r="CU6" s="582">
        <f ca="1">EXP(-CL6*($Z6+CR6))</f>
        <v>0.943947612191634</v>
      </c>
      <c r="CV6" s="582">
        <f>EXP(-CL6*($Z6+CS6))</f>
        <v>0</v>
      </c>
      <c r="CW6" s="582">
        <f ca="1">CM6*CQ6+CN6*(CQ6-CR6)</f>
        <v>19170.1324496273</v>
      </c>
      <c r="CX6" s="582">
        <f ca="1">(CM6*CR6*CQ6/(CQ6-CS6)+CN6*CR6)/(CR6-CS6)+CO6</f>
        <v>1.68949500550163e-12</v>
      </c>
      <c r="CY6" s="582">
        <f ca="1" t="shared" si="10"/>
        <v>1.000010434279</v>
      </c>
      <c r="CZ6" s="580">
        <f ca="1">CM6*CT6</f>
        <v>1859670491621270</v>
      </c>
      <c r="DA6" s="580">
        <f ca="1">CQ6/(CR6-CQ6)*CZ6+(CN6-CM6*CQ6/(CR6-CQ6))*CU6</f>
        <v>1298153672.59694</v>
      </c>
      <c r="DB6" s="586">
        <f ca="1">CV6*CX6+CY6*(CU6*CW6/(CR6-CS6)-CZ6*CQ6/(CQ6-CS6))</f>
        <v>1.120961927453e-12</v>
      </c>
      <c r="DC6" s="594">
        <f ca="1">(CM6+CN6+CO6+CP6)*EXP(-$Z6*CL6)-CZ6-DA6-DB6</f>
        <v>70255350.4030571</v>
      </c>
      <c r="DD6" s="580">
        <f ca="1">CM6*CQ6/($Z6+CQ6)*(1-CT6)</f>
        <v>1117102651.5131</v>
      </c>
      <c r="DE6" s="580">
        <f ca="1">CY6*(DD6-(1-CU6)*CW6/($Z6+CR6))</f>
        <v>44147502.3933254</v>
      </c>
      <c r="DF6" s="595">
        <f ca="1">CS6*(1-CV6)*CX6/($Z6+CS6)+CS6*CY6*((1-CU6)*CW6/($Z6+CR6)/(CR6-CS6)-DD6/(CQ6-CS6))</f>
        <v>44147502.3933254</v>
      </c>
      <c r="DG6" s="596">
        <f>DG$3*3600</f>
        <v>86400</v>
      </c>
      <c r="DH6" s="580">
        <f ca="1" t="shared" ref="DH6:DK6" si="35">CZ6</f>
        <v>1859670491621270</v>
      </c>
      <c r="DI6" s="580">
        <f ca="1" t="shared" si="35"/>
        <v>1298153672.59694</v>
      </c>
      <c r="DJ6" s="581">
        <f ca="1" t="shared" si="35"/>
        <v>1.120961927453e-12</v>
      </c>
      <c r="DK6" s="580">
        <f ca="1" t="shared" si="35"/>
        <v>70255350.4030571</v>
      </c>
      <c r="DL6" s="580">
        <f ca="1">MAX(INDIRECT("'"&amp;$B$2&amp;"-事故进程'!AB"&amp;(ROW()+22)),INDIRECT("'"&amp;$B$2&amp;"-事故进程'!AC"&amp;(ROW()+22)))</f>
        <v>1.98225697e-11</v>
      </c>
      <c r="DM6" s="580">
        <f ca="1">SUM(DL$3,-LN(1-DM$3)/DG6)</f>
        <v>1.07814939005043e-6</v>
      </c>
      <c r="DN6" s="580">
        <f>DN$3/24/3600</f>
        <v>1157407407407410</v>
      </c>
      <c r="DO6" s="582">
        <f ca="1">EXP(-DG6*($Z6+DL6))</f>
        <v>0.999821868295042</v>
      </c>
      <c r="DP6" s="582">
        <f ca="1">EXP(-DG6*($Z6+DM6))</f>
        <v>0.91089418394825</v>
      </c>
      <c r="DQ6" s="582">
        <f>EXP(-DG6*($Z6+DN6))</f>
        <v>0</v>
      </c>
      <c r="DR6" s="582">
        <f ca="1">DH6*DL6+DI6*(DL6-DM6)</f>
        <v>35463.8700816355</v>
      </c>
      <c r="DS6" s="582">
        <f ca="1">(DH6*DM6*DL6/(DL6-DN6)+DI6*DM6)/(DM6-DN6)+DJ6</f>
        <v>-8.82955745680385e-14</v>
      </c>
      <c r="DT6" s="582">
        <f ca="1" t="shared" si="12"/>
        <v>1.00001838607371</v>
      </c>
      <c r="DU6" s="580">
        <f ca="1">DH6*DO6</f>
        <v>1859339225345940</v>
      </c>
      <c r="DV6" s="580">
        <f ca="1">DL6/(DM6-DL6)*DU6+(DI6-DH6*DL6/(DM6-DL6))*DP6</f>
        <v>4223099458.57892</v>
      </c>
      <c r="DW6" s="586">
        <f ca="1">DQ6*DS6+DT6*(DP6*DR6/(DM6-DN6)-DU6*DL6/(DL6-DN6))</f>
        <v>3.93390613905625e-12</v>
      </c>
      <c r="DX6" s="594">
        <f ca="1">(DH6+DI6+DJ6+DK6)*EXP(-$Z6*DG6)-DU6-DV6-DW6</f>
        <v>329505429.671078</v>
      </c>
      <c r="DY6" s="580">
        <f ca="1">DH6*DL6/($Z6+DL6)*(1-DO6)</f>
        <v>3184718218.6151</v>
      </c>
      <c r="DZ6" s="580">
        <f ca="1">DT6*(DY6-(1-DP6)*DR6/($Z6+DM6))</f>
        <v>259281340.383279</v>
      </c>
      <c r="EA6" s="595">
        <f ca="1">DN6*(1-DQ6)*DS6/($Z6+DN6)+DN6*DT6*((1-DP6)*DR6/($Z6+DM6)/(DM6-DN6)-DY6/(DL6-DN6))</f>
        <v>259281340.383279</v>
      </c>
      <c r="EB6" s="596">
        <f>EB$3*3600</f>
        <v>172800</v>
      </c>
      <c r="EC6" s="580">
        <f ca="1" t="shared" ref="EC6:EF6" si="36">DU6</f>
        <v>1859339225345940</v>
      </c>
      <c r="ED6" s="580">
        <f ca="1" t="shared" si="36"/>
        <v>4223099458.57892</v>
      </c>
      <c r="EE6" s="581">
        <f ca="1" t="shared" si="36"/>
        <v>3.93390613905625e-12</v>
      </c>
      <c r="EF6" s="580">
        <f ca="1" t="shared" si="36"/>
        <v>329505429.671078</v>
      </c>
      <c r="EG6" s="580">
        <f ca="1">MAX(INDIRECT("'"&amp;$B$2&amp;"-事故进程'!AC"&amp;(ROW()+22)),INDIRECT("'"&amp;$B$2&amp;"-事故进程'!AD"&amp;(ROW()+22)),INDIRECT("'"&amp;$B$2&amp;"-事故进程'!AE"&amp;(ROW()+22)))</f>
        <v>1.98225697e-11</v>
      </c>
      <c r="EH6" s="580">
        <f ca="1">SUM(EG$3,-LN(1-EH$3)/EB6)</f>
        <v>5.81616658188741e-8</v>
      </c>
      <c r="EI6" s="580">
        <f>EI$3/24/3600</f>
        <v>1157407407407410</v>
      </c>
      <c r="EJ6" s="582">
        <f ca="1">EXP(-EB6*($Z6+EG6))</f>
        <v>0.999643768320989</v>
      </c>
      <c r="EK6" s="582">
        <f ca="1">EXP(-EB6*($Z6+EH6))</f>
        <v>0.989650720522216</v>
      </c>
      <c r="EL6" s="582">
        <f>EXP(-EB6*($Z6+EI6))</f>
        <v>0</v>
      </c>
      <c r="EM6" s="582">
        <f ca="1">EC6*EG6+ED6*(EG6-EH6)</f>
        <v>36611.3426036176</v>
      </c>
      <c r="EN6" s="582">
        <f ca="1">(EC6*EH6*EG6/(EG6-EI6)+ED6*EH6)/(EH6-EI6)+EE6</f>
        <v>3.72168829954896e-12</v>
      </c>
      <c r="EO6" s="582">
        <f ca="1" t="shared" si="14"/>
        <v>1.00034093466241</v>
      </c>
      <c r="EP6" s="580">
        <f ca="1">EC6*EJ6</f>
        <v>1858676869811850</v>
      </c>
      <c r="EQ6" s="580">
        <f ca="1">EG6/(EH6-EG6)*EP6+(ED6-EC6*EG6/(EH6-EG6))*EK6</f>
        <v>10514118240.9277</v>
      </c>
      <c r="ER6" s="586">
        <f ca="1">EL6*EN6+EO6*(EK6*EM6/(EH6-EI6)-EP6*EG6/(EG6-EI6))</f>
        <v>5.28352097623742e-13</v>
      </c>
      <c r="ES6" s="594">
        <f ca="1">(EC6+ED6+EE6+EF6)*EXP(-$Z6*EB6)-EP6-EQ6-ER6</f>
        <v>403491669.322266</v>
      </c>
      <c r="ET6" s="580">
        <f ca="1">EC6*EG6/($Z6+EG6)*(1-EJ6)</f>
        <v>6367734640.42524</v>
      </c>
      <c r="EU6" s="580">
        <f ca="1">EO6*(ET6-(1-EK6)*EM6/($Z6+EH6))</f>
        <v>74113707.2841999</v>
      </c>
      <c r="EV6" s="595">
        <f ca="1">EI6*(1-EL6)*EN6/($Z6+EI6)+EI6*EO6*((1-EK6)*EM6/($Z6+EH6)/(EH6-EI6)-ET6/(EG6-EI6))</f>
        <v>74113707.2842005</v>
      </c>
      <c r="EW6" s="596">
        <f>EW$3*3600</f>
        <v>2246400</v>
      </c>
      <c r="EX6" s="580">
        <f ca="1" t="shared" ref="EX6:FA6" si="37">EP6</f>
        <v>1858676869811850</v>
      </c>
      <c r="EY6" s="580">
        <f ca="1" t="shared" si="37"/>
        <v>10514118240.9277</v>
      </c>
      <c r="EZ6" s="581">
        <f ca="1" t="shared" si="37"/>
        <v>5.28352097623742e-13</v>
      </c>
      <c r="FA6" s="580">
        <f ca="1" t="shared" si="37"/>
        <v>403491669.322266</v>
      </c>
      <c r="FB6" s="580">
        <f ca="1">INDIRECT("'"&amp;$B$2&amp;"-事故进程'!AE"&amp;(ROW()+22))</f>
        <v>1.13098073e-11</v>
      </c>
      <c r="FC6" s="580">
        <f ca="1">SUM(FB$3,-LN(1-FC$3)/EW6)</f>
        <v>4.47397429375955e-9</v>
      </c>
      <c r="FD6" s="580">
        <f>FD$3/24/3600</f>
        <v>1157407407407410</v>
      </c>
      <c r="FE6" s="582">
        <f ca="1" t="shared" si="16"/>
        <v>0.995397908415449</v>
      </c>
      <c r="FF6" s="582">
        <f ca="1" t="shared" si="17"/>
        <v>0.985468966183817</v>
      </c>
      <c r="FG6" s="582">
        <f t="shared" si="18"/>
        <v>0</v>
      </c>
      <c r="FH6" s="582">
        <f ca="1" t="shared" si="19"/>
        <v>20974.3562484589</v>
      </c>
      <c r="FI6" s="582">
        <f ca="1" t="shared" si="20"/>
        <v>4.87709628575762e-13</v>
      </c>
      <c r="FJ6" s="582">
        <f ca="1" t="shared" si="21"/>
        <v>1.00253431718524</v>
      </c>
      <c r="FK6" s="580">
        <f ca="1" t="shared" si="22"/>
        <v>1850123068630880</v>
      </c>
      <c r="FL6" s="580">
        <f ca="1" t="shared" si="23"/>
        <v>57131388598.3701</v>
      </c>
      <c r="FM6" s="586">
        <f ca="1" t="shared" si="24"/>
        <v>2.20842170457897e-13</v>
      </c>
      <c r="FN6" s="594">
        <f ca="1" t="shared" si="25"/>
        <v>741726985.879883</v>
      </c>
      <c r="FO6" s="580">
        <f ca="1" t="shared" si="26"/>
        <v>47113453196.0278</v>
      </c>
      <c r="FP6" s="580">
        <f ca="1" t="shared" si="27"/>
        <v>340683542.154186</v>
      </c>
      <c r="FQ6" s="595">
        <f ca="1" t="shared" si="28"/>
        <v>340683542.154182</v>
      </c>
      <c r="FR6" s="608" t="str">
        <f t="shared" si="29"/>
        <v>Kr-85</v>
      </c>
      <c r="FS6" s="609">
        <v>1710000000</v>
      </c>
      <c r="FT6" s="610">
        <v>34200000</v>
      </c>
      <c r="FU6" s="610">
        <v>98400000</v>
      </c>
      <c r="FV6" s="610">
        <v>246000000</v>
      </c>
      <c r="FW6" s="610">
        <v>2090000000</v>
      </c>
      <c r="FX6" s="614">
        <f ca="1" t="shared" si="30"/>
        <v>0.629356725146199</v>
      </c>
      <c r="FY6" s="614">
        <f ca="1" t="shared" ref="FY6:FY23" si="38">(I6+J6)/FT6</f>
        <v>0.763548156673659</v>
      </c>
      <c r="FZ6" s="614">
        <f ca="1" t="shared" ref="FZ6:FZ23" si="39">K6/FU6</f>
        <v>0.448653479606966</v>
      </c>
      <c r="GA6" s="614">
        <f ca="1" t="shared" ref="GA6:GA23" si="40">L6/FV6</f>
        <v>1.35526442141252</v>
      </c>
      <c r="GB6" s="614">
        <f ca="1" t="shared" ref="GB5:GB26" si="41">SUM(H6:L6)/FW6</f>
        <v>0.70806502249715</v>
      </c>
      <c r="GC6" s="455">
        <f ca="1" t="shared" si="31"/>
        <v>0.871071501996759</v>
      </c>
      <c r="GE6" s="609">
        <v>344912399.137776</v>
      </c>
      <c r="GF6" s="610">
        <v>48589529.562346</v>
      </c>
      <c r="GG6" s="610">
        <v>104276496.307748</v>
      </c>
      <c r="GH6" s="610">
        <v>150434983.759559</v>
      </c>
      <c r="GI6" s="610">
        <v>286420913.446382</v>
      </c>
      <c r="GJ6" s="610">
        <v>1510069381.54833</v>
      </c>
      <c r="GK6" s="617">
        <v>2444703703.76214</v>
      </c>
      <c r="GL6" s="614">
        <f ca="1">H6/GE6</f>
        <v>3.1202125603206</v>
      </c>
      <c r="GM6" s="614">
        <f ca="1">(I6+J6)/GF6</f>
        <v>0.537427449770484</v>
      </c>
      <c r="GN6" s="614">
        <f ca="1">K6/GG6</f>
        <v>0.423369637037231</v>
      </c>
      <c r="GO6" s="614">
        <f ca="1">L6/(GH6+GI6)</f>
        <v>0.763169387891568</v>
      </c>
      <c r="GP6" s="614">
        <f ca="1">M6/GJ6</f>
        <v>0.225607873596422</v>
      </c>
      <c r="GQ6" s="614">
        <f ca="1">N6/GK6</f>
        <v>0.744687152218737</v>
      </c>
      <c r="GR6" s="451">
        <f>Z6</f>
        <v>2.04207062814938e-9</v>
      </c>
      <c r="GS6" s="390">
        <f>LN(2)/GR6</f>
        <v>339433500.000001</v>
      </c>
    </row>
    <row r="7" spans="1:201">
      <c r="A7" s="413"/>
      <c r="B7" s="407" t="s">
        <v>252</v>
      </c>
      <c r="C7" s="415">
        <v>1</v>
      </c>
      <c r="D7" s="409" t="s">
        <v>253</v>
      </c>
      <c r="E7" s="410" t="s">
        <v>254</v>
      </c>
      <c r="G7" s="411" t="s">
        <v>48</v>
      </c>
      <c r="H7" s="412">
        <f ca="1">AU7</f>
        <v>19480000000</v>
      </c>
      <c r="I7" s="412">
        <f ca="1" t="shared" si="1"/>
        <v>2531327775.27438</v>
      </c>
      <c r="J7" s="412">
        <f ca="1">CK7</f>
        <v>8163553245.80181</v>
      </c>
      <c r="K7" s="412">
        <f ca="1">DF7</f>
        <v>2319027177.8449</v>
      </c>
      <c r="L7" s="412">
        <f ca="1">EA7+EV7</f>
        <v>850835554.153296</v>
      </c>
      <c r="M7" s="412">
        <f ca="1">FQ7</f>
        <v>308.229017649884</v>
      </c>
      <c r="N7" s="412">
        <f ca="1">SUM(H7:M7)</f>
        <v>33344744061.3034</v>
      </c>
      <c r="O7" s="450">
        <f ca="1">AS7</f>
        <v>19480000000</v>
      </c>
      <c r="P7" s="451"/>
      <c r="Q7" s="477" t="str">
        <f t="shared" si="0"/>
        <v>Kr-85m</v>
      </c>
      <c r="R7" s="412">
        <f ca="1">H7</f>
        <v>19480000000</v>
      </c>
      <c r="S7" s="412">
        <f ca="1">I7*(1-过滤效率!$B4)</f>
        <v>2531327775.27438</v>
      </c>
      <c r="T7" s="412">
        <f ca="1">J7*(1-过滤效率!$B4)</f>
        <v>8163553245.80181</v>
      </c>
      <c r="U7" s="412">
        <f ca="1">K7*(1-过滤效率!$B4)</f>
        <v>2319027177.8449</v>
      </c>
      <c r="V7" s="412">
        <f ca="1">L7*(1-过滤效率!$B4)</f>
        <v>850835554.153296</v>
      </c>
      <c r="W7" s="412">
        <f ca="1">M7*(1-过滤效率!$B4)</f>
        <v>308.229017649884</v>
      </c>
      <c r="X7" s="412">
        <f ca="1">SUM(R7:W7)</f>
        <v>33344744061.3034</v>
      </c>
      <c r="Y7" s="493"/>
      <c r="Z7" s="494">
        <f>VLOOKUP(G7,衰变常数!$A$1:$H$3800,7,FALSE)</f>
        <v>4.29778757787664e-5</v>
      </c>
      <c r="AA7" s="495">
        <f>正常源项!C4</f>
        <v>6.59e+16</v>
      </c>
      <c r="AB7" s="496">
        <f>正常源项!F4</f>
        <v>0</v>
      </c>
      <c r="AC7" s="496">
        <f>正常源项!I4</f>
        <v>17900000000</v>
      </c>
      <c r="AD7" s="496">
        <f>正常源项!L4</f>
        <v>1580000000</v>
      </c>
      <c r="AE7" s="497"/>
      <c r="AF7" s="498"/>
      <c r="AG7" s="483"/>
      <c r="AH7" s="518"/>
      <c r="AI7" s="483"/>
      <c r="AJ7" s="521"/>
      <c r="AK7" s="521"/>
      <c r="AL7" s="519">
        <f t="shared" ref="AL5:AL18" si="42">AA7*0.0000007*0.000209</f>
        <v>9641170</v>
      </c>
      <c r="AM7" s="520">
        <f t="shared" si="2"/>
        <v>276780000000</v>
      </c>
      <c r="AN7" s="519">
        <f ca="1">MAX(INDIRECT("'"&amp;$B$2&amp;"-事故进程'!Y"&amp;(ROW()+22)),INDIRECT("'"&amp;$B$2&amp;"-事故进程'!Z"&amp;(ROW()+22)),INDIRECT("'"&amp;$B$2&amp;"-事故进程'!AA"&amp;(ROW()+22)))</f>
        <v>1.10287476883107e-10</v>
      </c>
      <c r="AO7" s="519">
        <f ca="1" t="shared" si="3"/>
        <v>0</v>
      </c>
      <c r="AP7" s="560">
        <f t="shared" si="4"/>
        <v>6.59e+16</v>
      </c>
      <c r="AQ7" s="561">
        <f ca="1">(AC7*$C$5+AD7*$C$8+AF7+AG7+AI7+(AL7+AM7)*$C$10)*EXP(-Z7*$C$12*3600)+AO7*$C$11</f>
        <v>19480000000</v>
      </c>
      <c r="AR7" s="562">
        <f ca="1">AQ7*(1-AR$3)</f>
        <v>0</v>
      </c>
      <c r="AS7" s="563">
        <f ca="1" t="shared" si="5"/>
        <v>19480000000</v>
      </c>
      <c r="AT7" s="562">
        <f ca="1">AS7*(1-AT$3)</f>
        <v>0</v>
      </c>
      <c r="AU7" s="564">
        <f ca="1">AS7-AT7</f>
        <v>19480000000</v>
      </c>
      <c r="AV7" s="565">
        <f>AV$3*3600</f>
        <v>7200</v>
      </c>
      <c r="AW7" s="580">
        <f>AP7*EXP(-Z7*AW$3*3600)</f>
        <v>6.59e+16</v>
      </c>
      <c r="AX7" s="580">
        <f ca="1">AR7</f>
        <v>0</v>
      </c>
      <c r="AY7" s="581">
        <f ca="1">AT7</f>
        <v>0</v>
      </c>
      <c r="AZ7" s="580">
        <v>0</v>
      </c>
      <c r="BA7" s="580">
        <f ca="1" t="shared" si="32"/>
        <v>5.06760369035609e-11</v>
      </c>
      <c r="BB7" s="580">
        <f ca="1">SUM(BA$3,-LN(1-BB$3)/AV7)</f>
        <v>3.92016660325749e-5</v>
      </c>
      <c r="BC7" s="580">
        <f>BC$3/24/3600</f>
        <v>1157407407407410</v>
      </c>
      <c r="BD7" s="582">
        <f ca="1">EXP(-AV7*($Z7+BA7))</f>
        <v>0.733857015970024</v>
      </c>
      <c r="BE7" s="582">
        <f ca="1">EXP(-AV7*($Z7+BB7))</f>
        <v>0.553389768053799</v>
      </c>
      <c r="BF7" s="582">
        <f>EXP(-AV7*($Z7+BC7))</f>
        <v>0</v>
      </c>
      <c r="BG7" s="582">
        <f ca="1">AW7*BA7+AX7*(BA7-BB7)</f>
        <v>3339550.83194466</v>
      </c>
      <c r="BH7" s="582">
        <f ca="1">(AW7*BB7*BA7/(BA7-BC7)+AX7*BB7)/(BB7-BC7)+AY7</f>
        <v>9.77282377982567e-29</v>
      </c>
      <c r="BI7" s="582">
        <f ca="1" t="shared" si="6"/>
        <v>1.00000129270277</v>
      </c>
      <c r="BJ7" s="580">
        <f ca="1">AW7*BD7</f>
        <v>4.83611773524246e+16</v>
      </c>
      <c r="BK7" s="580">
        <f ca="1">BA7/(BB7-BA7)*BJ7+(AX7-AW7*BA7/(BB7-BA7))*BE7</f>
        <v>15373844736.6526</v>
      </c>
      <c r="BL7" s="586">
        <f ca="1">BF7*BH7+BI7*(BE7*BG7/(BB7-BC7)-BJ7*BA7/(BA7-BC7))</f>
        <v>5.20715802530518e-10</v>
      </c>
      <c r="BM7" s="594">
        <f ca="1">(AW7+AX7+AY7+AZ7)*EXP(-$Z7*AV7)-BJ7-BK7-BL7</f>
        <v>2271578703.34743</v>
      </c>
      <c r="BN7" s="580">
        <f ca="1">AW7*BA7/($Z7+BA7)*(1-BD7)</f>
        <v>20680337490.6471</v>
      </c>
      <c r="BO7" s="580">
        <f ca="1">BI7*(BN7-(1-BE7)*BG7/($Z7+BB7))</f>
        <v>2531327775.27438</v>
      </c>
      <c r="BP7" s="595">
        <f ca="1">BC7*(1-BF7)*BH7/($Z7+BC7)+BC7*BI7*((1-BE7)*BG7/($Z7+BB7)/(BB7-BC7)-BN7/(BA7-BC7))</f>
        <v>2531327775.27438</v>
      </c>
      <c r="BQ7" s="596">
        <f>BQ$3*3600</f>
        <v>21600</v>
      </c>
      <c r="BR7" s="580">
        <f ca="1" t="shared" ref="BR7:BT7" si="43">BJ7</f>
        <v>4.83611773524246e+16</v>
      </c>
      <c r="BS7" s="580">
        <f ca="1" t="shared" si="43"/>
        <v>15373844736.6526</v>
      </c>
      <c r="BT7" s="581">
        <f ca="1" t="shared" si="43"/>
        <v>5.20715802530518e-10</v>
      </c>
      <c r="BU7" s="580">
        <f ca="1">BM7</f>
        <v>2271578703.34743</v>
      </c>
      <c r="BV7" s="580">
        <f ca="1">MAX(INDIRECT("'"&amp;$B$2&amp;"-事故进程'!Z"&amp;(ROW()+22)),INDIRECT("'"&amp;$B$2&amp;"-事故进程'!AA"&amp;(ROW()+22)))</f>
        <v>1.10287476883107e-10</v>
      </c>
      <c r="BW7" s="580">
        <f ca="1">SUM(BV$3,-LN(1-BW$3)/BQ7)</f>
        <v>9.67910672705165e-6</v>
      </c>
      <c r="BX7" s="580">
        <f>BX$3/24/3600</f>
        <v>1157407407407410</v>
      </c>
      <c r="BY7" s="582">
        <f ca="1">EXP(-BQ7*($Z7+BV7))</f>
        <v>0.39521533962115</v>
      </c>
      <c r="BZ7" s="582">
        <f ca="1">EXP(-BQ7*($Z7+BW7))</f>
        <v>0.320654576112684</v>
      </c>
      <c r="CA7" s="582">
        <f>EXP(-BQ7*($Z7+BX7))</f>
        <v>0</v>
      </c>
      <c r="CB7" s="582">
        <f ca="1">BR7*BV7+BS7*(BV7-BW7)</f>
        <v>5184828.84082672</v>
      </c>
      <c r="CC7" s="582">
        <f ca="1">(BR7*BW7*BV7/(BV7-BX7)+BS7*BW7)/(BW7-BX7)+BT7</f>
        <v>3.92148209944857e-10</v>
      </c>
      <c r="CD7" s="582">
        <f ca="1" t="shared" si="8"/>
        <v>1.0000113945157</v>
      </c>
      <c r="CE7" s="580">
        <f ca="1">BR7*BY7</f>
        <v>1.91130791318172e+16</v>
      </c>
      <c r="CF7" s="580">
        <f ca="1">BV7/(BW7-BV7)*CE7+(BS7-BR7*BV7/(BW7-BV7))*BZ7</f>
        <v>46016566027.6588</v>
      </c>
      <c r="CG7" s="586">
        <f ca="1">CA7*CC7+CD7*(BZ7*CB7/(BW7-BX7)-CE7*BV7/(BV7-BX7))</f>
        <v>3.84824955278127e-10</v>
      </c>
      <c r="CH7" s="594">
        <f ca="1">(BR7+BS7+BT7+BU7)*EXP(-$Z7*BQ7)-CE7-CF7-CG7</f>
        <v>6488605532.34125</v>
      </c>
      <c r="CI7" s="580">
        <f ca="1">BR7*BV7/($Z7+BV7)*(1-BY7)</f>
        <v>75054679188.7412</v>
      </c>
      <c r="CJ7" s="580">
        <f ca="1">CD7*(CI7-(1-BZ7)*CB7/($Z7+BW7))</f>
        <v>8163553245.80182</v>
      </c>
      <c r="CK7" s="595">
        <f ca="1">BX7*(1-CA7)*CC7/($Z7+BX7)+BX7*CD7*((1-BZ7)*CB7/($Z7+BW7)/(BW7-BX7)-CI7/(BV7-BX7))</f>
        <v>8163553245.80181</v>
      </c>
      <c r="CL7" s="596">
        <f>CL$3*3600</f>
        <v>57600</v>
      </c>
      <c r="CM7" s="580">
        <f ca="1" t="shared" ref="CM7:CO7" si="44">CE7</f>
        <v>1.91130791318172e+16</v>
      </c>
      <c r="CN7" s="580">
        <f ca="1" t="shared" si="44"/>
        <v>46016566027.6588</v>
      </c>
      <c r="CO7" s="581">
        <f ca="1" t="shared" si="44"/>
        <v>3.84824955278127e-10</v>
      </c>
      <c r="CP7" s="580">
        <f ca="1">CH7</f>
        <v>6488605532.34125</v>
      </c>
      <c r="CQ7" s="580">
        <f ca="1">MAX(INDIRECT("'"&amp;$B$2&amp;"-事故进程'!AA"&amp;(ROW()+22)),INDIRECT("'"&amp;$B$2&amp;"-事故进程'!AB"&amp;(ROW()+22)))</f>
        <v>1.88079648325236e-10</v>
      </c>
      <c r="CR7" s="580">
        <f ca="1">SUM(CQ$3,-LN(1-CR$3)/CL7)</f>
        <v>9.99426851876734e-7</v>
      </c>
      <c r="CS7" s="580">
        <f>CS$3/24/3600</f>
        <v>1157407407407410</v>
      </c>
      <c r="CT7" s="582">
        <f ca="1">EXP(-CL7*($Z7+CQ7))</f>
        <v>0.084117850753293</v>
      </c>
      <c r="CU7" s="582">
        <f ca="1">EXP(-CL7*($Z7+CR7))</f>
        <v>0.0794130448402664</v>
      </c>
      <c r="CV7" s="582">
        <f>EXP(-CL7*($Z7+CS7))</f>
        <v>0</v>
      </c>
      <c r="CW7" s="582">
        <f ca="1">CM7*CQ7+CN7*(CQ7-CR7)</f>
        <v>3548799.66458494</v>
      </c>
      <c r="CX7" s="582">
        <f ca="1">(CM7*CR7*CQ7/(CQ7-CS7)+CN7*CR7)/(CR7-CS7)+CO7</f>
        <v>3.45089429632737e-10</v>
      </c>
      <c r="CY7" s="582">
        <f ca="1" t="shared" si="10"/>
        <v>1.00018822292885</v>
      </c>
      <c r="CZ7" s="580">
        <f ca="1">CM7*CT7</f>
        <v>1607751137846070</v>
      </c>
      <c r="DA7" s="580">
        <f ca="1">CQ7/(CR7-CQ7)*CZ7+(CN7-CM7*CQ7/(CR7-CQ7))*CU7</f>
        <v>20579947735.536</v>
      </c>
      <c r="DB7" s="586">
        <f ca="1">CV7*CX7+CY7*(CU7*CW7/(CR7-CS7)-CZ7*CQ7/(CQ7-CS7))</f>
        <v>1.77708836538269e-11</v>
      </c>
      <c r="DC7" s="594">
        <f ca="1">(CM7+CN7+CO7+CP7)*EXP(-$Z7*CL7)-CZ7-DA7-DB7</f>
        <v>1254208113.46399</v>
      </c>
      <c r="DD7" s="580">
        <f ca="1">CM7*CQ7/($Z7+CQ7)*(1-CT7)</f>
        <v>76606427496.8351</v>
      </c>
      <c r="DE7" s="580">
        <f ca="1">CY7*(DD7-(1-CU7)*CW7/($Z7+CR7))</f>
        <v>2319027177.8449</v>
      </c>
      <c r="DF7" s="595">
        <f ca="1">CS7*(1-CV7)*CX7/($Z7+CS7)+CS7*CY7*((1-CU7)*CW7/($Z7+CR7)/(CR7-CS7)-DD7/(CQ7-CS7))</f>
        <v>2319027177.8449</v>
      </c>
      <c r="DG7" s="596">
        <f>DG$3*3600</f>
        <v>86400</v>
      </c>
      <c r="DH7" s="580">
        <f ca="1" t="shared" ref="DH7:DK7" si="45">CZ7</f>
        <v>1607751137846070</v>
      </c>
      <c r="DI7" s="580">
        <f ca="1" t="shared" si="45"/>
        <v>20579947735.536</v>
      </c>
      <c r="DJ7" s="581">
        <f ca="1" t="shared" si="45"/>
        <v>1.77708836538269e-11</v>
      </c>
      <c r="DK7" s="580">
        <f ca="1" t="shared" si="45"/>
        <v>1254208113.46399</v>
      </c>
      <c r="DL7" s="580">
        <f ca="1">MAX(INDIRECT("'"&amp;$B$2&amp;"-事故进程'!AB"&amp;(ROW()+22)),INDIRECT("'"&amp;$B$2&amp;"-事故进程'!AC"&amp;(ROW()+22)))</f>
        <v>4.36554377573549e-10</v>
      </c>
      <c r="DM7" s="580">
        <f ca="1">SUM(DL$3,-LN(1-DM$3)/DG7)</f>
        <v>1.07814939005043e-6</v>
      </c>
      <c r="DN7" s="580">
        <f>DN$3/24/3600</f>
        <v>1157407407407410</v>
      </c>
      <c r="DO7" s="582">
        <f ca="1">EXP(-DG7*($Z7+DL7))</f>
        <v>0.0243962417402905</v>
      </c>
      <c r="DP7" s="582">
        <f ca="1">EXP(-DG7*($Z7+DM7))</f>
        <v>0.0222271542179898</v>
      </c>
      <c r="DQ7" s="582">
        <f>EXP(-DG7*($Z7+DN7))</f>
        <v>0</v>
      </c>
      <c r="DR7" s="582">
        <f ca="1">DH7*DL7+DI7*(DL7-DM7)</f>
        <v>679691.523443494</v>
      </c>
      <c r="DS7" s="582">
        <f ca="1">(DH7*DM7*DL7/(DL7-DN7)+DI7*DM7)/(DM7-DN7)+DJ7</f>
        <v>-1.39977134313704e-12</v>
      </c>
      <c r="DT7" s="582">
        <f ca="1" t="shared" si="12"/>
        <v>1.00040507486143</v>
      </c>
      <c r="DU7" s="580">
        <f ca="1">DH7*DO7</f>
        <v>39223085417119.9</v>
      </c>
      <c r="DV7" s="580">
        <f ca="1">DL7/(DM7-DL7)*DU7+(DI7-DH7*DL7/(DM7-DL7))*DP7</f>
        <v>1870072677.83689</v>
      </c>
      <c r="DW7" s="586">
        <f ca="1">DQ7*DS7+DT7*(DP7*DR7/(DM7-DN7)-DU7*DL7/(DL7-DN7))</f>
        <v>1.74201210745328e-12</v>
      </c>
      <c r="DX7" s="594">
        <f ca="1">(DH7+DI7+DJ7+DK7)*EXP(-$Z7*DG7)-DU7-DV7-DW7</f>
        <v>142074692.358427</v>
      </c>
      <c r="DY7" s="580">
        <f ca="1">DH7*DL7/($Z7+DL7)*(1-DO7)</f>
        <v>15932402890.2529</v>
      </c>
      <c r="DZ7" s="580">
        <f ca="1">DT7*(DY7-(1-DP7)*DR7/($Z7+DM7))</f>
        <v>847773958.191268</v>
      </c>
      <c r="EA7" s="595">
        <f ca="1">DN7*(1-DQ7)*DS7/($Z7+DN7)+DN7*DT7*((1-DP7)*DR7/($Z7+DM7)/(DM7-DN7)-DY7/(DL7-DN7))</f>
        <v>847773958.191268</v>
      </c>
      <c r="EB7" s="596">
        <f>EB$3*3600</f>
        <v>172800</v>
      </c>
      <c r="EC7" s="580">
        <f ca="1" t="shared" ref="EC7:EF7" si="46">DU7</f>
        <v>39223085417119.9</v>
      </c>
      <c r="ED7" s="580">
        <f ca="1" t="shared" si="46"/>
        <v>1870072677.83689</v>
      </c>
      <c r="EE7" s="581">
        <f ca="1" t="shared" si="46"/>
        <v>1.74201210745328e-12</v>
      </c>
      <c r="EF7" s="580">
        <f ca="1" t="shared" si="46"/>
        <v>142074692.358427</v>
      </c>
      <c r="EG7" s="580">
        <f ca="1">MAX(INDIRECT("'"&amp;$B$2&amp;"-事故进程'!AC"&amp;(ROW()+22)),INDIRECT("'"&amp;$B$2&amp;"-事故进程'!AD"&amp;(ROW()+22)),INDIRECT("'"&amp;$B$2&amp;"-事故进程'!AE"&amp;(ROW()+22)))</f>
        <v>4.36554377573549e-10</v>
      </c>
      <c r="EH7" s="580">
        <f ca="1">SUM(EG$3,-LN(1-EH$3)/EB7)</f>
        <v>5.81616658188741e-8</v>
      </c>
      <c r="EI7" s="580">
        <f>EI$3/24/3600</f>
        <v>1157407407407410</v>
      </c>
      <c r="EJ7" s="582">
        <f ca="1">EXP(-EB7*($Z7+EG7))</f>
        <v>0.00059517661105069</v>
      </c>
      <c r="EK7" s="582">
        <f ca="1">EXP(-EB7*($Z7+EH7))</f>
        <v>0.000589269295733614</v>
      </c>
      <c r="EL7" s="582">
        <f>EXP(-EB7*($Z7+EI7))</f>
        <v>0</v>
      </c>
      <c r="EM7" s="582">
        <f ca="1">EC7*EG7+ED7*(EG7-EH7)</f>
        <v>17015.0594870534</v>
      </c>
      <c r="EN7" s="582">
        <f ca="1">(EC7*EH7*EG7/(EG7-EI7)+ED7*EH7)/(EH7-EI7)+EE7</f>
        <v>1.6480378150397e-12</v>
      </c>
      <c r="EO7" s="582">
        <f ca="1" t="shared" si="14"/>
        <v>1.00756264243885</v>
      </c>
      <c r="EP7" s="580">
        <f ca="1">EC7*EJ7</f>
        <v>23344663053.5132</v>
      </c>
      <c r="EQ7" s="580">
        <f ca="1">EG7/(EH7-EG7)*EP7+(ED7-EC7*EG7/(EH7-EG7))*EK7</f>
        <v>2854264.35870421</v>
      </c>
      <c r="ER7" s="586">
        <f ca="1">EL7*EN7+EO7*(EK7*EM7/(EH7-EI7)-EP7*EG7/(EG7-EI7))</f>
        <v>1.43431577098279e-16</v>
      </c>
      <c r="ES7" s="594">
        <f ca="1">(EC7+ED7+EE7+EF7)*EXP(-$Z7*EB7)-EP7-EQ7-ER7</f>
        <v>104517.39010942</v>
      </c>
      <c r="ET7" s="580">
        <f ca="1">EC7*EG7/($Z7+EG7)*(1-EJ7)</f>
        <v>398173345.972426</v>
      </c>
      <c r="EU7" s="580">
        <f ca="1">EO7*(ET7-(1-EK7)*EM7/($Z7+EH7))</f>
        <v>3061595.96202722</v>
      </c>
      <c r="EV7" s="595">
        <f ca="1">EI7*(1-EL7)*EN7/($Z7+EI7)+EI7*EO7*((1-EK7)*EM7/($Z7+EH7)/(EH7-EI7)-ET7/(EG7-EI7))</f>
        <v>3061595.96202721</v>
      </c>
      <c r="EW7" s="596">
        <f>EW$3*3600</f>
        <v>2246400</v>
      </c>
      <c r="EX7" s="580">
        <f ca="1" t="shared" ref="EX7:FA7" si="47">EP7</f>
        <v>23344663053.5132</v>
      </c>
      <c r="EY7" s="580">
        <f ca="1" t="shared" si="47"/>
        <v>2854264.35870421</v>
      </c>
      <c r="EZ7" s="581">
        <f ca="1" t="shared" si="47"/>
        <v>1.43431577098279e-16</v>
      </c>
      <c r="FA7" s="580">
        <f ca="1" t="shared" si="47"/>
        <v>104517.39010942</v>
      </c>
      <c r="FB7" s="580">
        <f ca="1">INDIRECT("'"&amp;$B$2&amp;"-事故进程'!AE"&amp;(ROW()+22))</f>
        <v>1.96901790136962e-10</v>
      </c>
      <c r="FC7" s="580">
        <f ca="1">SUM(FB$3,-LN(1-FC$3)/EW7)</f>
        <v>4.47397429375955e-9</v>
      </c>
      <c r="FD7" s="580">
        <f>FD$3/24/3600</f>
        <v>1157407407407410</v>
      </c>
      <c r="FE7" s="582">
        <f ca="1" t="shared" si="16"/>
        <v>1.17660295644595e-42</v>
      </c>
      <c r="FF7" s="582">
        <f ca="1" t="shared" si="17"/>
        <v>1.16535227172754e-42</v>
      </c>
      <c r="FG7" s="582">
        <f t="shared" si="18"/>
        <v>0</v>
      </c>
      <c r="FH7" s="582">
        <f ca="1" t="shared" si="19"/>
        <v>4.58439804977426</v>
      </c>
      <c r="FI7" s="582">
        <f ca="1" t="shared" si="20"/>
        <v>1.3239837885995e-16</v>
      </c>
      <c r="FJ7" s="582">
        <f ca="1" t="shared" si="21"/>
        <v>1.04603657992007</v>
      </c>
      <c r="FK7" s="580">
        <f ca="1" t="shared" si="22"/>
        <v>2.74673995659982e-32</v>
      </c>
      <c r="FL7" s="580">
        <f ca="1" t="shared" si="23"/>
        <v>1.54174293488546e-35</v>
      </c>
      <c r="FM7" s="586">
        <f ca="1" t="shared" si="24"/>
        <v>5.95962857513922e-59</v>
      </c>
      <c r="FN7" s="594">
        <f ca="1" t="shared" si="25"/>
        <v>2.17494711713094e-37</v>
      </c>
      <c r="FO7" s="580">
        <f ca="1" t="shared" si="26"/>
        <v>106952.351715401</v>
      </c>
      <c r="FP7" s="580">
        <f ca="1" t="shared" si="27"/>
        <v>308.229017649888</v>
      </c>
      <c r="FQ7" s="595">
        <f ca="1" t="shared" si="28"/>
        <v>308.229017649884</v>
      </c>
      <c r="FR7" s="608" t="str">
        <f t="shared" si="29"/>
        <v>Kr-85m</v>
      </c>
      <c r="FS7" s="609">
        <v>25800000000</v>
      </c>
      <c r="FT7" s="610">
        <v>10200000000</v>
      </c>
      <c r="FU7" s="610">
        <v>5430000000</v>
      </c>
      <c r="FV7" s="610">
        <v>383000000</v>
      </c>
      <c r="FW7" s="610">
        <v>41900000000</v>
      </c>
      <c r="FX7" s="614">
        <f ca="1" t="shared" si="30"/>
        <v>0.755038759689923</v>
      </c>
      <c r="FY7" s="614">
        <f ca="1" t="shared" si="38"/>
        <v>1.04851774716433</v>
      </c>
      <c r="FZ7" s="614">
        <f ca="1" t="shared" si="39"/>
        <v>0.427076828332394</v>
      </c>
      <c r="GA7" s="614">
        <f ca="1" t="shared" si="40"/>
        <v>2.22150275235847</v>
      </c>
      <c r="GB7" s="614">
        <f ca="1" t="shared" si="41"/>
        <v>0.795817273343064</v>
      </c>
      <c r="GC7" s="455">
        <f ca="1" t="shared" si="31"/>
        <v>0.795817280699366</v>
      </c>
      <c r="GE7" s="609">
        <v>5259743761.79492</v>
      </c>
      <c r="GF7" s="610">
        <v>976546118.342223</v>
      </c>
      <c r="GG7" s="610">
        <v>622523452.601644</v>
      </c>
      <c r="GH7" s="610">
        <v>64174600.6380256</v>
      </c>
      <c r="GI7" s="610">
        <v>3576578.05754994</v>
      </c>
      <c r="GJ7" s="610">
        <v>836.702638547422</v>
      </c>
      <c r="GK7" s="617">
        <v>6926565348.137</v>
      </c>
      <c r="GL7" s="614">
        <f ca="1">H7/GE7</f>
        <v>3.70360247232887</v>
      </c>
      <c r="GM7" s="614">
        <f ca="1">(I7+J7)/GF7</f>
        <v>10.951741879054</v>
      </c>
      <c r="GN7" s="614">
        <f ca="1">K7/GG7</f>
        <v>3.72520451744146</v>
      </c>
      <c r="GO7" s="614">
        <f ca="1">L7/(GH7+GI7)</f>
        <v>12.5582398791367</v>
      </c>
      <c r="GP7" s="614">
        <f ca="1">M7/GJ7</f>
        <v>0.368385377850598</v>
      </c>
      <c r="GQ7" s="614">
        <f ca="1">N7/GK7</f>
        <v>4.81403731652831</v>
      </c>
      <c r="GR7" s="451">
        <f>Z7</f>
        <v>4.29778757787664e-5</v>
      </c>
      <c r="GS7" s="390">
        <f>LN(2)/GR7</f>
        <v>16128</v>
      </c>
    </row>
    <row r="8" spans="1:201">
      <c r="A8" s="413"/>
      <c r="B8" s="407" t="s">
        <v>255</v>
      </c>
      <c r="C8" s="416">
        <v>1</v>
      </c>
      <c r="D8" s="409" t="s">
        <v>249</v>
      </c>
      <c r="E8" s="410"/>
      <c r="G8" s="411" t="s">
        <v>49</v>
      </c>
      <c r="H8" s="412">
        <f ca="1">AU8</f>
        <v>19967000000</v>
      </c>
      <c r="I8" s="412">
        <f ca="1" t="shared" si="1"/>
        <v>5691247659.53864</v>
      </c>
      <c r="J8" s="412">
        <f ca="1">CK8</f>
        <v>4501849141.75765</v>
      </c>
      <c r="K8" s="412">
        <f ca="1">DF8</f>
        <v>73606716.7945824</v>
      </c>
      <c r="L8" s="412">
        <f ca="1">EA8+EV8</f>
        <v>55986.8664174452</v>
      </c>
      <c r="M8" s="412">
        <f ca="1">FQ8</f>
        <v>1.68710186187395e-14</v>
      </c>
      <c r="N8" s="412">
        <f ca="1">SUM(H8:M8)</f>
        <v>30233759504.9573</v>
      </c>
      <c r="O8" s="450">
        <f ca="1">AS8</f>
        <v>19967000000</v>
      </c>
      <c r="P8" s="451"/>
      <c r="Q8" s="477" t="str">
        <f t="shared" si="0"/>
        <v>Kr-87</v>
      </c>
      <c r="R8" s="412">
        <f ca="1">H8</f>
        <v>19967000000</v>
      </c>
      <c r="S8" s="412">
        <f ca="1">I8*(1-过滤效率!$B5)</f>
        <v>5691247659.53864</v>
      </c>
      <c r="T8" s="412">
        <f ca="1">J8*(1-过滤效率!$B5)</f>
        <v>4501849141.75765</v>
      </c>
      <c r="U8" s="412">
        <f ca="1">K8*(1-过滤效率!$B5)</f>
        <v>73606716.7945824</v>
      </c>
      <c r="V8" s="412">
        <f ca="1">L8*(1-过滤效率!$B5)</f>
        <v>55986.8664174452</v>
      </c>
      <c r="W8" s="412">
        <f ca="1">M8*(1-过滤效率!$B5)</f>
        <v>1.68710186187395e-14</v>
      </c>
      <c r="X8" s="412">
        <f ca="1">SUM(R8:W8)</f>
        <v>30233759504.9573</v>
      </c>
      <c r="Y8" s="493"/>
      <c r="Z8" s="494">
        <f>VLOOKUP(G8,衰变常数!$A$1:$H$3800,7,FALSE)</f>
        <v>0.000151408296321525</v>
      </c>
      <c r="AA8" s="495">
        <f>正常源项!C5</f>
        <v>1.29e+17</v>
      </c>
      <c r="AB8" s="496">
        <f>正常源项!F5</f>
        <v>0</v>
      </c>
      <c r="AC8" s="496">
        <f>正常源项!I5</f>
        <v>19400000000</v>
      </c>
      <c r="AD8" s="496">
        <f>正常源项!L5</f>
        <v>567000000</v>
      </c>
      <c r="AE8" s="497"/>
      <c r="AF8" s="498"/>
      <c r="AG8" s="483"/>
      <c r="AH8" s="518"/>
      <c r="AI8" s="483"/>
      <c r="AJ8" s="521"/>
      <c r="AK8" s="521"/>
      <c r="AL8" s="519">
        <f t="shared" si="42"/>
        <v>18872700</v>
      </c>
      <c r="AM8" s="520">
        <f t="shared" si="2"/>
        <v>541800000000</v>
      </c>
      <c r="AN8" s="519">
        <f ca="1">MAX(INDIRECT("'"&amp;$B$2&amp;"-事故进程'!Y"&amp;(ROW()+22)),INDIRECT("'"&amp;$B$2&amp;"-事故进程'!Z"&amp;(ROW()+22)),INDIRECT("'"&amp;$B$2&amp;"-事故进程'!AA"&amp;(ROW()+22)))</f>
        <v>2.05686025602387e-10</v>
      </c>
      <c r="AO8" s="519">
        <f ca="1" t="shared" si="3"/>
        <v>0</v>
      </c>
      <c r="AP8" s="560">
        <f t="shared" si="4"/>
        <v>1.29e+17</v>
      </c>
      <c r="AQ8" s="561">
        <f ca="1">(AC8*$C$5+AD8*$C$8+AF8+AG8+AI8+(AL8+AM8)*$C$10)*EXP(-Z8*$C$12*3600)+AO8*$C$11</f>
        <v>19967000000</v>
      </c>
      <c r="AR8" s="562">
        <f ca="1">AQ8*(1-AR$3)</f>
        <v>0</v>
      </c>
      <c r="AS8" s="563">
        <f ca="1" t="shared" si="5"/>
        <v>19967000000</v>
      </c>
      <c r="AT8" s="562">
        <f ca="1">AS8*(1-AT$3)</f>
        <v>0</v>
      </c>
      <c r="AU8" s="564">
        <f ca="1">AS8-AT8</f>
        <v>19967000000</v>
      </c>
      <c r="AV8" s="565">
        <f>AV$3*3600</f>
        <v>7200</v>
      </c>
      <c r="AW8" s="580">
        <f>AP8*EXP(-Z8*AW$3*3600)</f>
        <v>1.29e+17</v>
      </c>
      <c r="AX8" s="580">
        <f ca="1">AR8</f>
        <v>0</v>
      </c>
      <c r="AY8" s="581">
        <f ca="1">AT8</f>
        <v>0</v>
      </c>
      <c r="AZ8" s="580">
        <v>0</v>
      </c>
      <c r="BA8" s="580">
        <f ca="1" t="shared" si="32"/>
        <v>9.42700052103368e-11</v>
      </c>
      <c r="BB8" s="580">
        <f ca="1">SUM(BA$3,-LN(1-BB$3)/AV8)</f>
        <v>3.92016660325749e-5</v>
      </c>
      <c r="BC8" s="580">
        <f>BC$3/24/3600</f>
        <v>1157407407407410</v>
      </c>
      <c r="BD8" s="582">
        <f ca="1">EXP(-AV8*($Z8+BA8))</f>
        <v>0.336169288103533</v>
      </c>
      <c r="BE8" s="582">
        <f ca="1">EXP(-AV8*($Z8+BB8))</f>
        <v>0.253499930794859</v>
      </c>
      <c r="BF8" s="582">
        <f>EXP(-AV8*($Z8+BC8))</f>
        <v>0</v>
      </c>
      <c r="BG8" s="582">
        <f ca="1">AW8*BA8+AX8*(BA8-BB8)</f>
        <v>12160830.6721334</v>
      </c>
      <c r="BH8" s="582">
        <f ca="1">(AW8*BB8*BA8/(BA8-BC8)+AX8*BB8)/(BB8-BC8)+AY8</f>
        <v>3.55873173237054e-28</v>
      </c>
      <c r="BI8" s="582">
        <f ca="1" t="shared" si="6"/>
        <v>1.00000240475065</v>
      </c>
      <c r="BJ8" s="580">
        <f ca="1">AW8*BD8</f>
        <v>4.33658381653558e+16</v>
      </c>
      <c r="BK8" s="580">
        <f ca="1">BA8/(BB8-BA8)*BJ8+(AX8-AW8*BA8/(BB8-BA8))*BE8</f>
        <v>25645095612.3343</v>
      </c>
      <c r="BL8" s="586">
        <f ca="1">BF8*BH8+BI8*(BE8*BG8/(BB8-BC8)-BJ8*BA8/(BA8-BC8))</f>
        <v>8.68605529162909e-10</v>
      </c>
      <c r="BM8" s="594">
        <f ca="1">(AW8+AX8+AY8+AZ8)*EXP(-$Z8*AV8)-BJ8-BK8-BL8</f>
        <v>3789218451.66573</v>
      </c>
      <c r="BN8" s="580">
        <f ca="1">AW8*BA8/($Z8+BA8)*(1-BD8)</f>
        <v>53317605786.547</v>
      </c>
      <c r="BO8" s="580">
        <f ca="1">BI8*(BN8-(1-BE8)*BG8/($Z8+BB8))</f>
        <v>5691247659.53864</v>
      </c>
      <c r="BP8" s="595">
        <f ca="1">BC8*(1-BF8)*BH8/($Z8+BC8)+BC8*BI8*((1-BE8)*BG8/($Z8+BB8)/(BB8-BC8)-BN8/(BA8-BC8))</f>
        <v>5691247659.53864</v>
      </c>
      <c r="BQ8" s="596">
        <f>BQ$3*3600</f>
        <v>21600</v>
      </c>
      <c r="BR8" s="580">
        <f ca="1" t="shared" ref="BR8:BT8" si="48">BJ8</f>
        <v>4.33658381653558e+16</v>
      </c>
      <c r="BS8" s="580">
        <f ca="1" t="shared" si="48"/>
        <v>25645095612.3343</v>
      </c>
      <c r="BT8" s="581">
        <f ca="1" t="shared" si="48"/>
        <v>8.68605529162909e-10</v>
      </c>
      <c r="BU8" s="580">
        <f ca="1">BM8</f>
        <v>3789218451.66573</v>
      </c>
      <c r="BV8" s="580">
        <f ca="1">MAX(INDIRECT("'"&amp;$B$2&amp;"-事故进程'!Z"&amp;(ROW()+22)),INDIRECT("'"&amp;$B$2&amp;"-事故进程'!AA"&amp;(ROW()+22)))</f>
        <v>2.05686025602387e-10</v>
      </c>
      <c r="BW8" s="580">
        <f ca="1">SUM(BV$3,-LN(1-BW$3)/BQ8)</f>
        <v>9.67910672705165e-6</v>
      </c>
      <c r="BX8" s="580">
        <f>BX$3/24/3600</f>
        <v>1157407407407410</v>
      </c>
      <c r="BY8" s="582">
        <f ca="1">EXP(-BQ8*($Z8+BV8))</f>
        <v>0.0379903293146845</v>
      </c>
      <c r="BZ8" s="582">
        <f ca="1">EXP(-BQ8*($Z8+BW8))</f>
        <v>0.0308231913679043</v>
      </c>
      <c r="CA8" s="582">
        <f>EXP(-BQ8*($Z8+BX8))</f>
        <v>0</v>
      </c>
      <c r="CB8" s="582">
        <f ca="1">BR8*BV8+BS8*(BV8-BW8)</f>
        <v>8671530.55652889</v>
      </c>
      <c r="CC8" s="582">
        <f ca="1">(BR8*BW8*BV8/(BV8-BX8)+BS8*BW8)/(BW8-BX8)+BT8</f>
        <v>6.54142051679864e-10</v>
      </c>
      <c r="CD8" s="582">
        <f ca="1" t="shared" si="8"/>
        <v>1.00002125096896</v>
      </c>
      <c r="CE8" s="580">
        <f ca="1">BR8*BY8</f>
        <v>1647482472909180</v>
      </c>
      <c r="CF8" s="580">
        <f ca="1">BV8/(BW8-BV8)*CE8+(BS8-BR8*BV8/(BW8-BV8))*BZ8</f>
        <v>7395454918.11049</v>
      </c>
      <c r="CG8" s="586">
        <f ca="1">CA8*CC8+CD8*(BZ8*CB8/(BW8-BX8)-CE8*BV8/(BV8-BX8))</f>
        <v>6.18463273946317e-11</v>
      </c>
      <c r="CH8" s="594">
        <f ca="1">(BR8+BS8+BT8+BU8)*EXP(-$Z8*BQ8)-CE8-CF8-CG8</f>
        <v>1042250631.13951</v>
      </c>
      <c r="CI8" s="580">
        <f ca="1">BR8*BV8/($Z8+BV8)*(1-BY8)</f>
        <v>56673718207.833</v>
      </c>
      <c r="CJ8" s="580">
        <f ca="1">CD8*(CI8-(1-BZ8)*CB8/($Z8+BW8))</f>
        <v>4501849141.75765</v>
      </c>
      <c r="CK8" s="595">
        <f ca="1">BX8*(1-CA8)*CC8/($Z8+BX8)+BX8*CD8*((1-BZ8)*CB8/($Z8+BW8)/(BW8-BX8)-CI8/(BV8-BX8))</f>
        <v>4501849141.75765</v>
      </c>
      <c r="CL8" s="596">
        <f>CL$3*3600</f>
        <v>57600</v>
      </c>
      <c r="CM8" s="580">
        <f ca="1" t="shared" ref="CM8:CO8" si="49">CE8</f>
        <v>1647482472909180</v>
      </c>
      <c r="CN8" s="580">
        <f ca="1" t="shared" si="49"/>
        <v>7395454918.11049</v>
      </c>
      <c r="CO8" s="581">
        <f ca="1" t="shared" si="49"/>
        <v>6.18463273946317e-11</v>
      </c>
      <c r="CP8" s="580">
        <f ca="1">CH8</f>
        <v>1042250631.13951</v>
      </c>
      <c r="CQ8" s="580">
        <f ca="1">MAX(INDIRECT("'"&amp;$B$2&amp;"-事故进程'!AA"&amp;(ROW()+22)),INDIRECT("'"&amp;$B$2&amp;"-事故进程'!AB"&amp;(ROW()+22)))</f>
        <v>3.52565599500059e-10</v>
      </c>
      <c r="CR8" s="580">
        <f ca="1">SUM(CQ$3,-LN(1-CR$3)/CL8)</f>
        <v>9.99426851876734e-7</v>
      </c>
      <c r="CS8" s="580">
        <f>CS$3/24/3600</f>
        <v>1157407407407410</v>
      </c>
      <c r="CT8" s="582">
        <f ca="1">EXP(-CL8*($Z8+CQ8))</f>
        <v>0.00016310144710121</v>
      </c>
      <c r="CU8" s="582">
        <f ca="1">EXP(-CL8*($Z8+CR8))</f>
        <v>0.000153980458757367</v>
      </c>
      <c r="CV8" s="582">
        <f>EXP(-CL8*($Z8+CS8))</f>
        <v>0</v>
      </c>
      <c r="CW8" s="582">
        <f ca="1">CM8*CQ8+CN8*(CQ8-CR8)</f>
        <v>573457.036883058</v>
      </c>
      <c r="CX8" s="582">
        <f ca="1">(CM8*CR8*CQ8/(CQ8-CS8)+CN8*CR8)/(CR8-CS8)+CO8</f>
        <v>5.54603165745007e-11</v>
      </c>
      <c r="CY8" s="582">
        <f ca="1" t="shared" si="10"/>
        <v>1.00035289227672</v>
      </c>
      <c r="CZ8" s="580">
        <f ca="1">CM8*CT8</f>
        <v>268706775405.367</v>
      </c>
      <c r="DA8" s="580">
        <f ca="1">CQ8/(CR8-CQ8)*CZ8+(CN8-CM8*CQ8/(CR8-CQ8))*CU8</f>
        <v>6441550.77557608</v>
      </c>
      <c r="DB8" s="586">
        <f ca="1">CV8*CX8+CY8*(CU8*CW8/(CR8-CS8)-CZ8*CQ8/(CQ8-CS8))</f>
        <v>5.56231001429216e-15</v>
      </c>
      <c r="DC8" s="594">
        <f ca="1">(CM8+CN8+CO8+CP8)*EXP(-$Z8*CL8)-CZ8-DA8-DB8</f>
        <v>391572.250791103</v>
      </c>
      <c r="DD8" s="580">
        <f ca="1">CM8*CQ8/($Z8+CQ8)*(1-CT8)</f>
        <v>3835652145.56967</v>
      </c>
      <c r="DE8" s="580">
        <f ca="1">CY8*(DD8-(1-CU8)*CW8/($Z8+CR8))</f>
        <v>73606716.7945822</v>
      </c>
      <c r="DF8" s="595">
        <f ca="1">CS8*(1-CV8)*CX8/($Z8+CS8)+CS8*CY8*((1-CU8)*CW8/($Z8+CR8)/(CR8-CS8)-DD8/(CQ8-CS8))</f>
        <v>73606716.7945824</v>
      </c>
      <c r="DG8" s="596">
        <f>DG$3*3600</f>
        <v>86400</v>
      </c>
      <c r="DH8" s="580">
        <f ca="1" t="shared" ref="DH8:DK8" si="50">CZ8</f>
        <v>268706775405.367</v>
      </c>
      <c r="DI8" s="580">
        <f ca="1" t="shared" si="50"/>
        <v>6441550.77557608</v>
      </c>
      <c r="DJ8" s="581">
        <f ca="1" t="shared" si="50"/>
        <v>5.56231001429216e-15</v>
      </c>
      <c r="DK8" s="580">
        <f ca="1" t="shared" si="50"/>
        <v>391572.250791103</v>
      </c>
      <c r="DL8" s="580">
        <f ca="1">MAX(INDIRECT("'"&amp;$B$2&amp;"-事故进程'!AB"&amp;(ROW()+22)),INDIRECT("'"&amp;$B$2&amp;"-事故进程'!AC"&amp;(ROW()+22)))</f>
        <v>8.32204452660593e-10</v>
      </c>
      <c r="DM8" s="580">
        <f ca="1">SUM(DL$3,-LN(1-DM$3)/DG8)</f>
        <v>1.07814939005043e-6</v>
      </c>
      <c r="DN8" s="580">
        <f>DN$3/24/3600</f>
        <v>1157407407407410</v>
      </c>
      <c r="DO8" s="582">
        <f ca="1">EXP(-DG8*($Z8+DL8))</f>
        <v>2.08290145776933e-6</v>
      </c>
      <c r="DP8" s="582">
        <f ca="1">EXP(-DG8*($Z8+DM8))</f>
        <v>1.89777405331654e-6</v>
      </c>
      <c r="DQ8" s="582">
        <f>EXP(-DG8*($Z8+DN8))</f>
        <v>0</v>
      </c>
      <c r="DR8" s="582">
        <f ca="1">DH8*DL8+DI8*(DL8-DM8)</f>
        <v>216.679381599988</v>
      </c>
      <c r="DS8" s="582">
        <f ca="1">(DH8*DM8*DL8/(DL8-DN8)+DI8*DM8)/(DM8-DN8)+DJ8</f>
        <v>-4.38130275979479e-16</v>
      </c>
      <c r="DT8" s="582">
        <f ca="1" t="shared" si="12"/>
        <v>1.00077247858271</v>
      </c>
      <c r="DU8" s="580">
        <f ca="1">DH8*DO8</f>
        <v>559689.734204334</v>
      </c>
      <c r="DV8" s="580">
        <f ca="1">DL8/(DM8-DL8)*DU8+(DI8-DH8*DL8/(DM8-DL8))*DP8</f>
        <v>50.6515456669915</v>
      </c>
      <c r="DW8" s="586">
        <f ca="1">DQ8*DS8+DT8*(DP8*DR8/(DM8-DN8)-DU8*DL8/(DL8-DN8))</f>
        <v>4.71829821690054e-20</v>
      </c>
      <c r="DX8" s="594">
        <f ca="1">(DH8+DI8+DJ8+DK8)*EXP(-$Z8*DG8)-DU8-DV8-DW8</f>
        <v>3.82671783385354</v>
      </c>
      <c r="DY8" s="580">
        <f ca="1">DH8*DL8/($Z8+DL8)*(1-DO8)</f>
        <v>1476915.63483083</v>
      </c>
      <c r="DZ8" s="580">
        <f ca="1">DT8*(DY8-(1-DP8)*DR8/($Z8+DM8))</f>
        <v>55986.8457864773</v>
      </c>
      <c r="EA8" s="595">
        <f ca="1">DN8*(1-DQ8)*DS8/($Z8+DN8)+DN8*DT8*((1-DP8)*DR8/($Z8+DM8)/(DM8-DN8)-DY8/(DL8-DN8))</f>
        <v>55986.8457864774</v>
      </c>
      <c r="EB8" s="596">
        <f>EB$3*3600</f>
        <v>172800</v>
      </c>
      <c r="EC8" s="580">
        <f ca="1" t="shared" ref="EC8:EF8" si="51">DU8</f>
        <v>559689.734204334</v>
      </c>
      <c r="ED8" s="580">
        <f ca="1" t="shared" si="51"/>
        <v>50.6515456669915</v>
      </c>
      <c r="EE8" s="581">
        <f ca="1" t="shared" si="51"/>
        <v>4.71829821690054e-20</v>
      </c>
      <c r="EF8" s="580">
        <f ca="1" t="shared" si="51"/>
        <v>3.82671783385354</v>
      </c>
      <c r="EG8" s="580">
        <f ca="1">MAX(INDIRECT("'"&amp;$B$2&amp;"-事故进程'!AC"&amp;(ROW()+22)),INDIRECT("'"&amp;$B$2&amp;"-事故进程'!AD"&amp;(ROW()+22)),INDIRECT("'"&amp;$B$2&amp;"-事故进程'!AE"&amp;(ROW()+22)))</f>
        <v>8.32204452660593e-10</v>
      </c>
      <c r="EH8" s="580">
        <f ca="1">SUM(EG$3,-LN(1-EH$3)/EB8)</f>
        <v>5.81616658188741e-8</v>
      </c>
      <c r="EI8" s="580">
        <f>EI$3/24/3600</f>
        <v>1157407407407410</v>
      </c>
      <c r="EJ8" s="582">
        <f ca="1">EXP(-EB8*($Z8+EG8))</f>
        <v>4.33847848277758e-12</v>
      </c>
      <c r="EK8" s="582">
        <f ca="1">EXP(-EB8*($Z8+EH8))</f>
        <v>4.29571139800897e-12</v>
      </c>
      <c r="EL8" s="582">
        <f>EXP(-EB8*($Z8+EI8))</f>
        <v>0</v>
      </c>
      <c r="EM8" s="582">
        <f ca="1">EC8*EG8+ED8*(EG8-EH8)</f>
        <v>0.000462872463082815</v>
      </c>
      <c r="EN8" s="582">
        <f ca="1">(EC8*EH8*EG8/(EG8-EI8)+ED8*EH8)/(EH8-EI8)+EE8</f>
        <v>4.46376569417443e-20</v>
      </c>
      <c r="EO8" s="582">
        <f ca="1" t="shared" si="14"/>
        <v>1.01451617428157</v>
      </c>
      <c r="EP8" s="580">
        <f ca="1">EC8*EJ8</f>
        <v>2.42820186887701e-6</v>
      </c>
      <c r="EQ8" s="580">
        <f ca="1">EG8/(EH8-EG8)*EP8+(ED8-EC8*EG8/(EH8-EG8))*EK8</f>
        <v>5.65047899926208e-10</v>
      </c>
      <c r="ER8" s="586">
        <f ca="1">EL8*EN8+EO8*(EK8*EM8/(EH8-EI8)-EP8*EG8/(EG8-EI8))</f>
        <v>2.83946058378708e-32</v>
      </c>
      <c r="ES8" s="594">
        <f ca="1">(EC8+ED8+EE8+EF8)*EXP(-$Z8*EB8)-EP8-EQ8-ER8</f>
        <v>2.05513721873654e-11</v>
      </c>
      <c r="ET8" s="580">
        <f ca="1">EC8*EG8/($Z8+EG8)*(1-EJ8)</f>
        <v>3.07627613635815</v>
      </c>
      <c r="EU8" s="580">
        <f ca="1">EO8*(ET8-(1-EK8)*EM8/($Z8+EH8))</f>
        <v>0.0206309677957262</v>
      </c>
      <c r="EV8" s="595">
        <f ca="1">EI8*(1-EL8)*EN8/($Z8+EI8)+EI8*EO8*((1-EK8)*EM8/($Z8+EH8)/(EH8-EI8)-ET8/(EG8-EI8))</f>
        <v>0.0206309677957265</v>
      </c>
      <c r="EW8" s="596">
        <f>EW$3*3600</f>
        <v>2246400</v>
      </c>
      <c r="EX8" s="580">
        <f ca="1" t="shared" ref="EX8:FA8" si="52">EP8</f>
        <v>2.42820186887701e-6</v>
      </c>
      <c r="EY8" s="580">
        <f ca="1" t="shared" si="52"/>
        <v>5.65047899926208e-10</v>
      </c>
      <c r="EZ8" s="581">
        <f ca="1" t="shared" si="52"/>
        <v>2.83946058378708e-32</v>
      </c>
      <c r="FA8" s="580">
        <f ca="1" t="shared" si="52"/>
        <v>2.05513721873654e-11</v>
      </c>
      <c r="FB8" s="580">
        <f ca="1">INDIRECT("'"&amp;$B$2&amp;"-事故进程'!AE"&amp;(ROW()+22))</f>
        <v>3.69025004877795e-10</v>
      </c>
      <c r="FC8" s="580">
        <f ca="1">SUM(FB$3,-LN(1-FC$3)/EW8)</f>
        <v>4.47397429375955e-9</v>
      </c>
      <c r="FD8" s="580">
        <f>FD$3/24/3600</f>
        <v>1157407407407410</v>
      </c>
      <c r="FE8" s="582">
        <f ca="1" t="shared" si="16"/>
        <v>1.93125090191342e-148</v>
      </c>
      <c r="FF8" s="582">
        <f ca="1" t="shared" si="17"/>
        <v>1.91352400444903e-148</v>
      </c>
      <c r="FG8" s="582">
        <f t="shared" si="18"/>
        <v>0</v>
      </c>
      <c r="FH8" s="582">
        <f ca="1" t="shared" si="19"/>
        <v>8.93747713531623e-16</v>
      </c>
      <c r="FI8" s="582">
        <f ca="1" t="shared" si="20"/>
        <v>2.62104053888039e-32</v>
      </c>
      <c r="FJ8" s="582">
        <f ca="1" t="shared" si="21"/>
        <v>1.08989757946031</v>
      </c>
      <c r="FK8" s="580">
        <f ca="1" t="shared" si="22"/>
        <v>4.68946704929658e-154</v>
      </c>
      <c r="FL8" s="580">
        <f ca="1" t="shared" si="23"/>
        <v>4.95082778044942e-157</v>
      </c>
      <c r="FM8" s="586">
        <f ca="1" t="shared" si="24"/>
        <v>1.91374930562935e-180</v>
      </c>
      <c r="FN8" s="594">
        <f ca="1" t="shared" si="25"/>
        <v>7.01249516815908e-159</v>
      </c>
      <c r="FO8" s="580">
        <f ca="1" t="shared" si="26"/>
        <v>5.91820292752581e-12</v>
      </c>
      <c r="FP8" s="580">
        <f ca="1" t="shared" si="27"/>
        <v>1.68710186187396e-14</v>
      </c>
      <c r="FQ8" s="595">
        <f ca="1" t="shared" si="28"/>
        <v>1.68710186187395e-14</v>
      </c>
      <c r="FR8" s="608" t="str">
        <f t="shared" si="29"/>
        <v>Kr-87</v>
      </c>
      <c r="FS8" s="609">
        <v>27500000000</v>
      </c>
      <c r="FT8" s="610">
        <v>14800000000</v>
      </c>
      <c r="FU8" s="610">
        <v>275000000</v>
      </c>
      <c r="FV8" s="610">
        <v>35400</v>
      </c>
      <c r="FW8" s="610">
        <v>42600000000</v>
      </c>
      <c r="FX8" s="614">
        <f ca="1" t="shared" si="30"/>
        <v>0.726072727272727</v>
      </c>
      <c r="FY8" s="614">
        <f ca="1" t="shared" si="38"/>
        <v>0.688722756844344</v>
      </c>
      <c r="FZ8" s="614">
        <f ca="1" t="shared" si="39"/>
        <v>0.267660788343936</v>
      </c>
      <c r="GA8" s="614">
        <f ca="1" t="shared" si="40"/>
        <v>1.58154989879789</v>
      </c>
      <c r="GB8" s="614">
        <f ca="1" t="shared" si="41"/>
        <v>0.709712664435617</v>
      </c>
      <c r="GC8" s="455">
        <f ca="1" t="shared" si="31"/>
        <v>0.709712664435617</v>
      </c>
      <c r="GE8" s="609">
        <v>5569472797.165</v>
      </c>
      <c r="GF8" s="610">
        <v>501084525.35194</v>
      </c>
      <c r="GG8" s="610">
        <v>11010571.8988812</v>
      </c>
      <c r="GH8" s="610">
        <v>2147.88383110428</v>
      </c>
      <c r="GI8" s="610">
        <v>0.343857374846796</v>
      </c>
      <c r="GJ8" s="610">
        <v>1.82273555504902e-14</v>
      </c>
      <c r="GK8" s="617">
        <v>6081570042.64351</v>
      </c>
      <c r="GL8" s="614">
        <f ca="1">H8/GE8</f>
        <v>3.58507900607104</v>
      </c>
      <c r="GM8" s="614">
        <f ca="1">(I8+J8)/GF8</f>
        <v>20.3420706199959</v>
      </c>
      <c r="GN8" s="614">
        <f ca="1">K8/GG8</f>
        <v>6.68509478622647</v>
      </c>
      <c r="GO8" s="614">
        <f ca="1">L8/(GH8+GI8)</f>
        <v>26.0618866043394</v>
      </c>
      <c r="GP8" s="614">
        <f ca="1">M8/GJ8</f>
        <v>0.925587838126405</v>
      </c>
      <c r="GQ8" s="614">
        <f ca="1">N8/GK8</f>
        <v>4.97137405192417</v>
      </c>
      <c r="GR8" s="451">
        <f>Z8</f>
        <v>0.000151408296321525</v>
      </c>
      <c r="GS8" s="390">
        <f>LN(2)/GR8</f>
        <v>4578.00000000003</v>
      </c>
    </row>
    <row r="9" spans="1:201">
      <c r="A9" s="413"/>
      <c r="B9" s="407" t="s">
        <v>256</v>
      </c>
      <c r="C9" s="417">
        <v>0</v>
      </c>
      <c r="D9" s="409" t="s">
        <v>249</v>
      </c>
      <c r="E9" s="409" t="s">
        <v>257</v>
      </c>
      <c r="G9" s="411" t="s">
        <v>50</v>
      </c>
      <c r="H9" s="412">
        <f ca="1">AU9</f>
        <v>43890000000</v>
      </c>
      <c r="I9" s="412">
        <f ca="1" t="shared" si="1"/>
        <v>8081320363.91806</v>
      </c>
      <c r="J9" s="412">
        <f ca="1">CK9</f>
        <v>18302728547.2811</v>
      </c>
      <c r="K9" s="412">
        <f ca="1">DF9</f>
        <v>2370846585.68894</v>
      </c>
      <c r="L9" s="412">
        <f ca="1">EA9+EV9</f>
        <v>202465351.006015</v>
      </c>
      <c r="M9" s="412">
        <f ca="1">FQ9</f>
        <v>0.131185141512131</v>
      </c>
      <c r="N9" s="412">
        <f ca="1">SUM(H9:M9)</f>
        <v>72847360848.0253</v>
      </c>
      <c r="O9" s="450">
        <f ca="1">AS9</f>
        <v>43890000000</v>
      </c>
      <c r="P9" s="451"/>
      <c r="Q9" s="477" t="str">
        <f t="shared" si="0"/>
        <v>Kr-88</v>
      </c>
      <c r="R9" s="412">
        <f ca="1">H9</f>
        <v>43890000000</v>
      </c>
      <c r="S9" s="412">
        <f ca="1">I9*(1-过滤效率!$B6)</f>
        <v>8081320363.91806</v>
      </c>
      <c r="T9" s="412">
        <f ca="1">J9*(1-过滤效率!$B6)</f>
        <v>18302728547.2811</v>
      </c>
      <c r="U9" s="412">
        <f ca="1">K9*(1-过滤效率!$B6)</f>
        <v>2370846585.68894</v>
      </c>
      <c r="V9" s="412">
        <f ca="1">L9*(1-过滤效率!$B6)</f>
        <v>202465351.006015</v>
      </c>
      <c r="W9" s="412">
        <f ca="1">M9*(1-过滤效率!$B6)</f>
        <v>0.131185141512131</v>
      </c>
      <c r="X9" s="412">
        <f ca="1">SUM(R9:W9)</f>
        <v>72847360848.0253</v>
      </c>
      <c r="Y9" s="493"/>
      <c r="Z9" s="494">
        <f>VLOOKUP(G9,衰变常数!$A$1:$H$3800,7,FALSE)</f>
        <v>6.77960857355189e-5</v>
      </c>
      <c r="AA9" s="495">
        <f>正常源项!C6</f>
        <v>1.88e+17</v>
      </c>
      <c r="AB9" s="496">
        <f>正常源项!F6</f>
        <v>0</v>
      </c>
      <c r="AC9" s="496">
        <f>正常源项!I6</f>
        <v>41500000000</v>
      </c>
      <c r="AD9" s="496">
        <f>正常源项!L6</f>
        <v>2390000000</v>
      </c>
      <c r="AE9" s="497"/>
      <c r="AF9" s="498"/>
      <c r="AG9" s="483"/>
      <c r="AH9" s="518"/>
      <c r="AI9" s="483"/>
      <c r="AJ9" s="521"/>
      <c r="AK9" s="521"/>
      <c r="AL9" s="519">
        <f t="shared" si="42"/>
        <v>27504400</v>
      </c>
      <c r="AM9" s="520">
        <f t="shared" si="2"/>
        <v>789600000000</v>
      </c>
      <c r="AN9" s="519">
        <f ca="1">MAX(INDIRECT("'"&amp;$B$2&amp;"-事故进程'!Y"&amp;(ROW()+22)),INDIRECT("'"&amp;$B$2&amp;"-事故进程'!Z"&amp;(ROW()+22)),INDIRECT("'"&amp;$B$2&amp;"-事故进程'!AA"&amp;(ROW()+22)))</f>
        <v>1.38426065867998e-10</v>
      </c>
      <c r="AO9" s="519">
        <f ca="1" t="shared" si="3"/>
        <v>0</v>
      </c>
      <c r="AP9" s="560">
        <f t="shared" si="4"/>
        <v>1.88e+17</v>
      </c>
      <c r="AQ9" s="561">
        <f ca="1">(AC9*$C$5+AD9*$C$8+AF9+AG9+AI9+(AL9+AM9)*$C$10)*EXP(-Z9*$C$12*3600)+AO9*$C$11</f>
        <v>43890000000</v>
      </c>
      <c r="AR9" s="562">
        <f ca="1">AQ9*(1-AR$3)</f>
        <v>0</v>
      </c>
      <c r="AS9" s="563">
        <f ca="1" t="shared" si="5"/>
        <v>43890000000</v>
      </c>
      <c r="AT9" s="562">
        <f ca="1">AS9*(1-AT$3)</f>
        <v>0</v>
      </c>
      <c r="AU9" s="564">
        <f ca="1">AS9-AT9</f>
        <v>43890000000</v>
      </c>
      <c r="AV9" s="565">
        <f>AV$3*3600</f>
        <v>7200</v>
      </c>
      <c r="AW9" s="580">
        <f>AP9*EXP(-Z9*AW$3*3600)</f>
        <v>1.88e+17</v>
      </c>
      <c r="AX9" s="580">
        <f ca="1">AR9</f>
        <v>0</v>
      </c>
      <c r="AY9" s="581">
        <f ca="1">AT9</f>
        <v>0</v>
      </c>
      <c r="AZ9" s="580">
        <v>0</v>
      </c>
      <c r="BA9" s="580">
        <f ca="1" t="shared" si="32"/>
        <v>6.35346165888635e-11</v>
      </c>
      <c r="BB9" s="580">
        <f ca="1">SUM(BA$3,-LN(1-BB$3)/AV9)</f>
        <v>3.92016660325749e-5</v>
      </c>
      <c r="BC9" s="580">
        <f>BC$3/24/3600</f>
        <v>1157407407407410</v>
      </c>
      <c r="BD9" s="582">
        <f ca="1">EXP(-AV9*($Z9+BA9))</f>
        <v>0.613771681180518</v>
      </c>
      <c r="BE9" s="582">
        <f ca="1">EXP(-AV9*($Z9+BB9))</f>
        <v>0.462835392100703</v>
      </c>
      <c r="BF9" s="582">
        <f>EXP(-AV9*($Z9+BC9))</f>
        <v>0</v>
      </c>
      <c r="BG9" s="582">
        <f ca="1">AW9*BA9+AX9*(BA9-BB9)</f>
        <v>11944507.9187063</v>
      </c>
      <c r="BH9" s="582">
        <f ca="1">(AW9*BB9*BA9/(BA9-BC9)+AX9*BB9)/(BB9-BC9)+AY9</f>
        <v>3.49542728649754e-28</v>
      </c>
      <c r="BI9" s="582">
        <f ca="1" t="shared" si="6"/>
        <v>1.00000162071478</v>
      </c>
      <c r="BJ9" s="580">
        <f ca="1">AW9*BD9</f>
        <v>1.15389076061937e+17</v>
      </c>
      <c r="BK9" s="580">
        <f ca="1">BA9/(BB9-BA9)*BJ9+(AX9-AW9*BA9/(BB9-BA9))*BE9</f>
        <v>45989438830.4123</v>
      </c>
      <c r="BL9" s="586">
        <f ca="1">BF9*BH9+BI9*(BE9*BG9/(BB9-BC9)-BJ9*BA9/(BA9-BC9))</f>
        <v>1.55767330545583e-9</v>
      </c>
      <c r="BM9" s="594">
        <f ca="1">(AW9+AX9+AY9+AZ9)*EXP(-$Z9*AV9)-BJ9-BK9-BL9</f>
        <v>6795218321.58768</v>
      </c>
      <c r="BN9" s="580">
        <f ca="1">AW9*BA9/($Z9+BA9)*(1-BD9)</f>
        <v>68046743985.2093</v>
      </c>
      <c r="BO9" s="580">
        <f ca="1">BI9*(BN9-(1-BE9)*BG9/($Z9+BB9))</f>
        <v>8081320363.91807</v>
      </c>
      <c r="BP9" s="595">
        <f ca="1">BC9*(1-BF9)*BH9/($Z9+BC9)+BC9*BI9*((1-BE9)*BG9/($Z9+BB9)/(BB9-BC9)-BN9/(BA9-BC9))</f>
        <v>8081320363.91806</v>
      </c>
      <c r="BQ9" s="596">
        <f>BQ$3*3600</f>
        <v>21600</v>
      </c>
      <c r="BR9" s="580">
        <f ca="1" t="shared" ref="BR9:BT9" si="53">BJ9</f>
        <v>1.15389076061937e+17</v>
      </c>
      <c r="BS9" s="580">
        <f ca="1" t="shared" si="53"/>
        <v>45989438830.4123</v>
      </c>
      <c r="BT9" s="581">
        <f ca="1" t="shared" si="53"/>
        <v>1.55767330545583e-9</v>
      </c>
      <c r="BU9" s="580">
        <f ca="1">BM9</f>
        <v>6795218321.58768</v>
      </c>
      <c r="BV9" s="580">
        <f ca="1">MAX(INDIRECT("'"&amp;$B$2&amp;"-事故进程'!Z"&amp;(ROW()+22)),INDIRECT("'"&amp;$B$2&amp;"-事故进程'!AA"&amp;(ROW()+22)))</f>
        <v>1.38426065867998e-10</v>
      </c>
      <c r="BW9" s="580">
        <f ca="1">SUM(BV$3,-LN(1-BW$3)/BQ9)</f>
        <v>9.67910672705165e-6</v>
      </c>
      <c r="BX9" s="580">
        <f>BX$3/24/3600</f>
        <v>1157407407407410</v>
      </c>
      <c r="BY9" s="582">
        <f ca="1">EXP(-BQ9*($Z9+BV9))</f>
        <v>0.231217040135823</v>
      </c>
      <c r="BZ9" s="582">
        <f ca="1">EXP(-BQ9*($Z9+BW9))</f>
        <v>0.187596076428019</v>
      </c>
      <c r="CA9" s="582">
        <f>EXP(-BQ9*($Z9+BX9))</f>
        <v>0</v>
      </c>
      <c r="CB9" s="582">
        <f ca="1">BR9*BV9+BS9*(BV9-BW9)</f>
        <v>15527725.5227775</v>
      </c>
      <c r="CC9" s="582">
        <f ca="1">(BR9*BW9*BV9/(BV9-BX9)+BS9*BW9)/(BW9-BX9)+BT9</f>
        <v>1.17307520809798e-9</v>
      </c>
      <c r="CD9" s="582">
        <f ca="1" t="shared" si="8"/>
        <v>1.0000143017377</v>
      </c>
      <c r="CE9" s="580">
        <f ca="1">BR9*BY9</f>
        <v>2.66799206310485e+16</v>
      </c>
      <c r="CF9" s="580">
        <f ca="1">BV9/(BW9-BV9)*CE9+(BS9-BR9*BV9/(BW9-BV9))*BZ9</f>
        <v>80613557399.7852</v>
      </c>
      <c r="CG9" s="586">
        <f ca="1">CA9*CC9+CD9*(BZ9*CB9/(BW9-BX9)-CE9*BV9/(BV9-BX9))</f>
        <v>6.7415088302193e-10</v>
      </c>
      <c r="CH9" s="594">
        <f ca="1">(BR9+BS9+BT9+BU9)*EXP(-$Z9*BQ9)-CE9-CF9-CG9</f>
        <v>11364353884.2148</v>
      </c>
      <c r="CI9" s="580">
        <f ca="1">BR9*BV9/($Z9+BV9)*(1-BY9)</f>
        <v>181126007305.414</v>
      </c>
      <c r="CJ9" s="580">
        <f ca="1">CD9*(CI9-(1-BZ9)*CB9/($Z9+BW9))</f>
        <v>18302728547.2811</v>
      </c>
      <c r="CK9" s="595">
        <f ca="1">BX9*(1-CA9)*CC9/($Z9+BX9)+BX9*CD9*((1-BZ9)*CB9/($Z9+BW9)/(BW9-BX9)-CI9/(BV9-BX9))</f>
        <v>18302728547.2811</v>
      </c>
      <c r="CL9" s="596">
        <f>CL$3*3600</f>
        <v>57600</v>
      </c>
      <c r="CM9" s="580">
        <f ca="1" t="shared" ref="CM9:CO9" si="54">CE9</f>
        <v>2.66799206310485e+16</v>
      </c>
      <c r="CN9" s="580">
        <f ca="1" t="shared" si="54"/>
        <v>80613557399.7852</v>
      </c>
      <c r="CO9" s="581">
        <f ca="1" t="shared" si="54"/>
        <v>6.7415088302193e-10</v>
      </c>
      <c r="CP9" s="580">
        <f ca="1">CH9</f>
        <v>11364353884.2148</v>
      </c>
      <c r="CQ9" s="580">
        <f ca="1">MAX(INDIRECT("'"&amp;$B$2&amp;"-事故进程'!AA"&amp;(ROW()+22)),INDIRECT("'"&amp;$B$2&amp;"-事故进程'!AB"&amp;(ROW()+22)))</f>
        <v>2.36594799740354e-10</v>
      </c>
      <c r="CR9" s="580">
        <f ca="1">SUM(CQ$3,-LN(1-CR$3)/CL9)</f>
        <v>9.99426851876734e-7</v>
      </c>
      <c r="CS9" s="580">
        <f>CS$3/24/3600</f>
        <v>1157407407407410</v>
      </c>
      <c r="CT9" s="582">
        <f ca="1">EXP(-CL9*($Z9+CQ9))</f>
        <v>0.0201395816052185</v>
      </c>
      <c r="CU9" s="582">
        <f ca="1">EXP(-CL9*($Z9+CR9))</f>
        <v>0.0190132053076786</v>
      </c>
      <c r="CV9" s="582">
        <f>EXP(-CL9*($Z9+CS9))</f>
        <v>0</v>
      </c>
      <c r="CW9" s="582">
        <f ca="1">CM9*CQ9+CN9*(CQ9-CR9)</f>
        <v>6231782.19764928</v>
      </c>
      <c r="CX9" s="582">
        <f ca="1">(CM9*CR9*CQ9/(CQ9-CS9)+CN9*CR9)/(CR9-CS9)+CO9</f>
        <v>6.04540689260407e-10</v>
      </c>
      <c r="CY9" s="582">
        <f ca="1" t="shared" si="10"/>
        <v>1.00023678653596</v>
      </c>
      <c r="CZ9" s="580">
        <f ca="1">CM9*CT9</f>
        <v>537322438769754</v>
      </c>
      <c r="DA9" s="580">
        <f ca="1">CQ9/(CR9-CQ9)*CZ9+(CN9-CM9*CQ9/(CR9-CQ9))*CU9</f>
        <v>8648543537.00934</v>
      </c>
      <c r="DB9" s="586">
        <f ca="1">CV9*CX9+CY9*(CU9*CW9/(CR9-CS9)-CZ9*CQ9/(CQ9-CS9))</f>
        <v>7.46805885740248e-12</v>
      </c>
      <c r="DC9" s="594">
        <f ca="1">(CM9+CN9+CO9+CP9)*EXP(-$Z9*CL9)-CZ9-DA9-DB9</f>
        <v>526483473.490662</v>
      </c>
      <c r="DD9" s="580">
        <f ca="1">CM9*CQ9/($Z9+CQ9)*(1-CT9)</f>
        <v>91232128401.5829</v>
      </c>
      <c r="DE9" s="580">
        <f ca="1">CY9*(DD9-(1-CU9)*CW9/($Z9+CR9))</f>
        <v>2370846585.68895</v>
      </c>
      <c r="DF9" s="595">
        <f ca="1">CS9*(1-CV9)*CX9/($Z9+CS9)+CS9*CY9*((1-CU9)*CW9/($Z9+CR9)/(CR9-CS9)-DD9/(CQ9-CS9))</f>
        <v>2370846585.68894</v>
      </c>
      <c r="DG9" s="596">
        <f>DG$3*3600</f>
        <v>86400</v>
      </c>
      <c r="DH9" s="580">
        <f ca="1" t="shared" ref="DH9:DK9" si="55">CZ9</f>
        <v>537322438769754</v>
      </c>
      <c r="DI9" s="580">
        <f ca="1" t="shared" si="55"/>
        <v>8648543537.00934</v>
      </c>
      <c r="DJ9" s="581">
        <f ca="1" t="shared" si="55"/>
        <v>7.46805885740248e-12</v>
      </c>
      <c r="DK9" s="580">
        <f ca="1" t="shared" si="55"/>
        <v>526483473.490662</v>
      </c>
      <c r="DL9" s="580">
        <f ca="1">MAX(INDIRECT("'"&amp;$B$2&amp;"-事故进程'!AB"&amp;(ROW()+22)),INDIRECT("'"&amp;$B$2&amp;"-事故进程'!AC"&amp;(ROW()+22)))</f>
        <v>5.53241214582662e-10</v>
      </c>
      <c r="DM9" s="580">
        <f ca="1">SUM(DL$3,-LN(1-DM$3)/DG9)</f>
        <v>1.07814939005043e-6</v>
      </c>
      <c r="DN9" s="580">
        <f>DN$3/24/3600</f>
        <v>1157407407407410</v>
      </c>
      <c r="DO9" s="582">
        <f ca="1">EXP(-DG9*($Z9+DL9))</f>
        <v>0.00285801026562487</v>
      </c>
      <c r="DP9" s="582">
        <f ca="1">EXP(-DG9*($Z9+DM9))</f>
        <v>0.00260392875497901</v>
      </c>
      <c r="DQ9" s="582">
        <f>EXP(-DG9*($Z9+DN9))</f>
        <v>0</v>
      </c>
      <c r="DR9" s="582">
        <f ca="1">DH9*DL9+DI9*(DL9-DM9)</f>
        <v>287949.281438976</v>
      </c>
      <c r="DS9" s="582">
        <f ca="1">(DH9*DM9*DL9/(DL9-DN9)+DI9*DM9)/(DM9-DN9)+DJ9</f>
        <v>-5.88241698110581e-13</v>
      </c>
      <c r="DT9" s="582">
        <f ca="1" t="shared" si="12"/>
        <v>1.00051340311041</v>
      </c>
      <c r="DU9" s="580">
        <f ca="1">DH9*DO9</f>
        <v>1535673045954.55</v>
      </c>
      <c r="DV9" s="580">
        <f ca="1">DL9/(DM9-DL9)*DU9+(DI9-DH9*DL9/(DM9-DL9))*DP9</f>
        <v>92611881.8623023</v>
      </c>
      <c r="DW9" s="586">
        <f ca="1">DQ9*DS9+DT9*(DP9*DR9/(DM9-DN9)-DU9*DL9/(DL9-DN9))</f>
        <v>8.6269919565252e-14</v>
      </c>
      <c r="DX9" s="594">
        <f ca="1">(DH9+DI9+DJ9+DK9)*EXP(-$Z9*DG9)-DU9-DV9-DW9</f>
        <v>7018681.86133051</v>
      </c>
      <c r="DY9" s="580">
        <f ca="1">DH9*DL9/($Z9+DL9)*(1-DO9)</f>
        <v>4372183127.36826</v>
      </c>
      <c r="DZ9" s="580">
        <f ca="1">DT9*(DY9-(1-DP9)*DR9/($Z9+DM9))</f>
        <v>202375228.441503</v>
      </c>
      <c r="EA9" s="595">
        <f ca="1">DN9*(1-DQ9)*DS9/($Z9+DN9)+DN9*DT9*((1-DP9)*DR9/($Z9+DM9)/(DM9-DN9)-DY9/(DL9-DN9))</f>
        <v>202375228.441503</v>
      </c>
      <c r="EB9" s="596">
        <f>EB$3*3600</f>
        <v>172800</v>
      </c>
      <c r="EC9" s="580">
        <f ca="1" t="shared" ref="EC9:EF9" si="56">DU9</f>
        <v>1535673045954.55</v>
      </c>
      <c r="ED9" s="580">
        <f ca="1" t="shared" si="56"/>
        <v>92611881.8623023</v>
      </c>
      <c r="EE9" s="581">
        <f ca="1" t="shared" si="56"/>
        <v>8.6269919565252e-14</v>
      </c>
      <c r="EF9" s="580">
        <f ca="1" t="shared" si="56"/>
        <v>7018681.86133051</v>
      </c>
      <c r="EG9" s="580">
        <f ca="1">MAX(INDIRECT("'"&amp;$B$2&amp;"-事故进程'!AC"&amp;(ROW()+22)),INDIRECT("'"&amp;$B$2&amp;"-事故进程'!AD"&amp;(ROW()+22)),INDIRECT("'"&amp;$B$2&amp;"-事故进程'!AE"&amp;(ROW()+22)))</f>
        <v>5.53241214582662e-10</v>
      </c>
      <c r="EH9" s="580">
        <f ca="1">SUM(EG$3,-LN(1-EH$3)/EB9)</f>
        <v>5.81616658188741e-8</v>
      </c>
      <c r="EI9" s="580">
        <f>EI$3/24/3600</f>
        <v>1157407407407410</v>
      </c>
      <c r="EJ9" s="582">
        <f ca="1">EXP(-EB9*($Z9+EG9))</f>
        <v>8.16822267841717e-6</v>
      </c>
      <c r="EK9" s="582">
        <f ca="1">EXP(-EB9*($Z9+EH9))</f>
        <v>8.08731356251644e-6</v>
      </c>
      <c r="EL9" s="582">
        <f>EXP(-EB9*($Z9+EI9))</f>
        <v>0</v>
      </c>
      <c r="EM9" s="582">
        <f ca="1">EC9*EG9+ED9*(EG9-EH9)</f>
        <v>844.262396532026</v>
      </c>
      <c r="EN9" s="582">
        <f ca="1">(EC9*EH9*EG9/(EG9-EI9)+ED9*EH9)/(EH9-EI9)+EE9</f>
        <v>8.16160169815473e-14</v>
      </c>
      <c r="EO9" s="582">
        <f ca="1" t="shared" si="14"/>
        <v>1.00960347758827</v>
      </c>
      <c r="EP9" s="580">
        <f ca="1">EC9*EJ9</f>
        <v>12543719.4005999</v>
      </c>
      <c r="EQ9" s="580">
        <f ca="1">EG9/(EH9-EG9)*EP9+(ED9-EC9*EG9/(EH9-EG9))*EK9</f>
        <v>1942.2129236214</v>
      </c>
      <c r="ER9" s="586">
        <f ca="1">EL9*EN9+EO9*(EK9*EM9/(EH9-EI9)-EP9*EG9/(EG9-EI9))</f>
        <v>9.75994609070306e-20</v>
      </c>
      <c r="ES9" s="594">
        <f ca="1">(EC9+ED9+EE9+EF9)*EXP(-$Z9*EB9)-EP9-EQ9-ER9</f>
        <v>70.9074344564142</v>
      </c>
      <c r="ET9" s="580">
        <f ca="1">EC9*EG9/($Z9+EG9)*(1-EJ9)</f>
        <v>12531457.2265855</v>
      </c>
      <c r="EU9" s="580">
        <f ca="1">EO9*(ET9-(1-EK9)*EM9/($Z9+EH9))</f>
        <v>90122.5645118407</v>
      </c>
      <c r="EV9" s="595">
        <f ca="1">EI9*(1-EL9)*EN9/($Z9+EI9)+EI9*EO9*((1-EK9)*EM9/($Z9+EH9)/(EH9-EI9)-ET9/(EG9-EI9))</f>
        <v>90122.5645118418</v>
      </c>
      <c r="EW9" s="596">
        <f>EW$3*3600</f>
        <v>2246400</v>
      </c>
      <c r="EX9" s="580">
        <f ca="1" t="shared" ref="EX9:FA9" si="57">EP9</f>
        <v>12543719.4005999</v>
      </c>
      <c r="EY9" s="580">
        <f ca="1" t="shared" si="57"/>
        <v>1942.2129236214</v>
      </c>
      <c r="EZ9" s="581">
        <f ca="1" t="shared" si="57"/>
        <v>9.75994609070306e-20</v>
      </c>
      <c r="FA9" s="580">
        <f ca="1" t="shared" si="57"/>
        <v>70.9074344564142</v>
      </c>
      <c r="FB9" s="580">
        <f ca="1">INDIRECT("'"&amp;$B$2&amp;"-事故进程'!AE"&amp;(ROW()+22))</f>
        <v>2.47669610895786e-10</v>
      </c>
      <c r="FC9" s="580">
        <f ca="1">SUM(FB$3,-LN(1-FC$3)/EW9)</f>
        <v>4.47397429375955e-9</v>
      </c>
      <c r="FD9" s="580">
        <f>FD$3/24/3600</f>
        <v>1157407407407410</v>
      </c>
      <c r="FE9" s="582">
        <f ca="1" t="shared" si="16"/>
        <v>7.21035270755544e-67</v>
      </c>
      <c r="FF9" s="582">
        <f ca="1" t="shared" si="17"/>
        <v>7.1422217575836e-67</v>
      </c>
      <c r="FG9" s="582">
        <f t="shared" si="18"/>
        <v>0</v>
      </c>
      <c r="FH9" s="582">
        <f ca="1" t="shared" si="19"/>
        <v>0.00309848971955829</v>
      </c>
      <c r="FI9" s="582">
        <f ca="1" t="shared" si="20"/>
        <v>9.00918100680283e-20</v>
      </c>
      <c r="FJ9" s="582">
        <f ca="1" t="shared" si="21"/>
        <v>1.05860192993184</v>
      </c>
      <c r="FK9" s="580">
        <f ca="1" t="shared" si="22"/>
        <v>9.04446411429313e-60</v>
      </c>
      <c r="FL9" s="580">
        <f ca="1" t="shared" si="23"/>
        <v>6.39538341607106e-63</v>
      </c>
      <c r="FM9" s="586">
        <f ca="1" t="shared" si="24"/>
        <v>2.47214427859334e-86</v>
      </c>
      <c r="FN9" s="594">
        <f ca="1" t="shared" si="25"/>
        <v>9.03786554002638e-65</v>
      </c>
      <c r="FO9" s="580">
        <f ca="1" t="shared" si="26"/>
        <v>45.8239840872787</v>
      </c>
      <c r="FP9" s="580">
        <f ca="1" t="shared" si="27"/>
        <v>0.131185141512132</v>
      </c>
      <c r="FQ9" s="595">
        <f ca="1" t="shared" si="28"/>
        <v>0.131185141512131</v>
      </c>
      <c r="FR9" s="608" t="str">
        <f t="shared" si="29"/>
        <v>Kr-88</v>
      </c>
      <c r="FS9" s="609">
        <v>57600000000</v>
      </c>
      <c r="FT9" s="610">
        <v>27800000000</v>
      </c>
      <c r="FU9" s="610">
        <v>6190000000</v>
      </c>
      <c r="FV9" s="610">
        <v>92200000</v>
      </c>
      <c r="FW9" s="610">
        <v>91600000000</v>
      </c>
      <c r="FX9" s="614">
        <f ca="1" t="shared" si="30"/>
        <v>0.761979166666667</v>
      </c>
      <c r="FY9" s="614">
        <f ca="1" t="shared" si="38"/>
        <v>0.949066507597092</v>
      </c>
      <c r="FZ9" s="614">
        <f ca="1" t="shared" si="39"/>
        <v>0.383012372486097</v>
      </c>
      <c r="GA9" s="614">
        <f ca="1" t="shared" si="40"/>
        <v>2.19593656188737</v>
      </c>
      <c r="GB9" s="614">
        <f ca="1" t="shared" si="41"/>
        <v>0.795276865151682</v>
      </c>
      <c r="GC9" s="455">
        <f ca="1" t="shared" si="31"/>
        <v>0.795276865153115</v>
      </c>
      <c r="GE9" s="609">
        <v>11687589379.7813</v>
      </c>
      <c r="GF9" s="610">
        <v>1864556818.92198</v>
      </c>
      <c r="GG9" s="610">
        <v>498018847.624415</v>
      </c>
      <c r="GH9" s="610">
        <v>11239698.519804</v>
      </c>
      <c r="GI9" s="610">
        <v>134450.937507936</v>
      </c>
      <c r="GJ9" s="610">
        <v>0.173930237819036</v>
      </c>
      <c r="GK9" s="617">
        <v>14061539195.9589</v>
      </c>
      <c r="GL9" s="614">
        <f ca="1">H9/GE9</f>
        <v>3.75526539937539</v>
      </c>
      <c r="GM9" s="614">
        <f ca="1">(I9+J9)/GF9</f>
        <v>14.1503056616175</v>
      </c>
      <c r="GN9" s="614">
        <f ca="1">K9/GG9</f>
        <v>4.76055594481624</v>
      </c>
      <c r="GO9" s="614">
        <f ca="1">L9/(GH9+GI9)</f>
        <v>17.8004827319953</v>
      </c>
      <c r="GP9" s="614">
        <f ca="1">M9/GJ9</f>
        <v>0.754239993902736</v>
      </c>
      <c r="GQ9" s="614">
        <f ca="1">N9/GK9</f>
        <v>5.18061073064894</v>
      </c>
      <c r="GR9" s="451">
        <f>Z9</f>
        <v>6.77960857355189e-5</v>
      </c>
      <c r="GS9" s="390">
        <f>LN(2)/GR9</f>
        <v>10224</v>
      </c>
    </row>
    <row r="10" spans="1:201">
      <c r="A10" s="413"/>
      <c r="B10" s="407" t="s">
        <v>258</v>
      </c>
      <c r="C10" s="418">
        <v>0</v>
      </c>
      <c r="D10" s="410" t="s">
        <v>259</v>
      </c>
      <c r="E10" s="409" t="s">
        <v>257</v>
      </c>
      <c r="G10" s="411" t="s">
        <v>51</v>
      </c>
      <c r="H10" s="412">
        <f ca="1">AU10</f>
        <v>5759000000</v>
      </c>
      <c r="I10" s="412">
        <f ca="1" t="shared" si="1"/>
        <v>14401027.7620476</v>
      </c>
      <c r="J10" s="412">
        <f ca="1">CK10</f>
        <v>86033523.0284795</v>
      </c>
      <c r="K10" s="412">
        <f ca="1">DF10</f>
        <v>118125893.886626</v>
      </c>
      <c r="L10" s="412">
        <f ca="1">EA10+EV10</f>
        <v>786350543.799857</v>
      </c>
      <c r="M10" s="412">
        <f ca="1">FQ10</f>
        <v>297191423.167614</v>
      </c>
      <c r="N10" s="412">
        <f ca="1">SUM(H10:M10)</f>
        <v>7061102411.64462</v>
      </c>
      <c r="O10" s="450">
        <f ca="1">AS10</f>
        <v>5759000000</v>
      </c>
      <c r="P10" s="451"/>
      <c r="Q10" s="477" t="str">
        <f t="shared" si="0"/>
        <v>Xe-131m</v>
      </c>
      <c r="R10" s="412">
        <f ca="1">H10</f>
        <v>5759000000</v>
      </c>
      <c r="S10" s="412">
        <f ca="1">I10*(1-过滤效率!$B7)</f>
        <v>14401027.7620476</v>
      </c>
      <c r="T10" s="412">
        <f ca="1">J10*(1-过滤效率!$B7)</f>
        <v>86033523.0284795</v>
      </c>
      <c r="U10" s="412">
        <f ca="1">K10*(1-过滤效率!$B7)</f>
        <v>118125893.886626</v>
      </c>
      <c r="V10" s="412">
        <f ca="1">L10*(1-过滤效率!$B7)</f>
        <v>786350543.799857</v>
      </c>
      <c r="W10" s="412">
        <f ca="1">M10*(1-过滤效率!$B7)</f>
        <v>297191423.167614</v>
      </c>
      <c r="X10" s="412">
        <f ca="1">SUM(R10:W10)</f>
        <v>7061102411.64462</v>
      </c>
      <c r="Y10" s="493"/>
      <c r="Z10" s="494">
        <f>VLOOKUP(G10,衰变常数!$A$1:$H$3800,7,FALSE)</f>
        <v>6.77579122638209e-7</v>
      </c>
      <c r="AA10" s="495">
        <f>正常源项!C7</f>
        <v>2500000000000000</v>
      </c>
      <c r="AB10" s="496">
        <f>正常源项!F7</f>
        <v>0</v>
      </c>
      <c r="AC10" s="496">
        <f>正常源项!I7</f>
        <v>939000000</v>
      </c>
      <c r="AD10" s="496">
        <f>正常源项!L7</f>
        <v>4820000000</v>
      </c>
      <c r="AE10" s="497"/>
      <c r="AF10" s="498"/>
      <c r="AG10" s="483"/>
      <c r="AH10" s="518"/>
      <c r="AI10" s="483"/>
      <c r="AJ10" s="521"/>
      <c r="AK10" s="521"/>
      <c r="AL10" s="519">
        <f t="shared" si="42"/>
        <v>365750</v>
      </c>
      <c r="AM10" s="520">
        <f t="shared" si="2"/>
        <v>10500000000</v>
      </c>
      <c r="AN10" s="519">
        <f ca="1">MAX(INDIRECT("'"&amp;$B$2&amp;"-事故进程'!Y"&amp;(ROW()+22)),INDIRECT("'"&amp;$B$2&amp;"-事故进程'!Z"&amp;(ROW()+22)),INDIRECT("'"&amp;$B$2&amp;"-事故进程'!AA"&amp;(ROW()+22)))</f>
        <v>1.30518468117115e-11</v>
      </c>
      <c r="AO10" s="519">
        <f ca="1" t="shared" si="3"/>
        <v>0</v>
      </c>
      <c r="AP10" s="560">
        <f t="shared" si="4"/>
        <v>2500000000000000</v>
      </c>
      <c r="AQ10" s="561">
        <f ca="1">(AC10*$C$5+AD10*$C$8+AF10+AG10+AI10+(AL10+AM10)*$C$10)*EXP(-Z10*$C$12*3600)+AO10*$C$11</f>
        <v>5759000000</v>
      </c>
      <c r="AR10" s="562">
        <f ca="1">AQ10*(1-AR$3)</f>
        <v>0</v>
      </c>
      <c r="AS10" s="563">
        <f ca="1" t="shared" si="5"/>
        <v>5759000000</v>
      </c>
      <c r="AT10" s="562">
        <f ca="1">AS10*(1-AT$3)</f>
        <v>0</v>
      </c>
      <c r="AU10" s="564">
        <f ca="1">AS10-AT10</f>
        <v>5759000000</v>
      </c>
      <c r="AV10" s="565">
        <f>AV$3*3600</f>
        <v>7200</v>
      </c>
      <c r="AW10" s="580">
        <f>AP10*EXP(-Z10*AW$3*3600)</f>
        <v>2500000000000000</v>
      </c>
      <c r="AX10" s="580">
        <f ca="1">AR10</f>
        <v>0</v>
      </c>
      <c r="AY10" s="581">
        <f ca="1">AT10</f>
        <v>0</v>
      </c>
      <c r="AZ10" s="580">
        <v>0</v>
      </c>
      <c r="BA10" s="580">
        <f ca="1" t="shared" si="32"/>
        <v>6.23478119625342e-12</v>
      </c>
      <c r="BB10" s="580">
        <f ca="1">SUM(BA$3,-LN(1-BB$3)/AV10)</f>
        <v>3.92016660325749e-5</v>
      </c>
      <c r="BC10" s="580">
        <f>BC$3/24/3600</f>
        <v>1157407407407410</v>
      </c>
      <c r="BD10" s="582">
        <f ca="1">EXP(-AV10*($Z10+BA10))</f>
        <v>0.995133266537685</v>
      </c>
      <c r="BE10" s="582">
        <f ca="1">EXP(-AV10*($Z10+BB10))</f>
        <v>0.750413744581783</v>
      </c>
      <c r="BF10" s="582">
        <f>EXP(-AV10*($Z10+BC10))</f>
        <v>0</v>
      </c>
      <c r="BG10" s="582">
        <f ca="1">AW10*BA10+AX10*(BA10-BB10)</f>
        <v>15586.9529906335</v>
      </c>
      <c r="BH10" s="582">
        <f ca="1">(AW10*BB10*BA10/(BA10-BC10)+AX10*BB10)/(BB10-BC10)+AY10</f>
        <v>4.56134829225479e-31</v>
      </c>
      <c r="BI10" s="582">
        <f ca="1" t="shared" si="6"/>
        <v>1.00000015904381</v>
      </c>
      <c r="BJ10" s="580">
        <f ca="1">AW10*BD10</f>
        <v>2487833166344210</v>
      </c>
      <c r="BK10" s="580">
        <f ca="1">BA10/(BB10-BA10)*BJ10+(AX10-AW10*BA10/(BB10-BA10))*BE10</f>
        <v>97302810.7557739</v>
      </c>
      <c r="BL10" s="586">
        <f ca="1">BF10*BH10+BI10*(BE10*BG10/(BB10-BC10)-BJ10*BA10/(BA10-BC10))</f>
        <v>3.29566949966479e-12</v>
      </c>
      <c r="BM10" s="594">
        <f ca="1">(AW10+AX10+AY10+AZ10)*EXP(-$Z10*AV10)-BJ10-BK10-BL10</f>
        <v>14377079.2442261</v>
      </c>
      <c r="BN10" s="580">
        <f ca="1">AW10*BA10/($Z10+BA10)*(1-BD10)</f>
        <v>111952752.320311</v>
      </c>
      <c r="BO10" s="580">
        <f ca="1">BI10*(BN10-(1-BE10)*BG10/($Z10+BB10))</f>
        <v>14401027.7620476</v>
      </c>
      <c r="BP10" s="595">
        <f ca="1">BC10*(1-BF10)*BH10/($Z10+BC10)+BC10*BI10*((1-BE10)*BG10/($Z10+BB10)/(BB10-BC10)-BN10/(BA10-BC10))</f>
        <v>14401027.7620476</v>
      </c>
      <c r="BQ10" s="596">
        <f>BQ$3*3600</f>
        <v>21600</v>
      </c>
      <c r="BR10" s="580">
        <f ca="1" t="shared" ref="BR10:BT10" si="58">BJ10</f>
        <v>2487833166344210</v>
      </c>
      <c r="BS10" s="580">
        <f ca="1" t="shared" si="58"/>
        <v>97302810.7557739</v>
      </c>
      <c r="BT10" s="581">
        <f ca="1" t="shared" si="58"/>
        <v>3.29566949966479e-12</v>
      </c>
      <c r="BU10" s="580">
        <f ca="1">BM10</f>
        <v>14377079.2442261</v>
      </c>
      <c r="BV10" s="580">
        <f ca="1">MAX(INDIRECT("'"&amp;$B$2&amp;"-事故进程'!Z"&amp;(ROW()+22)),INDIRECT("'"&amp;$B$2&amp;"-事故进程'!AA"&amp;(ROW()+22)))</f>
        <v>1.30518468117115e-11</v>
      </c>
      <c r="BW10" s="580">
        <f ca="1">SUM(BV$3,-LN(1-BW$3)/BQ10)</f>
        <v>9.67910672705165e-6</v>
      </c>
      <c r="BX10" s="580">
        <f>BX$3/24/3600</f>
        <v>1157407407407410</v>
      </c>
      <c r="BY10" s="582">
        <f ca="1">EXP(-BQ10*($Z10+BV10))</f>
        <v>0.9854705945186</v>
      </c>
      <c r="BZ10" s="582">
        <f ca="1">EXP(-BQ10*($Z10+BW10))</f>
        <v>0.799551435372146</v>
      </c>
      <c r="CA10" s="582">
        <f>EXP(-BQ10*($Z10+BX10))</f>
        <v>0</v>
      </c>
      <c r="CB10" s="582">
        <f ca="1">BR10*BV10+BS10*(BV10-BW10)</f>
        <v>31529.014360054</v>
      </c>
      <c r="CC10" s="582">
        <f ca="1">(BR10*BW10*BV10/(BV10-BX10)+BS10*BW10)/(BW10-BX10)+BT10</f>
        <v>2.48195059297757e-12</v>
      </c>
      <c r="CD10" s="582">
        <f ca="1" t="shared" si="8"/>
        <v>1.00000134845754</v>
      </c>
      <c r="CE10" s="580">
        <f ca="1">BR10*BY10</f>
        <v>2451686429500320</v>
      </c>
      <c r="CF10" s="580">
        <f ca="1">BV10/(BW10-BV10)*CE10+(BS10-BR10*BV10/(BW10-BV10))*BZ10</f>
        <v>701508555.303479</v>
      </c>
      <c r="CG10" s="586">
        <f ca="1">CA10*CC10+CD10*(BZ10*CB10/(BW10-BX10)-CE10*BV10/(BV10-BX10))</f>
        <v>5.86653941668797e-12</v>
      </c>
      <c r="CH10" s="594">
        <f ca="1">(BR10+BS10+BT10+BU10)*EXP(-$Z10*BQ10)-CE10-CF10-CG10</f>
        <v>99727992.1965213</v>
      </c>
      <c r="CI10" s="580">
        <f ca="1">BR10*BV10/($Z10+BV10)*(1-BY10)</f>
        <v>696261984.413079</v>
      </c>
      <c r="CJ10" s="580">
        <f ca="1">CD10*(CI10-(1-BZ10)*CB10/($Z10+BW10))</f>
        <v>86033523.0284795</v>
      </c>
      <c r="CK10" s="595">
        <f ca="1">BX10*(1-CA10)*CC10/($Z10+BX10)+BX10*CD10*((1-BZ10)*CB10/($Z10+BW10)/(BW10-BX10)-CI10/(BV10-BX10))</f>
        <v>86033523.0284795</v>
      </c>
      <c r="CL10" s="596">
        <f>CL$3*3600</f>
        <v>57600</v>
      </c>
      <c r="CM10" s="580">
        <f ca="1" t="shared" ref="CM10:CO10" si="59">CE10</f>
        <v>2451686429500320</v>
      </c>
      <c r="CN10" s="580">
        <f ca="1" t="shared" si="59"/>
        <v>701508555.303479</v>
      </c>
      <c r="CO10" s="581">
        <f ca="1" t="shared" si="59"/>
        <v>5.86653941668797e-12</v>
      </c>
      <c r="CP10" s="580">
        <f ca="1">CH10</f>
        <v>99727992.1965213</v>
      </c>
      <c r="CQ10" s="580">
        <f ca="1">MAX(INDIRECT("'"&amp;$B$2&amp;"-事故进程'!AA"&amp;(ROW()+22)),INDIRECT("'"&amp;$B$2&amp;"-事故进程'!AB"&amp;(ROW()+22)))</f>
        <v>2.04927983190433e-11</v>
      </c>
      <c r="CR10" s="580">
        <f ca="1">SUM(CQ$3,-LN(1-CR$3)/CL10)</f>
        <v>9.99426851876734e-7</v>
      </c>
      <c r="CS10" s="580">
        <f>CS$3/24/3600</f>
        <v>1157407407407410</v>
      </c>
      <c r="CT10" s="582">
        <f ca="1">EXP(-CL10*($Z10+CQ10))</f>
        <v>0.961722109174117</v>
      </c>
      <c r="CU10" s="582">
        <f ca="1">EXP(-CL10*($Z10+CR10))</f>
        <v>0.907923146726516</v>
      </c>
      <c r="CV10" s="582">
        <f>EXP(-CL10*($Z10+CS10))</f>
        <v>0</v>
      </c>
      <c r="CW10" s="582">
        <f ca="1">CM10*CQ10+CN10*(CQ10-CR10)</f>
        <v>49540.8234301672</v>
      </c>
      <c r="CX10" s="582">
        <f ca="1">(CM10*CR10*CQ10/(CQ10-CS10)+CN10*CR10)/(CR10-CS10)+CO10</f>
        <v>5.26078341192727e-12</v>
      </c>
      <c r="CY10" s="582">
        <f ca="1" t="shared" si="10"/>
        <v>1.00002050497091</v>
      </c>
      <c r="CZ10" s="580">
        <f ca="1">CM10*CT10</f>
        <v>2357841044012610</v>
      </c>
      <c r="DA10" s="580">
        <f ca="1">CQ10/(CR10-CQ10)*CZ10+(CN10-CM10*CQ10/(CR10-CQ10))*CU10</f>
        <v>3341484325.00692</v>
      </c>
      <c r="DB10" s="586">
        <f ca="1">CV10*CX10+CY10*(CU10*CW10/(CR10-CS10)-CZ10*CQ10/(CQ10-CS10))</f>
        <v>2.88538775384007e-12</v>
      </c>
      <c r="DC10" s="594">
        <f ca="1">(CM10+CN10+CO10+CP10)*EXP(-$Z10*CL10)-CZ10-DA10-DB10</f>
        <v>212245762.49308</v>
      </c>
      <c r="DD10" s="580">
        <f ca="1">CM10*CQ10/($Z10+CQ10)*(1-CT10)</f>
        <v>2838187204.0078</v>
      </c>
      <c r="DE10" s="580">
        <f ca="1">CY10*(DD10-(1-CU10)*CW10/($Z10+CR10))</f>
        <v>118125893.886626</v>
      </c>
      <c r="DF10" s="595">
        <f ca="1">CS10*(1-CV10)*CX10/($Z10+CS10)+CS10*CY10*((1-CU10)*CW10/($Z10+CR10)/(CR10-CS10)-DD10/(CQ10-CS10))</f>
        <v>118125893.886626</v>
      </c>
      <c r="DG10" s="596">
        <f>DG$3*3600</f>
        <v>86400</v>
      </c>
      <c r="DH10" s="580">
        <f ca="1" t="shared" ref="DH10:DK10" si="60">CZ10</f>
        <v>2357841044012610</v>
      </c>
      <c r="DI10" s="580">
        <f ca="1" t="shared" si="60"/>
        <v>3341484325.00692</v>
      </c>
      <c r="DJ10" s="581">
        <f ca="1" t="shared" si="60"/>
        <v>2.88538775384007e-12</v>
      </c>
      <c r="DK10" s="580">
        <f ca="1" t="shared" si="60"/>
        <v>212245762.49308</v>
      </c>
      <c r="DL10" s="580">
        <f ca="1">MAX(INDIRECT("'"&amp;$B$2&amp;"-事故进程'!AB"&amp;(ROW()+22)),INDIRECT("'"&amp;$B$2&amp;"-事故进程'!AC"&amp;(ROW()+22)))</f>
        <v>3.80537973715599e-11</v>
      </c>
      <c r="DM10" s="580">
        <f ca="1">SUM(DL$3,-LN(1-DM$3)/DG10)</f>
        <v>1.07814939005043e-6</v>
      </c>
      <c r="DN10" s="580">
        <f>DN$3/24/3600</f>
        <v>1157407407407410</v>
      </c>
      <c r="DO10" s="582">
        <f ca="1">EXP(-DG10*($Z10+DL10))</f>
        <v>0.943134738208231</v>
      </c>
      <c r="DP10" s="582">
        <f ca="1">EXP(-DG10*($Z10+DM10))</f>
        <v>0.859250360675329</v>
      </c>
      <c r="DQ10" s="582">
        <f>EXP(-DG10*($Z10+DN10))</f>
        <v>0</v>
      </c>
      <c r="DR10" s="582">
        <f ca="1">DH10*DL10+DI10*(DL10-DM10)</f>
        <v>86122.3131925013</v>
      </c>
      <c r="DS10" s="582">
        <f ca="1">(DH10*DM10*DL10/(DL10-DN10)+DI10*DM10)/(DM10-DN10)+DJ10</f>
        <v>-2.27275310015004e-13</v>
      </c>
      <c r="DT10" s="582">
        <f ca="1" t="shared" si="12"/>
        <v>1.00003529672316</v>
      </c>
      <c r="DU10" s="580">
        <f ca="1">DH10*DO10</f>
        <v>2223761795781450</v>
      </c>
      <c r="DV10" s="580">
        <f ca="1">DL10/(DM10-DL10)*DU10+(DI10-DH10*DL10/(DM10-DL10))*DP10</f>
        <v>9852370297.25478</v>
      </c>
      <c r="DW10" s="586">
        <f ca="1">DQ10*DS10+DT10*(DP10*DR10/(DM10-DN10)-DU10*DL10/(DL10-DN10))</f>
        <v>9.1776905509273e-12</v>
      </c>
      <c r="DX10" s="594">
        <f ca="1">(DH10+DI10+DJ10+DK10)*EXP(-$Z10*DG10)-DU10-DV10-DW10</f>
        <v>810690016.995224</v>
      </c>
      <c r="DY10" s="580">
        <f ca="1">DH10*DL10/($Z10+DL10)*(1-DO10)</f>
        <v>7529656451.09286</v>
      </c>
      <c r="DZ10" s="580">
        <f ca="1">DT10*(DY10-(1-DP10)*DR10/($Z10+DM10))</f>
        <v>625601715.999986</v>
      </c>
      <c r="EA10" s="595">
        <f ca="1">DN10*(1-DQ10)*DS10/($Z10+DN10)+DN10*DT10*((1-DP10)*DR10/($Z10+DM10)/(DM10-DN10)-DY10/(DL10-DN10))</f>
        <v>625601715.999986</v>
      </c>
      <c r="EB10" s="596">
        <f>EB$3*3600</f>
        <v>172800</v>
      </c>
      <c r="EC10" s="580">
        <f ca="1" t="shared" ref="EC10:EF10" si="61">DU10</f>
        <v>2223761795781450</v>
      </c>
      <c r="ED10" s="580">
        <f ca="1" t="shared" si="61"/>
        <v>9852370297.25478</v>
      </c>
      <c r="EE10" s="581">
        <f ca="1" t="shared" si="61"/>
        <v>9.1776905509273e-12</v>
      </c>
      <c r="EF10" s="580">
        <f ca="1" t="shared" si="61"/>
        <v>810690016.995224</v>
      </c>
      <c r="EG10" s="580">
        <f ca="1">MAX(INDIRECT("'"&amp;$B$2&amp;"-事故进程'!AC"&amp;(ROW()+22)),INDIRECT("'"&amp;$B$2&amp;"-事故进程'!AD"&amp;(ROW()+22)),INDIRECT("'"&amp;$B$2&amp;"-事故进程'!AE"&amp;(ROW()+22)))</f>
        <v>3.80537973715599e-11</v>
      </c>
      <c r="EH10" s="580">
        <f ca="1">SUM(EG$3,-LN(1-EH$3)/EB10)</f>
        <v>5.81616658188741e-8</v>
      </c>
      <c r="EI10" s="580">
        <f>EI$3/24/3600</f>
        <v>1157407407407410</v>
      </c>
      <c r="EJ10" s="582">
        <f ca="1">EXP(-EB10*($Z10+EG10))</f>
        <v>0.889503134415108</v>
      </c>
      <c r="EK10" s="582">
        <f ca="1">EXP(-EB10*($Z10+EH10))</f>
        <v>0.88061389370134</v>
      </c>
      <c r="EL10" s="582">
        <f>EXP(-EB10*($Z10+EI10))</f>
        <v>0</v>
      </c>
      <c r="EM10" s="582">
        <f ca="1">EC10*EG10+ED10*(EG10-EH10)</f>
        <v>84049.9254306339</v>
      </c>
      <c r="EN10" s="582">
        <f ca="1">(EC10*EH10*EG10/(EG10-EI10)+ED10*EH10)/(EH10-EI10)+EE10</f>
        <v>8.68259239872494e-12</v>
      </c>
      <c r="EO10" s="582">
        <f ca="1" t="shared" si="14"/>
        <v>1.00065470462086</v>
      </c>
      <c r="EP10" s="580">
        <f ca="1">EC10*EJ10</f>
        <v>1978043087540170</v>
      </c>
      <c r="EQ10" s="580">
        <f ca="1">EG10/(EH10-EG10)*EP10+(ED10-EC10*EG10/(EH10-EG10))*EK10</f>
        <v>21618043046.3594</v>
      </c>
      <c r="ER10" s="586">
        <f ca="1">EL10*EN10+EO10*(EK10*EM10/(EH10-EI10)-EP10*EG10/(EG10-EI10))</f>
        <v>1.08634296555682e-12</v>
      </c>
      <c r="ES10" s="594">
        <f ca="1">(EC10+ED10+EE10+EF10)*EXP(-$Z10*EB10)-EP10-EQ10-ER10</f>
        <v>873898046.140625</v>
      </c>
      <c r="ET10" s="580">
        <f ca="1">EC10*EG10/($Z10+EG10)*(1-EJ10)</f>
        <v>13799133580.1154</v>
      </c>
      <c r="EU10" s="580">
        <f ca="1">EO10*(ET10-(1-EK10)*EM10/($Z10+EH10))</f>
        <v>160748827.79987</v>
      </c>
      <c r="EV10" s="595">
        <f ca="1">EI10*(1-EL10)*EN10/($Z10+EI10)+EI10*EO10*((1-EK10)*EM10/($Z10+EH10)/(EH10-EI10)-ET10/(EG10-EI10))</f>
        <v>160748827.799871</v>
      </c>
      <c r="EW10" s="596">
        <f>EW$3*3600</f>
        <v>2246400</v>
      </c>
      <c r="EX10" s="580">
        <f ca="1" t="shared" ref="EX10:FA10" si="62">EP10</f>
        <v>1978043087540170</v>
      </c>
      <c r="EY10" s="580">
        <f ca="1" t="shared" si="62"/>
        <v>21618043046.3594</v>
      </c>
      <c r="EZ10" s="581">
        <f ca="1" t="shared" si="62"/>
        <v>1.08634296555682e-12</v>
      </c>
      <c r="FA10" s="580">
        <f ca="1" t="shared" si="62"/>
        <v>873898046.140625</v>
      </c>
      <c r="FB10" s="580">
        <f ca="1">INDIRECT("'"&amp;$B$2&amp;"-事故进程'!AE"&amp;(ROW()+22))</f>
        <v>2.15301673670494e-11</v>
      </c>
      <c r="FC10" s="580">
        <f ca="1">SUM(FB$3,-LN(1-FC$3)/EW10)</f>
        <v>4.47397429375955e-9</v>
      </c>
      <c r="FD10" s="580">
        <f>FD$3/24/3600</f>
        <v>1157407407407410</v>
      </c>
      <c r="FE10" s="582">
        <f ca="1" t="shared" si="16"/>
        <v>0.218239519406498</v>
      </c>
      <c r="FF10" s="582">
        <f ca="1" t="shared" si="17"/>
        <v>0.216067574147454</v>
      </c>
      <c r="FG10" s="582">
        <f t="shared" si="18"/>
        <v>0</v>
      </c>
      <c r="FH10" s="582">
        <f ca="1" t="shared" si="19"/>
        <v>42491.3456051892</v>
      </c>
      <c r="FI10" s="582">
        <f ca="1" t="shared" si="20"/>
        <v>1.00277812205245e-12</v>
      </c>
      <c r="FJ10" s="582">
        <f ca="1" t="shared" si="21"/>
        <v>1.00483558395251</v>
      </c>
      <c r="FK10" s="580">
        <f ca="1" t="shared" si="22"/>
        <v>431687172790113</v>
      </c>
      <c r="FL10" s="580">
        <f ca="1" t="shared" si="23"/>
        <v>25445600211.7139</v>
      </c>
      <c r="FM10" s="586">
        <f ca="1" t="shared" si="24"/>
        <v>9.83603185083288e-14</v>
      </c>
      <c r="FN10" s="594">
        <f ca="1" t="shared" si="25"/>
        <v>342481488.973633</v>
      </c>
      <c r="FO10" s="580">
        <f ca="1" t="shared" si="26"/>
        <v>49134105045.1266</v>
      </c>
      <c r="FP10" s="580">
        <f ca="1" t="shared" si="27"/>
        <v>297191423.167618</v>
      </c>
      <c r="FQ10" s="595">
        <f ca="1" t="shared" si="28"/>
        <v>297191423.167614</v>
      </c>
      <c r="FR10" s="608" t="str">
        <f t="shared" si="29"/>
        <v>Xe-131m</v>
      </c>
      <c r="FS10" s="609">
        <v>9800000000</v>
      </c>
      <c r="FT10" s="610">
        <v>104000000</v>
      </c>
      <c r="FU10" s="610">
        <v>286000000</v>
      </c>
      <c r="FV10" s="610">
        <v>610000000</v>
      </c>
      <c r="FW10" s="610">
        <v>10800000000</v>
      </c>
      <c r="FX10" s="614">
        <f ca="1" t="shared" si="30"/>
        <v>0.58765306122449</v>
      </c>
      <c r="FY10" s="614">
        <f ca="1" t="shared" si="38"/>
        <v>0.965716834524298</v>
      </c>
      <c r="FZ10" s="614">
        <f ca="1" t="shared" si="39"/>
        <v>0.413027601002189</v>
      </c>
      <c r="GA10" s="614">
        <f ca="1" t="shared" si="40"/>
        <v>1.28909925213091</v>
      </c>
      <c r="GB10" s="614">
        <f ca="1" t="shared" si="41"/>
        <v>0.626288054488612</v>
      </c>
      <c r="GC10" s="455">
        <f ca="1" t="shared" si="31"/>
        <v>0.653805778855984</v>
      </c>
      <c r="GE10" s="609">
        <v>2024356782.18726</v>
      </c>
      <c r="GF10" s="610">
        <v>273034723.611479</v>
      </c>
      <c r="GG10" s="610">
        <v>538690477.382458</v>
      </c>
      <c r="GH10" s="610">
        <v>727048222.446165</v>
      </c>
      <c r="GI10" s="610">
        <v>1218894388.7323</v>
      </c>
      <c r="GJ10" s="610">
        <v>3483403943.35905</v>
      </c>
      <c r="GK10" s="617">
        <v>8265428537.71871</v>
      </c>
      <c r="GL10" s="614">
        <f ca="1">H10/GE10</f>
        <v>2.84485425231098</v>
      </c>
      <c r="GM10" s="614">
        <f ca="1">(I10+J10)/GF10</f>
        <v>0.367845340189926</v>
      </c>
      <c r="GN10" s="614">
        <f ca="1">K10/GG10</f>
        <v>0.219283426840232</v>
      </c>
      <c r="GO10" s="614">
        <f ca="1">L10/(GH10+GI10)</f>
        <v>0.40409749973235</v>
      </c>
      <c r="GP10" s="614">
        <f ca="1">M10/GJ10</f>
        <v>0.0853163824810488</v>
      </c>
      <c r="GQ10" s="614">
        <f ca="1">N10/GK10</f>
        <v>0.854293564988406</v>
      </c>
      <c r="GR10" s="451">
        <f>Z10</f>
        <v>6.77579122638209e-7</v>
      </c>
      <c r="GS10" s="390">
        <f>LN(2)/GR10</f>
        <v>1022976</v>
      </c>
    </row>
    <row r="11" s="388" customFormat="1" spans="1:201">
      <c r="A11" s="419"/>
      <c r="B11" s="407" t="s">
        <v>260</v>
      </c>
      <c r="C11" s="420">
        <v>1</v>
      </c>
      <c r="D11" s="410" t="s">
        <v>259</v>
      </c>
      <c r="E11" s="410"/>
      <c r="G11" s="411" t="s">
        <v>52</v>
      </c>
      <c r="H11" s="412">
        <f ca="1">AU11</f>
        <v>708000000000</v>
      </c>
      <c r="I11" s="412">
        <f ca="1" t="shared" si="1"/>
        <v>3979307430.45048</v>
      </c>
      <c r="J11" s="412">
        <f ca="1">CK11</f>
        <v>23743492588.7233</v>
      </c>
      <c r="K11" s="412">
        <f ca="1">DF11</f>
        <v>32227482943.5162</v>
      </c>
      <c r="L11" s="412">
        <f ca="1">EA11+EV11</f>
        <v>207169677982.142</v>
      </c>
      <c r="M11" s="412">
        <f ca="1">FQ11</f>
        <v>29126142645.5991</v>
      </c>
      <c r="N11" s="412">
        <f ca="1">SUM(H11:M11)</f>
        <v>1004246103590.43</v>
      </c>
      <c r="O11" s="450">
        <f ca="1">AS11</f>
        <v>708000000000</v>
      </c>
      <c r="P11" s="451"/>
      <c r="Q11" s="477" t="str">
        <f t="shared" si="0"/>
        <v>Xe-133</v>
      </c>
      <c r="R11" s="412">
        <f ca="1">H11</f>
        <v>708000000000</v>
      </c>
      <c r="S11" s="412">
        <f ca="1">I11*(1-过滤效率!$B8)</f>
        <v>3979307430.45048</v>
      </c>
      <c r="T11" s="412">
        <f ca="1">J11*(1-过滤效率!$B8)</f>
        <v>23743492588.7233</v>
      </c>
      <c r="U11" s="412">
        <f ca="1">K11*(1-过滤效率!$B8)</f>
        <v>32227482943.5162</v>
      </c>
      <c r="V11" s="412">
        <f ca="1">L11*(1-过滤效率!$B8)</f>
        <v>207169677982.142</v>
      </c>
      <c r="W11" s="412">
        <f ca="1">M11*(1-过滤效率!$B8)</f>
        <v>29126142645.5991</v>
      </c>
      <c r="X11" s="412">
        <f ca="1">SUM(R11:W11)</f>
        <v>1004246103590.43</v>
      </c>
      <c r="Y11" s="493"/>
      <c r="Z11" s="494">
        <f>VLOOKUP(G11,衰变常数!$A$1:$H$3800,7,FALSE)</f>
        <v>1.53014243983147e-6</v>
      </c>
      <c r="AA11" s="495">
        <f>正常源项!C8</f>
        <v>4.58e+17</v>
      </c>
      <c r="AB11" s="496">
        <f>正常源项!F8</f>
        <v>0</v>
      </c>
      <c r="AC11" s="496">
        <f>正常源项!I8</f>
        <v>216000000000</v>
      </c>
      <c r="AD11" s="496">
        <f>正常源项!L8</f>
        <v>492000000000</v>
      </c>
      <c r="AE11" s="497"/>
      <c r="AF11" s="498"/>
      <c r="AG11" s="483"/>
      <c r="AH11" s="518"/>
      <c r="AI11" s="483"/>
      <c r="AJ11" s="521"/>
      <c r="AK11" s="521"/>
      <c r="AL11" s="519">
        <f t="shared" si="42"/>
        <v>67005400</v>
      </c>
      <c r="AM11" s="520">
        <f t="shared" si="2"/>
        <v>1923600000000</v>
      </c>
      <c r="AN11" s="519">
        <f ca="1">MAX(INDIRECT("'"&amp;$B$2&amp;"-事故进程'!Y"&amp;(ROW()+22)),INDIRECT("'"&amp;$B$2&amp;"-事故进程'!Z"&amp;(ROW()+22)),INDIRECT("'"&amp;$B$2&amp;"-事故进程'!AA"&amp;(ROW()+22)))</f>
        <v>2.00766514710595e-11</v>
      </c>
      <c r="AO11" s="519">
        <f ca="1" t="shared" si="3"/>
        <v>0</v>
      </c>
      <c r="AP11" s="560">
        <f t="shared" si="4"/>
        <v>4.58e+17</v>
      </c>
      <c r="AQ11" s="561">
        <f ca="1">(AC11*$C$5+AD11*$C$8+AF11+AG11+AI11+(AL11+AM11)*$C$10)*EXP(-Z11*$C$12*3600)+AO11*$C$11</f>
        <v>708000000000</v>
      </c>
      <c r="AR11" s="562">
        <f ca="1">AQ11*(1-AR$3)</f>
        <v>0</v>
      </c>
      <c r="AS11" s="563">
        <f ca="1" t="shared" si="5"/>
        <v>708000000000</v>
      </c>
      <c r="AT11" s="562">
        <f ca="1">AS11*(1-AT$3)</f>
        <v>0</v>
      </c>
      <c r="AU11" s="564">
        <f ca="1">AS11-AT11</f>
        <v>708000000000</v>
      </c>
      <c r="AV11" s="565">
        <f>AV$3*3600</f>
        <v>7200</v>
      </c>
      <c r="AW11" s="580">
        <f>AP11*EXP(-Z11*AW$3*3600)</f>
        <v>4.58e+17</v>
      </c>
      <c r="AX11" s="580">
        <f ca="1">AR11</f>
        <v>0</v>
      </c>
      <c r="AY11" s="581">
        <f ca="1">AT11</f>
        <v>0</v>
      </c>
      <c r="AZ11" s="580">
        <v>0</v>
      </c>
      <c r="BA11" s="580">
        <f ca="1" t="shared" si="32"/>
        <v>9.44202883828994e-12</v>
      </c>
      <c r="BB11" s="580">
        <f ca="1">SUM(BA$3,-LN(1-BB$3)/AV11)</f>
        <v>3.92016660325749e-5</v>
      </c>
      <c r="BC11" s="580">
        <f>BC$3/24/3600</f>
        <v>1157407407407410</v>
      </c>
      <c r="BD11" s="582">
        <f ca="1">EXP(-AV11*($Z11+BA11))</f>
        <v>0.989043372369135</v>
      </c>
      <c r="BE11" s="582">
        <f ca="1">EXP(-AV11*($Z11+BB11))</f>
        <v>0.745821472067168</v>
      </c>
      <c r="BF11" s="582">
        <f>EXP(-AV11*($Z11+BC11))</f>
        <v>0</v>
      </c>
      <c r="BG11" s="582">
        <f ca="1">AW11*BA11+AX11*(BA11-BB11)</f>
        <v>4324449.20793679</v>
      </c>
      <c r="BH11" s="582">
        <f ca="1">(AW11*BB11*BA11/(BA11-BC11)+AX11*BB11)/(BB11-BC11)+AY11</f>
        <v>1.26550192468139e-28</v>
      </c>
      <c r="BI11" s="582">
        <f ca="1" t="shared" si="6"/>
        <v>1.0000002408579</v>
      </c>
      <c r="BJ11" s="580">
        <f ca="1">AW11*BD11</f>
        <v>4.52981864545064e+17</v>
      </c>
      <c r="BK11" s="580">
        <f ca="1">BA11/(BB11-BA11)*BJ11+(AX11-AW11*BA11/(BB11-BA11))*BE11</f>
        <v>26830518033.9592</v>
      </c>
      <c r="BL11" s="586">
        <f ca="1">BF11*BH11+BI11*(BE11*BG11/(BB11-BC11)-BJ11*BA11/(BA11-BC11))</f>
        <v>9.08756070435287e-10</v>
      </c>
      <c r="BM11" s="594">
        <f ca="1">(AW11+AX11+AY11+AZ11)*EXP(-$Z11*AV11)-BJ11-BK11-BL11</f>
        <v>3964371374.04076</v>
      </c>
      <c r="BN11" s="580">
        <f ca="1">AW11*BA11/($Z11+BA11)*(1-BD11)</f>
        <v>30965148127.8753</v>
      </c>
      <c r="BO11" s="580">
        <f ca="1">BI11*(BN11-(1-BE11)*BG11/($Z11+BB11))</f>
        <v>3979307430.45048</v>
      </c>
      <c r="BP11" s="595">
        <f ca="1">BC11*(1-BF11)*BH11/($Z11+BC11)+BC11*BI11*((1-BE11)*BG11/($Z11+BB11)/(BB11-BC11)-BN11/(BA11-BC11))</f>
        <v>3979307430.45048</v>
      </c>
      <c r="BQ11" s="596">
        <f>BQ$3*3600</f>
        <v>21600</v>
      </c>
      <c r="BR11" s="580">
        <f ca="1" t="shared" ref="BR11:BT11" si="63">BJ11</f>
        <v>4.52981864545064e+17</v>
      </c>
      <c r="BS11" s="580">
        <f ca="1" t="shared" si="63"/>
        <v>26830518033.9592</v>
      </c>
      <c r="BT11" s="581">
        <f ca="1" t="shared" si="63"/>
        <v>9.08756070435287e-10</v>
      </c>
      <c r="BU11" s="580">
        <f ca="1">BM11</f>
        <v>3964371374.04076</v>
      </c>
      <c r="BV11" s="580">
        <f ca="1">MAX(INDIRECT("'"&amp;$B$2&amp;"-事故进程'!Z"&amp;(ROW()+22)),INDIRECT("'"&amp;$B$2&amp;"-事故进程'!AA"&amp;(ROW()+22)))</f>
        <v>2.00766514710595e-11</v>
      </c>
      <c r="BW11" s="580">
        <f ca="1">SUM(BV$3,-LN(1-BW$3)/BQ11)</f>
        <v>9.67910672705165e-6</v>
      </c>
      <c r="BX11" s="580">
        <f>BX$3/24/3600</f>
        <v>1157407407407410</v>
      </c>
      <c r="BY11" s="582">
        <f ca="1">EXP(-BQ11*($Z11+BV11))</f>
        <v>0.967488722616924</v>
      </c>
      <c r="BZ11" s="582">
        <f ca="1">EXP(-BQ11*($Z11+BW11))</f>
        <v>0.784962147580761</v>
      </c>
      <c r="CA11" s="582">
        <f>EXP(-BQ11*($Z11+BX11))</f>
        <v>0</v>
      </c>
      <c r="CB11" s="582">
        <f ca="1">BR11*BV11+BS11*(BV11-BW11)</f>
        <v>8834664.1082561</v>
      </c>
      <c r="CC11" s="582">
        <f ca="1">(BR11*BW11*BV11/(BV11-BX11)+BS11*BW11)/(BW11-BX11)+BT11</f>
        <v>6.84379203715129e-10</v>
      </c>
      <c r="CD11" s="582">
        <f ca="1" t="shared" si="8"/>
        <v>1.00000207422996</v>
      </c>
      <c r="CE11" s="580">
        <f ca="1">BR11*BY11</f>
        <v>4.38254845497337e+17</v>
      </c>
      <c r="CF11" s="580">
        <f ca="1">BV11/(BW11-BV11)*CE11+(BS11-BR11*BV11/(BW11-BV11))*BZ11</f>
        <v>192560821521.791</v>
      </c>
      <c r="CG11" s="586">
        <f ca="1">CA11*CC11+CD11*(BZ11*CB11/(BW11-BX11)-CE11*BV11/(BV11-BX11))</f>
        <v>1.61033766591585e-9</v>
      </c>
      <c r="CH11" s="594">
        <f ca="1">(BR11+BS11+BT11+BU11)*EXP(-$Z11*BQ11)-CE11-CF11-CG11</f>
        <v>27284640302.2089</v>
      </c>
      <c r="CI11" s="580">
        <f ca="1">BR11*BV11/($Z11+BV11)*(1-BY11)</f>
        <v>193227337255.959</v>
      </c>
      <c r="CJ11" s="580">
        <f ca="1">CD11*(CI11-(1-BZ11)*CB11/($Z11+BW11))</f>
        <v>23743492588.7233</v>
      </c>
      <c r="CK11" s="595">
        <f ca="1">BX11*(1-CA11)*CC11/($Z11+BX11)+BX11*CD11*((1-BZ11)*CB11/($Z11+BW11)/(BW11-BX11)-CI11/(BV11-BX11))</f>
        <v>23743492588.7233</v>
      </c>
      <c r="CL11" s="596">
        <f>CL$3*3600</f>
        <v>57600</v>
      </c>
      <c r="CM11" s="580">
        <f ca="1" t="shared" ref="CM11:CO11" si="64">CE11</f>
        <v>4.38254845497337e+17</v>
      </c>
      <c r="CN11" s="580">
        <f ca="1" t="shared" si="64"/>
        <v>192560821521.791</v>
      </c>
      <c r="CO11" s="581">
        <f ca="1" t="shared" si="64"/>
        <v>1.61033766591585e-9</v>
      </c>
      <c r="CP11" s="580">
        <f ca="1">CH11</f>
        <v>27284640302.2089</v>
      </c>
      <c r="CQ11" s="580">
        <f ca="1">MAX(INDIRECT("'"&amp;$B$2&amp;"-事故进程'!AA"&amp;(ROW()+22)),INDIRECT("'"&amp;$B$2&amp;"-事故进程'!AB"&amp;(ROW()+22)))</f>
        <v>3.25872322727982e-11</v>
      </c>
      <c r="CR11" s="580">
        <f ca="1">SUM(CQ$3,-LN(1-CR$3)/CL11)</f>
        <v>9.99426851876734e-7</v>
      </c>
      <c r="CS11" s="580">
        <f>CS$3/24/3600</f>
        <v>1157407407407410</v>
      </c>
      <c r="CT11" s="582">
        <f ca="1">EXP(-CL11*($Z11+CQ11))</f>
        <v>0.915634435763697</v>
      </c>
      <c r="CU11" s="582">
        <f ca="1">EXP(-CL11*($Z11+CR11))</f>
        <v>0.864414230861421</v>
      </c>
      <c r="CV11" s="582">
        <f>EXP(-CL11*($Z11+CS11))</f>
        <v>0</v>
      </c>
      <c r="CW11" s="582">
        <f ca="1">CM11*CQ11+CN11*(CQ11-CR11)</f>
        <v>14089068.2642769</v>
      </c>
      <c r="CX11" s="582">
        <f ca="1">(CM11*CR11*CQ11/(CQ11-CS11)+CN11*CR11)/(CR11-CS11)+CO11</f>
        <v>1.4440604722357e-9</v>
      </c>
      <c r="CY11" s="582">
        <f ca="1" t="shared" si="10"/>
        <v>1.00003260698348</v>
      </c>
      <c r="CZ11" s="580">
        <f ca="1">CM11*CT11</f>
        <v>4.0128122817766e+17</v>
      </c>
      <c r="DA11" s="580">
        <f ca="1">CQ11/(CR11-CQ11)*CZ11+(CN11-CM11*CQ11/(CR11-CQ11))*CU11</f>
        <v>898397673354.27</v>
      </c>
      <c r="DB11" s="586">
        <f ca="1">CV11*CX11+CY11*(CU11*CW11/(CR11-CS11)-CZ11*CQ11/(CQ11-CS11))</f>
        <v>7.75770703269556e-10</v>
      </c>
      <c r="DC11" s="594">
        <f ca="1">(CM11+CN11+CO11+CP11)*EXP(-$Z11*CL11)-CZ11-DA11-DB11</f>
        <v>56116215093.7305</v>
      </c>
      <c r="DD11" s="580">
        <f ca="1">CM11*CQ11/($Z11+CQ11)*(1-CT11)</f>
        <v>787405253811.959</v>
      </c>
      <c r="DE11" s="580">
        <f ca="1">CY11*(DD11-(1-CU11)*CW11/($Z11+CR11))</f>
        <v>32227482943.5163</v>
      </c>
      <c r="DF11" s="595">
        <f ca="1">CS11*(1-CV11)*CX11/($Z11+CS11)+CS11*CY11*((1-CU11)*CW11/($Z11+CR11)/(CR11-CS11)-DD11/(CQ11-CS11))</f>
        <v>32227482943.5162</v>
      </c>
      <c r="DG11" s="596">
        <f>DG$3*3600</f>
        <v>86400</v>
      </c>
      <c r="DH11" s="580">
        <f ca="1" t="shared" ref="DH11:DK11" si="65">CZ11</f>
        <v>4.0128122817766e+17</v>
      </c>
      <c r="DI11" s="580">
        <f ca="1" t="shared" si="65"/>
        <v>898397673354.27</v>
      </c>
      <c r="DJ11" s="581">
        <f ca="1" t="shared" si="65"/>
        <v>7.75770703269556e-10</v>
      </c>
      <c r="DK11" s="580">
        <f ca="1" t="shared" si="65"/>
        <v>56116215093.7305</v>
      </c>
      <c r="DL11" s="580">
        <f ca="1">MAX(INDIRECT("'"&amp;$B$2&amp;"-事故进程'!AB"&amp;(ROW()+22)),INDIRECT("'"&amp;$B$2&amp;"-事故进程'!AC"&amp;(ROW()+22)))</f>
        <v>6.47342491968004e-11</v>
      </c>
      <c r="DM11" s="580">
        <f ca="1">SUM(DL$3,-LN(1-DM$3)/DG11)</f>
        <v>1.07814939005043e-6</v>
      </c>
      <c r="DN11" s="580">
        <f>DN$3/24/3600</f>
        <v>1157407407407410</v>
      </c>
      <c r="DO11" s="582">
        <f ca="1">EXP(-DG11*($Z11+DL11))</f>
        <v>0.876157070547762</v>
      </c>
      <c r="DP11" s="582">
        <f ca="1">EXP(-DG11*($Z11+DM11))</f>
        <v>0.798231667030635</v>
      </c>
      <c r="DQ11" s="582">
        <f>EXP(-DG11*($Z11+DN11))</f>
        <v>0</v>
      </c>
      <c r="DR11" s="582">
        <f ca="1">DH11*DL11+DI11*(DL11-DM11)</f>
        <v>25008090.2764</v>
      </c>
      <c r="DS11" s="582">
        <f ca="1">(DH11*DM11*DL11/(DL11-DN11)+DI11*DM11)/(DM11-DN11)+DJ11</f>
        <v>-6.11056613973281e-11</v>
      </c>
      <c r="DT11" s="582">
        <f ca="1" t="shared" si="12"/>
        <v>1.00006004560852</v>
      </c>
      <c r="DU11" s="580">
        <f ca="1">DH11*DO11</f>
        <v>3.51585385345947e+17</v>
      </c>
      <c r="DV11" s="580">
        <f ca="1">DL11/(DM11-DL11)*DU11+(DI11-DH11*DL11/(DM11-DL11))*DP11</f>
        <v>2594755748819.38</v>
      </c>
      <c r="DW11" s="586">
        <f ca="1">DQ11*DS11+DT11*(DP11*DR11/(DM11-DN11)-DU11*DL11/(DL11-DN11))</f>
        <v>2.41706965932242e-9</v>
      </c>
      <c r="DX11" s="594">
        <f ca="1">(DH11+DI11+DJ11+DK11)*EXP(-$Z11*DG11)-DU11-DV11-DW11</f>
        <v>207989338156.621</v>
      </c>
      <c r="DY11" s="580">
        <f ca="1">DH11*DL11/($Z11+DL11)*(1-DO11)</f>
        <v>2102344785990.12</v>
      </c>
      <c r="DZ11" s="580">
        <f ca="1">DT11*(DY11-(1-DP11)*DR11/($Z11+DM11))</f>
        <v>167816468734.994</v>
      </c>
      <c r="EA11" s="595">
        <f ca="1">DN11*(1-DQ11)*DS11/($Z11+DN11)+DN11*DT11*((1-DP11)*DR11/($Z11+DM11)/(DM11-DN11)-DY11/(DL11-DN11))</f>
        <v>167816468734.994</v>
      </c>
      <c r="EB11" s="596">
        <f>EB$3*3600</f>
        <v>172800</v>
      </c>
      <c r="EC11" s="580">
        <f ca="1" t="shared" ref="EC11:EF11" si="66">DU11</f>
        <v>3.51585385345947e+17</v>
      </c>
      <c r="ED11" s="580">
        <f ca="1" t="shared" si="66"/>
        <v>2594755748819.38</v>
      </c>
      <c r="EE11" s="581">
        <f ca="1" t="shared" si="66"/>
        <v>2.41706965932242e-9</v>
      </c>
      <c r="EF11" s="580">
        <f ca="1" t="shared" si="66"/>
        <v>207989338156.621</v>
      </c>
      <c r="EG11" s="580">
        <f ca="1">MAX(INDIRECT("'"&amp;$B$2&amp;"-事故进程'!AC"&amp;(ROW()+22)),INDIRECT("'"&amp;$B$2&amp;"-事故进程'!AD"&amp;(ROW()+22)),INDIRECT("'"&amp;$B$2&amp;"-事故进程'!AE"&amp;(ROW()+22)))</f>
        <v>6.47342491968004e-11</v>
      </c>
      <c r="EH11" s="580">
        <f ca="1">SUM(EG$3,-LN(1-EH$3)/EB11)</f>
        <v>5.81616658188741e-8</v>
      </c>
      <c r="EI11" s="580">
        <f>EI$3/24/3600</f>
        <v>1157407407407410</v>
      </c>
      <c r="EJ11" s="582">
        <f ca="1">EXP(-EB11*($Z11+EG11))</f>
        <v>0.767651212270836</v>
      </c>
      <c r="EK11" s="582">
        <f ca="1">EXP(-EB11*($Z11+EH11))</f>
        <v>0.759983201332147</v>
      </c>
      <c r="EL11" s="582">
        <f>EXP(-EB11*($Z11+EI11))</f>
        <v>0</v>
      </c>
      <c r="EM11" s="582">
        <f ca="1">EC11*EG11+ED11*(EG11-EH11)</f>
        <v>22608868.6017584</v>
      </c>
      <c r="EN11" s="582">
        <f ca="1">(EC11*EH11*EG11/(EG11-EI11)+ED11*EH11)/(EH11-EI11)+EE11</f>
        <v>2.28667882565523e-9</v>
      </c>
      <c r="EO11" s="582">
        <f ca="1" t="shared" si="14"/>
        <v>1.00111424557972</v>
      </c>
      <c r="EP11" s="580">
        <f ca="1">EC11*EJ11</f>
        <v>2.69894947277525e+17</v>
      </c>
      <c r="EQ11" s="580">
        <f ca="1">EG11/(EH11-EG11)*EP11+(ED11-EC11*EG11/(EH11-EG11))*EK11</f>
        <v>4975932940824.31</v>
      </c>
      <c r="ER11" s="586">
        <f ca="1">EL11*EN11+EO11*(EK11*EM11/(EH11-EI11)-EP11*EG11/(EG11-EI11))</f>
        <v>2.50048986198925e-10</v>
      </c>
      <c r="ES11" s="594">
        <f ca="1">(EC11+ED11+EE11+EF11)*EXP(-$Z11*EB11)-EP11-EQ11-ER11</f>
        <v>194704678567.687</v>
      </c>
      <c r="ET11" s="580">
        <f ca="1">EC11*EG11/($Z11+EG11)*(1-EJ11)</f>
        <v>3455851772551.05</v>
      </c>
      <c r="EU11" s="580">
        <f ca="1">EO11*(ET11-(1-EK11)*EM11/($Z11+EH11))</f>
        <v>39353209247.1475</v>
      </c>
      <c r="EV11" s="595">
        <f ca="1">EI11*(1-EL11)*EN11/($Z11+EI11)+EI11*EO11*((1-EK11)*EM11/($Z11+EH11)/(EH11-EI11)-ET11/(EG11-EI11))</f>
        <v>39353209247.1478</v>
      </c>
      <c r="EW11" s="596">
        <f>EW$3*3600</f>
        <v>2246400</v>
      </c>
      <c r="EX11" s="580">
        <f ca="1" t="shared" ref="EX11:FA11" si="67">EP11</f>
        <v>2.69894947277525e+17</v>
      </c>
      <c r="EY11" s="580">
        <f ca="1" t="shared" si="67"/>
        <v>4975932940824.31</v>
      </c>
      <c r="EZ11" s="581">
        <f ca="1" t="shared" si="67"/>
        <v>2.50048986198925e-10</v>
      </c>
      <c r="FA11" s="580">
        <f ca="1" t="shared" si="67"/>
        <v>194704678567.687</v>
      </c>
      <c r="FB11" s="580">
        <f ca="1">INDIRECT("'"&amp;$B$2&amp;"-事故进程'!AE"&amp;(ROW()+22))</f>
        <v>3.41865688472557e-11</v>
      </c>
      <c r="FC11" s="580">
        <f ca="1">SUM(FB$3,-LN(1-FC$3)/EW11)</f>
        <v>4.47397429375955e-9</v>
      </c>
      <c r="FD11" s="580">
        <f>FD$3/24/3600</f>
        <v>1157407407407410</v>
      </c>
      <c r="FE11" s="582">
        <f ca="1" t="shared" si="16"/>
        <v>0.0321485228942369</v>
      </c>
      <c r="FF11" s="582">
        <f ca="1" t="shared" si="17"/>
        <v>0.031829481970877</v>
      </c>
      <c r="FG11" s="582">
        <f t="shared" si="18"/>
        <v>0</v>
      </c>
      <c r="FH11" s="582">
        <f ca="1" t="shared" si="19"/>
        <v>9204690.11063888</v>
      </c>
      <c r="FI11" s="582">
        <f ca="1" t="shared" si="20"/>
        <v>2.30814448799008e-10</v>
      </c>
      <c r="FJ11" s="582">
        <f ca="1" t="shared" si="21"/>
        <v>1.00770004580521</v>
      </c>
      <c r="FK11" s="580">
        <f ca="1" t="shared" si="22"/>
        <v>8676723891590370</v>
      </c>
      <c r="FL11" s="580">
        <f ca="1" t="shared" si="23"/>
        <v>821413317562.234</v>
      </c>
      <c r="FM11" s="586">
        <f ca="1" t="shared" si="24"/>
        <v>3.17518450616898e-12</v>
      </c>
      <c r="FN11" s="594">
        <f ca="1" t="shared" si="25"/>
        <v>11197231111.7656</v>
      </c>
      <c r="FO11" s="580">
        <f ca="1" t="shared" si="26"/>
        <v>5836028745876.81</v>
      </c>
      <c r="FP11" s="580">
        <f ca="1" t="shared" si="27"/>
        <v>29126142645.5993</v>
      </c>
      <c r="FQ11" s="595">
        <f ca="1" t="shared" si="28"/>
        <v>29126142645.5991</v>
      </c>
      <c r="FR11" s="608" t="str">
        <f t="shared" si="29"/>
        <v>Xe-133</v>
      </c>
      <c r="FS11" s="609">
        <v>1110000000000</v>
      </c>
      <c r="FT11" s="610">
        <v>28400000000</v>
      </c>
      <c r="FU11" s="610">
        <v>75500000000</v>
      </c>
      <c r="FV11" s="610">
        <v>147000000000</v>
      </c>
      <c r="FW11" s="610">
        <v>1360000000000</v>
      </c>
      <c r="FX11" s="614">
        <f ca="1" t="shared" si="30"/>
        <v>0.637837837837838</v>
      </c>
      <c r="FY11" s="614">
        <f ca="1" t="shared" si="38"/>
        <v>0.976154930252598</v>
      </c>
      <c r="FZ11" s="614">
        <f ca="1" t="shared" si="39"/>
        <v>0.426854078722069</v>
      </c>
      <c r="GA11" s="614">
        <f ca="1" t="shared" si="40"/>
        <v>1.40931753729348</v>
      </c>
      <c r="GB11" s="614">
        <f ca="1" t="shared" si="41"/>
        <v>0.716999971282965</v>
      </c>
      <c r="GC11" s="455">
        <f ca="1" t="shared" si="31"/>
        <v>0.738416252640023</v>
      </c>
      <c r="GE11" s="609">
        <v>231785832414.554</v>
      </c>
      <c r="GF11" s="610">
        <v>32478017879.142</v>
      </c>
      <c r="GG11" s="610">
        <v>66666694493.7492</v>
      </c>
      <c r="GH11" s="610">
        <v>87000966144.7478</v>
      </c>
      <c r="GI11" s="610">
        <v>138678552968.198</v>
      </c>
      <c r="GJ11" s="610">
        <v>255389809757.068</v>
      </c>
      <c r="GK11" s="617">
        <v>811999873657.459</v>
      </c>
      <c r="GL11" s="614">
        <f ca="1">H11/GE11</f>
        <v>3.05454389780703</v>
      </c>
      <c r="GM11" s="614">
        <f ca="1">(I11+J11)/GF11</f>
        <v>0.853586574228038</v>
      </c>
      <c r="GN11" s="614">
        <f ca="1">K11/GG11</f>
        <v>0.483412042373542</v>
      </c>
      <c r="GO11" s="614">
        <f ca="1">L11/(GH11+GI11)</f>
        <v>0.917981741526399</v>
      </c>
      <c r="GP11" s="614">
        <f ca="1">M11/GJ11</f>
        <v>0.114045829288586</v>
      </c>
      <c r="GQ11" s="614">
        <f ca="1">N11/GK11</f>
        <v>1.2367564776421</v>
      </c>
      <c r="GR11" s="451">
        <f>Z11</f>
        <v>1.53014243983147e-6</v>
      </c>
      <c r="GS11" s="390">
        <f>LN(2)/GR11</f>
        <v>452995.2</v>
      </c>
    </row>
    <row r="12" spans="1:201">
      <c r="A12" s="421" t="s">
        <v>160</v>
      </c>
      <c r="B12" s="407" t="s">
        <v>261</v>
      </c>
      <c r="C12" s="422">
        <v>0</v>
      </c>
      <c r="D12" s="410" t="s">
        <v>262</v>
      </c>
      <c r="E12" s="410"/>
      <c r="G12" s="411" t="s">
        <v>53</v>
      </c>
      <c r="H12" s="412">
        <f ca="1">AU12</f>
        <v>13260000000</v>
      </c>
      <c r="I12" s="412">
        <f ca="1" t="shared" si="1"/>
        <v>176588465.174871</v>
      </c>
      <c r="J12" s="412">
        <f ca="1">CK12</f>
        <v>1027256823.91055</v>
      </c>
      <c r="K12" s="412">
        <f ca="1">DF12</f>
        <v>1294825088.94955</v>
      </c>
      <c r="L12" s="412">
        <f ca="1">EA12+EV12</f>
        <v>7109886402.26703</v>
      </c>
      <c r="M12" s="412">
        <f ca="1">FQ12</f>
        <v>210229425.561518</v>
      </c>
      <c r="N12" s="412">
        <f ca="1">SUM(H12:M12)</f>
        <v>23078786205.8635</v>
      </c>
      <c r="O12" s="450">
        <f ca="1">AS12</f>
        <v>13260000000</v>
      </c>
      <c r="P12" s="451"/>
      <c r="Q12" s="477" t="str">
        <f t="shared" si="0"/>
        <v>Xe-133m</v>
      </c>
      <c r="R12" s="412">
        <f ca="1">H12</f>
        <v>13260000000</v>
      </c>
      <c r="S12" s="412">
        <f ca="1">I12*(1-过滤效率!$B9)</f>
        <v>176588465.174871</v>
      </c>
      <c r="T12" s="412">
        <f ca="1">J12*(1-过滤效率!$B9)</f>
        <v>1027256823.91055</v>
      </c>
      <c r="U12" s="412">
        <f ca="1">K12*(1-过滤效率!$B9)</f>
        <v>1294825088.94955</v>
      </c>
      <c r="V12" s="412">
        <f ca="1">L12*(1-过滤效率!$B9)</f>
        <v>7109886402.26703</v>
      </c>
      <c r="W12" s="412">
        <f ca="1">M12*(1-过滤效率!$B9)</f>
        <v>210229425.561518</v>
      </c>
      <c r="X12" s="412">
        <f ca="1">SUM(R12:W12)</f>
        <v>23078786205.8635</v>
      </c>
      <c r="Y12" s="493"/>
      <c r="Z12" s="494">
        <f>VLOOKUP(G12,衰变常数!$A$1:$H$3800,7,FALSE)</f>
        <v>3.66325881828146e-6</v>
      </c>
      <c r="AA12" s="495">
        <f>正常源项!C9</f>
        <v>1.32e+16</v>
      </c>
      <c r="AB12" s="496">
        <f>正常源项!F9</f>
        <v>0</v>
      </c>
      <c r="AC12" s="496">
        <f>正常源项!I9</f>
        <v>6770000000</v>
      </c>
      <c r="AD12" s="496">
        <f>正常源项!L9</f>
        <v>6490000000</v>
      </c>
      <c r="AE12" s="497"/>
      <c r="AF12" s="498"/>
      <c r="AG12" s="483"/>
      <c r="AH12" s="518"/>
      <c r="AI12" s="483"/>
      <c r="AJ12" s="521"/>
      <c r="AK12" s="521"/>
      <c r="AL12" s="519">
        <f t="shared" si="42"/>
        <v>1931160</v>
      </c>
      <c r="AM12" s="520">
        <f t="shared" si="2"/>
        <v>55440000000</v>
      </c>
      <c r="AN12" s="519">
        <f ca="1">MAX(INDIRECT("'"&amp;$B$2&amp;"-事故进程'!Y"&amp;(ROW()+22)),INDIRECT("'"&amp;$B$2&amp;"-事故进程'!Z"&amp;(ROW()+22)),INDIRECT("'"&amp;$B$2&amp;"-事故进程'!AA"&amp;(ROW()+22)))</f>
        <v>3.15622767583691e-11</v>
      </c>
      <c r="AO12" s="519">
        <f ca="1" t="shared" si="3"/>
        <v>0</v>
      </c>
      <c r="AP12" s="560">
        <f t="shared" si="4"/>
        <v>1.32e+16</v>
      </c>
      <c r="AQ12" s="561">
        <f ca="1">(AC12*$C$5+AD12*$C$8+AF12+AG12+AI12+(AL12+AM12)*$C$10)*EXP(-Z12*$C$12*3600)+AO12*$C$11</f>
        <v>13260000000</v>
      </c>
      <c r="AR12" s="562">
        <f ca="1">AQ12*(1-AR$3)</f>
        <v>0</v>
      </c>
      <c r="AS12" s="563">
        <f ca="1" t="shared" si="5"/>
        <v>13260000000</v>
      </c>
      <c r="AT12" s="562">
        <f ca="1">AS12*(1-AT$3)</f>
        <v>0</v>
      </c>
      <c r="AU12" s="564">
        <f ca="1">AS12-AT12</f>
        <v>13260000000</v>
      </c>
      <c r="AV12" s="565">
        <f>AV$3*3600</f>
        <v>7200</v>
      </c>
      <c r="AW12" s="580">
        <f>AP12*EXP(-Z12*AW$3*3600)</f>
        <v>1.32e+16</v>
      </c>
      <c r="AX12" s="580">
        <f ca="1">AR12</f>
        <v>0</v>
      </c>
      <c r="AY12" s="581">
        <f ca="1">AT12</f>
        <v>0</v>
      </c>
      <c r="AZ12" s="580">
        <v>0</v>
      </c>
      <c r="BA12" s="580">
        <f ca="1" t="shared" si="32"/>
        <v>1.4685883692189e-11</v>
      </c>
      <c r="BB12" s="580">
        <f ca="1">SUM(BA$3,-LN(1-BB$3)/AV12)</f>
        <v>3.92016660325749e-5</v>
      </c>
      <c r="BC12" s="580">
        <f>BC$3/24/3600</f>
        <v>1157407407407410</v>
      </c>
      <c r="BD12" s="582">
        <f ca="1">EXP(-AV12*($Z12+BA12))</f>
        <v>0.973969228036868</v>
      </c>
      <c r="BE12" s="582">
        <f ca="1">EXP(-AV12*($Z12+BB12))</f>
        <v>0.734454333472363</v>
      </c>
      <c r="BF12" s="582">
        <f>EXP(-AV12*($Z12+BC12))</f>
        <v>0</v>
      </c>
      <c r="BG12" s="582">
        <f ca="1">AW12*BA12+AX12*(BA12-BB12)</f>
        <v>193853.664736895</v>
      </c>
      <c r="BH12" s="582">
        <f ca="1">(AW12*BB12*BA12/(BA12-BC12)+AX12*BB12)/(BB12-BC12)+AY12</f>
        <v>5.67291171742366e-30</v>
      </c>
      <c r="BI12" s="582">
        <f ca="1" t="shared" si="6"/>
        <v>1.00000037462411</v>
      </c>
      <c r="BJ12" s="580">
        <f ca="1">AW12*BD12</f>
        <v>1.28563938100867e+16</v>
      </c>
      <c r="BK12" s="580">
        <f ca="1">BA12/(BB12-BA12)*BJ12+(AX12-AW12*BA12/(BB12-BA12))*BE12</f>
        <v>1184410311.18245</v>
      </c>
      <c r="BL12" s="586">
        <f ca="1">BF12*BH12+BI12*(BE12*BG12/(BB12-BC12)-BJ12*BA12/(BA12-BC12))</f>
        <v>4.01162608493387e-11</v>
      </c>
      <c r="BM12" s="594">
        <f ca="1">(AW12+AX12+AY12+AZ12)*EXP(-$Z12*AV12)-BJ12-BK12-BL12</f>
        <v>175003790.817555</v>
      </c>
      <c r="BN12" s="580">
        <f ca="1">AW12*BA12/($Z12+BA12)*(1-BD12)</f>
        <v>1377500351.86998</v>
      </c>
      <c r="BO12" s="580">
        <f ca="1">BI12*(BN12-(1-BE12)*BG12/($Z12+BB12))</f>
        <v>176588465.174871</v>
      </c>
      <c r="BP12" s="595">
        <f ca="1">BC12*(1-BF12)*BH12/($Z12+BC12)+BC12*BI12*((1-BE12)*BG12/($Z12+BB12)/(BB12-BC12)-BN12/(BA12-BC12))</f>
        <v>176588465.174871</v>
      </c>
      <c r="BQ12" s="596">
        <f>BQ$3*3600</f>
        <v>21600</v>
      </c>
      <c r="BR12" s="580">
        <f ca="1" t="shared" ref="BR12:BT12" si="68">BJ12</f>
        <v>1.28563938100867e+16</v>
      </c>
      <c r="BS12" s="580">
        <f ca="1" t="shared" si="68"/>
        <v>1184410311.18245</v>
      </c>
      <c r="BT12" s="581">
        <f ca="1" t="shared" si="68"/>
        <v>4.01162608493387e-11</v>
      </c>
      <c r="BU12" s="580">
        <f ca="1">BM12</f>
        <v>175003790.817555</v>
      </c>
      <c r="BV12" s="580">
        <f ca="1">MAX(INDIRECT("'"&amp;$B$2&amp;"-事故进程'!Z"&amp;(ROW()+22)),INDIRECT("'"&amp;$B$2&amp;"-事故进程'!AA"&amp;(ROW()+22)))</f>
        <v>3.15622767583691e-11</v>
      </c>
      <c r="BW12" s="580">
        <f ca="1">SUM(BV$3,-LN(1-BW$3)/BQ12)</f>
        <v>9.67910672705165e-6</v>
      </c>
      <c r="BX12" s="580">
        <f>BX$3/24/3600</f>
        <v>1157407407407410</v>
      </c>
      <c r="BY12" s="582">
        <f ca="1">EXP(-BQ12*($Z12+BV12))</f>
        <v>0.923922512100547</v>
      </c>
      <c r="BZ12" s="582">
        <f ca="1">EXP(-BQ12*($Z12+BW12))</f>
        <v>0.749615331184914</v>
      </c>
      <c r="CA12" s="582">
        <f>EXP(-BQ12*($Z12+BX12))</f>
        <v>0</v>
      </c>
      <c r="CB12" s="582">
        <f ca="1">BR12*BV12+BS12*(BV12-BW12)</f>
        <v>394313.06312067</v>
      </c>
      <c r="CC12" s="582">
        <f ca="1">(BR12*BW12*BV12/(BV12-BX12)+BS12*BW12)/(BW12-BX12)+BT12</f>
        <v>3.02113356370189e-11</v>
      </c>
      <c r="CD12" s="582">
        <f ca="1" t="shared" si="8"/>
        <v>1.00000326087733</v>
      </c>
      <c r="CE12" s="580">
        <f ca="1">BR12*BY12</f>
        <v>1.18783116655692e+16</v>
      </c>
      <c r="CF12" s="580">
        <f ca="1">BV12/(BW12-BV12)*CE12+(BS12-BR12*BV12/(BW12-BV12))*BZ12</f>
        <v>8195353529.00276</v>
      </c>
      <c r="CG12" s="586">
        <f ca="1">CA12*CC12+CD12*(BZ12*CB12/(BW12-BX12)-CE12*BV12/(BV12-BX12))</f>
        <v>6.85356780727905e-11</v>
      </c>
      <c r="CH12" s="594">
        <f ca="1">(BR12+BS12+BT12+BU12)*EXP(-$Z12*BQ12)-CE12-CF12-CG12</f>
        <v>1158625080.99724</v>
      </c>
      <c r="CI12" s="580">
        <f ca="1">BR12*BV12/($Z12+BV12)*(1-BY12)</f>
        <v>8426986706.13585</v>
      </c>
      <c r="CJ12" s="580">
        <f ca="1">CD12*(CI12-(1-BZ12)*CB12/($Z12+BW12))</f>
        <v>1027256823.91055</v>
      </c>
      <c r="CK12" s="595">
        <f ca="1">BX12*(1-CA12)*CC12/($Z12+BX12)+BX12*CD12*((1-BZ12)*CB12/($Z12+BW12)/(BW12-BX12)-CI12/(BV12-BX12))</f>
        <v>1027256823.91055</v>
      </c>
      <c r="CL12" s="596">
        <f>CL$3*3600</f>
        <v>57600</v>
      </c>
      <c r="CM12" s="580">
        <f ca="1" t="shared" ref="CM12:CO12" si="69">CE12</f>
        <v>1.18783116655692e+16</v>
      </c>
      <c r="CN12" s="580">
        <f ca="1" t="shared" si="69"/>
        <v>8195353529.00276</v>
      </c>
      <c r="CO12" s="581">
        <f ca="1" t="shared" si="69"/>
        <v>6.85356780727905e-11</v>
      </c>
      <c r="CP12" s="580">
        <f ca="1">CH12</f>
        <v>1158625080.99724</v>
      </c>
      <c r="CQ12" s="580">
        <f ca="1">MAX(INDIRECT("'"&amp;$B$2&amp;"-事故进程'!AA"&amp;(ROW()+22)),INDIRECT("'"&amp;$B$2&amp;"-事故进程'!AB"&amp;(ROW()+22)))</f>
        <v>5.2407536087185e-11</v>
      </c>
      <c r="CR12" s="580">
        <f ca="1">SUM(CQ$3,-LN(1-CR$3)/CL12)</f>
        <v>9.99426851876734e-7</v>
      </c>
      <c r="CS12" s="580">
        <f>CS$3/24/3600</f>
        <v>1157407407407410</v>
      </c>
      <c r="CT12" s="582">
        <f ca="1">EXP(-CL12*($Z12+CQ12))</f>
        <v>0.809768619867616</v>
      </c>
      <c r="CU12" s="582">
        <f ca="1">EXP(-CL12*($Z12+CR12))</f>
        <v>0.764471376900446</v>
      </c>
      <c r="CV12" s="582">
        <f>EXP(-CL12*($Z12+CS12))</f>
        <v>0</v>
      </c>
      <c r="CW12" s="582">
        <f ca="1">CM12*CQ12+CN12*(CQ12-CR12)</f>
        <v>614322.820388927</v>
      </c>
      <c r="CX12" s="582">
        <f ca="1">(CM12*CR12*CQ12/(CQ12-CS12)+CN12*CR12)/(CR12-CS12)+CO12</f>
        <v>6.14589509626235e-11</v>
      </c>
      <c r="CY12" s="582">
        <f ca="1" t="shared" si="10"/>
        <v>1.00005244034044</v>
      </c>
      <c r="CZ12" s="580">
        <f ca="1">CM12*CT12</f>
        <v>9618684043785370</v>
      </c>
      <c r="DA12" s="580">
        <f ca="1">CQ12/(CR12-CQ12)*CZ12+(CN12-CM12*CQ12/(CR12-CQ12))*CU12</f>
        <v>34480888486.7576</v>
      </c>
      <c r="DB12" s="586">
        <f ca="1">CV12*CX12+CY12*(CU12*CW12/(CR12-CS12)-CZ12*CQ12/(CQ12-CS12))</f>
        <v>2.97744127173212e-11</v>
      </c>
      <c r="DC12" s="594">
        <f ca="1">(CM12+CN12+CO12+CP12)*EXP(-$Z12*CL12)-CZ12-DA12-DB12</f>
        <v>2129408745.24237</v>
      </c>
      <c r="DD12" s="580">
        <f ca="1">CM12*CQ12/($Z12+CQ12)*(1-CT12)</f>
        <v>32326359632.6866</v>
      </c>
      <c r="DE12" s="580">
        <f ca="1">CY12*(DD12-(1-CU12)*CW12/($Z12+CR12))</f>
        <v>1294825088.94956</v>
      </c>
      <c r="DF12" s="595">
        <f ca="1">CS12*(1-CV12)*CX12/($Z12+CS12)+CS12*CY12*((1-CU12)*CW12/($Z12+CR12)/(CR12-CS12)-DD12/(CQ12-CS12))</f>
        <v>1294825088.94955</v>
      </c>
      <c r="DG12" s="596">
        <f>DG$3*3600</f>
        <v>86400</v>
      </c>
      <c r="DH12" s="580">
        <f ca="1" t="shared" ref="DH12:DK12" si="70">CZ12</f>
        <v>9618684043785370</v>
      </c>
      <c r="DI12" s="580">
        <f ca="1" t="shared" si="70"/>
        <v>34480888486.7576</v>
      </c>
      <c r="DJ12" s="581">
        <f ca="1" t="shared" si="70"/>
        <v>2.97744127173212e-11</v>
      </c>
      <c r="DK12" s="580">
        <f ca="1" t="shared" si="70"/>
        <v>2129408745.24237</v>
      </c>
      <c r="DL12" s="580">
        <f ca="1">MAX(INDIRECT("'"&amp;$B$2&amp;"-事故进程'!AB"&amp;(ROW()+22)),INDIRECT("'"&amp;$B$2&amp;"-事故进程'!AC"&amp;(ROW()+22)))</f>
        <v>1.10906459352765e-10</v>
      </c>
      <c r="DM12" s="580">
        <f ca="1">SUM(DL$3,-LN(1-DM$3)/DG12)</f>
        <v>1.07814939005043e-6</v>
      </c>
      <c r="DN12" s="580">
        <f>DN$3/24/3600</f>
        <v>1157407407407410</v>
      </c>
      <c r="DO12" s="582">
        <f ca="1">EXP(-DG12*($Z12+DL12))</f>
        <v>0.728683976127522</v>
      </c>
      <c r="DP12" s="582">
        <f ca="1">EXP(-DG12*($Z12+DM12))</f>
        <v>0.6638774769486</v>
      </c>
      <c r="DQ12" s="582">
        <f>EXP(-DG12*($Z12+DN12))</f>
        <v>0</v>
      </c>
      <c r="DR12" s="582">
        <f ca="1">DH12*DL12+DI12*(DL12-DM12)</f>
        <v>1029602.46619204</v>
      </c>
      <c r="DS12" s="582">
        <f ca="1">(DH12*DM12*DL12/(DL12-DN12)+DI12*DM12)/(DM12-DN12)+DJ12</f>
        <v>-2.34526152397984e-12</v>
      </c>
      <c r="DT12" s="582">
        <f ca="1" t="shared" si="12"/>
        <v>1.00010287801506</v>
      </c>
      <c r="DU12" s="580">
        <f ca="1">DH12*DO12</f>
        <v>7008980934139880</v>
      </c>
      <c r="DV12" s="580">
        <f ca="1">DL12/(DM12-DL12)*DU12+(DI12-DH12*DL12/(DM12-DL12))*DP12</f>
        <v>87020429222.868</v>
      </c>
      <c r="DW12" s="586">
        <f ca="1">DQ12*DS12+DT12*(DP12*DR12/(DM12-DN12)-DU12*DL12/(DL12-DN12))</f>
        <v>8.10613636029175e-11</v>
      </c>
      <c r="DX12" s="594">
        <f ca="1">(DH12+DI12+DJ12+DK12)*EXP(-$Z12*DG12)-DU12-DV12-DW12</f>
        <v>6819769933.13196</v>
      </c>
      <c r="DY12" s="580">
        <f ca="1">DH12*DL12/($Z12+DL12)*(1-DO12)</f>
        <v>79007294813.2912</v>
      </c>
      <c r="DZ12" s="580">
        <f ca="1">DT12*(DY12-(1-DP12)*DR12/($Z12+DM12))</f>
        <v>6018505823.68588</v>
      </c>
      <c r="EA12" s="595">
        <f ca="1">DN12*(1-DQ12)*DS12/($Z12+DN12)+DN12*DT12*((1-DP12)*DR12/($Z12+DM12)/(DM12-DN12)-DY12/(DL12-DN12))</f>
        <v>6018505823.68588</v>
      </c>
      <c r="EB12" s="596">
        <f>EB$3*3600</f>
        <v>172800</v>
      </c>
      <c r="EC12" s="580">
        <f ca="1" t="shared" ref="EC12:EF12" si="71">DU12</f>
        <v>7008980934139880</v>
      </c>
      <c r="ED12" s="580">
        <f ca="1" t="shared" si="71"/>
        <v>87020429222.868</v>
      </c>
      <c r="EE12" s="581">
        <f ca="1" t="shared" si="71"/>
        <v>8.10613636029175e-11</v>
      </c>
      <c r="EF12" s="580">
        <f ca="1" t="shared" si="71"/>
        <v>6819769933.13196</v>
      </c>
      <c r="EG12" s="580">
        <f ca="1">MAX(INDIRECT("'"&amp;$B$2&amp;"-事故进程'!AC"&amp;(ROW()+22)),INDIRECT("'"&amp;$B$2&amp;"-事故进程'!AD"&amp;(ROW()+22)),INDIRECT("'"&amp;$B$2&amp;"-事故进程'!AE"&amp;(ROW()+22)))</f>
        <v>1.10906459352765e-10</v>
      </c>
      <c r="EH12" s="580">
        <f ca="1">SUM(EG$3,-LN(1-EH$3)/EB12)</f>
        <v>5.81616658188741e-8</v>
      </c>
      <c r="EI12" s="580">
        <f>EI$3/24/3600</f>
        <v>1157407407407410</v>
      </c>
      <c r="EJ12" s="582">
        <f ca="1">EXP(-EB12*($Z12+EG12))</f>
        <v>0.530980337065016</v>
      </c>
      <c r="EK12" s="582">
        <f ca="1">EXP(-EB12*($Z12+EH12))</f>
        <v>0.525680608075428</v>
      </c>
      <c r="EL12" s="582">
        <f>EXP(-EB12*($Z12+EI12))</f>
        <v>0</v>
      </c>
      <c r="EM12" s="582">
        <f ca="1">EC12*EG12+ED12*(EG12-EH12)</f>
        <v>772289.657080313</v>
      </c>
      <c r="EN12" s="582">
        <f ca="1">(EC12*EH12*EG12/(EG12-EI12)+ED12*EH12)/(EH12-EI12)+EE12</f>
        <v>7.66884409038891e-11</v>
      </c>
      <c r="EO12" s="582">
        <f ca="1" t="shared" si="14"/>
        <v>1.00191050833058</v>
      </c>
      <c r="EP12" s="580">
        <f ca="1">EC12*EJ12</f>
        <v>3721631058891860</v>
      </c>
      <c r="EQ12" s="580">
        <f ca="1">EG12/(EH12-EG12)*EP12+(ED12-EC12*EG12/(EH12-EG12))*EK12</f>
        <v>116712120382.031</v>
      </c>
      <c r="ER12" s="586">
        <f ca="1">EL12*EN12+EO12*(EK12*EM12/(EH12-EI12)-EP12*EG12/(EG12-EI12))</f>
        <v>5.86498004006856e-12</v>
      </c>
      <c r="ES12" s="594">
        <f ca="1">(EC12+ED12+EE12+EF12)*EXP(-$Z12*EB12)-EP12-EQ12-ER12</f>
        <v>4440523802.96875</v>
      </c>
      <c r="ET12" s="580">
        <f ca="1">EC12*EG12/($Z12+EG12)*(1-EJ12)</f>
        <v>99522669758.1849</v>
      </c>
      <c r="EU12" s="580">
        <f ca="1">EO12*(ET12-(1-EK12)*EM12/($Z12+EH12))</f>
        <v>1091380578.58114</v>
      </c>
      <c r="EV12" s="595">
        <f ca="1">EI12*(1-EL12)*EN12/($Z12+EI12)+EI12*EO12*((1-EK12)*EM12/($Z12+EH12)/(EH12-EI12)-ET12/(EG12-EI12))</f>
        <v>1091380578.58115</v>
      </c>
      <c r="EW12" s="596">
        <f>EW$3*3600</f>
        <v>2246400</v>
      </c>
      <c r="EX12" s="580">
        <f ca="1" t="shared" ref="EX12:FA12" si="72">EP12</f>
        <v>3721631058891860</v>
      </c>
      <c r="EY12" s="580">
        <f ca="1" t="shared" si="72"/>
        <v>116712120382.031</v>
      </c>
      <c r="EZ12" s="581">
        <f ca="1" t="shared" si="72"/>
        <v>5.86498004006856e-12</v>
      </c>
      <c r="FA12" s="580">
        <f ca="1" t="shared" si="72"/>
        <v>4440523802.96875</v>
      </c>
      <c r="FB12" s="580">
        <f ca="1">INDIRECT("'"&amp;$B$2&amp;"-事故进程'!AE"&amp;(ROW()+22))</f>
        <v>5.49256953120647e-11</v>
      </c>
      <c r="FC12" s="580">
        <f ca="1">SUM(FB$3,-LN(1-FC$3)/EW12)</f>
        <v>4.47397429375955e-9</v>
      </c>
      <c r="FD12" s="580">
        <f>FD$3/24/3600</f>
        <v>1157407407407410</v>
      </c>
      <c r="FE12" s="582">
        <f ca="1" t="shared" si="16"/>
        <v>0.000266731507747251</v>
      </c>
      <c r="FF12" s="582">
        <f ca="1" t="shared" si="17"/>
        <v>0.000264096776261954</v>
      </c>
      <c r="FG12" s="582">
        <f t="shared" si="18"/>
        <v>0</v>
      </c>
      <c r="FH12" s="582">
        <f ca="1" t="shared" si="19"/>
        <v>203897.417072615</v>
      </c>
      <c r="FI12" s="582">
        <f ca="1" t="shared" si="20"/>
        <v>5.41382772929406e-12</v>
      </c>
      <c r="FJ12" s="582">
        <f ca="1" t="shared" si="21"/>
        <v>1.0124293032965</v>
      </c>
      <c r="FK12" s="580">
        <f ca="1" t="shared" si="22"/>
        <v>992676263617.225</v>
      </c>
      <c r="FL12" s="580">
        <f ca="1" t="shared" si="23"/>
        <v>152698809.915503</v>
      </c>
      <c r="FM12" s="586">
        <f ca="1" t="shared" si="24"/>
        <v>5.90259355415692e-16</v>
      </c>
      <c r="FN12" s="594">
        <f ca="1" t="shared" si="25"/>
        <v>2109403.63588905</v>
      </c>
      <c r="FO12" s="580">
        <f ca="1" t="shared" si="26"/>
        <v>55785189162.8499</v>
      </c>
      <c r="FP12" s="580">
        <f ca="1" t="shared" si="27"/>
        <v>210229425.561515</v>
      </c>
      <c r="FQ12" s="595">
        <f ca="1" t="shared" si="28"/>
        <v>210229425.561518</v>
      </c>
      <c r="FR12" s="608" t="str">
        <f t="shared" si="29"/>
        <v>Xe-133m</v>
      </c>
      <c r="FS12" s="609">
        <v>21400000000</v>
      </c>
      <c r="FT12" s="610">
        <v>1460000000</v>
      </c>
      <c r="FU12" s="610">
        <v>3100000000</v>
      </c>
      <c r="FV12" s="610">
        <v>4820000000</v>
      </c>
      <c r="FW12" s="610">
        <v>30800000000</v>
      </c>
      <c r="FX12" s="614">
        <f ca="1" t="shared" si="30"/>
        <v>0.619626168224299</v>
      </c>
      <c r="FY12" s="614">
        <f ca="1" t="shared" si="38"/>
        <v>0.82455156786673</v>
      </c>
      <c r="FZ12" s="614">
        <f ca="1" t="shared" si="39"/>
        <v>0.417685512564372</v>
      </c>
      <c r="GA12" s="614">
        <f ca="1" t="shared" si="40"/>
        <v>1.47508016644544</v>
      </c>
      <c r="GB12" s="614">
        <f ca="1" t="shared" si="41"/>
        <v>0.742485609750065</v>
      </c>
      <c r="GC12" s="455">
        <f ca="1" t="shared" si="31"/>
        <v>0.749311240450115</v>
      </c>
      <c r="GE12" s="609">
        <v>4481787365.1772</v>
      </c>
      <c r="GF12" s="610">
        <v>693942732.394665</v>
      </c>
      <c r="GG12" s="610">
        <v>1481088686.07537</v>
      </c>
      <c r="GH12" s="610">
        <v>1721788221.19917</v>
      </c>
      <c r="GI12" s="610">
        <v>2286593237.45021</v>
      </c>
      <c r="GJ12" s="610">
        <v>1860976198.88386</v>
      </c>
      <c r="GK12" s="617">
        <v>12526176441.1805</v>
      </c>
      <c r="GL12" s="614">
        <f ca="1">H12/GE12</f>
        <v>2.95864103304591</v>
      </c>
      <c r="GM12" s="614">
        <f ca="1">(I12+J12)/GF12</f>
        <v>1.73479054234228</v>
      </c>
      <c r="GN12" s="614">
        <f ca="1">K12/GG12</f>
        <v>0.874238727986383</v>
      </c>
      <c r="GO12" s="614">
        <f ca="1">L12/(GH12+GI12)</f>
        <v>1.77375493715179</v>
      </c>
      <c r="GP12" s="614">
        <f ca="1">M12/GJ12</f>
        <v>0.112967283347098</v>
      </c>
      <c r="GQ12" s="614">
        <f ca="1">N12/GK12</f>
        <v>1.8424446050425</v>
      </c>
      <c r="GR12" s="451">
        <f>Z12</f>
        <v>3.66325881828146e-6</v>
      </c>
      <c r="GS12" s="390">
        <f>LN(2)/GR12</f>
        <v>189216</v>
      </c>
    </row>
    <row r="13" spans="2:201">
      <c r="B13" s="407" t="s">
        <v>263</v>
      </c>
      <c r="C13" s="423">
        <v>1e+20</v>
      </c>
      <c r="D13" s="424" t="s">
        <v>262</v>
      </c>
      <c r="E13" s="424"/>
      <c r="G13" s="411" t="s">
        <v>54</v>
      </c>
      <c r="H13" s="412">
        <f ca="1">AU13</f>
        <v>44390000000</v>
      </c>
      <c r="I13" s="412">
        <f ca="1" t="shared" si="1"/>
        <v>3144706343.39598</v>
      </c>
      <c r="J13" s="412">
        <f ca="1">CK13</f>
        <v>14071657255.9219</v>
      </c>
      <c r="K13" s="412">
        <f ca="1">DF13</f>
        <v>8872825895.76266</v>
      </c>
      <c r="L13" s="412">
        <f ca="1">EA13+EV13</f>
        <v>13266187759.1911</v>
      </c>
      <c r="M13" s="412">
        <f ca="1">FQ13</f>
        <v>1398555.36143921</v>
      </c>
      <c r="N13" s="412">
        <f ca="1">SUM(H13:M13)</f>
        <v>83746775809.6331</v>
      </c>
      <c r="O13" s="450">
        <f ca="1">AS13</f>
        <v>44390000000</v>
      </c>
      <c r="P13" s="451"/>
      <c r="Q13" s="477" t="str">
        <f t="shared" si="0"/>
        <v>Xe-135</v>
      </c>
      <c r="R13" s="412">
        <f ca="1">H13</f>
        <v>44390000000</v>
      </c>
      <c r="S13" s="412">
        <f ca="1">I13*(1-过滤效率!$B10)</f>
        <v>3144706343.39598</v>
      </c>
      <c r="T13" s="412">
        <f ca="1">J13*(1-过滤效率!$B10)</f>
        <v>14071657255.9219</v>
      </c>
      <c r="U13" s="412">
        <f ca="1">K13*(1-过滤效率!$B10)</f>
        <v>8872825895.76266</v>
      </c>
      <c r="V13" s="412">
        <f ca="1">L13*(1-过滤效率!$B10)</f>
        <v>13266187759.1911</v>
      </c>
      <c r="W13" s="412">
        <f ca="1">M13*(1-过滤效率!$B10)</f>
        <v>1398555.36143921</v>
      </c>
      <c r="X13" s="412">
        <f ca="1">SUM(R13:W13)</f>
        <v>83746775809.6331</v>
      </c>
      <c r="Y13" s="493"/>
      <c r="Z13" s="494">
        <f>VLOOKUP(G13,衰变常数!$A$1:$H$3800,7,FALSE)</f>
        <v>2.10657421760255e-5</v>
      </c>
      <c r="AA13" s="495">
        <f>正常源项!C10</f>
        <v>1.06e+17</v>
      </c>
      <c r="AB13" s="496">
        <f>正常源项!F10</f>
        <v>0</v>
      </c>
      <c r="AC13" s="496">
        <f>正常源项!I10</f>
        <v>37900000000</v>
      </c>
      <c r="AD13" s="496">
        <f>正常源项!L10</f>
        <v>6490000000</v>
      </c>
      <c r="AE13" s="497"/>
      <c r="AF13" s="498"/>
      <c r="AG13" s="483"/>
      <c r="AH13" s="518"/>
      <c r="AI13" s="483"/>
      <c r="AJ13" s="521"/>
      <c r="AK13" s="521"/>
      <c r="AL13" s="519">
        <f t="shared" si="42"/>
        <v>15507800</v>
      </c>
      <c r="AM13" s="520">
        <f t="shared" si="2"/>
        <v>445200000000</v>
      </c>
      <c r="AN13" s="519">
        <f ca="1">MAX(INDIRECT("'"&amp;$B$2&amp;"-事故进程'!Y"&amp;(ROW()+22)),INDIRECT("'"&amp;$B$2&amp;"-事故进程'!Z"&amp;(ROW()+22)),INDIRECT("'"&amp;$B$2&amp;"-事故进程'!AA"&amp;(ROW()+22)))</f>
        <v>7.68199656630356e-11</v>
      </c>
      <c r="AO13" s="519">
        <f ca="1" t="shared" si="3"/>
        <v>0</v>
      </c>
      <c r="AP13" s="560">
        <f t="shared" si="4"/>
        <v>1.06e+17</v>
      </c>
      <c r="AQ13" s="561">
        <f ca="1">(AC13*$C$5+AD13*$C$8+AF13+AG13+AI13+(AL13+AM13)*$C$10)*EXP(-Z13*$C$12*3600)+AO13*$C$11</f>
        <v>44390000000</v>
      </c>
      <c r="AR13" s="562">
        <f ca="1">AQ13*(1-AR$3)</f>
        <v>0</v>
      </c>
      <c r="AS13" s="563">
        <f ca="1" t="shared" si="5"/>
        <v>44390000000</v>
      </c>
      <c r="AT13" s="562">
        <f ca="1">AS13*(1-AT$3)</f>
        <v>0</v>
      </c>
      <c r="AU13" s="564">
        <f ca="1">AS13-AT13</f>
        <v>44390000000</v>
      </c>
      <c r="AV13" s="565">
        <f>AV$3*3600</f>
        <v>7200</v>
      </c>
      <c r="AW13" s="580">
        <f>AP13*EXP(-Z13*AW$3*3600)</f>
        <v>1.06e+17</v>
      </c>
      <c r="AX13" s="580">
        <f ca="1">AR13</f>
        <v>0</v>
      </c>
      <c r="AY13" s="581">
        <f ca="1">AT13</f>
        <v>0</v>
      </c>
      <c r="AZ13" s="580">
        <v>0</v>
      </c>
      <c r="BA13" s="580">
        <f ca="1" t="shared" si="32"/>
        <v>3.53483509630726e-11</v>
      </c>
      <c r="BB13" s="580">
        <f ca="1">SUM(BA$3,-LN(1-BB$3)/AV13)</f>
        <v>3.92016660325749e-5</v>
      </c>
      <c r="BC13" s="580">
        <f>BC$3/24/3600</f>
        <v>1157407407407410</v>
      </c>
      <c r="BD13" s="582">
        <f ca="1">EXP(-AV13*($Z13+BA13))</f>
        <v>0.859268701845663</v>
      </c>
      <c r="BE13" s="582">
        <f ca="1">EXP(-AV13*($Z13+BB13))</f>
        <v>0.647960631002077</v>
      </c>
      <c r="BF13" s="582">
        <f>EXP(-AV13*($Z13+BC13))</f>
        <v>0</v>
      </c>
      <c r="BG13" s="582">
        <f ca="1">AW13*BA13+AX13*(BA13-BB13)</f>
        <v>3746925.20208569</v>
      </c>
      <c r="BH13" s="582">
        <f ca="1">(AW13*BB13*BA13/(BA13-BC13)+AX13*BB13)/(BB13-BC13)+AY13</f>
        <v>1.09649595286585e-28</v>
      </c>
      <c r="BI13" s="582">
        <f ca="1" t="shared" si="6"/>
        <v>1.00000090170614</v>
      </c>
      <c r="BJ13" s="580">
        <f ca="1">AW13*BD13</f>
        <v>9.10824823956403e+16</v>
      </c>
      <c r="BK13" s="580">
        <f ca="1">BA13/(BB13-BA13)*BJ13+(AX13-AW13*BA13/(BB13-BA13))*BE13</f>
        <v>20197005130.3648</v>
      </c>
      <c r="BL13" s="586">
        <f ca="1">BF13*BH13+BI13*(BE13*BG13/(BB13-BC13)-BJ13*BA13/(BA13-BC13))</f>
        <v>6.84077399981653e-10</v>
      </c>
      <c r="BM13" s="594">
        <f ca="1">(AW13+AX13+AY13+AZ13)*EXP(-$Z13*AV13)-BJ13-BK13-BL13</f>
        <v>2984229813.63516</v>
      </c>
      <c r="BN13" s="580">
        <f ca="1">AW13*BA13/($Z13+BA13)*(1-BD13)</f>
        <v>25031577741.0323</v>
      </c>
      <c r="BO13" s="580">
        <f ca="1">BI13*(BN13-(1-BE13)*BG13/($Z13+BB13))</f>
        <v>3144706343.39598</v>
      </c>
      <c r="BP13" s="595">
        <f ca="1">BC13*(1-BF13)*BH13/($Z13+BC13)+BC13*BI13*((1-BE13)*BG13/($Z13+BB13)/(BB13-BC13)-BN13/(BA13-BC13))</f>
        <v>3144706343.39598</v>
      </c>
      <c r="BQ13" s="596">
        <f>BQ$3*3600</f>
        <v>21600</v>
      </c>
      <c r="BR13" s="580">
        <f ca="1" t="shared" ref="BR13:BT13" si="73">BJ13</f>
        <v>9.10824823956403e+16</v>
      </c>
      <c r="BS13" s="580">
        <f ca="1" t="shared" si="73"/>
        <v>20197005130.3648</v>
      </c>
      <c r="BT13" s="581">
        <f ca="1" t="shared" si="73"/>
        <v>6.84077399981653e-10</v>
      </c>
      <c r="BU13" s="580">
        <f ca="1">BM13</f>
        <v>2984229813.63516</v>
      </c>
      <c r="BV13" s="580">
        <f ca="1">MAX(INDIRECT("'"&amp;$B$2&amp;"-事故进程'!Z"&amp;(ROW()+22)),INDIRECT("'"&amp;$B$2&amp;"-事故进程'!AA"&amp;(ROW()+22)))</f>
        <v>7.68199656630356e-11</v>
      </c>
      <c r="BW13" s="580">
        <f ca="1">SUM(BV$3,-LN(1-BW$3)/BQ13)</f>
        <v>9.67910672705165e-6</v>
      </c>
      <c r="BX13" s="580">
        <f>BX$3/24/3600</f>
        <v>1157407407407410</v>
      </c>
      <c r="BY13" s="582">
        <f ca="1">EXP(-BQ13*($Z13+BV13))</f>
        <v>0.634434206722205</v>
      </c>
      <c r="BZ13" s="582">
        <f ca="1">EXP(-BQ13*($Z13+BW13))</f>
        <v>0.51474238009261</v>
      </c>
      <c r="CA13" s="582">
        <f>EXP(-BQ13*($Z13+BX13))</f>
        <v>0</v>
      </c>
      <c r="CB13" s="582">
        <f ca="1">BR13*BV13+BS13*(BV13-BW13)</f>
        <v>6801465.75344676</v>
      </c>
      <c r="CC13" s="582">
        <f ca="1">(BR13*BW13*BV13/(BV13-BX13)+BS13*BW13)/(BW13-BX13)+BT13</f>
        <v>5.15174931436453e-10</v>
      </c>
      <c r="CD13" s="582">
        <f ca="1" t="shared" si="8"/>
        <v>1.00000793674226</v>
      </c>
      <c r="CE13" s="580">
        <f ca="1">BR13*BY13</f>
        <v>5.77858424649672e+16</v>
      </c>
      <c r="CF13" s="580">
        <f ca="1">BV13/(BW13-BV13)*CE13+(BS13-BR13*BV13/(BW13-BV13))*BZ13</f>
        <v>96921258940.8388</v>
      </c>
      <c r="CG13" s="586">
        <f ca="1">CA13*CC13+CD13*(BZ13*CB13/(BW13-BX13)-CE13*BV13/(BV13-BX13))</f>
        <v>8.1052808492902e-10</v>
      </c>
      <c r="CH13" s="594">
        <f ca="1">(BR13+BS13+BT13+BU13)*EXP(-$Z13*BQ13)-CE13-CF13-CG13</f>
        <v>13670512387.1612</v>
      </c>
      <c r="CI13" s="580">
        <f ca="1">BR13*BV13/($Z13+BV13)*(1-BY13)</f>
        <v>121421661159.033</v>
      </c>
      <c r="CJ13" s="580">
        <f ca="1">CD13*(CI13-(1-BZ13)*CB13/($Z13+BW13))</f>
        <v>14071657255.9219</v>
      </c>
      <c r="CK13" s="595">
        <f ca="1">BX13*(1-CA13)*CC13/($Z13+BX13)+BX13*CD13*((1-BZ13)*CB13/($Z13+BW13)/(BW13-BX13)-CI13/(BV13-BX13))</f>
        <v>14071657255.9219</v>
      </c>
      <c r="CL13" s="596">
        <f>CL$3*3600</f>
        <v>57600</v>
      </c>
      <c r="CM13" s="580">
        <f ca="1" t="shared" ref="CM13:CO13" si="74">CE13</f>
        <v>5.77858424649672e+16</v>
      </c>
      <c r="CN13" s="580">
        <f ca="1" t="shared" si="74"/>
        <v>96921258940.8388</v>
      </c>
      <c r="CO13" s="581">
        <f ca="1" t="shared" si="74"/>
        <v>8.1052808492902e-10</v>
      </c>
      <c r="CP13" s="580">
        <f ca="1">CH13</f>
        <v>13670512387.1612</v>
      </c>
      <c r="CQ13" s="580">
        <f ca="1">MAX(INDIRECT("'"&amp;$B$2&amp;"-事故进程'!AA"&amp;(ROW()+22)),INDIRECT("'"&amp;$B$2&amp;"-事故进程'!AB"&amp;(ROW()+22)))</f>
        <v>1.30517798809954e-10</v>
      </c>
      <c r="CR13" s="580">
        <f ca="1">SUM(CQ$3,-LN(1-CR$3)/CL13)</f>
        <v>9.99426851876734e-7</v>
      </c>
      <c r="CS13" s="580">
        <f>CS$3/24/3600</f>
        <v>1157407407407410</v>
      </c>
      <c r="CT13" s="582">
        <f ca="1">EXP(-CL13*($Z13+CQ13))</f>
        <v>0.297186834026783</v>
      </c>
      <c r="CU13" s="582">
        <f ca="1">EXP(-CL13*($Z13+CR13))</f>
        <v>0.280563910232102</v>
      </c>
      <c r="CV13" s="582">
        <f>EXP(-CL13*($Z13+CS13))</f>
        <v>0</v>
      </c>
      <c r="CW13" s="582">
        <f ca="1">CM13*CQ13+CN13*(CQ13-CR13)</f>
        <v>7445227.90215248</v>
      </c>
      <c r="CX13" s="582">
        <f ca="1">(CM13*CR13*CQ13/(CQ13-CS13)+CN13*CR13)/(CR13-CS13)+CO13</f>
        <v>7.26836112609479e-10</v>
      </c>
      <c r="CY13" s="582">
        <f ca="1" t="shared" si="10"/>
        <v>1.00013060970441</v>
      </c>
      <c r="CZ13" s="580">
        <f ca="1">CM13*CT13</f>
        <v>1.71731915737341e+16</v>
      </c>
      <c r="DA13" s="580">
        <f ca="1">CQ13/(CR13-CQ13)*CZ13+(CN13-CM13*CQ13/(CR13-CQ13))*CU13</f>
        <v>152652326188.233</v>
      </c>
      <c r="DB13" s="586">
        <f ca="1">CV13*CX13+CY13*(CU13*CW13/(CR13-CS13)-CZ13*CQ13/(CQ13-CS13))</f>
        <v>1.31816016397987e-10</v>
      </c>
      <c r="DC13" s="594">
        <f ca="1">(CM13+CN13+CO13+CP13)*EXP(-$Z13*CL13)-CZ13-DA13-DB13</f>
        <v>9319877151.76685</v>
      </c>
      <c r="DD13" s="580">
        <f ca="1">CM13*CQ13/($Z13+CQ13)*(1-CT13)</f>
        <v>251623745913.684</v>
      </c>
      <c r="DE13" s="580">
        <f ca="1">CY13*(DD13-(1-CU13)*CW13/($Z13+CR13))</f>
        <v>8872825895.76265</v>
      </c>
      <c r="DF13" s="595">
        <f ca="1">CS13*(1-CV13)*CX13/($Z13+CS13)+CS13*CY13*((1-CU13)*CW13/($Z13+CR13)/(CR13-CS13)-DD13/(CQ13-CS13))</f>
        <v>8872825895.76266</v>
      </c>
      <c r="DG13" s="596">
        <f>DG$3*3600</f>
        <v>86400</v>
      </c>
      <c r="DH13" s="580">
        <f ca="1" t="shared" ref="DH13:DK13" si="75">CZ13</f>
        <v>1.71731915737341e+16</v>
      </c>
      <c r="DI13" s="580">
        <f ca="1" t="shared" si="75"/>
        <v>152652326188.233</v>
      </c>
      <c r="DJ13" s="581">
        <f ca="1" t="shared" si="75"/>
        <v>1.31816016397987e-10</v>
      </c>
      <c r="DK13" s="580">
        <f ca="1" t="shared" si="75"/>
        <v>9319877151.76685</v>
      </c>
      <c r="DL13" s="580">
        <f ca="1">MAX(INDIRECT("'"&amp;$B$2&amp;"-事故进程'!AB"&amp;(ROW()+22)),INDIRECT("'"&amp;$B$2&amp;"-事故进程'!AC"&amp;(ROW()+22)))</f>
        <v>2.9844774267088e-10</v>
      </c>
      <c r="DM13" s="580">
        <f ca="1">SUM(DL$3,-LN(1-DM$3)/DG13)</f>
        <v>1.07814939005043e-6</v>
      </c>
      <c r="DN13" s="580">
        <f>DN$3/24/3600</f>
        <v>1157407407407410</v>
      </c>
      <c r="DO13" s="582">
        <f ca="1">EXP(-DG13*($Z13+DL13))</f>
        <v>0.162008591712525</v>
      </c>
      <c r="DP13" s="582">
        <f ca="1">EXP(-DG13*($Z13+DM13))</f>
        <v>0.147602529222474</v>
      </c>
      <c r="DQ13" s="582">
        <f>EXP(-DG13*($Z13+DN13))</f>
        <v>0</v>
      </c>
      <c r="DR13" s="582">
        <f ca="1">DH13*DL13+DI13*(DL13-DM13)</f>
        <v>4960763.80600805</v>
      </c>
      <c r="DS13" s="582">
        <f ca="1">(DH13*DM13*DL13/(DL13-DN13)+DI13*DM13)/(DM13-DN13)+DJ13</f>
        <v>-1.03828422893679e-11</v>
      </c>
      <c r="DT13" s="582">
        <f ca="1" t="shared" si="12"/>
        <v>1.00027689148003</v>
      </c>
      <c r="DU13" s="580">
        <f ca="1">DH13*DO13</f>
        <v>2782204582070060</v>
      </c>
      <c r="DV13" s="580">
        <f ca="1">DL13/(DM13-DL13)*DU13+(DI13-DH13*DL13/(DM13-DL13))*DP13</f>
        <v>91034287463.9138</v>
      </c>
      <c r="DW13" s="586">
        <f ca="1">DQ13*DS13+DT13*(DP13*DR13/(DM13-DN13)-DU13*DL13/(DL13-DN13))</f>
        <v>8.48003571385007e-11</v>
      </c>
      <c r="DX13" s="594">
        <f ca="1">(DH13+DI13+DJ13+DK13)*EXP(-$Z13*DG13)-DU13-DV13-DW13</f>
        <v>6949810025.08618</v>
      </c>
      <c r="DY13" s="580">
        <f ca="1">DH13*DL13/($Z13+DL13)*(1-DO13)</f>
        <v>203880627554.769</v>
      </c>
      <c r="DZ13" s="580">
        <f ca="1">DT13*(DY13-(1-DP13)*DR13/($Z13+DM13))</f>
        <v>12926690155.3352</v>
      </c>
      <c r="EA13" s="595">
        <f ca="1">DN13*(1-DQ13)*DS13/($Z13+DN13)+DN13*DT13*((1-DP13)*DR13/($Z13+DM13)/(DM13-DN13)-DY13/(DL13-DN13))</f>
        <v>12926690155.3352</v>
      </c>
      <c r="EB13" s="596">
        <f>EB$3*3600</f>
        <v>172800</v>
      </c>
      <c r="EC13" s="580">
        <f ca="1" t="shared" ref="EC13:EF13" si="76">DU13</f>
        <v>2782204582070060</v>
      </c>
      <c r="ED13" s="580">
        <f ca="1" t="shared" si="76"/>
        <v>91034287463.9138</v>
      </c>
      <c r="EE13" s="581">
        <f ca="1" t="shared" si="76"/>
        <v>8.48003571385007e-11</v>
      </c>
      <c r="EF13" s="580">
        <f ca="1" t="shared" si="76"/>
        <v>6949810025.08618</v>
      </c>
      <c r="EG13" s="580">
        <f ca="1">MAX(INDIRECT("'"&amp;$B$2&amp;"-事故进程'!AC"&amp;(ROW()+22)),INDIRECT("'"&amp;$B$2&amp;"-事故进程'!AD"&amp;(ROW()+22)),INDIRECT("'"&amp;$B$2&amp;"-事故进程'!AE"&amp;(ROW()+22)))</f>
        <v>2.9844774267088e-10</v>
      </c>
      <c r="EH13" s="580">
        <f ca="1">SUM(EG$3,-LN(1-EH$3)/EB13)</f>
        <v>5.81616658188741e-8</v>
      </c>
      <c r="EI13" s="580">
        <f>EI$3/24/3600</f>
        <v>1157407407407410</v>
      </c>
      <c r="EJ13" s="582">
        <f ca="1">EXP(-EB13*($Z13+EG13))</f>
        <v>0.0262467837886758</v>
      </c>
      <c r="EK13" s="582">
        <f ca="1">EXP(-EB13*($Z13+EH13))</f>
        <v>0.0259856560425083</v>
      </c>
      <c r="EL13" s="582">
        <f>EXP(-EB13*($Z13+EI13))</f>
        <v>0</v>
      </c>
      <c r="EM13" s="582">
        <f ca="1">EC13*EG13+ED13*(EG13-EH13)</f>
        <v>825075.140339454</v>
      </c>
      <c r="EN13" s="582">
        <f ca="1">(EC13*EH13*EG13/(EG13-EI13)+ED13*EH13)/(EH13-EI13)+EE13</f>
        <v>8.0225731322518e-11</v>
      </c>
      <c r="EO13" s="582">
        <f ca="1" t="shared" si="14"/>
        <v>1.00515781445612</v>
      </c>
      <c r="EP13" s="580">
        <f ca="1">EC13*EJ13</f>
        <v>73023922121455.9</v>
      </c>
      <c r="EQ13" s="580">
        <f ca="1">EG13/(EH13-EG13)*EP13+(ED13-EC13*EG13/(EH13-EG13))*EK13</f>
        <v>6112793650.21814</v>
      </c>
      <c r="ER13" s="586">
        <f ca="1">EL13*EN13+EO13*(EK13*EM13/(EH13-EI13)-EP13*EG13/(EG13-EI13))</f>
        <v>3.07178145939215e-13</v>
      </c>
      <c r="ES13" s="594">
        <f ca="1">(EC13+ED13+EE13+EF13)*EXP(-$Z13*EB13)-EP13-EQ13-ER13</f>
        <v>225176427.25061</v>
      </c>
      <c r="ET13" s="580">
        <f ca="1">EC13*EG13/($Z13+EG13)*(1-EJ13)</f>
        <v>38381624097.7437</v>
      </c>
      <c r="EU13" s="580">
        <f ca="1">EO13*(ET13-(1-EK13)*EM13/($Z13+EH13))</f>
        <v>339497603.855983</v>
      </c>
      <c r="EV13" s="595">
        <f ca="1">EI13*(1-EL13)*EN13/($Z13+EI13)+EI13*EO13*((1-EK13)*EM13/($Z13+EH13)/(EH13-EI13)-ET13/(EG13-EI13))</f>
        <v>339497603.855977</v>
      </c>
      <c r="EW13" s="596">
        <f>EW$3*3600</f>
        <v>2246400</v>
      </c>
      <c r="EX13" s="580">
        <f ca="1" t="shared" ref="EX13:FA13" si="77">EP13</f>
        <v>73023922121455.9</v>
      </c>
      <c r="EY13" s="580">
        <f ca="1" t="shared" si="77"/>
        <v>6112793650.21814</v>
      </c>
      <c r="EZ13" s="581">
        <f ca="1" t="shared" si="77"/>
        <v>3.07178145939215e-13</v>
      </c>
      <c r="FA13" s="580">
        <f ca="1" t="shared" si="77"/>
        <v>225176427.25061</v>
      </c>
      <c r="FB13" s="580">
        <f ca="1">INDIRECT("'"&amp;$B$2&amp;"-事故进程'!AE"&amp;(ROW()+22))</f>
        <v>1.36656472517855e-10</v>
      </c>
      <c r="FC13" s="580">
        <f ca="1">SUM(FB$3,-LN(1-FC$3)/EW13)</f>
        <v>4.47397429375955e-9</v>
      </c>
      <c r="FD13" s="580">
        <f>FD$3/24/3600</f>
        <v>1157407407407410</v>
      </c>
      <c r="FE13" s="582">
        <f ca="1" t="shared" si="16"/>
        <v>2.80638378005306e-21</v>
      </c>
      <c r="FF13" s="582">
        <f ca="1" t="shared" si="17"/>
        <v>2.7791729760051e-21</v>
      </c>
      <c r="FG13" s="582">
        <f t="shared" si="18"/>
        <v>0</v>
      </c>
      <c r="FH13" s="582">
        <f ca="1" t="shared" si="19"/>
        <v>9952.67847770008</v>
      </c>
      <c r="FI13" s="582">
        <f ca="1" t="shared" si="20"/>
        <v>2.83549057790044e-13</v>
      </c>
      <c r="FJ13" s="582">
        <f ca="1" t="shared" si="21"/>
        <v>1.03150713831682</v>
      </c>
      <c r="FK13" s="580">
        <f ca="1" t="shared" si="22"/>
        <v>2.04933150597512e-7</v>
      </c>
      <c r="FL13" s="580">
        <f ca="1" t="shared" si="23"/>
        <v>7.95944435623299e-11</v>
      </c>
      <c r="FM13" s="586">
        <f ca="1" t="shared" si="24"/>
        <v>3.07673419182298e-34</v>
      </c>
      <c r="FN13" s="594">
        <f ca="1" t="shared" si="25"/>
        <v>1.11887510065356e-12</v>
      </c>
      <c r="FO13" s="580">
        <f ca="1" t="shared" si="26"/>
        <v>473713519.662991</v>
      </c>
      <c r="FP13" s="580">
        <f ca="1" t="shared" si="27"/>
        <v>1398555.36143917</v>
      </c>
      <c r="FQ13" s="595">
        <f ca="1" t="shared" si="28"/>
        <v>1398555.36143921</v>
      </c>
      <c r="FR13" s="608" t="str">
        <f t="shared" si="29"/>
        <v>Xe-135</v>
      </c>
      <c r="FS13" s="609">
        <v>59100000000</v>
      </c>
      <c r="FT13" s="610">
        <v>16900000000</v>
      </c>
      <c r="FU13" s="610">
        <v>20300000000</v>
      </c>
      <c r="FV13" s="610">
        <v>6450000000</v>
      </c>
      <c r="FW13" s="610">
        <v>103000000000</v>
      </c>
      <c r="FX13" s="614">
        <f ca="1" t="shared" si="30"/>
        <v>0.751099830795262</v>
      </c>
      <c r="FY13" s="614">
        <f ca="1" t="shared" si="38"/>
        <v>1.01871973960461</v>
      </c>
      <c r="FZ13" s="614">
        <f ca="1" t="shared" si="39"/>
        <v>0.437085019495698</v>
      </c>
      <c r="GA13" s="614">
        <f ca="1" t="shared" si="40"/>
        <v>2.05677329599863</v>
      </c>
      <c r="GB13" s="614">
        <f ca="1" t="shared" si="41"/>
        <v>0.813061915090017</v>
      </c>
      <c r="GC13" s="455">
        <f ca="1" t="shared" si="31"/>
        <v>0.813075493297409</v>
      </c>
      <c r="GE13" s="609">
        <v>12107517435.6001</v>
      </c>
      <c r="GF13" s="610">
        <v>2442318390.67051</v>
      </c>
      <c r="GG13" s="610">
        <v>3481234608.32105</v>
      </c>
      <c r="GH13" s="610">
        <v>1384659174.06405</v>
      </c>
      <c r="GI13" s="610">
        <v>374626502.279607</v>
      </c>
      <c r="GJ13" s="610">
        <v>6607156.77193609</v>
      </c>
      <c r="GK13" s="617">
        <v>19796963267.7073</v>
      </c>
      <c r="GL13" s="614">
        <f ca="1">H13/GE13</f>
        <v>3.66631724761996</v>
      </c>
      <c r="GM13" s="614">
        <f ca="1">(I13+J13)/GF13</f>
        <v>7.04918886296039</v>
      </c>
      <c r="GN13" s="614">
        <f ca="1">K13/GG13</f>
        <v>2.54875838432558</v>
      </c>
      <c r="GO13" s="614">
        <f ca="1">L13/(GH13+GI13)</f>
        <v>7.54066717962623</v>
      </c>
      <c r="GP13" s="614">
        <f ca="1">M13/GJ13</f>
        <v>0.211672798105771</v>
      </c>
      <c r="GQ13" s="614">
        <f ca="1">N13/GK13</f>
        <v>4.23028394189327</v>
      </c>
      <c r="GR13" s="451">
        <f>Z13</f>
        <v>2.10657421760255e-5</v>
      </c>
      <c r="GS13" s="390">
        <f>LN(2)/GR13</f>
        <v>32904.0000000001</v>
      </c>
    </row>
    <row r="14" spans="1:201">
      <c r="A14" s="425"/>
      <c r="B14" s="407" t="s">
        <v>264</v>
      </c>
      <c r="C14" s="426">
        <v>1</v>
      </c>
      <c r="D14" s="409" t="s">
        <v>163</v>
      </c>
      <c r="E14" s="410"/>
      <c r="G14" s="411" t="s">
        <v>55</v>
      </c>
      <c r="H14" s="412">
        <f ca="1">AU14</f>
        <v>8804076000</v>
      </c>
      <c r="I14" s="412">
        <f ca="1" t="shared" si="1"/>
        <v>691839799.742394</v>
      </c>
      <c r="J14" s="412">
        <f ca="1">CK14</f>
        <v>6751534142.34641</v>
      </c>
      <c r="K14" s="412">
        <f ca="1">DF14</f>
        <v>10879038305.0869</v>
      </c>
      <c r="L14" s="412">
        <f ca="1">EA14+EV14</f>
        <v>78308118853.3797</v>
      </c>
      <c r="M14" s="412">
        <f ca="1">FQ14</f>
        <v>19675524622.9157</v>
      </c>
      <c r="N14" s="412">
        <f ca="1">SUM(H14:M14)</f>
        <v>125110131723.471</v>
      </c>
      <c r="O14" s="450">
        <f ca="1">AS14</f>
        <v>8804076000</v>
      </c>
      <c r="P14" s="451"/>
      <c r="Q14" s="477" t="str">
        <f t="shared" si="0"/>
        <v>I-131</v>
      </c>
      <c r="R14" s="412">
        <f ca="1">H14</f>
        <v>8804076000</v>
      </c>
      <c r="S14" s="412">
        <f ca="1">I14*(1-过滤效率!$B11)</f>
        <v>34591989.9871197</v>
      </c>
      <c r="T14" s="412">
        <f ca="1">J14*(1-过滤效率!$B11)</f>
        <v>337576707.117321</v>
      </c>
      <c r="U14" s="412">
        <f ca="1">K14*(1-过滤效率!$B11)</f>
        <v>543951915.254343</v>
      </c>
      <c r="V14" s="412">
        <f ca="1">L14*(1-过滤效率!$B11)</f>
        <v>3915405942.66899</v>
      </c>
      <c r="W14" s="412">
        <f ca="1">M14*(1-过滤效率!$B11)</f>
        <v>983776231.145785</v>
      </c>
      <c r="X14" s="412">
        <f ca="1">SUM(R14:W14)</f>
        <v>14619378786.1736</v>
      </c>
      <c r="Y14" s="493"/>
      <c r="Z14" s="494">
        <f>VLOOKUP(G14,衰变常数!$A$1:$H$3800,7,FALSE)</f>
        <v>9.99668118007245e-7</v>
      </c>
      <c r="AA14" s="495">
        <f>正常源项!C11</f>
        <v>2.27e+17</v>
      </c>
      <c r="AB14" s="496">
        <f>正常源项!F11</f>
        <v>0</v>
      </c>
      <c r="AC14" s="496">
        <f>正常源项!I11</f>
        <v>19600000</v>
      </c>
      <c r="AD14" s="497"/>
      <c r="AE14" s="496">
        <f>正常源项!O11</f>
        <v>435000000000</v>
      </c>
      <c r="AF14" s="498">
        <f t="shared" ref="AF14:AF23" si="78">AC14*$C$6</f>
        <v>84476000</v>
      </c>
      <c r="AG14" s="519">
        <f>AE14*MIN(100%,$C$7/500*10)</f>
        <v>8700000000</v>
      </c>
      <c r="AH14" s="523">
        <v>1</v>
      </c>
      <c r="AI14" s="519">
        <f t="shared" ref="AI14:AI26" si="79">AE14*AH14*$C$9</f>
        <v>0</v>
      </c>
      <c r="AJ14" s="521"/>
      <c r="AK14" s="521"/>
      <c r="AL14" s="519">
        <f t="shared" si="42"/>
        <v>33210100</v>
      </c>
      <c r="AM14" s="520">
        <f t="shared" si="2"/>
        <v>953400000000</v>
      </c>
      <c r="AN14" s="519">
        <f ca="1">MAX(INDIRECT("'"&amp;$B$2&amp;"-事故进程'!Y"&amp;(ROW()+22)),INDIRECT("'"&amp;$B$2&amp;"-事故进程'!Z"&amp;(ROW()+22)),INDIRECT("'"&amp;$B$2&amp;"-事故进程'!AA"&amp;(ROW()+22)))</f>
        <v>1.25504687751411e-11</v>
      </c>
      <c r="AO14" s="519">
        <f ca="1" t="shared" si="3"/>
        <v>0</v>
      </c>
      <c r="AP14" s="560">
        <f t="shared" si="4"/>
        <v>2.27e+17</v>
      </c>
      <c r="AQ14" s="561">
        <f ca="1">(AC14*$C$5+AD14*$C$8+AF14+AG14+AI14+(AL14+AM14)*$C$10)*EXP(-Z14*$C$12*3600)+AO14*$C$11</f>
        <v>8804076000</v>
      </c>
      <c r="AR14" s="562">
        <f ca="1">AQ14*(1-AR$3)</f>
        <v>0</v>
      </c>
      <c r="AS14" s="563">
        <f ca="1" t="shared" si="5"/>
        <v>8804076000</v>
      </c>
      <c r="AT14" s="562">
        <f ca="1">AS14*(1-AT$3)</f>
        <v>0</v>
      </c>
      <c r="AU14" s="564">
        <f ca="1">AS14-AT14</f>
        <v>8804076000</v>
      </c>
      <c r="AV14" s="565">
        <f>AV$3*3600</f>
        <v>7200</v>
      </c>
      <c r="AW14" s="580">
        <f>AP14*EXP(-Z14*AW$3*3600)</f>
        <v>2.27e+17</v>
      </c>
      <c r="AX14" s="580">
        <f ca="1">AR14</f>
        <v>0</v>
      </c>
      <c r="AY14" s="581">
        <f ca="1">AT14</f>
        <v>0</v>
      </c>
      <c r="AZ14" s="580">
        <v>0</v>
      </c>
      <c r="BA14" s="580">
        <f ca="1" t="shared" si="32"/>
        <v>3.30377728087424e-12</v>
      </c>
      <c r="BB14" s="580">
        <f ca="1">SUM(BA$3,-LN(1-BB$3)/AV14)</f>
        <v>3.92016660325749e-5</v>
      </c>
      <c r="BC14" s="580">
        <f>BC$3/24/3600</f>
        <v>1157407407407410</v>
      </c>
      <c r="BD14" s="582">
        <f ca="1">EXP(-AV14*($Z14+BA14))</f>
        <v>0.992828206697422</v>
      </c>
      <c r="BE14" s="582">
        <f ca="1">EXP(-AV14*($Z14+BB14))</f>
        <v>0.74867552080115</v>
      </c>
      <c r="BF14" s="582">
        <f>EXP(-AV14*($Z14+BC14))</f>
        <v>0</v>
      </c>
      <c r="BG14" s="582">
        <f ca="1">AW14*BA14+AX14*(BA14-BB14)</f>
        <v>749957.442758453</v>
      </c>
      <c r="BH14" s="582">
        <f ca="1">(AW14*BB14*BA14/(BA14-BC14)+AX14*BB14)/(BB14-BC14)+AY14</f>
        <v>2.1946669774687e-29</v>
      </c>
      <c r="BI14" s="582">
        <f ca="1" t="shared" si="6"/>
        <v>1.00000008427646</v>
      </c>
      <c r="BJ14" s="580">
        <f ca="1">AW14*BD14</f>
        <v>2.25372002920315e+17</v>
      </c>
      <c r="BK14" s="580">
        <f ca="1">BA14/(BB14-BA14)*BJ14+(AX14-AW14*BA14/(BB14-BA14))*BE14</f>
        <v>4670825450.03551</v>
      </c>
      <c r="BL14" s="586">
        <f ca="1">BF14*BH14+BI14*(BE14*BG14/(BB14-BC14)-BJ14*BA14/(BA14-BC14))</f>
        <v>1.58201976431874e-10</v>
      </c>
      <c r="BM14" s="594">
        <f ca="1">(AW14+AX14+AY14+AZ14)*EXP(-$Z14*AV14)-BJ14-BK14-BL14</f>
        <v>690142709.964493</v>
      </c>
      <c r="BN14" s="580">
        <f ca="1">AW14*BA14/($Z14+BA14)*(1-BD14)</f>
        <v>5380307617.06903</v>
      </c>
      <c r="BO14" s="580">
        <f ca="1">BI14*(BN14-(1-BE14)*BG14/($Z14+BB14))</f>
        <v>691839799.742395</v>
      </c>
      <c r="BP14" s="595">
        <f ca="1">BC14*(1-BF14)*BH14/($Z14+BC14)+BC14*BI14*((1-BE14)*BG14/($Z14+BB14)/(BB14-BC14)-BN14/(BA14-BC14))</f>
        <v>691839799.742394</v>
      </c>
      <c r="BQ14" s="596">
        <f>BQ$3*3600</f>
        <v>21600</v>
      </c>
      <c r="BR14" s="580">
        <f ca="1" t="shared" ref="BR14:BT14" si="80">BJ14</f>
        <v>2.25372002920315e+17</v>
      </c>
      <c r="BS14" s="580">
        <f ca="1" t="shared" si="80"/>
        <v>4670825450.03551</v>
      </c>
      <c r="BT14" s="581">
        <f ca="1" t="shared" si="80"/>
        <v>1.58201976431874e-10</v>
      </c>
      <c r="BU14" s="580">
        <f ca="1">BM14</f>
        <v>690142709.964493</v>
      </c>
      <c r="BV14" s="580">
        <f ca="1">MAX(INDIRECT("'"&amp;$B$2&amp;"-事故进程'!Z"&amp;(ROW()+22)),INDIRECT("'"&amp;$B$2&amp;"-事故进程'!AA"&amp;(ROW()+22)))</f>
        <v>1.25504687751411e-11</v>
      </c>
      <c r="BW14" s="580">
        <f ca="1">SUM(BV$3,-LN(1-BW$3)/BQ14)</f>
        <v>9.67910672705165e-6</v>
      </c>
      <c r="BX14" s="580">
        <f>BX$3/24/3600</f>
        <v>1157407407407410</v>
      </c>
      <c r="BY14" s="582">
        <f ca="1">EXP(-BQ14*($Z14+BV14))</f>
        <v>0.978638359609307</v>
      </c>
      <c r="BZ14" s="582">
        <f ca="1">EXP(-BQ14*($Z14+BW14))</f>
        <v>0.794008163220856</v>
      </c>
      <c r="CA14" s="582">
        <f>EXP(-BQ14*($Z14+BX14))</f>
        <v>0</v>
      </c>
      <c r="CB14" s="582">
        <f ca="1">BR14*BV14+BS14*(BV14-BW14)</f>
        <v>2783314.92602915</v>
      </c>
      <c r="CC14" s="582">
        <f ca="1">(BR14*BW14*BV14/(BV14-BX14)+BS14*BW14)/(BW14-BX14)+BT14</f>
        <v>1.1914103925022e-10</v>
      </c>
      <c r="CD14" s="582">
        <f ca="1" t="shared" si="8"/>
        <v>1.00000129665737</v>
      </c>
      <c r="CE14" s="580">
        <f ca="1">BR14*BY14</f>
        <v>2.20557687239801e+17</v>
      </c>
      <c r="CF14" s="580">
        <f ca="1">BV14/(BW14-BV14)*CE14+(BS14-BR14*BV14/(BW14-BV14))*BZ14</f>
        <v>57663205312.0393</v>
      </c>
      <c r="CG14" s="586">
        <f ca="1">CA14*CC14+CD14*(BZ14*CB14/(BW14-BX14)-CE14*BV14/(BV14-BX14))</f>
        <v>4.822228671314e-10</v>
      </c>
      <c r="CH14" s="594">
        <f ca="1">(BR14+BS14+BT14+BU14)*EXP(-$Z14*BQ14)-CE14-CF14-CG14</f>
        <v>7374264447.96069</v>
      </c>
      <c r="CI14" s="580">
        <f ca="1">BR14*BV14/($Z14+BV14)*(1-BY14)</f>
        <v>60441219408.6679</v>
      </c>
      <c r="CJ14" s="580">
        <f ca="1">CD14*(CI14-(1-BZ14)*CB14/($Z14+BW14))</f>
        <v>6751534142.34641</v>
      </c>
      <c r="CK14" s="595">
        <f ca="1">BX14*(1-CA14)*CC14/($Z14+BX14)+BX14*CD14*((1-BZ14)*CB14/($Z14+BW14)/(BW14-BX14)-CI14/(BV14-BX14))</f>
        <v>6751534142.34641</v>
      </c>
      <c r="CL14" s="596">
        <f>CL$3*3600</f>
        <v>57600</v>
      </c>
      <c r="CM14" s="580">
        <f ca="1" t="shared" ref="CM14:CO14" si="81">CE14</f>
        <v>2.20557687239801e+17</v>
      </c>
      <c r="CN14" s="580">
        <f ca="1" t="shared" si="81"/>
        <v>57663205312.0393</v>
      </c>
      <c r="CO14" s="581">
        <f ca="1" t="shared" si="81"/>
        <v>4.822228671314e-10</v>
      </c>
      <c r="CP14" s="580">
        <f ca="1">CH14</f>
        <v>7374264447.96069</v>
      </c>
      <c r="CQ14" s="580">
        <f ca="1">MAX(INDIRECT("'"&amp;$B$2&amp;"-事故进程'!AA"&amp;(ROW()+22)),INDIRECT("'"&amp;$B$2&amp;"-事故进程'!AB"&amp;(ROW()+22)))</f>
        <v>2.24251832538325e-11</v>
      </c>
      <c r="CR14" s="580">
        <f ca="1">SUM(CQ$3,-LN(1-CR$3)/CL14)</f>
        <v>9.99426851876734e-7</v>
      </c>
      <c r="CS14" s="580">
        <f>CS$3/24/3600</f>
        <v>1157407407407410</v>
      </c>
      <c r="CT14" s="582">
        <f ca="1">EXP(-CL14*($Z14+CQ14))</f>
        <v>0.944044310086023</v>
      </c>
      <c r="CU14" s="582">
        <f ca="1">EXP(-CL14*($Z14+CR14))</f>
        <v>0.891234347103291</v>
      </c>
      <c r="CV14" s="582">
        <f>EXP(-CL14*($Z14+CS14))</f>
        <v>0</v>
      </c>
      <c r="CW14" s="582">
        <f ca="1">CM14*CQ14+CN14*(CQ14-CR14)</f>
        <v>4888417.69174782</v>
      </c>
      <c r="CX14" s="582">
        <f ca="1">(CM14*CR14*CQ14/(CQ14-CS14)+CN14*CR14)/(CR14-CS14)+CO14</f>
        <v>4.32430412559828e-10</v>
      </c>
      <c r="CY14" s="582">
        <f ca="1" t="shared" si="10"/>
        <v>1.00002243854705</v>
      </c>
      <c r="CZ14" s="580">
        <f ca="1">CM14*CT14</f>
        <v>2.08216229684466e+17</v>
      </c>
      <c r="DA14" s="580">
        <f ca="1">CQ14/(CR14-CQ14)*CZ14+(CN14-CM14*CQ14/(CR14-CQ14))*CU14</f>
        <v>312747621358.15</v>
      </c>
      <c r="DB14" s="586">
        <f ca="1">CV14*CX14+CY14*(CU14*CW14/(CR14-CS14)-CZ14*CQ14/(CQ14-CS14))</f>
        <v>2.70059072238068e-10</v>
      </c>
      <c r="DC14" s="594">
        <f ca="1">(CM14+CN14+CO14+CP14)*EXP(-$Z14*CL14)-CZ14-DA14-DB14</f>
        <v>17601822321.8501</v>
      </c>
      <c r="DD14" s="580">
        <f ca="1">CM14*CQ14/($Z14+CQ14)*(1-CT14)</f>
        <v>276845118904.99</v>
      </c>
      <c r="DE14" s="580">
        <f ca="1">CY14*(DD14-(1-CU14)*CW14/($Z14+CR14))</f>
        <v>10879038305.0869</v>
      </c>
      <c r="DF14" s="595">
        <f ca="1">CS14*(1-CV14)*CX14/($Z14+CS14)+CS14*CY14*((1-CU14)*CW14/($Z14+CR14)/(CR14-CS14)-DD14/(CQ14-CS14))</f>
        <v>10879038305.0869</v>
      </c>
      <c r="DG14" s="596">
        <f>DG$3*3600</f>
        <v>86400</v>
      </c>
      <c r="DH14" s="580">
        <f ca="1" t="shared" ref="DH14:DK14" si="82">CZ14</f>
        <v>2.08216229684466e+17</v>
      </c>
      <c r="DI14" s="580">
        <f ca="1" t="shared" si="82"/>
        <v>312747621358.15</v>
      </c>
      <c r="DJ14" s="581">
        <f ca="1" t="shared" si="82"/>
        <v>2.70059072238068e-10</v>
      </c>
      <c r="DK14" s="580">
        <f ca="1" t="shared" si="82"/>
        <v>17601822321.8501</v>
      </c>
      <c r="DL14" s="580">
        <f ca="1">MAX(INDIRECT("'"&amp;$B$2&amp;"-事故进程'!AB"&amp;(ROW()+22)),INDIRECT("'"&amp;$B$2&amp;"-事故进程'!AC"&amp;(ROW()+22)))</f>
        <v>4.64742771888971e-11</v>
      </c>
      <c r="DM14" s="580">
        <f ca="1">SUM(DL$3,-LN(1-DM$3)/DG14)</f>
        <v>1.07814939005043e-6</v>
      </c>
      <c r="DN14" s="580">
        <f>DN$3/24/3600</f>
        <v>1157407407407410</v>
      </c>
      <c r="DO14" s="582">
        <f ca="1">EXP(-DG14*($Z14+DL14))</f>
        <v>0.917249885319331</v>
      </c>
      <c r="DP14" s="582">
        <f ca="1">EXP(-DG14*($Z14+DM14))</f>
        <v>0.835668368750732</v>
      </c>
      <c r="DQ14" s="582">
        <f>EXP(-DG14*($Z14+DN14))</f>
        <v>0</v>
      </c>
      <c r="DR14" s="582">
        <f ca="1">DH14*DL14+DI14*(DL14-DM14)</f>
        <v>9339524.65109559</v>
      </c>
      <c r="DS14" s="582">
        <f ca="1">(DH14*DM14*DL14/(DL14-DN14)+DI14*DM14)/(DM14-DN14)+DJ14</f>
        <v>-2.1271927588791e-11</v>
      </c>
      <c r="DT14" s="582">
        <f ca="1" t="shared" si="12"/>
        <v>1.00004310745895</v>
      </c>
      <c r="DU14" s="580">
        <f ca="1">DH14*DO14</f>
        <v>1.909863127997e+17</v>
      </c>
      <c r="DV14" s="580">
        <f ca="1">DL14/(DM14-DL14)*DU14+(DI14-DH14*DL14/(DM14-DL14))*DP14</f>
        <v>993602275421.068</v>
      </c>
      <c r="DW14" s="586">
        <f ca="1">DQ14*DS14+DT14*(DP14*DR14/(DM14-DN14)-DU14*DL14/(DL14-DN14))</f>
        <v>9.25561457739027e-10</v>
      </c>
      <c r="DX14" s="594">
        <f ca="1">(DH14+DI14+DJ14+DK14)*EXP(-$Z14*DG14)-DU14-DV14-DW14</f>
        <v>76295622882.9316</v>
      </c>
      <c r="DY14" s="580">
        <f ca="1">DH14*DL14/($Z14+DL14)*(1-DO14)</f>
        <v>800976538128.246</v>
      </c>
      <c r="DZ14" s="580">
        <f ca="1">DT14*(DY14-(1-DP14)*DR14/($Z14+DM14))</f>
        <v>62329504653.0851</v>
      </c>
      <c r="EA14" s="595">
        <f ca="1">DN14*(1-DQ14)*DS14/($Z14+DN14)+DN14*DT14*((1-DP14)*DR14/($Z14+DM14)/(DM14-DN14)-DY14/(DL14-DN14))</f>
        <v>62329504653.0851</v>
      </c>
      <c r="EB14" s="596">
        <f>EB$3*3600</f>
        <v>172800</v>
      </c>
      <c r="EC14" s="580">
        <f ca="1" t="shared" ref="EC14:EF14" si="83">DU14</f>
        <v>1.909863127997e+17</v>
      </c>
      <c r="ED14" s="580">
        <f ca="1" t="shared" si="83"/>
        <v>993602275421.068</v>
      </c>
      <c r="EE14" s="581">
        <f ca="1" t="shared" si="83"/>
        <v>9.25561457739027e-10</v>
      </c>
      <c r="EF14" s="580">
        <f ca="1" t="shared" si="83"/>
        <v>76295622882.9316</v>
      </c>
      <c r="EG14" s="580">
        <f ca="1">MAX(INDIRECT("'"&amp;$B$2&amp;"-事故进程'!AC"&amp;(ROW()+22)),INDIRECT("'"&amp;$B$2&amp;"-事故进程'!AD"&amp;(ROW()+22)),INDIRECT("'"&amp;$B$2&amp;"-事故进程'!AE"&amp;(ROW()+22)))</f>
        <v>4.64742771888971e-11</v>
      </c>
      <c r="EH14" s="580">
        <f ca="1">SUM(EG$3,-LN(1-EH$3)/EB14)</f>
        <v>5.81616658188741e-8</v>
      </c>
      <c r="EI14" s="580">
        <f>EI$3/24/3600</f>
        <v>1157407407407410</v>
      </c>
      <c r="EJ14" s="582">
        <f ca="1">EXP(-EB14*($Z14+EG14))</f>
        <v>0.841347352118326</v>
      </c>
      <c r="EK14" s="582">
        <f ca="1">EXP(-EB14*($Z14+EH14))</f>
        <v>0.832940567711994</v>
      </c>
      <c r="EL14" s="582">
        <f>EXP(-EB14*($Z14+EI14))</f>
        <v>0</v>
      </c>
      <c r="EM14" s="582">
        <f ca="1">EC14*EG14+ED14*(EG14-EH14)</f>
        <v>8818207.45378633</v>
      </c>
      <c r="EN14" s="582">
        <f ca="1">(EC14*EH14*EG14/(EG14-EI14)+ED14*EH14)/(EH14-EI14)+EE14</f>
        <v>8.75631274875102e-10</v>
      </c>
      <c r="EO14" s="582">
        <f ca="1" t="shared" si="14"/>
        <v>1.00079969240324</v>
      </c>
      <c r="EP14" s="580">
        <f ca="1">EC14*EJ14</f>
        <v>1.6068582856487e+17</v>
      </c>
      <c r="EQ14" s="580">
        <f ca="1">EG14/(EH14-EG14)*EP14+(ED14-EC14*EG14/(EH14-EG14))*EK14</f>
        <v>2111582376949.31</v>
      </c>
      <c r="ER14" s="586">
        <f ca="1">EL14*EN14+EO14*(EK14*EM14/(EH14-EI14)-EP14*EG14/(EG14-EI14))</f>
        <v>1.06110560353378e-10</v>
      </c>
      <c r="ES14" s="594">
        <f ca="1">(EC14+ED14+EE14+EF14)*EXP(-$Z14*EB14)-EP14-EQ14-ER14</f>
        <v>79014334314.6875</v>
      </c>
      <c r="ET14" s="580">
        <f ca="1">EC14*EG14/($Z14+EG14)*(1-EJ14)</f>
        <v>1408595127204.71</v>
      </c>
      <c r="EU14" s="580">
        <f ca="1">EO14*(ET14-(1-EK14)*EM14/($Z14+EH14))</f>
        <v>15978614200.2945</v>
      </c>
      <c r="EV14" s="595">
        <f ca="1">EI14*(1-EL14)*EN14/($Z14+EI14)+EI14*EO14*((1-EK14)*EM14/($Z14+EH14)/(EH14-EI14)-ET14/(EG14-EI14))</f>
        <v>15978614200.2946</v>
      </c>
      <c r="EW14" s="596">
        <f>EW$3*3600</f>
        <v>2246400</v>
      </c>
      <c r="EX14" s="580">
        <f ca="1" t="shared" ref="EX14:FA14" si="84">EP14</f>
        <v>1.6068582856487e+17</v>
      </c>
      <c r="EY14" s="580">
        <f ca="1" t="shared" si="84"/>
        <v>2111582376949.31</v>
      </c>
      <c r="EZ14" s="581">
        <f ca="1" t="shared" si="84"/>
        <v>1.06110560353378e-10</v>
      </c>
      <c r="FA14" s="580">
        <f ca="1" t="shared" si="84"/>
        <v>79014334314.6875</v>
      </c>
      <c r="FB14" s="580">
        <f ca="1">INDIRECT("'"&amp;$B$2&amp;"-事故进程'!AE"&amp;(ROW()+22))</f>
        <v>2.38944424233005e-11</v>
      </c>
      <c r="FC14" s="580">
        <f ca="1">SUM(FB$3,-LN(1-FC$3)/EW14)</f>
        <v>4.47397429375955e-9</v>
      </c>
      <c r="FD14" s="580">
        <f>FD$3/24/3600</f>
        <v>1157407407407410</v>
      </c>
      <c r="FE14" s="582">
        <f ca="1" t="shared" si="16"/>
        <v>0.105852555740397</v>
      </c>
      <c r="FF14" s="582">
        <f ca="1" t="shared" si="17"/>
        <v>0.10479965530815</v>
      </c>
      <c r="FG14" s="582">
        <f t="shared" si="18"/>
        <v>0</v>
      </c>
      <c r="FH14" s="582">
        <f ca="1" t="shared" si="19"/>
        <v>3830101.56869354</v>
      </c>
      <c r="FI14" s="582">
        <f ca="1" t="shared" si="20"/>
        <v>9.7948209556964e-11</v>
      </c>
      <c r="FJ14" s="582">
        <f ca="1" t="shared" si="21"/>
        <v>1.00536944127331</v>
      </c>
      <c r="FK14" s="580">
        <f ca="1" t="shared" si="22"/>
        <v>1.70090056248548e+16</v>
      </c>
      <c r="FL14" s="580">
        <f ca="1" t="shared" si="23"/>
        <v>1129728354176.16</v>
      </c>
      <c r="FM14" s="586">
        <f ca="1" t="shared" si="24"/>
        <v>4.3669805318053e-12</v>
      </c>
      <c r="FN14" s="594">
        <f ca="1" t="shared" si="25"/>
        <v>15172329483.8437</v>
      </c>
      <c r="FO14" s="580">
        <f ca="1" t="shared" si="26"/>
        <v>3434135244204.32</v>
      </c>
      <c r="FP14" s="580">
        <f ca="1" t="shared" si="27"/>
        <v>19675524622.9157</v>
      </c>
      <c r="FQ14" s="595">
        <f ca="1" t="shared" si="28"/>
        <v>19675524622.9157</v>
      </c>
      <c r="FR14" s="608" t="str">
        <f t="shared" si="29"/>
        <v>I-131</v>
      </c>
      <c r="FS14" s="609">
        <v>9930000000</v>
      </c>
      <c r="FT14" s="610">
        <v>10500000000</v>
      </c>
      <c r="FU14" s="610">
        <v>30700000000</v>
      </c>
      <c r="FV14" s="610">
        <v>62900000000</v>
      </c>
      <c r="FW14" s="610">
        <v>114000000000</v>
      </c>
      <c r="FX14" s="614">
        <f ca="1" t="shared" si="30"/>
        <v>0.886613897280967</v>
      </c>
      <c r="FY14" s="614">
        <f ca="1" t="shared" si="38"/>
        <v>0.70889275638941</v>
      </c>
      <c r="FZ14" s="614">
        <f ca="1" t="shared" si="39"/>
        <v>0.354366068569604</v>
      </c>
      <c r="GA14" s="614">
        <f ca="1" t="shared" si="40"/>
        <v>1.2449621439329</v>
      </c>
      <c r="GB14" s="614">
        <f ca="1" t="shared" si="41"/>
        <v>0.924864974566275</v>
      </c>
      <c r="GC14" s="455">
        <f ca="1" t="shared" si="31"/>
        <v>1.09745729581992</v>
      </c>
      <c r="GE14" s="609">
        <v>98301235.7097423</v>
      </c>
      <c r="GF14" s="610">
        <v>1499248201.2518</v>
      </c>
      <c r="GG14" s="610">
        <v>6291027306.17642</v>
      </c>
      <c r="GH14" s="610">
        <v>10015619718.752</v>
      </c>
      <c r="GI14" s="610">
        <v>21912156382.3904</v>
      </c>
      <c r="GJ14" s="610">
        <v>64569064125.0896</v>
      </c>
      <c r="GK14" s="617">
        <v>104385416969.37</v>
      </c>
      <c r="GL14" s="614">
        <f ca="1">H14/GE14</f>
        <v>89.5622108555799</v>
      </c>
      <c r="GM14" s="614">
        <f ca="1">(I14+J14)/GF14</f>
        <v>4.96473761707631</v>
      </c>
      <c r="GN14" s="614">
        <f ca="1">K14/GG14</f>
        <v>1.72929440226813</v>
      </c>
      <c r="GO14" s="614">
        <f ca="1">L14/(GH14+GI14)</f>
        <v>2.45266436989884</v>
      </c>
      <c r="GP14" s="614">
        <f ca="1">M14/GJ14</f>
        <v>0.304720610241435</v>
      </c>
      <c r="GQ14" s="614">
        <f ca="1">N14/GK14</f>
        <v>1.19854032637703</v>
      </c>
      <c r="GR14" s="451">
        <f>Z14</f>
        <v>9.99668118007245e-7</v>
      </c>
      <c r="GS14" s="390">
        <f>LN(2)/GR14</f>
        <v>693377.3</v>
      </c>
    </row>
    <row r="15" spans="1:201">
      <c r="A15" s="419"/>
      <c r="B15" s="407" t="s">
        <v>265</v>
      </c>
      <c r="C15" s="426">
        <v>1</v>
      </c>
      <c r="D15" s="409" t="s">
        <v>163</v>
      </c>
      <c r="E15" s="410"/>
      <c r="G15" s="411" t="s">
        <v>56</v>
      </c>
      <c r="H15" s="412">
        <f ca="1">AU15</f>
        <v>2773910000</v>
      </c>
      <c r="I15" s="412">
        <f ca="1" t="shared" si="1"/>
        <v>6245063909.73926</v>
      </c>
      <c r="J15" s="412">
        <f ca="1">CK15</f>
        <v>18220728368.467</v>
      </c>
      <c r="K15" s="412">
        <f ca="1">DF15</f>
        <v>1765403993.35076</v>
      </c>
      <c r="L15" s="412">
        <f ca="1">EA15+EV15</f>
        <v>66056870.6072713</v>
      </c>
      <c r="M15" s="412">
        <f ca="1">FQ15</f>
        <v>0.000743411690092001</v>
      </c>
      <c r="N15" s="412">
        <f ca="1">SUM(H15:M15)</f>
        <v>29071163142.165</v>
      </c>
      <c r="O15" s="450">
        <f ca="1">AS15</f>
        <v>2773910000</v>
      </c>
      <c r="P15" s="451"/>
      <c r="Q15" s="477" t="str">
        <f t="shared" si="0"/>
        <v>I-132</v>
      </c>
      <c r="R15" s="412">
        <f ca="1">H15</f>
        <v>2773910000</v>
      </c>
      <c r="S15" s="412">
        <f ca="1">I15*(1-过滤效率!$B12)</f>
        <v>312253195.486963</v>
      </c>
      <c r="T15" s="412">
        <f ca="1">J15*(1-过滤效率!$B12)</f>
        <v>911036418.423351</v>
      </c>
      <c r="U15" s="412">
        <f ca="1">K15*(1-过滤效率!$B12)</f>
        <v>88270199.6675379</v>
      </c>
      <c r="V15" s="412">
        <f ca="1">L15*(1-过滤效率!$B12)</f>
        <v>3302843.53036357</v>
      </c>
      <c r="W15" s="412">
        <f ca="1">M15*(1-过滤效率!$B12)</f>
        <v>3.71705845046001e-5</v>
      </c>
      <c r="X15" s="412">
        <f ca="1">SUM(R15:W15)</f>
        <v>4088772657.10825</v>
      </c>
      <c r="Y15" s="493"/>
      <c r="Z15" s="494">
        <f>VLOOKUP(G15,衰变常数!$A$1:$H$3800,7,FALSE)</f>
        <v>8.38958097990735e-5</v>
      </c>
      <c r="AA15" s="495">
        <f>正常源项!C12</f>
        <v>3.35e+17</v>
      </c>
      <c r="AB15" s="496">
        <f>正常源项!F12</f>
        <v>0</v>
      </c>
      <c r="AC15" s="496">
        <f>正常源项!I12</f>
        <v>261000000</v>
      </c>
      <c r="AD15" s="497"/>
      <c r="AE15" s="496">
        <f>正常源项!O12</f>
        <v>69400000000</v>
      </c>
      <c r="AF15" s="498">
        <f t="shared" si="78"/>
        <v>1124910000</v>
      </c>
      <c r="AG15" s="519">
        <f>AE15*MIN(100%,$C$7/500*10)</f>
        <v>1388000000</v>
      </c>
      <c r="AH15" s="523">
        <v>1</v>
      </c>
      <c r="AI15" s="519">
        <f t="shared" si="79"/>
        <v>0</v>
      </c>
      <c r="AJ15" s="521"/>
      <c r="AK15" s="521"/>
      <c r="AL15" s="519">
        <f t="shared" si="42"/>
        <v>49010500</v>
      </c>
      <c r="AM15" s="520">
        <f t="shared" si="2"/>
        <v>1407000000000</v>
      </c>
      <c r="AN15" s="519">
        <f ca="1">MAX(INDIRECT("'"&amp;$B$2&amp;"-事故进程'!Y"&amp;(ROW()+22)),INDIRECT("'"&amp;$B$2&amp;"-事故进程'!Z"&amp;(ROW()+22)),INDIRECT("'"&amp;$B$2&amp;"-事故进程'!AA"&amp;(ROW()+22)))</f>
        <v>1.17931979441473e-10</v>
      </c>
      <c r="AO15" s="519">
        <f ca="1" t="shared" si="3"/>
        <v>0</v>
      </c>
      <c r="AP15" s="560">
        <f t="shared" si="4"/>
        <v>3.35e+17</v>
      </c>
      <c r="AQ15" s="561">
        <f ca="1">(AC15*$C$5+AD15*$C$8+AF15+AG15+AI15+(AL15+AM15)*$C$10)*EXP(-Z15*$C$12*3600)+AO15*$C$11</f>
        <v>2773910000</v>
      </c>
      <c r="AR15" s="562">
        <f ca="1">AQ15*(1-AR$3)</f>
        <v>0</v>
      </c>
      <c r="AS15" s="563">
        <f ca="1" t="shared" si="5"/>
        <v>2773910000</v>
      </c>
      <c r="AT15" s="562">
        <f ca="1">AS15*(1-AT$3)</f>
        <v>0</v>
      </c>
      <c r="AU15" s="564">
        <f ca="1">AS15-AT15</f>
        <v>2773910000</v>
      </c>
      <c r="AV15" s="565">
        <f>AV$3*3600</f>
        <v>7200</v>
      </c>
      <c r="AW15" s="580">
        <f>AP15*EXP(-Z15*AW$3*3600)</f>
        <v>3.35e+17</v>
      </c>
      <c r="AX15" s="580">
        <f ca="1">AR15</f>
        <v>0</v>
      </c>
      <c r="AY15" s="581">
        <f ca="1">AT15</f>
        <v>0</v>
      </c>
      <c r="AZ15" s="580">
        <v>0</v>
      </c>
      <c r="BA15" s="580">
        <f ca="1" t="shared" si="32"/>
        <v>2.96310438525152e-11</v>
      </c>
      <c r="BB15" s="580">
        <f ca="1">SUM(BA$3,-LN(1-BB$3)/AV15)</f>
        <v>3.92016660325749e-5</v>
      </c>
      <c r="BC15" s="580">
        <f>BC$3/24/3600</f>
        <v>1157407407407410</v>
      </c>
      <c r="BD15" s="582">
        <f ca="1">EXP(-AV15*($Z15+BA15))</f>
        <v>0.546593419845425</v>
      </c>
      <c r="BE15" s="582">
        <f ca="1">EXP(-AV15*($Z15+BB15))</f>
        <v>0.412177240814862</v>
      </c>
      <c r="BF15" s="582">
        <f>EXP(-AV15*($Z15+BC15))</f>
        <v>0</v>
      </c>
      <c r="BG15" s="582">
        <f ca="1">AW15*BA15+AX15*(BA15-BB15)</f>
        <v>9926399.69059259</v>
      </c>
      <c r="BH15" s="582">
        <f ca="1">(AW15*BB15*BA15/(BA15-BC15)+AX15*BB15)/(BB15-BC15)+AY15</f>
        <v>2.9048503773721e-28</v>
      </c>
      <c r="BI15" s="582">
        <f ca="1" t="shared" si="6"/>
        <v>1.00000075586242</v>
      </c>
      <c r="BJ15" s="580">
        <f ca="1">AW15*BD15</f>
        <v>1.83108795648217e+17</v>
      </c>
      <c r="BK15" s="580">
        <f ca="1">BA15/(BB15-BA15)*BJ15+(AX15-AW15*BA15/(BB15-BA15))*BE15</f>
        <v>34036046461.7623</v>
      </c>
      <c r="BL15" s="586">
        <f ca="1">BF15*BH15+BI15*(BE15*BG15/(BB15-BC15)-BJ15*BA15/(BA15-BC15))</f>
        <v>1.15280904366421e-9</v>
      </c>
      <c r="BM15" s="594">
        <f ca="1">(AW15+AX15+AY15+AZ15)*EXP(-$Z15*AV15)-BJ15-BK15-BL15</f>
        <v>5029031970.23766</v>
      </c>
      <c r="BN15" s="580">
        <f ca="1">AW15*BA15/($Z15+BA15)*(1-BD15)</f>
        <v>53646223311.3235</v>
      </c>
      <c r="BO15" s="580">
        <f ca="1">BI15*(BN15-(1-BE15)*BG15/($Z15+BB15))</f>
        <v>6245063909.73926</v>
      </c>
      <c r="BP15" s="595">
        <f ca="1">BC15*(1-BF15)*BH15/($Z15+BC15)+BC15*BI15*((1-BE15)*BG15/($Z15+BB15)/(BB15-BC15)-BN15/(BA15-BC15))</f>
        <v>6245063909.73926</v>
      </c>
      <c r="BQ15" s="596">
        <f>BQ$3*3600</f>
        <v>21600</v>
      </c>
      <c r="BR15" s="580">
        <f ca="1" t="shared" ref="BR15:BT15" si="85">BJ15</f>
        <v>1.83108795648217e+17</v>
      </c>
      <c r="BS15" s="580">
        <f ca="1" t="shared" si="85"/>
        <v>34036046461.7623</v>
      </c>
      <c r="BT15" s="581">
        <f ca="1" t="shared" si="85"/>
        <v>1.15280904366421e-9</v>
      </c>
      <c r="BU15" s="580">
        <f ca="1">BM15</f>
        <v>5029031970.23766</v>
      </c>
      <c r="BV15" s="580">
        <f ca="1">MAX(INDIRECT("'"&amp;$B$2&amp;"-事故进程'!Z"&amp;(ROW()+22)),INDIRECT("'"&amp;$B$2&amp;"-事故进程'!AA"&amp;(ROW()+22)))</f>
        <v>1.17931979441473e-10</v>
      </c>
      <c r="BW15" s="580">
        <f ca="1">SUM(BV$3,-LN(1-BW$3)/BQ15)</f>
        <v>9.67910672705165e-6</v>
      </c>
      <c r="BX15" s="580">
        <f>BX$3/24/3600</f>
        <v>1157407407407410</v>
      </c>
      <c r="BY15" s="582">
        <f ca="1">EXP(-BQ15*($Z15+BV15))</f>
        <v>0.163302325411002</v>
      </c>
      <c r="BZ15" s="582">
        <f ca="1">EXP(-BQ15*($Z15+BW15))</f>
        <v>0.132493962985916</v>
      </c>
      <c r="CA15" s="582">
        <f>EXP(-BQ15*($Z15+BX15))</f>
        <v>0</v>
      </c>
      <c r="CB15" s="582">
        <f ca="1">BR15*BV15+BS15*(BV15-BW15)</f>
        <v>21264948.2116066</v>
      </c>
      <c r="CC15" s="582">
        <f ca="1">(BR15*BW15*BV15/(BV15-BX15)+BS15*BW15)/(BW15-BX15)+BT15</f>
        <v>8.68174156966687e-10</v>
      </c>
      <c r="CD15" s="582">
        <f ca="1" t="shared" si="8"/>
        <v>1.00001218432854</v>
      </c>
      <c r="CE15" s="580">
        <f ca="1">BR15*BY15</f>
        <v>2.99020921325619e+16</v>
      </c>
      <c r="CF15" s="580">
        <f ca="1">BV15/(BW15-BV15)*CE15+(BS15-BR15*BV15/(BW15-BV15))*BZ15</f>
        <v>73244805671.1514</v>
      </c>
      <c r="CG15" s="586">
        <f ca="1">CA15*CC15+CD15*(BZ15*CB15/(BW15-BX15)-CE15*BV15/(BV15-BX15))</f>
        <v>6.12527867677352e-10</v>
      </c>
      <c r="CH15" s="594">
        <f ca="1">(BR15+BS15+BT15+BU15)*EXP(-$Z15*BQ15)-CE15-CF15-CG15</f>
        <v>9305244696.84863</v>
      </c>
      <c r="CI15" s="580">
        <f ca="1">BR15*BV15/($Z15+BV15)*(1-BY15)</f>
        <v>215361702265.515</v>
      </c>
      <c r="CJ15" s="580">
        <f ca="1">CD15*(CI15-(1-BZ15)*CB15/($Z15+BW15))</f>
        <v>18220728368.467</v>
      </c>
      <c r="CK15" s="595">
        <f ca="1">BX15*(1-CA15)*CC15/($Z15+BX15)+BX15*CD15*((1-BZ15)*CB15/($Z15+BW15)/(BW15-BX15)-CI15/(BV15-BX15))</f>
        <v>18220728368.467</v>
      </c>
      <c r="CL15" s="596">
        <f>CL$3*3600</f>
        <v>57600</v>
      </c>
      <c r="CM15" s="580">
        <f ca="1" t="shared" ref="CM15:CO15" si="86">CE15</f>
        <v>2.99020921325619e+16</v>
      </c>
      <c r="CN15" s="580">
        <f ca="1" t="shared" si="86"/>
        <v>73244805671.1514</v>
      </c>
      <c r="CO15" s="581">
        <f ca="1" t="shared" si="86"/>
        <v>6.12527867677352e-10</v>
      </c>
      <c r="CP15" s="580">
        <f ca="1">CH15</f>
        <v>9305244696.84863</v>
      </c>
      <c r="CQ15" s="580">
        <f ca="1">MAX(INDIRECT("'"&amp;$B$2&amp;"-事故进程'!AA"&amp;(ROW()+22)),INDIRECT("'"&amp;$B$2&amp;"-事故进程'!AB"&amp;(ROW()+22)))</f>
        <v>2.27091572838889e-10</v>
      </c>
      <c r="CR15" s="580">
        <f ca="1">SUM(CQ$3,-LN(1-CR$3)/CL15)</f>
        <v>9.99426851876734e-7</v>
      </c>
      <c r="CS15" s="580">
        <f>CS$3/24/3600</f>
        <v>1157407407407410</v>
      </c>
      <c r="CT15" s="582">
        <f ca="1">EXP(-CL15*($Z15+CQ15))</f>
        <v>0.00796728318155253</v>
      </c>
      <c r="CU15" s="582">
        <f ca="1">EXP(-CL15*($Z15+CR15))</f>
        <v>0.00752168098249207</v>
      </c>
      <c r="CV15" s="582">
        <f>EXP(-CL15*($Z15+CS15))</f>
        <v>0</v>
      </c>
      <c r="CW15" s="582">
        <f ca="1">CM15*CQ15+CN15*(CQ15-CR15)</f>
        <v>6717326.94128673</v>
      </c>
      <c r="CX15" s="582">
        <f ca="1">(CM15*CR15*CQ15/(CQ15-CS15)+CN15*CR15)/(CR15-CS15)+CO15</f>
        <v>5.49280626403671e-10</v>
      </c>
      <c r="CY15" s="582">
        <f ca="1" t="shared" si="10"/>
        <v>1.00022727344607</v>
      </c>
      <c r="CZ15" s="580">
        <f ca="1">CM15*CT15</f>
        <v>238238435740995</v>
      </c>
      <c r="DA15" s="580">
        <f ca="1">CQ15/(CR15-CQ15)*CZ15+(CN15-CM15*CQ15/(CR15-CQ15))*CU15</f>
        <v>3579215005.5694</v>
      </c>
      <c r="DB15" s="586">
        <f ca="1">CV15*CX15+CY15*(CU15*CW15/(CR15-CS15)-CZ15*CQ15/(CQ15-CS15))</f>
        <v>3.09066933761815e-12</v>
      </c>
      <c r="DC15" s="594">
        <f ca="1">(CM15+CN15+CO15+CP15)*EXP(-$Z15*CL15)-CZ15-DA15-DB15</f>
        <v>194785413.149345</v>
      </c>
      <c r="DD15" s="580">
        <f ca="1">CM15*CQ15/($Z15+CQ15)*(1-CT15)</f>
        <v>80294748621.4906</v>
      </c>
      <c r="DE15" s="580">
        <f ca="1">CY15*(DD15-(1-CU15)*CW15/($Z15+CR15))</f>
        <v>1765403993.35076</v>
      </c>
      <c r="DF15" s="595">
        <f ca="1">CS15*(1-CV15)*CX15/($Z15+CS15)+CS15*CY15*((1-CU15)*CW15/($Z15+CR15)/(CR15-CS15)-DD15/(CQ15-CS15))</f>
        <v>1765403993.35076</v>
      </c>
      <c r="DG15" s="596">
        <f>DG$3*3600</f>
        <v>86400</v>
      </c>
      <c r="DH15" s="580">
        <f ca="1" t="shared" ref="DH15:DK15" si="87">CZ15</f>
        <v>238238435740995</v>
      </c>
      <c r="DI15" s="580">
        <f ca="1" t="shared" si="87"/>
        <v>3579215005.5694</v>
      </c>
      <c r="DJ15" s="581">
        <f ca="1" t="shared" si="87"/>
        <v>3.09066933761815e-12</v>
      </c>
      <c r="DK15" s="580">
        <f ca="1" t="shared" si="87"/>
        <v>194785413.149345</v>
      </c>
      <c r="DL15" s="580">
        <f ca="1">MAX(INDIRECT("'"&amp;$B$2&amp;"-事故进程'!AB"&amp;(ROW()+22)),INDIRECT("'"&amp;$B$2&amp;"-事故进程'!AC"&amp;(ROW()+22)))</f>
        <v>5.76808771153386e-10</v>
      </c>
      <c r="DM15" s="580">
        <f ca="1">SUM(DL$3,-LN(1-DM$3)/DG15)</f>
        <v>1.07814939005043e-6</v>
      </c>
      <c r="DN15" s="580">
        <f>DN$3/24/3600</f>
        <v>1157407407407410</v>
      </c>
      <c r="DO15" s="582">
        <f ca="1">EXP(-DG15*($Z15+DL15))</f>
        <v>0.000711135334126296</v>
      </c>
      <c r="DP15" s="582">
        <f ca="1">EXP(-DG15*($Z15+DM15))</f>
        <v>0.000647915627904519</v>
      </c>
      <c r="DQ15" s="582">
        <f>EXP(-DG15*($Z15+DN15))</f>
        <v>0</v>
      </c>
      <c r="DR15" s="582">
        <f ca="1">DH15*DL15+DI15*(DL15-DM15)</f>
        <v>133561.155408763</v>
      </c>
      <c r="DS15" s="582">
        <f ca="1">(DH15*DM15*DL15/(DL15-DN15)+DI15*DM15)/(DM15-DN15)+DJ15</f>
        <v>-2.43444864880356e-13</v>
      </c>
      <c r="DT15" s="582">
        <f ca="1" t="shared" si="12"/>
        <v>1.00053528530808</v>
      </c>
      <c r="DU15" s="580">
        <f ca="1">DH15*DO15</f>
        <v>169419769602.398</v>
      </c>
      <c r="DV15" s="580">
        <f ca="1">DL15/(DM15-DL15)*DU15+(DI15-DH15*DL15/(DM15-DL15))*DP15</f>
        <v>10381156.1629075</v>
      </c>
      <c r="DW15" s="586">
        <f ca="1">DQ15*DS15+DT15*(DP15*DR15/(DM15-DN15)-DU15*DL15/(DL15-DN15))</f>
        <v>9.67026572788925e-15</v>
      </c>
      <c r="DX15" s="594">
        <f ca="1">(DH15+DI15+DJ15+DK15)*EXP(-$Z15*DG15)-DU15-DV15-DW15</f>
        <v>746263.74193871</v>
      </c>
      <c r="DY15" s="580">
        <f ca="1">DH15*DL15/($Z15+DL15)*(1-DO15)</f>
        <v>1636784396.85404</v>
      </c>
      <c r="DZ15" s="580">
        <f ca="1">DT15*(DY15-(1-DP15)*DR15/($Z15+DM15))</f>
        <v>66048871.8025932</v>
      </c>
      <c r="EA15" s="595">
        <f ca="1">DN15*(1-DQ15)*DS15/($Z15+DN15)+DN15*DT15*((1-DP15)*DR15/($Z15+DM15)/(DM15-DN15)-DY15/(DL15-DN15))</f>
        <v>66048871.8025933</v>
      </c>
      <c r="EB15" s="596">
        <f>EB$3*3600</f>
        <v>172800</v>
      </c>
      <c r="EC15" s="580">
        <f ca="1" t="shared" ref="EC15:EF15" si="88">DU15</f>
        <v>169419769602.398</v>
      </c>
      <c r="ED15" s="580">
        <f ca="1" t="shared" si="88"/>
        <v>10381156.1629075</v>
      </c>
      <c r="EE15" s="581">
        <f ca="1" t="shared" si="88"/>
        <v>9.67026572788925e-15</v>
      </c>
      <c r="EF15" s="580">
        <f ca="1" t="shared" si="88"/>
        <v>746263.74193871</v>
      </c>
      <c r="EG15" s="580">
        <f ca="1">MAX(INDIRECT("'"&amp;$B$2&amp;"-事故进程'!AC"&amp;(ROW()+22)),INDIRECT("'"&amp;$B$2&amp;"-事故进程'!AD"&amp;(ROW()+22)),INDIRECT("'"&amp;$B$2&amp;"-事故进程'!AE"&amp;(ROW()+22)))</f>
        <v>5.76808771153386e-10</v>
      </c>
      <c r="EH15" s="580">
        <f ca="1">SUM(EG$3,-LN(1-EH$3)/EB15)</f>
        <v>5.81616658188741e-8</v>
      </c>
      <c r="EI15" s="580">
        <f>EI$3/24/3600</f>
        <v>1157407407407410</v>
      </c>
      <c r="EJ15" s="582">
        <f ca="1">EXP(-EB15*($Z15+EG15))</f>
        <v>5.05713463442919e-7</v>
      </c>
      <c r="EK15" s="582">
        <f ca="1">EXP(-EB15*($Z15+EH15))</f>
        <v>5.00706232991285e-7</v>
      </c>
      <c r="EL15" s="582">
        <f>EXP(-EB15*($Z15+EI15))</f>
        <v>0</v>
      </c>
      <c r="EM15" s="582">
        <f ca="1">EC15*EG15+ED15*(EG15-EH15)</f>
        <v>97.1250117198182</v>
      </c>
      <c r="EN15" s="582">
        <f ca="1">(EC15*EH15*EG15/(EG15-EI15)+ED15*EH15)/(EH15-EI15)+EE15</f>
        <v>9.14859519796491e-15</v>
      </c>
      <c r="EO15" s="582">
        <f ca="1" t="shared" si="14"/>
        <v>1.01001667453434</v>
      </c>
      <c r="EP15" s="580">
        <f ca="1">EC15*EJ15</f>
        <v>85677.8584613304</v>
      </c>
      <c r="EQ15" s="580">
        <f ca="1">EG15/(EH15-EG15)*EP15+(ED15-EC15*EG15/(EH15-EG15))*EK15</f>
        <v>13.6952932958681</v>
      </c>
      <c r="ER15" s="586">
        <f ca="1">EL15*EN15+EO15*(EK15*EM15/(EH15-EI15)-EP15*EG15/(EG15-EI15))</f>
        <v>6.88211486178416e-22</v>
      </c>
      <c r="ES15" s="594">
        <f ca="1">(EC15+ED15+EE15+EF15)*EXP(-$Z15*EB15)-EP15-EQ15-ER15</f>
        <v>0.47271039572513</v>
      </c>
      <c r="ET15" s="580">
        <f ca="1">EC15*EG15/($Z15+EG15)*(1-EJ15)</f>
        <v>1164802.96285575</v>
      </c>
      <c r="EU15" s="580">
        <f ca="1">EO15*(ET15-(1-EK15)*EM15/($Z15+EH15))</f>
        <v>7998.80467799861</v>
      </c>
      <c r="EV15" s="595">
        <f ca="1">EI15*(1-EL15)*EN15/($Z15+EI15)+EI15*EO15*((1-EK15)*EM15/($Z15+EH15)/(EH15-EI15)-ET15/(EG15-EI15))</f>
        <v>7998.8046779984</v>
      </c>
      <c r="EW15" s="596">
        <f>EW$3*3600</f>
        <v>2246400</v>
      </c>
      <c r="EX15" s="580">
        <f ca="1" t="shared" ref="EX15:FA15" si="89">EP15</f>
        <v>85677.8584613304</v>
      </c>
      <c r="EY15" s="580">
        <f ca="1" t="shared" si="89"/>
        <v>13.6952932958681</v>
      </c>
      <c r="EZ15" s="581">
        <f ca="1" t="shared" si="89"/>
        <v>6.88211486178416e-22</v>
      </c>
      <c r="FA15" s="580">
        <f ca="1" t="shared" si="89"/>
        <v>0.47271039572513</v>
      </c>
      <c r="FB15" s="580">
        <f ca="1">INDIRECT("'"&amp;$B$2&amp;"-事故进程'!AE"&amp;(ROW()+22))</f>
        <v>2.40766709700896e-10</v>
      </c>
      <c r="FC15" s="580">
        <f ca="1">SUM(FB$3,-LN(1-FC$3)/EW15)</f>
        <v>4.47397429375955e-9</v>
      </c>
      <c r="FD15" s="580">
        <f>FD$3/24/3600</f>
        <v>1157407407407410</v>
      </c>
      <c r="FE15" s="582">
        <f ca="1" t="shared" si="16"/>
        <v>1.4160759552361e-82</v>
      </c>
      <c r="FF15" s="582">
        <f ca="1" t="shared" si="17"/>
        <v>1.40267363829116e-82</v>
      </c>
      <c r="FG15" s="582">
        <f t="shared" si="18"/>
        <v>0</v>
      </c>
      <c r="FH15" s="582">
        <f ca="1" t="shared" si="19"/>
        <v>2.05704010565076e-5</v>
      </c>
      <c r="FI15" s="582">
        <f ca="1" t="shared" si="20"/>
        <v>6.35272141087769e-22</v>
      </c>
      <c r="FJ15" s="582">
        <f ca="1" t="shared" si="21"/>
        <v>1.0568757153813</v>
      </c>
      <c r="FK15" s="580">
        <f ca="1" t="shared" si="22"/>
        <v>1.21326355263211e-77</v>
      </c>
      <c r="FL15" s="580">
        <f ca="1" t="shared" si="23"/>
        <v>8.45193765202653e-81</v>
      </c>
      <c r="FM15" s="586">
        <f ca="1" t="shared" si="24"/>
        <v>3.26710815445081e-104</v>
      </c>
      <c r="FN15" s="594">
        <f ca="1" t="shared" si="25"/>
        <v>1.19256656511097e-82</v>
      </c>
      <c r="FO15" s="580">
        <f ca="1" t="shared" si="26"/>
        <v>0.245880180733642</v>
      </c>
      <c r="FP15" s="580">
        <f ca="1" t="shared" si="27"/>
        <v>0.000743411690091988</v>
      </c>
      <c r="FQ15" s="595">
        <f ca="1" t="shared" si="28"/>
        <v>0.000743411690092001</v>
      </c>
      <c r="FR15" s="608" t="str">
        <f t="shared" si="29"/>
        <v>I-132</v>
      </c>
      <c r="FS15" s="609">
        <v>5610000000</v>
      </c>
      <c r="FT15" s="610">
        <v>49800000000</v>
      </c>
      <c r="FU15" s="610">
        <v>7420000000</v>
      </c>
      <c r="FV15" s="610">
        <v>46100000</v>
      </c>
      <c r="FW15" s="610">
        <v>62900000000</v>
      </c>
      <c r="FX15" s="614">
        <f ca="1" t="shared" si="30"/>
        <v>0.494458110516934</v>
      </c>
      <c r="FY15" s="614">
        <f ca="1" t="shared" si="38"/>
        <v>0.491280969441893</v>
      </c>
      <c r="FZ15" s="614">
        <f ca="1" t="shared" si="39"/>
        <v>0.23792506648932</v>
      </c>
      <c r="GA15" s="614">
        <f ca="1" t="shared" si="40"/>
        <v>1.43290391772823</v>
      </c>
      <c r="GB15" s="614">
        <f ca="1" t="shared" si="41"/>
        <v>0.462180654088463</v>
      </c>
      <c r="GC15" s="455">
        <f ca="1" t="shared" si="31"/>
        <v>0.462180654088474</v>
      </c>
      <c r="GE15" s="609">
        <v>1207945712.85162</v>
      </c>
      <c r="GF15" s="610">
        <v>1952000830.14714</v>
      </c>
      <c r="GG15" s="610">
        <v>398464061.029298</v>
      </c>
      <c r="GH15" s="610">
        <v>3988575.67204151</v>
      </c>
      <c r="GI15" s="610">
        <v>24342.6356771423</v>
      </c>
      <c r="GJ15" s="610">
        <v>0.00132004220425357</v>
      </c>
      <c r="GK15" s="617">
        <v>3562423522.33709</v>
      </c>
      <c r="GL15" s="614">
        <f ca="1">H15/GE15</f>
        <v>2.29638631147718</v>
      </c>
      <c r="GM15" s="614">
        <f ca="1">(I15+J15)/GF15</f>
        <v>12.5336997302209</v>
      </c>
      <c r="GN15" s="614">
        <f ca="1">K15/GG15</f>
        <v>4.43052251385088</v>
      </c>
      <c r="GO15" s="614">
        <f ca="1">L15/(GH15+GI15)</f>
        <v>16.4610554070374</v>
      </c>
      <c r="GP15" s="614">
        <f ca="1">M15/GJ15</f>
        <v>0.563172668037815</v>
      </c>
      <c r="GQ15" s="614">
        <f ca="1">N15/GK15</f>
        <v>8.16050168091558</v>
      </c>
      <c r="GR15" s="451">
        <f>Z15</f>
        <v>8.38958097990735e-5</v>
      </c>
      <c r="GS15" s="390">
        <f>LN(2)/GR15</f>
        <v>8262</v>
      </c>
    </row>
    <row r="16" spans="1:201">
      <c r="A16" s="421" t="s">
        <v>161</v>
      </c>
      <c r="B16" s="427"/>
      <c r="C16" s="428"/>
      <c r="D16" s="410"/>
      <c r="E16" s="410"/>
      <c r="G16" s="411" t="s">
        <v>57</v>
      </c>
      <c r="H16" s="412">
        <f ca="1" t="shared" ref="H16:H27" si="90">AU16</f>
        <v>6351890000</v>
      </c>
      <c r="I16" s="412">
        <f ca="1" t="shared" si="1"/>
        <v>4078435681.79339</v>
      </c>
      <c r="J16" s="412">
        <f ca="1" t="shared" ref="J16:J27" si="91">CK16</f>
        <v>35935905379.7983</v>
      </c>
      <c r="K16" s="412">
        <f ca="1" t="shared" ref="K16:K27" si="92">DF16</f>
        <v>42693105834.0653</v>
      </c>
      <c r="L16" s="412">
        <f ca="1" t="shared" ref="L16:L27" si="93">EA16+EV16</f>
        <v>163668627665.308</v>
      </c>
      <c r="M16" s="412">
        <f ca="1" t="shared" ref="M16:M27" si="94">FQ16</f>
        <v>529313782.152987</v>
      </c>
      <c r="N16" s="412">
        <f ca="1" t="shared" ref="N16:N27" si="95">SUM(H16:M16)</f>
        <v>253257278343.117</v>
      </c>
      <c r="O16" s="450">
        <f ca="1" t="shared" ref="O16:O27" si="96">AS16</f>
        <v>6351890000</v>
      </c>
      <c r="P16" s="451"/>
      <c r="Q16" s="477" t="str">
        <f t="shared" si="0"/>
        <v>I-133</v>
      </c>
      <c r="R16" s="412">
        <f ca="1" t="shared" ref="R16:R27" si="97">H16</f>
        <v>6351890000</v>
      </c>
      <c r="S16" s="412">
        <f ca="1">I16*(1-过滤效率!$B13)</f>
        <v>203921784.08967</v>
      </c>
      <c r="T16" s="412">
        <f ca="1">J16*(1-过滤效率!$B13)</f>
        <v>1796795268.98992</v>
      </c>
      <c r="U16" s="412">
        <f ca="1">K16*(1-过滤效率!$B13)</f>
        <v>2134655291.70327</v>
      </c>
      <c r="V16" s="412">
        <f ca="1">L16*(1-过滤效率!$B13)</f>
        <v>8183431383.26538</v>
      </c>
      <c r="W16" s="412">
        <f ca="1">M16*(1-过滤效率!$B13)</f>
        <v>26465689.1076494</v>
      </c>
      <c r="X16" s="412">
        <f ca="1" t="shared" ref="X16:X27" si="98">SUM(R16:W16)</f>
        <v>18697159417.1559</v>
      </c>
      <c r="Y16" s="493"/>
      <c r="Z16" s="494">
        <f>VLOOKUP(G16,衰变常数!$A$1:$H$3800,7,FALSE)</f>
        <v>9.25677324465738e-6</v>
      </c>
      <c r="AA16" s="495">
        <f>正常源项!C13</f>
        <v>4.55e+17</v>
      </c>
      <c r="AB16" s="496">
        <f>正常源项!F13</f>
        <v>0</v>
      </c>
      <c r="AC16" s="496">
        <f>正常源项!I13</f>
        <v>119000000</v>
      </c>
      <c r="AD16" s="497"/>
      <c r="AE16" s="496">
        <f>正常源项!O13</f>
        <v>286000000000</v>
      </c>
      <c r="AF16" s="498">
        <f t="shared" si="78"/>
        <v>512890000</v>
      </c>
      <c r="AG16" s="519">
        <f>AE16*MIN(100%,$C$7/500*10)</f>
        <v>5720000000</v>
      </c>
      <c r="AH16" s="523">
        <v>1</v>
      </c>
      <c r="AI16" s="519">
        <f t="shared" si="79"/>
        <v>0</v>
      </c>
      <c r="AJ16" s="521"/>
      <c r="AK16" s="521"/>
      <c r="AL16" s="519">
        <f t="shared" si="42"/>
        <v>66566500</v>
      </c>
      <c r="AM16" s="520">
        <f t="shared" si="2"/>
        <v>1911000000000</v>
      </c>
      <c r="AN16" s="519">
        <f ca="1">MAX(INDIRECT("'"&amp;$B$2&amp;"-事故进程'!Y"&amp;(ROW()+22)),INDIRECT("'"&amp;$B$2&amp;"-事故进程'!Z"&amp;(ROW()+22)),INDIRECT("'"&amp;$B$2&amp;"-事故进程'!AA"&amp;(ROW()+22)))</f>
        <v>3.97649506127805e-11</v>
      </c>
      <c r="AO16" s="519">
        <f ca="1" t="shared" si="3"/>
        <v>0</v>
      </c>
      <c r="AP16" s="560">
        <f t="shared" si="4"/>
        <v>4.55e+17</v>
      </c>
      <c r="AQ16" s="561">
        <f ca="1">(AC16*$C$5+AD16*$C$8+AF16+AG16+AI16+(AL16+AM16)*$C$10)*EXP(-Z16*$C$12*3600)+AO16*$C$11</f>
        <v>6351890000</v>
      </c>
      <c r="AR16" s="562">
        <f ca="1">AQ16*(1-AR$3)</f>
        <v>0</v>
      </c>
      <c r="AS16" s="563">
        <f ca="1" t="shared" si="5"/>
        <v>6351890000</v>
      </c>
      <c r="AT16" s="562">
        <f ca="1">AS16*(1-AT$3)</f>
        <v>0</v>
      </c>
      <c r="AU16" s="564">
        <f ca="1" t="shared" ref="AU16:AU27" si="99">AS16-AT16</f>
        <v>6351890000</v>
      </c>
      <c r="AV16" s="565">
        <f t="shared" ref="AV16:AV27" si="100">AV$3*3600</f>
        <v>7200</v>
      </c>
      <c r="AW16" s="580">
        <f>AP16*EXP(-Z16*AW$3*3600)</f>
        <v>4.55e+17</v>
      </c>
      <c r="AX16" s="580">
        <f ca="1" t="shared" ref="AX16:AX27" si="101">AR16</f>
        <v>0</v>
      </c>
      <c r="AY16" s="581">
        <f ca="1" t="shared" ref="AY16:AY27" si="102">AT16</f>
        <v>0</v>
      </c>
      <c r="AZ16" s="580">
        <v>0</v>
      </c>
      <c r="BA16" s="580">
        <f ca="1" t="shared" si="32"/>
        <v>1.01035399313577e-11</v>
      </c>
      <c r="BB16" s="580">
        <f ca="1">SUM(BA$3,-LN(1-BB$3)/AV16)</f>
        <v>3.92016660325749e-5</v>
      </c>
      <c r="BC16" s="580">
        <f t="shared" ref="BC16:BC27" si="103">BC$3/24/3600</f>
        <v>1157407407407410</v>
      </c>
      <c r="BD16" s="582">
        <f ca="1" t="shared" ref="BD16:BD27" si="104">EXP(-AV16*($Z16+BA16))</f>
        <v>0.935523662051332</v>
      </c>
      <c r="BE16" s="582">
        <f ca="1" t="shared" ref="BE16:BE27" si="105">EXP(-AV16*($Z16+BB16))</f>
        <v>0.705463134985351</v>
      </c>
      <c r="BF16" s="582">
        <f t="shared" ref="BF16:BF27" si="106">EXP(-AV16*($Z16+BC16))</f>
        <v>0</v>
      </c>
      <c r="BG16" s="582">
        <f ca="1" t="shared" ref="BG16:BG27" si="107">AW16*BA16+AX16*(BA16-BB16)</f>
        <v>4597110.66876775</v>
      </c>
      <c r="BH16" s="582">
        <f ca="1" t="shared" ref="BH16:BH27" si="108">(AW16*BB16*BA16/(BA16-BC16)+AX16*BB16)/(BB16-BC16)+AY16</f>
        <v>1.34529326616245e-28</v>
      </c>
      <c r="BI16" s="582">
        <f ca="1" t="shared" si="6"/>
        <v>1.00000025773248</v>
      </c>
      <c r="BJ16" s="580">
        <f ca="1" t="shared" ref="BJ16:BJ27" si="109">AW16*BD16</f>
        <v>4.25663266233356e+17</v>
      </c>
      <c r="BK16" s="580">
        <f ca="1" t="shared" ref="BK16:BK27" si="110">BA16/(BB16-BA16)*BJ16+(AX16-AW16*BA16/(BB16-BA16))*BE16</f>
        <v>26978801746.332</v>
      </c>
      <c r="BL16" s="586">
        <f ca="1" t="shared" ref="BL16:BL27" si="111">BF16*BH16+BI16*(BE16*BG16/(BB16-BC16)-BJ16*BA16/(BA16-BC16))</f>
        <v>9.13778475280206e-10</v>
      </c>
      <c r="BM16" s="594">
        <f ca="1" t="shared" ref="BM16:BM27" si="112">(AW16+AX16+AY16+AZ16)*EXP(-$Z16*AV16)-BJ16-BK16-BL16</f>
        <v>3986281197.668</v>
      </c>
      <c r="BN16" s="580">
        <f ca="1" t="shared" ref="BN16:BN27" si="113">AW16*BA16/($Z16+BA16)*(1-BD16)</f>
        <v>32020287168.6111</v>
      </c>
      <c r="BO16" s="580">
        <f ca="1" t="shared" ref="BO16:BO27" si="114">BI16*(BN16-(1-BE16)*BG16/($Z16+BB16))</f>
        <v>4078435681.79339</v>
      </c>
      <c r="BP16" s="595">
        <f ca="1" t="shared" ref="BP16:BP27" si="115">BC16*(1-BF16)*BH16/($Z16+BC16)+BC16*BI16*((1-BE16)*BG16/($Z16+BB16)/(BB16-BC16)-BN16/(BA16-BC16))</f>
        <v>4078435681.79339</v>
      </c>
      <c r="BQ16" s="596">
        <f t="shared" ref="BQ16:BQ27" si="116">BQ$3*3600</f>
        <v>21600</v>
      </c>
      <c r="BR16" s="580">
        <f ca="1" t="shared" ref="BR16:BT16" si="117">BJ16</f>
        <v>4.25663266233356e+17</v>
      </c>
      <c r="BS16" s="580">
        <f ca="1" t="shared" si="117"/>
        <v>26978801746.332</v>
      </c>
      <c r="BT16" s="581">
        <f ca="1" t="shared" si="117"/>
        <v>9.13778475280206e-10</v>
      </c>
      <c r="BU16" s="580">
        <f ca="1" t="shared" ref="BU16:BU27" si="118">BM16</f>
        <v>3986281197.668</v>
      </c>
      <c r="BV16" s="580">
        <f ca="1">MAX(INDIRECT("'"&amp;$B$2&amp;"-事故进程'!Z"&amp;(ROW()+22)),INDIRECT("'"&amp;$B$2&amp;"-事故进程'!AA"&amp;(ROW()+22)))</f>
        <v>3.97649506127805e-11</v>
      </c>
      <c r="BW16" s="580">
        <f ca="1">SUM(BV$3,-LN(1-BW$3)/BQ16)</f>
        <v>9.67910672705165e-6</v>
      </c>
      <c r="BX16" s="580">
        <f t="shared" ref="BX16:BX27" si="119">BX$3/24/3600</f>
        <v>1157407407407410</v>
      </c>
      <c r="BY16" s="582">
        <f ca="1" t="shared" ref="BY16:BY27" si="120">EXP(-BQ16*($Z16+BV16))</f>
        <v>0.818774015129028</v>
      </c>
      <c r="BZ16" s="582">
        <f ca="1" t="shared" ref="BZ16:BZ27" si="121">EXP(-BQ16*($Z16+BW16))</f>
        <v>0.664304262774979</v>
      </c>
      <c r="CA16" s="582">
        <f t="shared" ref="CA16:CA27" si="122">EXP(-BQ16*($Z16+BX16))</f>
        <v>0</v>
      </c>
      <c r="CB16" s="582">
        <f ca="1" t="shared" ref="CB16:CB27" si="123">BR16*BV16+BS16*(BV16-BW16)</f>
        <v>16665349.1307843</v>
      </c>
      <c r="CC16" s="582">
        <f ca="1" t="shared" ref="CC16:CC27" si="124">(BR16*BW16*BV16/(BV16-BX16)+BS16*BW16)/(BW16-BX16)+BT16</f>
        <v>6.88161549209508e-10</v>
      </c>
      <c r="CD16" s="582">
        <f ca="1" t="shared" si="8"/>
        <v>1.00000410834544</v>
      </c>
      <c r="CE16" s="580">
        <f ca="1" t="shared" ref="CE16:CE27" si="125">BR16*BY16</f>
        <v>3.48522021586821e+17</v>
      </c>
      <c r="CF16" s="580">
        <f ca="1" t="shared" ref="CF16:CF27" si="126">BV16/(BW16-BV16)*CE16+(BS16-BR16*BV16/(BW16-BV16))*BZ16</f>
        <v>288054470391.626</v>
      </c>
      <c r="CG16" s="586">
        <f ca="1" t="shared" ref="CG16:CG27" si="127">CA16*CC16+CD16*(BZ16*CB16/(BW16-BX16)-CE16*BV16/(BV16-BX16))</f>
        <v>2.40892700727591e-9</v>
      </c>
      <c r="CH16" s="594">
        <f ca="1" t="shared" ref="CH16:CH27" si="128">(BR16+BS16+BT16+BU16)*EXP(-$Z16*BQ16)-CE16-CF16-CG16</f>
        <v>36652642312.3735</v>
      </c>
      <c r="CI16" s="580">
        <f ca="1" t="shared" ref="CI16:CI27" si="129">BR16*BV16/($Z16+BV16)*(1-BY16)</f>
        <v>331379469412.851</v>
      </c>
      <c r="CJ16" s="580">
        <f ca="1" t="shared" ref="CJ16:CJ27" si="130">CD16*(CI16-(1-BZ16)*CB16/($Z16+BW16))</f>
        <v>35935905379.7983</v>
      </c>
      <c r="CK16" s="595">
        <f ca="1" t="shared" ref="CK16:CK27" si="131">BX16*(1-CA16)*CC16/($Z16+BX16)+BX16*CD16*((1-BZ16)*CB16/($Z16+BW16)/(BW16-BX16)-CI16/(BV16-BX16))</f>
        <v>35935905379.7983</v>
      </c>
      <c r="CL16" s="596">
        <f t="shared" ref="CL16:CL27" si="132">CL$3*3600</f>
        <v>57600</v>
      </c>
      <c r="CM16" s="580">
        <f ca="1" t="shared" ref="CM16:CO16" si="133">CE16</f>
        <v>3.48522021586821e+17</v>
      </c>
      <c r="CN16" s="580">
        <f ca="1" t="shared" si="133"/>
        <v>288054470391.626</v>
      </c>
      <c r="CO16" s="581">
        <f ca="1" t="shared" si="133"/>
        <v>2.40892700727591e-9</v>
      </c>
      <c r="CP16" s="580">
        <f ca="1" t="shared" ref="CP16:CP27" si="134">CH16</f>
        <v>36652642312.3735</v>
      </c>
      <c r="CQ16" s="580">
        <f ca="1">MAX(INDIRECT("'"&amp;$B$2&amp;"-事故进程'!AA"&amp;(ROW()+22)),INDIRECT("'"&amp;$B$2&amp;"-事故进程'!AB"&amp;(ROW()+22)))</f>
        <v>7.52625101519844e-11</v>
      </c>
      <c r="CR16" s="580">
        <f ca="1">SUM(CQ$3,-LN(1-CR$3)/CL16)</f>
        <v>9.99426851876734e-7</v>
      </c>
      <c r="CS16" s="580">
        <f t="shared" ref="CS16:CS27" si="135">CS$3/24/3600</f>
        <v>1157407407407410</v>
      </c>
      <c r="CT16" s="582">
        <f ca="1" t="shared" ref="CT16:CT27" si="136">EXP(-CL16*($Z16+CQ16))</f>
        <v>0.586727686461529</v>
      </c>
      <c r="CU16" s="582">
        <f ca="1" t="shared" ref="CU16:CU27" si="137">EXP(-CL16*($Z16+CR16))</f>
        <v>0.553907748219378</v>
      </c>
      <c r="CV16" s="582">
        <f t="shared" ref="CV16:CV27" si="138">EXP(-CL16*($Z16+CS16))</f>
        <v>0</v>
      </c>
      <c r="CW16" s="582">
        <f ca="1" t="shared" ref="CW16:CW27" si="139">CM16*CQ16+CN16*(CQ16-CR16)</f>
        <v>25942774.4950582</v>
      </c>
      <c r="CX16" s="582">
        <f ca="1" t="shared" ref="CX16:CX27" si="140">(CM16*CR16*CQ16/(CQ16-CS16)+CN16*CR16)/(CR16-CS16)+CO16</f>
        <v>2.16019058942509e-9</v>
      </c>
      <c r="CY16" s="582">
        <f ca="1" t="shared" si="10"/>
        <v>1.00007531134283</v>
      </c>
      <c r="CZ16" s="580">
        <f ca="1" t="shared" ref="CZ16:CZ27" si="141">CM16*CT16</f>
        <v>2.04487519406531e+17</v>
      </c>
      <c r="DA16" s="580">
        <f ca="1" t="shared" ref="DA16:DA27" si="142">CQ16/(CR16-CQ16)*CZ16+(CN16-CM16*CQ16/(CR16-CQ16))*CU16</f>
        <v>1021002230870.56</v>
      </c>
      <c r="DB16" s="586">
        <f ca="1" t="shared" ref="DB16:DB27" si="143">CV16*CX16+CY16*(CU16*CW16/(CR16-CS16)-CZ16*CQ16/(CQ16-CS16))</f>
        <v>8.81640327189385e-10</v>
      </c>
      <c r="DC16" s="594">
        <f ca="1" t="shared" ref="DC16:DC27" si="144">(CM16+CN16+CO16+CP16)*EXP(-$Z16*CL16)-CZ16-DA16-DB16</f>
        <v>55993224201.4414</v>
      </c>
      <c r="DD16" s="580">
        <f ca="1" t="shared" ref="DD16:DD27" si="145">CM16*CQ16/($Z16+CQ16)*(1-CT16)</f>
        <v>1171067904393.86</v>
      </c>
      <c r="DE16" s="580">
        <f ca="1" t="shared" ref="DE16:DE27" si="146">CY16*(DD16-(1-CU16)*CW16/($Z16+CR16))</f>
        <v>42693105834.0653</v>
      </c>
      <c r="DF16" s="595">
        <f ca="1" t="shared" ref="DF16:DF27" si="147">CS16*(1-CV16)*CX16/($Z16+CS16)+CS16*CY16*((1-CU16)*CW16/($Z16+CR16)/(CR16-CS16)-DD16/(CQ16-CS16))</f>
        <v>42693105834.0653</v>
      </c>
      <c r="DG16" s="596">
        <f t="shared" ref="DG16:DG27" si="148">DG$3*3600</f>
        <v>86400</v>
      </c>
      <c r="DH16" s="580">
        <f ca="1" t="shared" ref="DH16:DK16" si="149">CZ16</f>
        <v>2.04487519406531e+17</v>
      </c>
      <c r="DI16" s="580">
        <f ca="1" t="shared" si="149"/>
        <v>1021002230870.56</v>
      </c>
      <c r="DJ16" s="581">
        <f ca="1" t="shared" si="149"/>
        <v>8.81640327189385e-10</v>
      </c>
      <c r="DK16" s="580">
        <f ca="1" t="shared" si="149"/>
        <v>55993224201.4414</v>
      </c>
      <c r="DL16" s="580">
        <f ca="1">MAX(INDIRECT("'"&amp;$B$2&amp;"-事故进程'!AB"&amp;(ROW()+22)),INDIRECT("'"&amp;$B$2&amp;"-事故进程'!AC"&amp;(ROW()+22)))</f>
        <v>1.80969415284839e-10</v>
      </c>
      <c r="DM16" s="580">
        <f ca="1">SUM(DL$3,-LN(1-DM$3)/DG16)</f>
        <v>1.07814939005043e-6</v>
      </c>
      <c r="DN16" s="580">
        <f t="shared" ref="DN16:DN27" si="150">DN$3/24/3600</f>
        <v>1157407407407410</v>
      </c>
      <c r="DO16" s="582">
        <f ca="1" t="shared" ref="DO16:DO27" si="151">EXP(-DG16*($Z16+DL16))</f>
        <v>0.449418459544794</v>
      </c>
      <c r="DP16" s="582">
        <f ca="1" t="shared" ref="DP16:DP27" si="152">EXP(-DG16*($Z16+DM16))</f>
        <v>0.409451296987005</v>
      </c>
      <c r="DQ16" s="582">
        <f t="shared" ref="DQ16:DQ27" si="153">EXP(-DG16*($Z16+DN16))</f>
        <v>0</v>
      </c>
      <c r="DR16" s="582">
        <f ca="1" t="shared" ref="DR16:DR27" si="154">DH16*DL16+DI16*(DL16-DM16)</f>
        <v>35905378.6577705</v>
      </c>
      <c r="DS16" s="582">
        <f ca="1" t="shared" ref="DS16:DS27" si="155">(DH16*DM16*DL16/(DL16-DN16)+DI16*DM16)/(DM16-DN16)+DJ16</f>
        <v>-6.9444766450201e-11</v>
      </c>
      <c r="DT16" s="582">
        <f ca="1" t="shared" si="12"/>
        <v>1.00016788007127</v>
      </c>
      <c r="DU16" s="580">
        <f ca="1" t="shared" ref="DU16:DU27" si="156">DH16*DO16</f>
        <v>9.19004659678193e+16</v>
      </c>
      <c r="DV16" s="580">
        <f ca="1" t="shared" ref="DV16:DV27" si="157">DL16/(DM16-DL16)*DU16+(DI16-DH16*DL16/(DM16-DL16))*DP16</f>
        <v>1790098571932.04</v>
      </c>
      <c r="DW16" s="586">
        <f ca="1" t="shared" ref="DW16:DW27" si="158">DQ16*DS16+DT16*(DP16*DR16/(DM16-DN16)-DU16*DL16/(DL16-DN16))</f>
        <v>1.6675145425083e-9</v>
      </c>
      <c r="DX16" s="594">
        <f ca="1" t="shared" ref="DX16:DX27" si="159">(DH16+DI16+DJ16+DK16)*EXP(-$Z16*DG16)-DU16-DV16-DW16</f>
        <v>130875266595.961</v>
      </c>
      <c r="DY16" s="580">
        <f ca="1" t="shared" ref="DY16:DY27" si="160">DH16*DL16/($Z16+DL16)*(1-DO16)</f>
        <v>2201027763372.99</v>
      </c>
      <c r="DZ16" s="580">
        <f ca="1" t="shared" ref="DZ16:DZ27" si="161">DT16*(DY16-(1-DP16)*DR16/($Z16+DM16))</f>
        <v>149380507636.751</v>
      </c>
      <c r="EA16" s="595">
        <f ca="1" t="shared" ref="EA16:EA27" si="162">DN16*(1-DQ16)*DS16/($Z16+DN16)+DN16*DT16*((1-DP16)*DR16/($Z16+DM16)/(DM16-DN16)-DY16/(DL16-DN16))</f>
        <v>149380507636.751</v>
      </c>
      <c r="EB16" s="596">
        <f t="shared" ref="EB16:EB27" si="163">EB$3*3600</f>
        <v>172800</v>
      </c>
      <c r="EC16" s="580">
        <f ca="1" t="shared" ref="EC16:EF16" si="164">DU16</f>
        <v>9.19004659678193e+16</v>
      </c>
      <c r="ED16" s="580">
        <f ca="1" t="shared" si="164"/>
        <v>1790098571932.04</v>
      </c>
      <c r="EE16" s="581">
        <f ca="1" t="shared" si="164"/>
        <v>1.6675145425083e-9</v>
      </c>
      <c r="EF16" s="580">
        <f ca="1" t="shared" si="164"/>
        <v>130875266595.961</v>
      </c>
      <c r="EG16" s="580">
        <f ca="1">MAX(INDIRECT("'"&amp;$B$2&amp;"-事故进程'!AC"&amp;(ROW()+22)),INDIRECT("'"&amp;$B$2&amp;"-事故进程'!AD"&amp;(ROW()+22)),INDIRECT("'"&amp;$B$2&amp;"-事故进程'!AE"&amp;(ROW()+22)))</f>
        <v>1.80969415284839e-10</v>
      </c>
      <c r="EH16" s="580">
        <f ca="1">SUM(EG$3,-LN(1-EH$3)/EB16)</f>
        <v>5.81616658188741e-8</v>
      </c>
      <c r="EI16" s="580">
        <f t="shared" ref="EI16:EI27" si="165">EI$3/24/3600</f>
        <v>1157407407407410</v>
      </c>
      <c r="EJ16" s="582">
        <f ca="1" t="shared" ref="EJ16:EJ27" si="166">EXP(-EB16*($Z16+EG16))</f>
        <v>0.201976951779616</v>
      </c>
      <c r="EK16" s="582">
        <f ca="1" t="shared" ref="EK16:EK27" si="167">EXP(-EB16*($Z16+EH16))</f>
        <v>0.199963435323607</v>
      </c>
      <c r="EL16" s="582">
        <f t="shared" ref="EL16:EL27" si="168">EXP(-EB16*($Z16+EI16))</f>
        <v>0</v>
      </c>
      <c r="EM16" s="582">
        <f ca="1" t="shared" ref="EM16:EM27" si="169">EC16*EG16+ED16*(EG16-EH16)</f>
        <v>16527382.4287688</v>
      </c>
      <c r="EN16" s="582">
        <f ca="1" t="shared" ref="EN16:EN27" si="170">(EC16*EH16*EG16/(EG16-EI16)+ED16*EH16)/(EH16-EI16)+EE16</f>
        <v>1.57755908321435e-9</v>
      </c>
      <c r="EO16" s="582">
        <f ca="1" t="shared" si="14"/>
        <v>1.00312120113262</v>
      </c>
      <c r="EP16" s="580">
        <f ca="1" t="shared" ref="EP16:EP27" si="171">EC16*EJ16</f>
        <v>1.85617759833064e+16</v>
      </c>
      <c r="EQ16" s="580">
        <f ca="1" t="shared" ref="EQ16:EQ27" si="172">EG16/(EH16-EG16)*EP16+(ED16-EC16*EG16/(EH16-EG16))*EK16</f>
        <v>935510995003.25</v>
      </c>
      <c r="ER16" s="586">
        <f ca="1" t="shared" ref="ER16:ER27" si="173">EL16*EN16+EO16*(EK16*EM16/(EH16-EI16)-EP16*EG16/(EG16-EI16))</f>
        <v>4.70109984721297e-11</v>
      </c>
      <c r="ES16" s="594">
        <f ca="1" t="shared" ref="ES16:ES27" si="174">(EC16+ED16+EE16+EF16)*EXP(-$Z16*EB16)-EP16-EQ16-ER16</f>
        <v>32957509972.75</v>
      </c>
      <c r="ET16" s="580">
        <f ca="1" t="shared" ref="ET16:ET27" si="175">EC16*EG16/($Z16+EG16)*(1-EJ16)</f>
        <v>1433739385258.8</v>
      </c>
      <c r="EU16" s="580">
        <f ca="1" t="shared" ref="EU16:EU27" si="176">EO16*(ET16-(1-EK16)*EM16/($Z16+EH16))</f>
        <v>14288120028.5562</v>
      </c>
      <c r="EV16" s="595">
        <f ca="1" t="shared" ref="EV16:EV27" si="177">EI16*(1-EL16)*EN16/($Z16+EI16)+EI16*EO16*((1-EK16)*EM16/($Z16+EH16)/(EH16-EI16)-ET16/(EG16-EI16))</f>
        <v>14288120028.5562</v>
      </c>
      <c r="EW16" s="596">
        <f t="shared" ref="EW16:EW27" si="178">EW$3*3600</f>
        <v>2246400</v>
      </c>
      <c r="EX16" s="580">
        <f ca="1" t="shared" ref="EX16:FA16" si="179">EP16</f>
        <v>1.85617759833064e+16</v>
      </c>
      <c r="EY16" s="580">
        <f ca="1" t="shared" si="179"/>
        <v>935510995003.25</v>
      </c>
      <c r="EZ16" s="581">
        <f ca="1" t="shared" si="179"/>
        <v>4.70109984721297e-11</v>
      </c>
      <c r="FA16" s="580">
        <f ca="1" t="shared" si="179"/>
        <v>32957509972.75</v>
      </c>
      <c r="FB16" s="580">
        <f ca="1">INDIRECT("'"&amp;$B$2&amp;"-事故进程'!AE"&amp;(ROW()+22))</f>
        <v>7.98839791826187e-11</v>
      </c>
      <c r="FC16" s="580">
        <f ca="1">SUM(FB$3,-LN(1-FC$3)/EW16)</f>
        <v>4.47397429375955e-9</v>
      </c>
      <c r="FD16" s="580">
        <f t="shared" ref="FD16:FD27" si="180">FD$3/24/3600</f>
        <v>1157407407407410</v>
      </c>
      <c r="FE16" s="582">
        <f ca="1" t="shared" si="16"/>
        <v>9.31155462497491e-10</v>
      </c>
      <c r="FF16" s="582">
        <f ca="1" t="shared" si="17"/>
        <v>9.22009348869343e-10</v>
      </c>
      <c r="FG16" s="582">
        <f t="shared" si="18"/>
        <v>0</v>
      </c>
      <c r="FH16" s="582">
        <f ca="1" t="shared" si="19"/>
        <v>1478677.80644056</v>
      </c>
      <c r="FI16" s="582">
        <f ca="1" t="shared" si="20"/>
        <v>4.33947678204274e-11</v>
      </c>
      <c r="FJ16" s="582">
        <f ca="1" t="shared" si="21"/>
        <v>1.01817986738179</v>
      </c>
      <c r="FK16" s="580">
        <f ca="1" t="shared" si="22"/>
        <v>17283899.1005105</v>
      </c>
      <c r="FL16" s="580">
        <f ca="1" t="shared" si="23"/>
        <v>3948.91165033489</v>
      </c>
      <c r="FM16" s="586">
        <f ca="1" t="shared" si="24"/>
        <v>1.52645724391041e-20</v>
      </c>
      <c r="FN16" s="594">
        <f ca="1" t="shared" si="25"/>
        <v>54.9426297159516</v>
      </c>
      <c r="FO16" s="580">
        <f ca="1" t="shared" si="26"/>
        <v>160182786121.462</v>
      </c>
      <c r="FP16" s="580">
        <f ca="1" t="shared" si="27"/>
        <v>529313782.152969</v>
      </c>
      <c r="FQ16" s="595">
        <f ca="1" t="shared" si="28"/>
        <v>529313782.152987</v>
      </c>
      <c r="FR16" s="608" t="str">
        <f t="shared" si="29"/>
        <v>I-133</v>
      </c>
      <c r="FS16" s="609">
        <v>6790000000</v>
      </c>
      <c r="FT16" s="610">
        <v>47700000000</v>
      </c>
      <c r="FU16" s="610">
        <v>98100000000</v>
      </c>
      <c r="FV16" s="610">
        <v>85000000000</v>
      </c>
      <c r="FW16" s="610">
        <v>238000000000</v>
      </c>
      <c r="FX16" s="614">
        <f ca="1">H16/FS16</f>
        <v>0.935477172312224</v>
      </c>
      <c r="FY16" s="614">
        <f ca="1">(I16+J16)/FT16</f>
        <v>0.838875074666492</v>
      </c>
      <c r="FZ16" s="614">
        <f ca="1">K16/FU16</f>
        <v>0.435199855596996</v>
      </c>
      <c r="GA16" s="614">
        <f ca="1">L16/FV16</f>
        <v>1.92551326665068</v>
      </c>
      <c r="GB16" s="614">
        <f ca="1">SUM(H16:L16)/FW16</f>
        <v>1.06188220403767</v>
      </c>
      <c r="GC16" s="455">
        <f ca="1">N16/FW16</f>
        <v>1.0641062115257</v>
      </c>
      <c r="GE16" s="609">
        <v>495073067.87073</v>
      </c>
      <c r="GF16" s="610">
        <v>4405444796.11228</v>
      </c>
      <c r="GG16" s="610">
        <v>14977012891.4363</v>
      </c>
      <c r="GH16" s="610">
        <v>13784979385.1915</v>
      </c>
      <c r="GI16" s="610">
        <v>12132529645.6464</v>
      </c>
      <c r="GJ16" s="610">
        <v>2325933648.14244</v>
      </c>
      <c r="GK16" s="617">
        <v>48120973434.3997</v>
      </c>
      <c r="GL16" s="614">
        <f ca="1" t="shared" ref="GL16:GL27" si="181">H16/GE16</f>
        <v>12.8302071193632</v>
      </c>
      <c r="GM16" s="614">
        <f ca="1" t="shared" ref="GM16:GM27" si="182">(I16+J16)/GF16</f>
        <v>9.08292871968423</v>
      </c>
      <c r="GN16" s="614">
        <f ca="1" t="shared" ref="GN16:GN27" si="183">K16/GG16</f>
        <v>2.85057548815203</v>
      </c>
      <c r="GO16" s="614">
        <f ca="1" t="shared" ref="GO16:GO27" si="184">L16/(GH16+GI16)</f>
        <v>6.31498295112261</v>
      </c>
      <c r="GP16" s="614">
        <f ca="1" t="shared" ref="GP16:GP27" si="185">M16/GJ16</f>
        <v>0.227570456524292</v>
      </c>
      <c r="GQ16" s="614">
        <f ca="1" t="shared" ref="GQ16:GQ27" si="186">N16/GK16</f>
        <v>5.26292924411363</v>
      </c>
      <c r="GR16" s="451">
        <f t="shared" ref="GR16:GR27" si="187">Z16</f>
        <v>9.25677324465738e-6</v>
      </c>
      <c r="GS16" s="390">
        <f t="shared" ref="GS16:GS27" si="188">LN(2)/GR16</f>
        <v>74880.0000000001</v>
      </c>
    </row>
    <row r="17" spans="1:201">
      <c r="A17" s="425" t="s">
        <v>266</v>
      </c>
      <c r="B17" s="407" t="s">
        <v>267</v>
      </c>
      <c r="C17" s="422">
        <f>-LN(1-0%)/8/3600</f>
        <v>0</v>
      </c>
      <c r="D17" s="410" t="s">
        <v>268</v>
      </c>
      <c r="E17" s="409" t="s">
        <v>269</v>
      </c>
      <c r="G17" s="411" t="s">
        <v>58</v>
      </c>
      <c r="H17" s="412">
        <f ca="1" t="shared" si="90"/>
        <v>4797430000</v>
      </c>
      <c r="I17" s="412">
        <f ca="1" t="shared" si="1"/>
        <v>8458421074.13377</v>
      </c>
      <c r="J17" s="412">
        <f ca="1" t="shared" si="91"/>
        <v>4889111192.44837</v>
      </c>
      <c r="K17" s="412">
        <f ca="1" t="shared" si="92"/>
        <v>22666732.4195175</v>
      </c>
      <c r="L17" s="412">
        <f ca="1" t="shared" si="93"/>
        <v>388.979057403762</v>
      </c>
      <c r="M17" s="412">
        <f ca="1" t="shared" si="94"/>
        <v>2.52896132971309e-24</v>
      </c>
      <c r="N17" s="412">
        <f ca="1" t="shared" si="95"/>
        <v>18167629387.9807</v>
      </c>
      <c r="O17" s="450">
        <f ca="1" t="shared" si="96"/>
        <v>4797430000</v>
      </c>
      <c r="P17" s="451"/>
      <c r="Q17" s="477" t="str">
        <f t="shared" si="0"/>
        <v>I-134</v>
      </c>
      <c r="R17" s="412">
        <f ca="1" t="shared" si="97"/>
        <v>4797430000</v>
      </c>
      <c r="S17" s="412">
        <f ca="1">I17*(1-过滤效率!$B14)</f>
        <v>422921053.706689</v>
      </c>
      <c r="T17" s="412">
        <f ca="1">J17*(1-过滤效率!$B14)</f>
        <v>244455559.622419</v>
      </c>
      <c r="U17" s="412">
        <f ca="1">K17*(1-过滤效率!$B14)</f>
        <v>1133336.62097588</v>
      </c>
      <c r="V17" s="412">
        <f ca="1">L17*(1-过滤效率!$B14)</f>
        <v>19.4489528701881</v>
      </c>
      <c r="W17" s="412">
        <f ca="1">M17*(1-过滤效率!$B14)</f>
        <v>1.26448066485655e-25</v>
      </c>
      <c r="X17" s="412">
        <f ca="1" t="shared" si="98"/>
        <v>5465939969.39904</v>
      </c>
      <c r="Y17" s="493"/>
      <c r="Z17" s="494">
        <f>VLOOKUP(G17,衰变常数!$A$1:$H$3800,7,FALSE)</f>
        <v>0.000220046723987284</v>
      </c>
      <c r="AA17" s="495">
        <f>正常源项!C14</f>
        <v>5.26e+17</v>
      </c>
      <c r="AB17" s="496">
        <f>正常源项!F14</f>
        <v>0</v>
      </c>
      <c r="AC17" s="496">
        <f>正常源项!I14</f>
        <v>653000000</v>
      </c>
      <c r="AD17" s="497"/>
      <c r="AE17" s="496">
        <f>正常源项!O14</f>
        <v>66500000000</v>
      </c>
      <c r="AF17" s="498">
        <f t="shared" si="78"/>
        <v>2814430000</v>
      </c>
      <c r="AG17" s="519">
        <f>AE17*MIN(100%,$C$7/500*10)</f>
        <v>1330000000</v>
      </c>
      <c r="AH17" s="523">
        <v>1</v>
      </c>
      <c r="AI17" s="519">
        <f t="shared" si="79"/>
        <v>0</v>
      </c>
      <c r="AJ17" s="521"/>
      <c r="AK17" s="521"/>
      <c r="AL17" s="519">
        <f t="shared" si="42"/>
        <v>76953800</v>
      </c>
      <c r="AM17" s="520">
        <f t="shared" si="2"/>
        <v>2209200000000</v>
      </c>
      <c r="AN17" s="519">
        <f ca="1">MAX(INDIRECT("'"&amp;$B$2&amp;"-事故进程'!Y"&amp;(ROW()+22)),INDIRECT("'"&amp;$B$2&amp;"-事故进程'!Z"&amp;(ROW()+22)),INDIRECT("'"&amp;$B$2&amp;"-事故进程'!AA"&amp;(ROW()+22)))</f>
        <v>1.82351793927569e-10</v>
      </c>
      <c r="AO17" s="519">
        <f ca="1" t="shared" si="3"/>
        <v>0</v>
      </c>
      <c r="AP17" s="560">
        <f t="shared" si="4"/>
        <v>5.26e+17</v>
      </c>
      <c r="AQ17" s="561">
        <f ca="1">(AC17*$C$5+AD17*$C$8+AF17+AG17+AI17+(AL17+AM17)*$C$10)*EXP(-Z17*$C$12*3600)+AO17*$C$11</f>
        <v>4797430000</v>
      </c>
      <c r="AR17" s="562">
        <f ca="1">AQ17*(1-AR$3)</f>
        <v>0</v>
      </c>
      <c r="AS17" s="563">
        <f ca="1" t="shared" si="5"/>
        <v>4797430000</v>
      </c>
      <c r="AT17" s="562">
        <f ca="1">AS17*(1-AT$3)</f>
        <v>0</v>
      </c>
      <c r="AU17" s="564">
        <f ca="1" t="shared" si="99"/>
        <v>4797430000</v>
      </c>
      <c r="AV17" s="565">
        <f t="shared" si="100"/>
        <v>7200</v>
      </c>
      <c r="AW17" s="580">
        <f>AP17*EXP(-Z17*AW$3*3600)</f>
        <v>5.26e+17</v>
      </c>
      <c r="AX17" s="580">
        <f ca="1" t="shared" si="101"/>
        <v>0</v>
      </c>
      <c r="AY17" s="581">
        <f ca="1" t="shared" si="102"/>
        <v>0</v>
      </c>
      <c r="AZ17" s="580">
        <v>0</v>
      </c>
      <c r="BA17" s="580">
        <f ca="1">MAX(INDIRECT("'"&amp;$B$2&amp;"-事故进程'!Y"&amp;(ROW()+22)),INDIRECT("'"&amp;$B$2&amp;"-事故进程'!Z"&amp;(ROW()+22)))</f>
        <v>4.57204168879066e-11</v>
      </c>
      <c r="BB17" s="580">
        <f ca="1">SUM(BA$3,-LN(1-BB$3)/AV17)</f>
        <v>3.92016660325749e-5</v>
      </c>
      <c r="BC17" s="580">
        <f t="shared" si="103"/>
        <v>1157407407407410</v>
      </c>
      <c r="BD17" s="582">
        <f ca="1" t="shared" si="104"/>
        <v>0.205083771490987</v>
      </c>
      <c r="BE17" s="582">
        <f ca="1" t="shared" si="105"/>
        <v>0.154650366785089</v>
      </c>
      <c r="BF17" s="582">
        <f t="shared" si="106"/>
        <v>0</v>
      </c>
      <c r="BG17" s="582">
        <f ca="1" t="shared" si="107"/>
        <v>24048939.2830389</v>
      </c>
      <c r="BH17" s="582">
        <f ca="1" t="shared" si="108"/>
        <v>7.03765438922837e-28</v>
      </c>
      <c r="BI17" s="582">
        <f ca="1" t="shared" si="6"/>
        <v>1.00000116628896</v>
      </c>
      <c r="BJ17" s="580">
        <f ca="1" t="shared" si="109"/>
        <v>1.07874063804259e+17</v>
      </c>
      <c r="BK17" s="580">
        <f ca="1" t="shared" si="110"/>
        <v>30939279497.9169</v>
      </c>
      <c r="BL17" s="586">
        <f ca="1" t="shared" si="111"/>
        <v>1.04792080507128e-9</v>
      </c>
      <c r="BM17" s="594">
        <f ca="1" t="shared" si="112"/>
        <v>4571465958.08311</v>
      </c>
      <c r="BN17" s="580">
        <f ca="1" t="shared" si="113"/>
        <v>86876495119.2395</v>
      </c>
      <c r="BO17" s="580">
        <f ca="1" t="shared" si="114"/>
        <v>8458421074.13377</v>
      </c>
      <c r="BP17" s="595">
        <f ca="1" t="shared" si="115"/>
        <v>8458421074.13377</v>
      </c>
      <c r="BQ17" s="596">
        <f t="shared" si="116"/>
        <v>21600</v>
      </c>
      <c r="BR17" s="580">
        <f ca="1" t="shared" ref="BR17:BT17" si="189">BJ17</f>
        <v>1.07874063804259e+17</v>
      </c>
      <c r="BS17" s="580">
        <f ca="1" t="shared" si="189"/>
        <v>30939279497.9169</v>
      </c>
      <c r="BT17" s="581">
        <f ca="1" t="shared" si="189"/>
        <v>1.04792080507128e-9</v>
      </c>
      <c r="BU17" s="580">
        <f ca="1" t="shared" si="118"/>
        <v>4571465958.08311</v>
      </c>
      <c r="BV17" s="580">
        <f ca="1">MAX(INDIRECT("'"&amp;$B$2&amp;"-事故进程'!Z"&amp;(ROW()+22)),INDIRECT("'"&amp;$B$2&amp;"-事故进程'!AA"&amp;(ROW()+22)))</f>
        <v>1.82351793927569e-10</v>
      </c>
      <c r="BW17" s="580">
        <f ca="1">SUM(BV$3,-LN(1-BW$3)/BQ17)</f>
        <v>9.67910672705165e-6</v>
      </c>
      <c r="BX17" s="580">
        <f t="shared" si="119"/>
        <v>1157407407407410</v>
      </c>
      <c r="BY17" s="582">
        <f ca="1" t="shared" si="120"/>
        <v>0.0086256653507499</v>
      </c>
      <c r="BZ17" s="582">
        <f ca="1" t="shared" si="121"/>
        <v>0.00699837049517294</v>
      </c>
      <c r="CA17" s="582">
        <f t="shared" si="122"/>
        <v>0</v>
      </c>
      <c r="CB17" s="582">
        <f ca="1" t="shared" si="123"/>
        <v>19371570.1064784</v>
      </c>
      <c r="CC17" s="582">
        <f ca="1" t="shared" si="124"/>
        <v>7.89183400764163e-10</v>
      </c>
      <c r="CD17" s="582">
        <f ca="1" t="shared" si="8"/>
        <v>1.00001884008872</v>
      </c>
      <c r="CE17" s="580">
        <f ca="1" t="shared" si="125"/>
        <v>930485574400981</v>
      </c>
      <c r="CF17" s="580">
        <f ca="1" t="shared" si="126"/>
        <v>3523768521.69411</v>
      </c>
      <c r="CG17" s="586">
        <f ca="1" t="shared" si="127"/>
        <v>2.94683889049076e-11</v>
      </c>
      <c r="CH17" s="594">
        <f ca="1" t="shared" si="128"/>
        <v>447539126.055889</v>
      </c>
      <c r="CI17" s="580">
        <f ca="1" t="shared" si="129"/>
        <v>88623619680.4225</v>
      </c>
      <c r="CJ17" s="580">
        <f ca="1" t="shared" si="130"/>
        <v>4889111192.44838</v>
      </c>
      <c r="CK17" s="595">
        <f ca="1" t="shared" si="131"/>
        <v>4889111192.44837</v>
      </c>
      <c r="CL17" s="596">
        <f t="shared" si="132"/>
        <v>57600</v>
      </c>
      <c r="CM17" s="580">
        <f ca="1" t="shared" ref="CM17:CO17" si="190">CE17</f>
        <v>930485574400981</v>
      </c>
      <c r="CN17" s="580">
        <f ca="1" t="shared" si="190"/>
        <v>3523768521.69411</v>
      </c>
      <c r="CO17" s="581">
        <f ca="1" t="shared" si="190"/>
        <v>2.94683889049076e-11</v>
      </c>
      <c r="CP17" s="580">
        <f ca="1" t="shared" si="134"/>
        <v>447539126.055889</v>
      </c>
      <c r="CQ17" s="580">
        <f ca="1">MAX(INDIRECT("'"&amp;$B$2&amp;"-事故进程'!AA"&amp;(ROW()+22)),INDIRECT("'"&amp;$B$2&amp;"-事故进程'!AB"&amp;(ROW()+22)))</f>
        <v>3.52263172824572e-10</v>
      </c>
      <c r="CR17" s="580">
        <f ca="1">SUM(CQ$3,-LN(1-CR$3)/CL17)</f>
        <v>9.99426851876734e-7</v>
      </c>
      <c r="CS17" s="580">
        <f t="shared" si="135"/>
        <v>1157407407407410</v>
      </c>
      <c r="CT17" s="582">
        <f ca="1" t="shared" si="136"/>
        <v>3.1292675448526e-6</v>
      </c>
      <c r="CU17" s="582">
        <f ca="1" t="shared" si="137"/>
        <v>2.95427203314935e-6</v>
      </c>
      <c r="CV17" s="582">
        <f t="shared" si="138"/>
        <v>0</v>
      </c>
      <c r="CW17" s="582">
        <f ca="1" t="shared" si="139"/>
        <v>324255.293119485</v>
      </c>
      <c r="CX17" s="582">
        <f ca="1" t="shared" si="140"/>
        <v>2.64255978722601e-11</v>
      </c>
      <c r="CY17" s="582">
        <f ca="1" t="shared" si="10"/>
        <v>1.0003525894631</v>
      </c>
      <c r="CZ17" s="580">
        <f ca="1" t="shared" si="141"/>
        <v>2911738308.92652</v>
      </c>
      <c r="DA17" s="580">
        <f ca="1" t="shared" si="142"/>
        <v>67822.5948691936</v>
      </c>
      <c r="DB17" s="586">
        <f ca="1" t="shared" si="143"/>
        <v>5.85651362194622e-17</v>
      </c>
      <c r="DC17" s="594">
        <f ca="1" t="shared" si="144"/>
        <v>3685.75569194835</v>
      </c>
      <c r="DD17" s="580">
        <f ca="1" t="shared" si="145"/>
        <v>1489566599.07963</v>
      </c>
      <c r="DE17" s="580">
        <f ca="1" t="shared" si="146"/>
        <v>22666732.4195173</v>
      </c>
      <c r="DF17" s="595">
        <f ca="1" t="shared" si="147"/>
        <v>22666732.4195175</v>
      </c>
      <c r="DG17" s="596">
        <f t="shared" si="148"/>
        <v>86400</v>
      </c>
      <c r="DH17" s="580">
        <f ca="1" t="shared" ref="DH17:DK17" si="191">CZ17</f>
        <v>2911738308.92652</v>
      </c>
      <c r="DI17" s="580">
        <f ca="1" t="shared" si="191"/>
        <v>67822.5948691936</v>
      </c>
      <c r="DJ17" s="581">
        <f ca="1" t="shared" si="191"/>
        <v>5.85651362194622e-17</v>
      </c>
      <c r="DK17" s="580">
        <f ca="1" t="shared" si="191"/>
        <v>3685.75569194835</v>
      </c>
      <c r="DL17" s="580">
        <f ca="1">MAX(INDIRECT("'"&amp;$B$2&amp;"-事故进程'!AB"&amp;(ROW()+22)),INDIRECT("'"&amp;$B$2&amp;"-事故进程'!AC"&amp;(ROW()+22)))</f>
        <v>9.03525162799031e-10</v>
      </c>
      <c r="DM17" s="580">
        <f ca="1">SUM(DL$3,-LN(1-DM$3)/DG17)</f>
        <v>1.07814939005043e-6</v>
      </c>
      <c r="DN17" s="580">
        <f t="shared" si="150"/>
        <v>1157407407407410</v>
      </c>
      <c r="DO17" s="582">
        <f ca="1" t="shared" si="151"/>
        <v>5.53532797900398e-9</v>
      </c>
      <c r="DP17" s="582">
        <f ca="1" t="shared" si="152"/>
        <v>5.04338143693942e-9</v>
      </c>
      <c r="DQ17" s="582">
        <f t="shared" si="153"/>
        <v>0</v>
      </c>
      <c r="DR17" s="582">
        <f ca="1" t="shared" si="154"/>
        <v>2.55776721973222</v>
      </c>
      <c r="DS17" s="582">
        <f ca="1" t="shared" si="155"/>
        <v>-4.61304012697576e-18</v>
      </c>
      <c r="DT17" s="582">
        <f ca="1" t="shared" si="12"/>
        <v>1.00083873625534</v>
      </c>
      <c r="DU17" s="580">
        <f ca="1" t="shared" si="156"/>
        <v>16.1174265289387</v>
      </c>
      <c r="DV17" s="580">
        <f ca="1" t="shared" si="157"/>
        <v>0.00154347746103863</v>
      </c>
      <c r="DW17" s="586">
        <f ca="1" t="shared" si="158"/>
        <v>1.43778178066354e-24</v>
      </c>
      <c r="DX17" s="594">
        <f ca="1" t="shared" si="159"/>
        <v>0.000110624762224376</v>
      </c>
      <c r="DY17" s="580">
        <f ca="1" t="shared" si="160"/>
        <v>11955.7245164559</v>
      </c>
      <c r="DZ17" s="580">
        <f ca="1" t="shared" si="161"/>
        <v>388.979056978418</v>
      </c>
      <c r="EA17" s="595">
        <f ca="1" t="shared" si="162"/>
        <v>388.979056978418</v>
      </c>
      <c r="EB17" s="596">
        <f t="shared" si="163"/>
        <v>172800</v>
      </c>
      <c r="EC17" s="580">
        <f ca="1" t="shared" ref="EC17:EF17" si="192">DU17</f>
        <v>16.1174265289387</v>
      </c>
      <c r="ED17" s="580">
        <f ca="1" t="shared" si="192"/>
        <v>0.00154347746103863</v>
      </c>
      <c r="EE17" s="581">
        <f ca="1" t="shared" si="192"/>
        <v>1.43778178066354e-24</v>
      </c>
      <c r="EF17" s="580">
        <f ca="1" t="shared" si="192"/>
        <v>0.000110624762224376</v>
      </c>
      <c r="EG17" s="580">
        <f ca="1">MAX(INDIRECT("'"&amp;$B$2&amp;"-事故进程'!AC"&amp;(ROW()+22)),INDIRECT("'"&amp;$B$2&amp;"-事故进程'!AD"&amp;(ROW()+22)),INDIRECT("'"&amp;$B$2&amp;"-事故进程'!AE"&amp;(ROW()+22)))</f>
        <v>9.03525162799031e-10</v>
      </c>
      <c r="EH17" s="580">
        <f ca="1">SUM(EG$3,-LN(1-EH$3)/EB17)</f>
        <v>5.81616658188741e-8</v>
      </c>
      <c r="EI17" s="580">
        <f t="shared" si="165"/>
        <v>1157407407407410</v>
      </c>
      <c r="EJ17" s="582">
        <f ca="1" t="shared" si="166"/>
        <v>3.06398558351443e-17</v>
      </c>
      <c r="EK17" s="582">
        <f ca="1" t="shared" si="167"/>
        <v>3.03381935833656e-17</v>
      </c>
      <c r="EL17" s="582">
        <f t="shared" si="168"/>
        <v>0</v>
      </c>
      <c r="EM17" s="582">
        <f ca="1" t="shared" si="169"/>
        <v>1.44741237788972e-8</v>
      </c>
      <c r="EN17" s="582">
        <f ca="1" t="shared" si="170"/>
        <v>1.3602194463348e-24</v>
      </c>
      <c r="EO17" s="582">
        <f ca="1" t="shared" si="14"/>
        <v>1.01577985509914</v>
      </c>
      <c r="EP17" s="580">
        <f ca="1" t="shared" si="171"/>
        <v>4.93835625280213e-16</v>
      </c>
      <c r="EQ17" s="580">
        <f ca="1" t="shared" si="172"/>
        <v>1.23548276147851e-19</v>
      </c>
      <c r="ER17" s="586">
        <f ca="1" t="shared" si="173"/>
        <v>6.20850834703524e-42</v>
      </c>
      <c r="ES17" s="594">
        <f ca="1" t="shared" si="174"/>
        <v>4.24924573334235e-21</v>
      </c>
      <c r="ET17" s="580">
        <f ca="1" t="shared" si="175"/>
        <v>6.61788567915238e-5</v>
      </c>
      <c r="EU17" s="580">
        <f ca="1" t="shared" si="176"/>
        <v>4.25344001624882e-7</v>
      </c>
      <c r="EV17" s="595">
        <f ca="1" t="shared" si="177"/>
        <v>4.25344001624894e-7</v>
      </c>
      <c r="EW17" s="596">
        <f t="shared" si="178"/>
        <v>2246400</v>
      </c>
      <c r="EX17" s="580">
        <f ca="1" t="shared" ref="EX17:FA17" si="193">EP17</f>
        <v>4.93835625280213e-16</v>
      </c>
      <c r="EY17" s="580">
        <f ca="1" t="shared" si="193"/>
        <v>1.23548276147851e-19</v>
      </c>
      <c r="EZ17" s="581">
        <f ca="1" t="shared" si="193"/>
        <v>6.20850834703524e-42</v>
      </c>
      <c r="FA17" s="580">
        <f ca="1" t="shared" si="193"/>
        <v>4.24924573334235e-21</v>
      </c>
      <c r="FB17" s="580">
        <f ca="1">INDIRECT("'"&amp;$B$2&amp;"-事故进程'!AE"&amp;(ROW()+22))</f>
        <v>3.73399356193286e-10</v>
      </c>
      <c r="FC17" s="580">
        <f ca="1">SUM(FB$3,-LN(1-FC$3)/EW17)</f>
        <v>4.47397429375955e-9</v>
      </c>
      <c r="FD17" s="580">
        <f t="shared" si="180"/>
        <v>1157407407407410</v>
      </c>
      <c r="FE17" s="582">
        <f ca="1" t="shared" si="16"/>
        <v>2.10012197078999e-215</v>
      </c>
      <c r="FF17" s="582">
        <f ca="1" t="shared" si="17"/>
        <v>2.08086545816856e-215</v>
      </c>
      <c r="FG17" s="582">
        <f t="shared" si="18"/>
        <v>0</v>
      </c>
      <c r="FH17" s="582">
        <f ca="1" t="shared" si="19"/>
        <v>1.83891285580189e-25</v>
      </c>
      <c r="FI17" s="582">
        <f ca="1" t="shared" si="20"/>
        <v>5.73093078187868e-42</v>
      </c>
      <c r="FJ17" s="582">
        <f ca="1" t="shared" si="21"/>
        <v>1.09106024444828</v>
      </c>
      <c r="FK17" s="580">
        <f ca="1" t="shared" si="22"/>
        <v>1.03711504660979e-230</v>
      </c>
      <c r="FL17" s="580">
        <f ca="1" t="shared" si="23"/>
        <v>1.12302946551496e-233</v>
      </c>
      <c r="FM17" s="586">
        <f ca="1" t="shared" si="24"/>
        <v>4.34108588530909e-257</v>
      </c>
      <c r="FN17" s="594">
        <f ca="1" t="shared" si="25"/>
        <v>1.58876697575266e-235</v>
      </c>
      <c r="FO17" s="580">
        <f ca="1" t="shared" si="26"/>
        <v>8.37992896679472e-22</v>
      </c>
      <c r="FP17" s="580">
        <f ca="1" t="shared" si="27"/>
        <v>2.52896132971316e-24</v>
      </c>
      <c r="FQ17" s="595">
        <f ca="1" t="shared" si="28"/>
        <v>2.52896132971309e-24</v>
      </c>
      <c r="FR17" s="608" t="str">
        <f t="shared" si="29"/>
        <v>I-134</v>
      </c>
      <c r="FS17" s="609">
        <v>9370000000</v>
      </c>
      <c r="FT17" s="610">
        <v>47600000000</v>
      </c>
      <c r="FU17" s="610">
        <v>129000000</v>
      </c>
      <c r="FV17" s="610">
        <v>309</v>
      </c>
      <c r="FW17" s="610">
        <v>57100000000</v>
      </c>
      <c r="FX17" s="614">
        <f ca="1">H17/FS17</f>
        <v>0.511998932764141</v>
      </c>
      <c r="FY17" s="614">
        <f ca="1">(I17+J17)/FT17</f>
        <v>0.280410341734919</v>
      </c>
      <c r="FZ17" s="614">
        <f ca="1">K17/FU17</f>
        <v>0.175711104027267</v>
      </c>
      <c r="GA17" s="614">
        <f ca="1">L17/FV17</f>
        <v>1.25883190098305</v>
      </c>
      <c r="GB17" s="614">
        <f ca="1">SUM(H17:L17)/FW17</f>
        <v>0.31817214339721</v>
      </c>
      <c r="GC17" s="455">
        <f ca="1">N17/FW17</f>
        <v>0.31817214339721</v>
      </c>
      <c r="GE17" s="609">
        <v>2586954574.00042</v>
      </c>
      <c r="GF17" s="610">
        <v>810664046.168369</v>
      </c>
      <c r="GG17" s="610">
        <v>2865285.43060858</v>
      </c>
      <c r="GH17" s="610">
        <v>10.9903217585912</v>
      </c>
      <c r="GI17" s="610">
        <v>6.24642651102317e-5</v>
      </c>
      <c r="GJ17" s="610">
        <v>1.62824997597659e-24</v>
      </c>
      <c r="GK17" s="617">
        <v>3400483916.58978</v>
      </c>
      <c r="GL17" s="614">
        <f ca="1" t="shared" si="181"/>
        <v>1.85447013574009</v>
      </c>
      <c r="GM17" s="614">
        <f ca="1" t="shared" si="182"/>
        <v>16.4649367758071</v>
      </c>
      <c r="GN17" s="614">
        <f ca="1" t="shared" si="183"/>
        <v>7.9108113200098</v>
      </c>
      <c r="GO17" s="614">
        <f ca="1" t="shared" si="184"/>
        <v>35.3926714040457</v>
      </c>
      <c r="GP17" s="614">
        <f ca="1" t="shared" si="185"/>
        <v>1.55317756304358</v>
      </c>
      <c r="GQ17" s="614">
        <f ca="1" t="shared" si="186"/>
        <v>5.34265999593386</v>
      </c>
      <c r="GR17" s="451">
        <f t="shared" si="187"/>
        <v>0.000220046723987284</v>
      </c>
      <c r="GS17" s="390">
        <f t="shared" si="188"/>
        <v>3150</v>
      </c>
    </row>
    <row r="18" spans="1:201">
      <c r="A18" s="413"/>
      <c r="B18" s="407" t="s">
        <v>270</v>
      </c>
      <c r="C18" s="433">
        <f ca="1">IF(0&lt;$C$13-$C$12,MAX(1%,INDIRECT("'"&amp;$B$2&amp;"-事故进程'!$Z$23")*150%),0.000000000000001)</f>
        <v>0.245916365044988</v>
      </c>
      <c r="D18" s="410"/>
      <c r="E18" s="409" t="s">
        <v>271</v>
      </c>
      <c r="G18" s="411" t="s">
        <v>59</v>
      </c>
      <c r="H18" s="412">
        <f ca="1" t="shared" si="90"/>
        <v>3598630000</v>
      </c>
      <c r="I18" s="412">
        <f ca="1" t="shared" si="1"/>
        <v>5439870225.69291</v>
      </c>
      <c r="J18" s="412">
        <f ca="1" t="shared" si="91"/>
        <v>35193370595.9103</v>
      </c>
      <c r="K18" s="412">
        <f ca="1" t="shared" si="92"/>
        <v>19156337228.1203</v>
      </c>
      <c r="L18" s="412">
        <f ca="1" t="shared" si="93"/>
        <v>18019022408.4824</v>
      </c>
      <c r="M18" s="412">
        <f ca="1" t="shared" si="94"/>
        <v>227028.71499997</v>
      </c>
      <c r="N18" s="412">
        <f ca="1" t="shared" si="95"/>
        <v>81407457486.9209</v>
      </c>
      <c r="O18" s="450">
        <f ca="1" t="shared" si="96"/>
        <v>3598630000</v>
      </c>
      <c r="P18" s="451"/>
      <c r="Q18" s="477" t="str">
        <f t="shared" si="0"/>
        <v>I-135</v>
      </c>
      <c r="R18" s="412">
        <f ca="1" t="shared" si="97"/>
        <v>3598630000</v>
      </c>
      <c r="S18" s="412">
        <f ca="1">I18*(1-过滤效率!$B15)</f>
        <v>271993511.284646</v>
      </c>
      <c r="T18" s="412">
        <f ca="1">J18*(1-过滤效率!$B15)</f>
        <v>1759668529.79552</v>
      </c>
      <c r="U18" s="412">
        <f ca="1">K18*(1-过滤效率!$B15)</f>
        <v>957816861.406018</v>
      </c>
      <c r="V18" s="412">
        <f ca="1">L18*(1-过滤效率!$B15)</f>
        <v>900951120.42412</v>
      </c>
      <c r="W18" s="412">
        <f ca="1">M18*(1-过滤效率!$B15)</f>
        <v>11351.4357499985</v>
      </c>
      <c r="X18" s="412">
        <f ca="1" t="shared" si="98"/>
        <v>7489071374.34605</v>
      </c>
      <c r="Y18" s="493"/>
      <c r="Z18" s="494">
        <f>VLOOKUP(G18,衰变常数!$A$1:$H$3800,7,FALSE)</f>
        <v>2.93060705462517e-5</v>
      </c>
      <c r="AA18" s="495">
        <f>正常源项!C15</f>
        <v>3.77e+17</v>
      </c>
      <c r="AB18" s="496">
        <f>正常源项!F15</f>
        <v>0</v>
      </c>
      <c r="AC18" s="496">
        <f>正常源项!I15</f>
        <v>173000000</v>
      </c>
      <c r="AD18" s="497"/>
      <c r="AE18" s="496">
        <f>正常源项!O15</f>
        <v>134000000000</v>
      </c>
      <c r="AF18" s="498">
        <f t="shared" si="78"/>
        <v>745630000</v>
      </c>
      <c r="AG18" s="519">
        <f>AE18*MIN(100%,$C$7/500*10)</f>
        <v>2680000000</v>
      </c>
      <c r="AH18" s="523">
        <v>1</v>
      </c>
      <c r="AI18" s="519">
        <f t="shared" si="79"/>
        <v>0</v>
      </c>
      <c r="AJ18" s="521"/>
      <c r="AK18" s="521"/>
      <c r="AL18" s="519">
        <f t="shared" si="42"/>
        <v>55155100</v>
      </c>
      <c r="AM18" s="520">
        <f t="shared" si="2"/>
        <v>1583400000000</v>
      </c>
      <c r="AN18" s="519">
        <f ca="1">MAX(INDIRECT("'"&amp;$B$2&amp;"-事故进程'!Y"&amp;(ROW()+22)),INDIRECT("'"&amp;$B$2&amp;"-事故进程'!Z"&amp;(ROW()+22)),INDIRECT("'"&amp;$B$2&amp;"-事故进程'!AA"&amp;(ROW()+22)))</f>
        <v>7.08396422917574e-11</v>
      </c>
      <c r="AO18" s="519">
        <f ca="1" t="shared" si="3"/>
        <v>0</v>
      </c>
      <c r="AP18" s="560">
        <f t="shared" si="4"/>
        <v>3.77e+17</v>
      </c>
      <c r="AQ18" s="561">
        <f ca="1">(AC18*$C$5+AD18*$C$8+AF18+AG18+AI18+(AL18+AM18)*$C$10)*EXP(-Z18*$C$12*3600)+AO18*$C$11</f>
        <v>3598630000</v>
      </c>
      <c r="AR18" s="562">
        <f ca="1">AQ18*(1-AR$3)</f>
        <v>0</v>
      </c>
      <c r="AS18" s="563">
        <f ca="1" t="shared" si="5"/>
        <v>3598630000</v>
      </c>
      <c r="AT18" s="562">
        <f ca="1">AS18*(1-AT$3)</f>
        <v>0</v>
      </c>
      <c r="AU18" s="564">
        <f ca="1" t="shared" si="99"/>
        <v>3598630000</v>
      </c>
      <c r="AV18" s="565">
        <f t="shared" si="100"/>
        <v>7200</v>
      </c>
      <c r="AW18" s="580">
        <f>AP18*EXP(-Z18*AW$3*3600)</f>
        <v>3.77e+17</v>
      </c>
      <c r="AX18" s="580">
        <f ca="1" t="shared" si="101"/>
        <v>0</v>
      </c>
      <c r="AY18" s="581">
        <f ca="1" t="shared" si="102"/>
        <v>0</v>
      </c>
      <c r="AZ18" s="580">
        <v>0</v>
      </c>
      <c r="BA18" s="580">
        <f ca="1">MAX(INDIRECT("'"&amp;$B$2&amp;"-事故进程'!Y"&amp;(ROW()+22)),INDIRECT("'"&amp;$B$2&amp;"-事故进程'!Z"&amp;(ROW()+22)))</f>
        <v>1.78671205160526e-11</v>
      </c>
      <c r="BB18" s="580">
        <f ca="1">SUM(BA$3,-LN(1-BB$3)/AV18)</f>
        <v>3.92016660325749e-5</v>
      </c>
      <c r="BC18" s="580">
        <f t="shared" si="103"/>
        <v>1157407407407410</v>
      </c>
      <c r="BD18" s="582">
        <f ca="1" t="shared" si="104"/>
        <v>0.809770960127259</v>
      </c>
      <c r="BE18" s="582">
        <f ca="1" t="shared" si="105"/>
        <v>0.610635107647864</v>
      </c>
      <c r="BF18" s="582">
        <f t="shared" si="106"/>
        <v>0</v>
      </c>
      <c r="BG18" s="582">
        <f ca="1" t="shared" si="107"/>
        <v>6735904.43455185</v>
      </c>
      <c r="BH18" s="582">
        <f ca="1" t="shared" si="108"/>
        <v>1.9711874545203e-28</v>
      </c>
      <c r="BI18" s="582">
        <f ca="1" t="shared" si="6"/>
        <v>1.00000045577473</v>
      </c>
      <c r="BJ18" s="580">
        <f ca="1" t="shared" si="109"/>
        <v>3.05283651967977e+17</v>
      </c>
      <c r="BK18" s="580">
        <f ca="1" t="shared" si="110"/>
        <v>34216930526.3104</v>
      </c>
      <c r="BL18" s="586">
        <f ca="1" t="shared" si="111"/>
        <v>1.15893563024353e-9</v>
      </c>
      <c r="BM18" s="594">
        <f ca="1" t="shared" si="112"/>
        <v>5055758561.68958</v>
      </c>
      <c r="BN18" s="580">
        <f ca="1" t="shared" si="113"/>
        <v>43723495786.4475</v>
      </c>
      <c r="BO18" s="580">
        <f ca="1" t="shared" si="114"/>
        <v>5439870225.69291</v>
      </c>
      <c r="BP18" s="595">
        <f ca="1" t="shared" si="115"/>
        <v>5439870225.69291</v>
      </c>
      <c r="BQ18" s="596">
        <f t="shared" si="116"/>
        <v>21600</v>
      </c>
      <c r="BR18" s="580">
        <f ca="1" t="shared" ref="BR18:BT18" si="194">BJ18</f>
        <v>3.05283651967977e+17</v>
      </c>
      <c r="BS18" s="580">
        <f ca="1" t="shared" si="194"/>
        <v>34216930526.3104</v>
      </c>
      <c r="BT18" s="581">
        <f ca="1" t="shared" si="194"/>
        <v>1.15893563024353e-9</v>
      </c>
      <c r="BU18" s="580">
        <f ca="1" t="shared" si="118"/>
        <v>5055758561.68958</v>
      </c>
      <c r="BV18" s="580">
        <f ca="1">MAX(INDIRECT("'"&amp;$B$2&amp;"-事故进程'!Z"&amp;(ROW()+22)),INDIRECT("'"&amp;$B$2&amp;"-事故进程'!AA"&amp;(ROW()+22)))</f>
        <v>7.08396422917574e-11</v>
      </c>
      <c r="BW18" s="580">
        <f ca="1">SUM(BV$3,-LN(1-BW$3)/BQ18)</f>
        <v>9.67910672705165e-6</v>
      </c>
      <c r="BX18" s="580">
        <f t="shared" si="119"/>
        <v>1157407407407410</v>
      </c>
      <c r="BY18" s="582">
        <f ca="1" t="shared" si="120"/>
        <v>0.530989700720279</v>
      </c>
      <c r="BZ18" s="582">
        <f ca="1" t="shared" si="121"/>
        <v>0.43081357239399</v>
      </c>
      <c r="CA18" s="582">
        <f t="shared" si="122"/>
        <v>0</v>
      </c>
      <c r="CB18" s="582">
        <f ca="1" t="shared" si="123"/>
        <v>21294997.8044117</v>
      </c>
      <c r="CC18" s="582">
        <f ca="1" t="shared" si="124"/>
        <v>8.72788055658597e-10</v>
      </c>
      <c r="CD18" s="582">
        <f ca="1" t="shared" si="8"/>
        <v>1.00000731887381</v>
      </c>
      <c r="CE18" s="580">
        <f ca="1" t="shared" si="125"/>
        <v>1.6210247499327e+17</v>
      </c>
      <c r="CF18" s="580">
        <f ca="1" t="shared" si="126"/>
        <v>238567899918.085</v>
      </c>
      <c r="CG18" s="586">
        <f ca="1" t="shared" si="127"/>
        <v>1.99508327852174e-9</v>
      </c>
      <c r="CH18" s="594">
        <f ca="1" t="shared" si="128"/>
        <v>30324592177.9153</v>
      </c>
      <c r="CI18" s="580">
        <f ca="1" t="shared" si="129"/>
        <v>346101631949.512</v>
      </c>
      <c r="CJ18" s="580">
        <f ca="1" t="shared" si="130"/>
        <v>35193370595.9103</v>
      </c>
      <c r="CK18" s="595">
        <f ca="1" t="shared" si="131"/>
        <v>35193370595.9103</v>
      </c>
      <c r="CL18" s="596">
        <f t="shared" si="132"/>
        <v>57600</v>
      </c>
      <c r="CM18" s="580">
        <f ca="1" t="shared" ref="CM18:CO18" si="195">CE18</f>
        <v>1.6210247499327e+17</v>
      </c>
      <c r="CN18" s="580">
        <f ca="1" t="shared" si="195"/>
        <v>238567899918.085</v>
      </c>
      <c r="CO18" s="581">
        <f ca="1" t="shared" si="195"/>
        <v>1.99508327852174e-9</v>
      </c>
      <c r="CP18" s="580">
        <f ca="1" t="shared" si="134"/>
        <v>30324592177.9153</v>
      </c>
      <c r="CQ18" s="580">
        <f ca="1">MAX(INDIRECT("'"&amp;$B$2&amp;"-事故进程'!AA"&amp;(ROW()+22)),INDIRECT("'"&amp;$B$2&amp;"-事故进程'!AB"&amp;(ROW()+22)))</f>
        <v>1.35614280355551e-10</v>
      </c>
      <c r="CR18" s="580">
        <f ca="1">SUM(CQ$3,-LN(1-CR$3)/CL18)</f>
        <v>9.99426851876734e-7</v>
      </c>
      <c r="CS18" s="580">
        <f t="shared" si="135"/>
        <v>1157407407407410</v>
      </c>
      <c r="CT18" s="582">
        <f ca="1" t="shared" si="136"/>
        <v>0.184882003771611</v>
      </c>
      <c r="CU18" s="582">
        <f ca="1" t="shared" si="137"/>
        <v>0.17454081809093</v>
      </c>
      <c r="CV18" s="582">
        <f t="shared" si="138"/>
        <v>0</v>
      </c>
      <c r="CW18" s="582">
        <f ca="1" t="shared" si="139"/>
        <v>21745011.6781061</v>
      </c>
      <c r="CX18" s="582">
        <f ca="1" t="shared" si="140"/>
        <v>1.78907875181143e-9</v>
      </c>
      <c r="CY18" s="582">
        <f ca="1" t="shared" si="10"/>
        <v>1.00013571046683</v>
      </c>
      <c r="CZ18" s="580">
        <f ca="1" t="shared" si="141"/>
        <v>2.99698303930932e+16</v>
      </c>
      <c r="DA18" s="580">
        <f ca="1" t="shared" si="142"/>
        <v>269135606643.255</v>
      </c>
      <c r="DB18" s="586">
        <f ca="1" t="shared" si="143"/>
        <v>2.32399888193149e-10</v>
      </c>
      <c r="DC18" s="594">
        <f ca="1" t="shared" si="144"/>
        <v>14684888884.7451</v>
      </c>
      <c r="DD18" s="580">
        <f ca="1" t="shared" si="145"/>
        <v>611442962312.235</v>
      </c>
      <c r="DE18" s="580">
        <f ca="1" t="shared" si="146"/>
        <v>19156337228.1204</v>
      </c>
      <c r="DF18" s="595">
        <f ca="1" t="shared" si="147"/>
        <v>19156337228.1203</v>
      </c>
      <c r="DG18" s="596">
        <f t="shared" si="148"/>
        <v>86400</v>
      </c>
      <c r="DH18" s="580">
        <f ca="1" t="shared" ref="DH18:DK18" si="196">CZ18</f>
        <v>2.99698303930932e+16</v>
      </c>
      <c r="DI18" s="580">
        <f ca="1" t="shared" si="196"/>
        <v>269135606643.255</v>
      </c>
      <c r="DJ18" s="581">
        <f ca="1" t="shared" si="196"/>
        <v>2.32399888193149e-10</v>
      </c>
      <c r="DK18" s="580">
        <f ca="1" t="shared" si="196"/>
        <v>14684888884.7451</v>
      </c>
      <c r="DL18" s="580">
        <f ca="1">MAX(INDIRECT("'"&amp;$B$2&amp;"-事故进程'!AB"&amp;(ROW()+22)),INDIRECT("'"&amp;$B$2&amp;"-事故进程'!AC"&amp;(ROW()+22)))</f>
        <v>3.38240744373038e-10</v>
      </c>
      <c r="DM18" s="580">
        <f ca="1">SUM(DL$3,-LN(1-DM$3)/DG18)</f>
        <v>1.07814939005043e-6</v>
      </c>
      <c r="DN18" s="580">
        <f t="shared" si="150"/>
        <v>1157407407407410</v>
      </c>
      <c r="DO18" s="582">
        <f ca="1" t="shared" si="151"/>
        <v>0.079494001007319</v>
      </c>
      <c r="DP18" s="582">
        <f ca="1" t="shared" si="152"/>
        <v>0.072425516597071</v>
      </c>
      <c r="DQ18" s="582">
        <f t="shared" si="153"/>
        <v>0</v>
      </c>
      <c r="DR18" s="582">
        <f ca="1" t="shared" si="154"/>
        <v>9846940.38337819</v>
      </c>
      <c r="DS18" s="582">
        <f ca="1" t="shared" si="155"/>
        <v>-1.83056008906436e-11</v>
      </c>
      <c r="DT18" s="582">
        <f ca="1" t="shared" si="12"/>
        <v>1.00031382190154</v>
      </c>
      <c r="DU18" s="580">
        <f ca="1" t="shared" si="156"/>
        <v>2382421727457730</v>
      </c>
      <c r="DV18" s="580">
        <f ca="1" t="shared" si="157"/>
        <v>85972718317.8014</v>
      </c>
      <c r="DW18" s="586">
        <f ca="1" t="shared" si="158"/>
        <v>8.00853988164325e-11</v>
      </c>
      <c r="DX18" s="594">
        <f ca="1" t="shared" si="159"/>
        <v>6214878467.69861</v>
      </c>
      <c r="DY18" s="580">
        <f ca="1" t="shared" si="160"/>
        <v>318400855942.752</v>
      </c>
      <c r="DZ18" s="580">
        <f ca="1" t="shared" si="161"/>
        <v>17797417412.3224</v>
      </c>
      <c r="EA18" s="595">
        <f ca="1" t="shared" si="162"/>
        <v>17797417412.3224</v>
      </c>
      <c r="EB18" s="596">
        <f t="shared" si="163"/>
        <v>172800</v>
      </c>
      <c r="EC18" s="580">
        <f ca="1" t="shared" ref="EC18:EF18" si="197">DU18</f>
        <v>2382421727457730</v>
      </c>
      <c r="ED18" s="580">
        <f ca="1" t="shared" si="197"/>
        <v>85972718317.8014</v>
      </c>
      <c r="EE18" s="581">
        <f ca="1" t="shared" si="197"/>
        <v>8.00853988164325e-11</v>
      </c>
      <c r="EF18" s="580">
        <f ca="1" t="shared" si="197"/>
        <v>6214878467.69861</v>
      </c>
      <c r="EG18" s="580">
        <f ca="1">MAX(INDIRECT("'"&amp;$B$2&amp;"-事故进程'!AC"&amp;(ROW()+22)),INDIRECT("'"&amp;$B$2&amp;"-事故进程'!AD"&amp;(ROW()+22)),INDIRECT("'"&amp;$B$2&amp;"-事故进程'!AE"&amp;(ROW()+22)))</f>
        <v>3.38240744373038e-10</v>
      </c>
      <c r="EH18" s="580">
        <f ca="1">SUM(EG$3,-LN(1-EH$3)/EB18)</f>
        <v>5.81616658188741e-8</v>
      </c>
      <c r="EI18" s="580">
        <f t="shared" si="165"/>
        <v>1157407407407410</v>
      </c>
      <c r="EJ18" s="582">
        <f ca="1" t="shared" si="166"/>
        <v>0.00631929619615163</v>
      </c>
      <c r="EK18" s="582">
        <f ca="1" t="shared" si="167"/>
        <v>0.00625646890160204</v>
      </c>
      <c r="EL18" s="582">
        <f t="shared" si="168"/>
        <v>0</v>
      </c>
      <c r="EM18" s="582">
        <f ca="1" t="shared" si="169"/>
        <v>800860.861469701</v>
      </c>
      <c r="EN18" s="582">
        <f ca="1" t="shared" si="170"/>
        <v>7.57651253497706e-11</v>
      </c>
      <c r="EO18" s="582">
        <f ca="1" t="shared" si="14"/>
        <v>1.00584954529998</v>
      </c>
      <c r="EP18" s="580">
        <f ca="1" t="shared" si="171"/>
        <v>15055228559952.6</v>
      </c>
      <c r="EQ18" s="580">
        <f ca="1" t="shared" si="172"/>
        <v>1413452081.4686</v>
      </c>
      <c r="ER18" s="586">
        <f ca="1" t="shared" si="173"/>
        <v>7.10283406579505e-14</v>
      </c>
      <c r="ES18" s="594">
        <f ca="1" t="shared" si="174"/>
        <v>49116423.162262</v>
      </c>
      <c r="ET18" s="580">
        <f ca="1" t="shared" si="175"/>
        <v>27323027280.8548</v>
      </c>
      <c r="EU18" s="580">
        <f ca="1" t="shared" si="176"/>
        <v>221604996.159951</v>
      </c>
      <c r="EV18" s="595">
        <f ca="1" t="shared" si="177"/>
        <v>221604996.159949</v>
      </c>
      <c r="EW18" s="596">
        <f t="shared" si="178"/>
        <v>2246400</v>
      </c>
      <c r="EX18" s="580">
        <f ca="1" t="shared" ref="EX18:FA18" si="198">EP18</f>
        <v>15055228559952.6</v>
      </c>
      <c r="EY18" s="580">
        <f ca="1" t="shared" si="198"/>
        <v>1413452081.4686</v>
      </c>
      <c r="EZ18" s="581">
        <f ca="1" t="shared" si="198"/>
        <v>7.10283406579505e-14</v>
      </c>
      <c r="FA18" s="580">
        <f ca="1" t="shared" si="198"/>
        <v>49116423.162262</v>
      </c>
      <c r="FB18" s="580">
        <f ca="1">INDIRECT("'"&amp;$B$2&amp;"-事故进程'!AE"&amp;(ROW()+22))</f>
        <v>1.43835017478882e-10</v>
      </c>
      <c r="FC18" s="580">
        <f ca="1">SUM(FB$3,-LN(1-FC$3)/EW18)</f>
        <v>4.47397429375955e-9</v>
      </c>
      <c r="FD18" s="580">
        <f t="shared" si="180"/>
        <v>1157407407407410</v>
      </c>
      <c r="FE18" s="582">
        <f ca="1" t="shared" si="16"/>
        <v>2.56379276457781e-29</v>
      </c>
      <c r="FF18" s="582">
        <f ca="1" t="shared" si="17"/>
        <v>2.53897507514393e-29</v>
      </c>
      <c r="FG18" s="582">
        <f t="shared" si="18"/>
        <v>0</v>
      </c>
      <c r="FH18" s="582">
        <f ca="1" t="shared" si="19"/>
        <v>2159.34861869624</v>
      </c>
      <c r="FI18" s="582">
        <f ca="1" t="shared" si="20"/>
        <v>6.55646221458005e-14</v>
      </c>
      <c r="FJ18" s="582">
        <f ca="1" t="shared" si="21"/>
        <v>1.03321718039574</v>
      </c>
      <c r="FK18" s="580">
        <f ca="1" t="shared" si="22"/>
        <v>3.85984860510717e-16</v>
      </c>
      <c r="FL18" s="580">
        <f ca="1" t="shared" si="23"/>
        <v>1.59998535792033e-19</v>
      </c>
      <c r="FM18" s="586">
        <f ca="1" t="shared" si="24"/>
        <v>6.18476546453239e-43</v>
      </c>
      <c r="FN18" s="594">
        <f ca="1" t="shared" si="25"/>
        <v>2.24690594909708e-21</v>
      </c>
      <c r="FO18" s="580">
        <f ca="1" t="shared" si="26"/>
        <v>73891122.0295101</v>
      </c>
      <c r="FP18" s="580">
        <f ca="1" t="shared" si="27"/>
        <v>227028.714999963</v>
      </c>
      <c r="FQ18" s="595">
        <f ca="1" t="shared" si="28"/>
        <v>227028.71499997</v>
      </c>
      <c r="FR18" s="608" t="str">
        <f t="shared" si="29"/>
        <v>I-135</v>
      </c>
      <c r="FS18" s="609">
        <v>4810000000</v>
      </c>
      <c r="FT18" s="610">
        <v>54300000000</v>
      </c>
      <c r="FU18" s="610">
        <v>51900000000</v>
      </c>
      <c r="FV18" s="610">
        <v>9340000000</v>
      </c>
      <c r="FW18" s="610">
        <v>120000000000</v>
      </c>
      <c r="FX18" s="614">
        <f ca="1">H18/FS18</f>
        <v>0.748155925155925</v>
      </c>
      <c r="FY18" s="614">
        <f ca="1">(I18+J18)/FT18</f>
        <v>0.748310144044258</v>
      </c>
      <c r="FZ18" s="614">
        <f ca="1">K18/FU18</f>
        <v>0.369100909983051</v>
      </c>
      <c r="GA18" s="614">
        <f ca="1">L18/FV18</f>
        <v>1.92923152125079</v>
      </c>
      <c r="GB18" s="614">
        <f ca="1">SUM(H18:L18)/FW18</f>
        <v>0.678393587151716</v>
      </c>
      <c r="GC18" s="455">
        <f ca="1">N18/FW18</f>
        <v>0.678395479057674</v>
      </c>
      <c r="GE18" s="609">
        <v>726033730.69528</v>
      </c>
      <c r="GF18" s="610">
        <v>3786646683.3777</v>
      </c>
      <c r="GG18" s="610">
        <v>5549819971.55389</v>
      </c>
      <c r="GH18" s="610">
        <v>1456467767.8455</v>
      </c>
      <c r="GI18" s="610">
        <v>242171333.196658</v>
      </c>
      <c r="GJ18" s="610">
        <v>891925.13624755</v>
      </c>
      <c r="GK18" s="617">
        <v>11762031411.8053</v>
      </c>
      <c r="GL18" s="614">
        <f ca="1" t="shared" si="181"/>
        <v>4.95656034679519</v>
      </c>
      <c r="GM18" s="614">
        <f ca="1" t="shared" si="182"/>
        <v>10.7306660005993</v>
      </c>
      <c r="GN18" s="614">
        <f ca="1" t="shared" si="183"/>
        <v>3.4517042582116</v>
      </c>
      <c r="GO18" s="614">
        <f ca="1" t="shared" si="184"/>
        <v>10.6079168891304</v>
      </c>
      <c r="GP18" s="614">
        <f ca="1" t="shared" si="185"/>
        <v>0.254537859483488</v>
      </c>
      <c r="GQ18" s="614">
        <f ca="1" t="shared" si="186"/>
        <v>6.92120728441636</v>
      </c>
      <c r="GR18" s="451">
        <f t="shared" si="187"/>
        <v>2.93060705462517e-5</v>
      </c>
      <c r="GS18" s="390">
        <f t="shared" si="188"/>
        <v>23652</v>
      </c>
    </row>
    <row r="19" s="389" customFormat="1" spans="1:201">
      <c r="A19" s="430"/>
      <c r="B19" s="407" t="s">
        <v>272</v>
      </c>
      <c r="C19" s="431">
        <v>1e+20</v>
      </c>
      <c r="D19" s="410" t="s">
        <v>273</v>
      </c>
      <c r="E19" s="409" t="s">
        <v>274</v>
      </c>
      <c r="G19" s="411" t="s">
        <v>60</v>
      </c>
      <c r="H19" s="412">
        <f ca="1" t="shared" si="90"/>
        <v>11995186.6</v>
      </c>
      <c r="I19" s="412">
        <f ca="1" t="shared" si="1"/>
        <v>1281817.90346872</v>
      </c>
      <c r="J19" s="412">
        <f ca="1" t="shared" si="91"/>
        <v>96845668.5252226</v>
      </c>
      <c r="K19" s="412">
        <f ca="1" t="shared" si="92"/>
        <v>172718359.16479</v>
      </c>
      <c r="L19" s="412">
        <f ca="1" t="shared" si="93"/>
        <v>870597043.353889</v>
      </c>
      <c r="M19" s="412">
        <f ca="1" t="shared" si="94"/>
        <v>205518462.318895</v>
      </c>
      <c r="N19" s="412">
        <f ca="1" t="shared" si="95"/>
        <v>1358956537.86627</v>
      </c>
      <c r="O19" s="450">
        <f ca="1" t="shared" si="96"/>
        <v>11995186.6</v>
      </c>
      <c r="P19" s="451"/>
      <c r="Q19" s="477" t="str">
        <f t="shared" si="0"/>
        <v>Sr-89</v>
      </c>
      <c r="R19" s="412">
        <f ca="1" t="shared" si="97"/>
        <v>11995186.6</v>
      </c>
      <c r="S19" s="412">
        <f ca="1">I19*(1-过滤效率!$B16)</f>
        <v>1281.81790346872</v>
      </c>
      <c r="T19" s="412">
        <f ca="1">J19*(1-过滤效率!$B16)</f>
        <v>96845.6685252227</v>
      </c>
      <c r="U19" s="412">
        <f ca="1">K19*(1-过滤效率!$B16)</f>
        <v>172718.35916479</v>
      </c>
      <c r="V19" s="412">
        <f ca="1">L19*(1-过滤效率!$B16)</f>
        <v>870597.043353889</v>
      </c>
      <c r="W19" s="412">
        <f ca="1">M19*(1-过滤效率!$B16)</f>
        <v>205518.462318895</v>
      </c>
      <c r="X19" s="412">
        <f ca="1" t="shared" si="98"/>
        <v>13342147.9512663</v>
      </c>
      <c r="Y19" s="493"/>
      <c r="Z19" s="494">
        <f>VLOOKUP(G19,衰变常数!$A$1:$H$3800,7,FALSE)</f>
        <v>1.58767797586313e-7</v>
      </c>
      <c r="AA19" s="495">
        <f>正常源项!C16</f>
        <v>2.39e+17</v>
      </c>
      <c r="AB19" s="496">
        <f>正常源项!F16</f>
        <v>0</v>
      </c>
      <c r="AC19" s="496">
        <f>正常源项!I16</f>
        <v>2860</v>
      </c>
      <c r="AD19" s="497"/>
      <c r="AE19" s="496">
        <f>正常源项!O16</f>
        <v>5990000000</v>
      </c>
      <c r="AF19" s="498">
        <f t="shared" si="78"/>
        <v>12326.6</v>
      </c>
      <c r="AG19" s="519">
        <f>AE19*MIN(100%,$C$7/500)</f>
        <v>11980000</v>
      </c>
      <c r="AH19" s="523">
        <v>0.95</v>
      </c>
      <c r="AI19" s="519">
        <f t="shared" si="79"/>
        <v>0</v>
      </c>
      <c r="AJ19" s="521">
        <v>0.00041</v>
      </c>
      <c r="AK19" s="521">
        <v>2.47e-9</v>
      </c>
      <c r="AL19" s="524">
        <f t="shared" ref="AL19:AL21" si="199">AA19*(AJ19-AK19)*0.00000209</f>
        <v>204797866.2103</v>
      </c>
      <c r="AM19" s="520"/>
      <c r="AN19" s="519">
        <f ca="1">MAX(INDIRECT("'"&amp;$B$2&amp;"-事故进程'!Y"&amp;(ROW()+22)),INDIRECT("'"&amp;$B$2&amp;"-事故进程'!Z"&amp;(ROW()+22)),INDIRECT("'"&amp;$B$2&amp;"-事故进程'!AA"&amp;(ROW()+22)))</f>
        <v>1.89586185e-13</v>
      </c>
      <c r="AO19" s="519">
        <f ca="1" t="shared" si="3"/>
        <v>0</v>
      </c>
      <c r="AP19" s="560">
        <f t="shared" si="4"/>
        <v>2.39e+17</v>
      </c>
      <c r="AQ19" s="561">
        <f ca="1">(AC19*$C$5+AD19*$C$8+AF19+AG19+AI19+(AL19+AM19)*$C$10)*EXP(-Z19*$C$12*3600)+AO19*$C$11</f>
        <v>11995186.6</v>
      </c>
      <c r="AR19" s="562">
        <f ca="1">AQ19*(1-AR$3)</f>
        <v>0</v>
      </c>
      <c r="AS19" s="563">
        <f ca="1" t="shared" si="5"/>
        <v>11995186.6</v>
      </c>
      <c r="AT19" s="562">
        <f ca="1">AS19*(1-AT$3)</f>
        <v>0</v>
      </c>
      <c r="AU19" s="564">
        <f ca="1" t="shared" si="99"/>
        <v>11995186.6</v>
      </c>
      <c r="AV19" s="565">
        <f t="shared" si="100"/>
        <v>7200</v>
      </c>
      <c r="AW19" s="580">
        <f>AP19*EXP(-Z19*AW$3*3600)</f>
        <v>2.39e+17</v>
      </c>
      <c r="AX19" s="580">
        <f ca="1" t="shared" si="101"/>
        <v>0</v>
      </c>
      <c r="AY19" s="581">
        <f ca="1" t="shared" si="102"/>
        <v>0</v>
      </c>
      <c r="AZ19" s="580">
        <v>0</v>
      </c>
      <c r="BA19" s="580">
        <f ca="1" t="shared" ref="BA19:BA27" si="200">MAX(INDIRECT("'"&amp;$B$2&amp;"-事故进程'!Y"&amp;(ROW()+22)),INDIRECT("'"&amp;$B$2&amp;"-事故进程'!Z"&amp;(ROW()+22)))</f>
        <v>5.79065103325e-15</v>
      </c>
      <c r="BB19" s="580">
        <f ca="1">SUM(BA$3,-LN(1-BB$3)/AV19)</f>
        <v>3.92016660325749e-5</v>
      </c>
      <c r="BC19" s="580">
        <f t="shared" si="103"/>
        <v>1157407407407410</v>
      </c>
      <c r="BD19" s="582">
        <f ca="1" t="shared" si="104"/>
        <v>0.998857524937818</v>
      </c>
      <c r="BE19" s="582">
        <f ca="1" t="shared" si="105"/>
        <v>0.75322211323868</v>
      </c>
      <c r="BF19" s="582">
        <f t="shared" si="106"/>
        <v>0</v>
      </c>
      <c r="BG19" s="582">
        <f ca="1" t="shared" si="107"/>
        <v>1383.96559694675</v>
      </c>
      <c r="BH19" s="582">
        <f ca="1" t="shared" si="108"/>
        <v>4.0500212684069e-32</v>
      </c>
      <c r="BI19" s="582">
        <f ca="1" t="shared" si="6"/>
        <v>1.00000000014771</v>
      </c>
      <c r="BJ19" s="580">
        <f ca="1" t="shared" si="109"/>
        <v>2.38726948460138e+17</v>
      </c>
      <c r="BK19" s="580">
        <f ca="1" t="shared" si="110"/>
        <v>8671849.7869756</v>
      </c>
      <c r="BL19" s="586">
        <f ca="1" t="shared" si="111"/>
        <v>2.93717628777894e-13</v>
      </c>
      <c r="BM19" s="594">
        <f ca="1" t="shared" si="112"/>
        <v>1281302.2130244</v>
      </c>
      <c r="BN19" s="580">
        <f ca="1" t="shared" si="113"/>
        <v>9958859.08729136</v>
      </c>
      <c r="BO19" s="580">
        <f ca="1" t="shared" si="114"/>
        <v>1281817.90346872</v>
      </c>
      <c r="BP19" s="595">
        <f ca="1" t="shared" si="115"/>
        <v>1281817.90346872</v>
      </c>
      <c r="BQ19" s="596">
        <f t="shared" si="116"/>
        <v>21600</v>
      </c>
      <c r="BR19" s="580">
        <f ca="1" t="shared" ref="BR19:BT19" si="201">BJ19</f>
        <v>2.38726948460138e+17</v>
      </c>
      <c r="BS19" s="580">
        <f ca="1" t="shared" si="201"/>
        <v>8671849.7869756</v>
      </c>
      <c r="BT19" s="581">
        <f ca="1" t="shared" si="201"/>
        <v>2.93717628777894e-13</v>
      </c>
      <c r="BU19" s="580">
        <f ca="1" t="shared" si="118"/>
        <v>1281302.2130244</v>
      </c>
      <c r="BV19" s="580">
        <f ca="1">MAX(INDIRECT("'"&amp;$B$2&amp;"-事故进程'!Z"&amp;(ROW()+22)),INDIRECT("'"&amp;$B$2&amp;"-事故进程'!AA"&amp;(ROW()+22)))</f>
        <v>1.89586185e-13</v>
      </c>
      <c r="BW19" s="580">
        <f ca="1">SUM(BV$3,-LN(1-BW$3)/BQ19)</f>
        <v>9.67910672705165e-6</v>
      </c>
      <c r="BX19" s="580">
        <f t="shared" si="119"/>
        <v>1157407407407410</v>
      </c>
      <c r="BY19" s="582">
        <f ca="1" t="shared" si="120"/>
        <v>0.996576485113649</v>
      </c>
      <c r="BZ19" s="582">
        <f ca="1" t="shared" si="121"/>
        <v>0.80856186088968</v>
      </c>
      <c r="CA19" s="582">
        <f t="shared" si="122"/>
        <v>0</v>
      </c>
      <c r="CB19" s="582">
        <f ca="1" t="shared" si="123"/>
        <v>45175.3956572842</v>
      </c>
      <c r="CC19" s="582">
        <f ca="1" t="shared" si="124"/>
        <v>2.21197132475634e-13</v>
      </c>
      <c r="CD19" s="582">
        <f ca="1" t="shared" si="8"/>
        <v>1.00000001958716</v>
      </c>
      <c r="CE19" s="580">
        <f ca="1" t="shared" si="125"/>
        <v>2.37909663198312e+17</v>
      </c>
      <c r="CF19" s="580">
        <f ca="1" t="shared" si="126"/>
        <v>886164793.012761</v>
      </c>
      <c r="CG19" s="586">
        <f ca="1" t="shared" si="127"/>
        <v>7.41077303845779e-12</v>
      </c>
      <c r="CH19" s="594">
        <f ca="1" t="shared" si="128"/>
        <v>98008998.9872389</v>
      </c>
      <c r="CI19" s="580">
        <f ca="1" t="shared" si="129"/>
        <v>975927185.359205</v>
      </c>
      <c r="CJ19" s="580">
        <f ca="1" t="shared" si="130"/>
        <v>96845668.5252226</v>
      </c>
      <c r="CK19" s="595">
        <f ca="1" t="shared" si="131"/>
        <v>96845668.5252226</v>
      </c>
      <c r="CL19" s="596">
        <f t="shared" si="132"/>
        <v>57600</v>
      </c>
      <c r="CM19" s="580">
        <f ca="1" t="shared" ref="CM19:CO19" si="202">CE19</f>
        <v>2.37909663198312e+17</v>
      </c>
      <c r="CN19" s="580">
        <f ca="1" t="shared" si="202"/>
        <v>886164793.012761</v>
      </c>
      <c r="CO19" s="581">
        <f ca="1" t="shared" si="202"/>
        <v>7.41077303845779e-12</v>
      </c>
      <c r="CP19" s="580">
        <f ca="1" t="shared" si="134"/>
        <v>98008998.9872389</v>
      </c>
      <c r="CQ19" s="580">
        <f ca="1">MAX(INDIRECT("'"&amp;$B$2&amp;"-事故进程'!AA"&amp;(ROW()+22)),INDIRECT("'"&amp;$B$2&amp;"-事故进程'!AB"&amp;(ROW()+22)))</f>
        <v>3.207465e-13</v>
      </c>
      <c r="CR19" s="580">
        <f ca="1">SUM(CQ$3,-LN(1-CR$3)/CL19)</f>
        <v>9.99426851876734e-7</v>
      </c>
      <c r="CS19" s="580">
        <f t="shared" si="135"/>
        <v>1157407407407410</v>
      </c>
      <c r="CT19" s="582">
        <f ca="1" t="shared" si="136"/>
        <v>0.990896645116851</v>
      </c>
      <c r="CU19" s="582">
        <f ca="1" t="shared" si="137"/>
        <v>0.935464565295933</v>
      </c>
      <c r="CV19" s="582">
        <f t="shared" si="138"/>
        <v>0</v>
      </c>
      <c r="CW19" s="582">
        <f ca="1" t="shared" si="139"/>
        <v>75423.0351819469</v>
      </c>
      <c r="CX19" s="582">
        <f ca="1" t="shared" si="140"/>
        <v>6.64556548608122e-12</v>
      </c>
      <c r="CY19" s="582">
        <f ca="1" t="shared" si="10"/>
        <v>1.00000032093054</v>
      </c>
      <c r="CZ19" s="580">
        <f ca="1" t="shared" si="141"/>
        <v>2.35743887104087e+17</v>
      </c>
      <c r="DA19" s="580">
        <f ca="1" t="shared" si="142"/>
        <v>5061352393.2878</v>
      </c>
      <c r="DB19" s="586">
        <f ca="1" t="shared" si="143"/>
        <v>4.37050208620431e-12</v>
      </c>
      <c r="DC19" s="594">
        <f ca="1" t="shared" si="144"/>
        <v>269230102.712204</v>
      </c>
      <c r="DD19" s="580">
        <f ca="1" t="shared" si="145"/>
        <v>4375343798.87333</v>
      </c>
      <c r="DE19" s="580">
        <f ca="1" t="shared" si="146"/>
        <v>172718359.16479</v>
      </c>
      <c r="DF19" s="595">
        <f ca="1" t="shared" si="147"/>
        <v>172718359.16479</v>
      </c>
      <c r="DG19" s="596">
        <f t="shared" si="148"/>
        <v>86400</v>
      </c>
      <c r="DH19" s="580">
        <f ca="1" t="shared" ref="DH19:DK19" si="203">CZ19</f>
        <v>2.35743887104087e+17</v>
      </c>
      <c r="DI19" s="580">
        <f ca="1" t="shared" si="203"/>
        <v>5061352393.2878</v>
      </c>
      <c r="DJ19" s="581">
        <f ca="1" t="shared" si="203"/>
        <v>4.37050208620431e-12</v>
      </c>
      <c r="DK19" s="580">
        <f ca="1" t="shared" si="203"/>
        <v>269230102.712204</v>
      </c>
      <c r="DL19" s="580">
        <f ca="1">MAX(INDIRECT("'"&amp;$B$2&amp;"-事故进程'!AB"&amp;(ROW()+22)),INDIRECT("'"&amp;$B$2&amp;"-事故进程'!AC"&amp;(ROW()+22)))</f>
        <v>3.207465e-13</v>
      </c>
      <c r="DM19" s="580">
        <f ca="1">SUM(DL$3,-LN(1-DM$3)/DG19)</f>
        <v>1.07814939005043e-6</v>
      </c>
      <c r="DN19" s="580">
        <f t="shared" si="150"/>
        <v>1157407407407410</v>
      </c>
      <c r="DO19" s="582">
        <f ca="1" t="shared" si="151"/>
        <v>0.986376091638568</v>
      </c>
      <c r="DP19" s="582">
        <f ca="1" t="shared" si="152"/>
        <v>0.898642807928188</v>
      </c>
      <c r="DQ19" s="582">
        <f t="shared" si="153"/>
        <v>0</v>
      </c>
      <c r="DR19" s="582">
        <f ca="1" t="shared" si="154"/>
        <v>70157.1343127887</v>
      </c>
      <c r="DS19" s="582">
        <f ca="1" t="shared" si="155"/>
        <v>-3.44254326040352e-13</v>
      </c>
      <c r="DT19" s="582">
        <f ca="1" t="shared" si="12"/>
        <v>1.00000029749736</v>
      </c>
      <c r="DU19" s="580">
        <f ca="1" t="shared" si="156"/>
        <v>2.32532133989413e+17</v>
      </c>
      <c r="DV19" s="580">
        <f ca="1" t="shared" si="157"/>
        <v>10701362425.7403</v>
      </c>
      <c r="DW19" s="586">
        <f ca="1" t="shared" si="158"/>
        <v>9.96854460942572e-12</v>
      </c>
      <c r="DX19" s="594">
        <f ca="1" t="shared" si="159"/>
        <v>1000643142.2597</v>
      </c>
      <c r="DY19" s="580">
        <f ca="1" t="shared" si="160"/>
        <v>6488447310.53807</v>
      </c>
      <c r="DZ19" s="580">
        <f ca="1" t="shared" si="161"/>
        <v>739533853.201381</v>
      </c>
      <c r="EA19" s="595">
        <f ca="1" t="shared" si="162"/>
        <v>739533853.20138</v>
      </c>
      <c r="EB19" s="596">
        <f t="shared" si="163"/>
        <v>172800</v>
      </c>
      <c r="EC19" s="580">
        <f ca="1" t="shared" ref="EC19:EF19" si="204">DU19</f>
        <v>2.32532133989413e+17</v>
      </c>
      <c r="ED19" s="580">
        <f ca="1" t="shared" si="204"/>
        <v>10701362425.7403</v>
      </c>
      <c r="EE19" s="581">
        <f ca="1" t="shared" si="204"/>
        <v>9.96854460942572e-12</v>
      </c>
      <c r="EF19" s="580">
        <f ca="1" t="shared" si="204"/>
        <v>1000643142.2597</v>
      </c>
      <c r="EG19" s="580">
        <f ca="1">MAX(INDIRECT("'"&amp;$B$2&amp;"-事故进程'!AC"&amp;(ROW()+22)),INDIRECT("'"&amp;$B$2&amp;"-事故进程'!AD"&amp;(ROW()+22)),INDIRECT("'"&amp;$B$2&amp;"-事故进程'!AE"&amp;(ROW()+22)))</f>
        <v>1.29055825e-13</v>
      </c>
      <c r="EH19" s="580">
        <f ca="1">SUM(EG$3,-LN(1-EH$3)/EB19)</f>
        <v>5.81616658188741e-8</v>
      </c>
      <c r="EI19" s="580">
        <f t="shared" si="165"/>
        <v>1157407407407410</v>
      </c>
      <c r="EJ19" s="582">
        <f ca="1" t="shared" si="166"/>
        <v>0.972937826383914</v>
      </c>
      <c r="EK19" s="582">
        <f ca="1" t="shared" si="167"/>
        <v>0.963208469600438</v>
      </c>
      <c r="EL19" s="582">
        <f t="shared" si="168"/>
        <v>0</v>
      </c>
      <c r="EM19" s="582">
        <f ca="1" t="shared" si="169"/>
        <v>29387.2187068749</v>
      </c>
      <c r="EN19" s="582">
        <f ca="1" t="shared" si="170"/>
        <v>9.43078317708206e-12</v>
      </c>
      <c r="EO19" s="582">
        <f ca="1" t="shared" si="14"/>
        <v>1.00000221892048</v>
      </c>
      <c r="EP19" s="580">
        <f ca="1" t="shared" si="171"/>
        <v>2.26239309008073e+17</v>
      </c>
      <c r="EQ19" s="580">
        <f ca="1" t="shared" si="172"/>
        <v>15327702200.1044</v>
      </c>
      <c r="ER19" s="586">
        <f ca="1" t="shared" si="173"/>
        <v>7.7024277486751e-13</v>
      </c>
      <c r="ES19" s="594">
        <f ca="1" t="shared" si="174"/>
        <v>1102950087.89563</v>
      </c>
      <c r="ET19" s="580">
        <f ca="1" t="shared" si="175"/>
        <v>5115174939.44507</v>
      </c>
      <c r="EU19" s="580">
        <f ca="1" t="shared" si="176"/>
        <v>131063190.152509</v>
      </c>
      <c r="EV19" s="595">
        <f ca="1" t="shared" si="177"/>
        <v>131063190.152509</v>
      </c>
      <c r="EW19" s="596">
        <f t="shared" si="178"/>
        <v>2246400</v>
      </c>
      <c r="EX19" s="580">
        <f ca="1" t="shared" ref="EX19:FA19" si="205">EP19</f>
        <v>2.26239309008073e+17</v>
      </c>
      <c r="EY19" s="580">
        <f ca="1" t="shared" si="205"/>
        <v>15327702200.1044</v>
      </c>
      <c r="EZ19" s="581">
        <f ca="1" t="shared" si="205"/>
        <v>7.7024277486751e-13</v>
      </c>
      <c r="FA19" s="580">
        <f ca="1" t="shared" si="205"/>
        <v>1102950087.89563</v>
      </c>
      <c r="FB19" s="580">
        <f ca="1">INDIRECT("'"&amp;$B$2&amp;"-事故进程'!AE"&amp;(ROW()+22))</f>
        <v>3.80097e-14</v>
      </c>
      <c r="FC19" s="580">
        <f ca="1">SUM(FB$3,-LN(1-FC$3)/EW19)</f>
        <v>4.47397429375955e-9</v>
      </c>
      <c r="FD19" s="580">
        <f t="shared" si="180"/>
        <v>1157407407407410</v>
      </c>
      <c r="FE19" s="582">
        <f ca="1" t="shared" si="16"/>
        <v>0.700013214763828</v>
      </c>
      <c r="FF19" s="582">
        <f ca="1" t="shared" si="17"/>
        <v>0.693013141789108</v>
      </c>
      <c r="FG19" s="582">
        <f t="shared" si="18"/>
        <v>0</v>
      </c>
      <c r="FH19" s="582">
        <f ca="1" t="shared" si="19"/>
        <v>8530.71310057984</v>
      </c>
      <c r="FI19" s="582">
        <f ca="1" t="shared" si="20"/>
        <v>7.10993330646932e-13</v>
      </c>
      <c r="FJ19" s="582">
        <f ca="1" t="shared" si="21"/>
        <v>1.00000849580718</v>
      </c>
      <c r="FK19" s="580">
        <f ca="1" t="shared" si="22"/>
        <v>1.58370506004688e+17</v>
      </c>
      <c r="FL19" s="580">
        <f ca="1" t="shared" si="23"/>
        <v>24077038141.0798</v>
      </c>
      <c r="FM19" s="586">
        <f ca="1" t="shared" si="24"/>
        <v>9.30701229520826e-14</v>
      </c>
      <c r="FN19" s="594">
        <f ca="1" t="shared" si="25"/>
        <v>947101250.920166</v>
      </c>
      <c r="FO19" s="580">
        <f ca="1" t="shared" si="26"/>
        <v>16248082187.6401</v>
      </c>
      <c r="FP19" s="580">
        <f ca="1" t="shared" si="27"/>
        <v>205518462.318895</v>
      </c>
      <c r="FQ19" s="595">
        <f ca="1" t="shared" si="28"/>
        <v>205518462.318895</v>
      </c>
      <c r="FR19" s="608" t="str">
        <f t="shared" si="29"/>
        <v>Sr-89</v>
      </c>
      <c r="FS19" s="609">
        <v>42100000</v>
      </c>
      <c r="FT19" s="610">
        <v>13500000</v>
      </c>
      <c r="FU19" s="610">
        <v>52700000</v>
      </c>
      <c r="FV19" s="610">
        <v>187000000</v>
      </c>
      <c r="FW19" s="610">
        <v>296000000</v>
      </c>
      <c r="FX19" s="614">
        <f ca="1">H19/FS19</f>
        <v>0.284921296912114</v>
      </c>
      <c r="FY19" s="614">
        <f ca="1">(I19+J19)/FT19</f>
        <v>7.26870269842158</v>
      </c>
      <c r="FZ19" s="614">
        <f ca="1">K19/FU19</f>
        <v>3.27738821944573</v>
      </c>
      <c r="GA19" s="614">
        <f ca="1">L19/FV19</f>
        <v>4.65559916232026</v>
      </c>
      <c r="GB19" s="614">
        <f ca="1">SUM(H19:L19)/FW19</f>
        <v>3.8967502552276</v>
      </c>
      <c r="GC19" s="455">
        <f ca="1">N19/FW19</f>
        <v>4.59106938468333</v>
      </c>
      <c r="GE19" s="609">
        <v>23804.6792898742</v>
      </c>
      <c r="GF19" s="610">
        <v>2700770.14423047</v>
      </c>
      <c r="GG19" s="610">
        <v>11085689.0457027</v>
      </c>
      <c r="GH19" s="610">
        <v>18773292.2186715</v>
      </c>
      <c r="GI19" s="610">
        <v>44774894.8661162</v>
      </c>
      <c r="GJ19" s="610">
        <v>261481194.733534</v>
      </c>
      <c r="GK19" s="617">
        <v>338839645.687544</v>
      </c>
      <c r="GL19" s="614">
        <f ca="1" t="shared" si="181"/>
        <v>503.900365719373</v>
      </c>
      <c r="GM19" s="614">
        <f ca="1" t="shared" si="182"/>
        <v>36.333149875163</v>
      </c>
      <c r="GN19" s="614">
        <f ca="1" t="shared" si="183"/>
        <v>15.5802998309558</v>
      </c>
      <c r="GO19" s="614">
        <f ca="1" t="shared" si="184"/>
        <v>13.699793547097</v>
      </c>
      <c r="GP19" s="614">
        <f ca="1" t="shared" si="185"/>
        <v>0.785977984108309</v>
      </c>
      <c r="GQ19" s="614">
        <f ca="1" t="shared" si="186"/>
        <v>4.01061845968109</v>
      </c>
      <c r="GR19" s="451">
        <f t="shared" si="187"/>
        <v>1.58767797586313e-7</v>
      </c>
      <c r="GS19" s="390">
        <f t="shared" si="188"/>
        <v>4365792</v>
      </c>
    </row>
    <row r="20" s="389" customFormat="1" spans="1:201">
      <c r="A20" s="432" t="s">
        <v>275</v>
      </c>
      <c r="B20" s="407" t="s">
        <v>267</v>
      </c>
      <c r="C20" s="422">
        <f>-LN(1-0%)/8/3600</f>
        <v>0</v>
      </c>
      <c r="D20" s="410" t="s">
        <v>268</v>
      </c>
      <c r="E20" s="409" t="s">
        <v>269</v>
      </c>
      <c r="G20" s="411" t="s">
        <v>61</v>
      </c>
      <c r="H20" s="412">
        <f ca="1" t="shared" si="90"/>
        <v>3580209.214</v>
      </c>
      <c r="I20" s="412">
        <f ca="1" t="shared" si="1"/>
        <v>57669.0035612701</v>
      </c>
      <c r="J20" s="412">
        <f ca="1" t="shared" si="91"/>
        <v>4428534.25744904</v>
      </c>
      <c r="K20" s="412">
        <f ca="1" t="shared" si="92"/>
        <v>8179603.99108204</v>
      </c>
      <c r="L20" s="412">
        <f ca="1" t="shared" si="93"/>
        <v>42153225.1103778</v>
      </c>
      <c r="M20" s="412">
        <f ca="1" t="shared" si="94"/>
        <v>12750243.2595423</v>
      </c>
      <c r="N20" s="412">
        <f ca="1" t="shared" si="95"/>
        <v>71149484.8360124</v>
      </c>
      <c r="O20" s="450">
        <f ca="1" t="shared" si="96"/>
        <v>3580209.214</v>
      </c>
      <c r="P20" s="451"/>
      <c r="Q20" s="477" t="str">
        <f t="shared" si="0"/>
        <v>Sr-90</v>
      </c>
      <c r="R20" s="412">
        <f ca="1" t="shared" si="97"/>
        <v>3580209.214</v>
      </c>
      <c r="S20" s="412">
        <f ca="1">I20*(1-过滤效率!$B17)</f>
        <v>57.6690035612702</v>
      </c>
      <c r="T20" s="412">
        <f ca="1">J20*(1-过滤效率!$B17)</f>
        <v>4428.53425744904</v>
      </c>
      <c r="U20" s="412">
        <f ca="1">K20*(1-过滤效率!$B17)</f>
        <v>8179.60399108205</v>
      </c>
      <c r="V20" s="412">
        <f ca="1">L20*(1-过滤效率!$B17)</f>
        <v>42153.2251103778</v>
      </c>
      <c r="W20" s="412">
        <f ca="1">M20*(1-过滤效率!$B17)</f>
        <v>12750.2432595423</v>
      </c>
      <c r="X20" s="412">
        <f ca="1" t="shared" si="98"/>
        <v>3647778.48962201</v>
      </c>
      <c r="Y20" s="493"/>
      <c r="Z20" s="494">
        <f>VLOOKUP(G20,衰变常数!$A$1:$H$3800,7,FALSE)</f>
        <v>7.62921459615568e-10</v>
      </c>
      <c r="AA20" s="495">
        <f>正常源项!C17</f>
        <v>1.12e+16</v>
      </c>
      <c r="AB20" s="496">
        <f>正常源项!F17</f>
        <v>0</v>
      </c>
      <c r="AC20" s="496">
        <f>正常源项!I17</f>
        <v>39.4</v>
      </c>
      <c r="AD20" s="497"/>
      <c r="AE20" s="496">
        <f>正常源项!O17</f>
        <v>1790000000</v>
      </c>
      <c r="AF20" s="498">
        <f t="shared" si="78"/>
        <v>169.814</v>
      </c>
      <c r="AG20" s="519">
        <f>AE20*MIN(100%,$C$7/500)</f>
        <v>3580000</v>
      </c>
      <c r="AH20" s="523">
        <v>0.95</v>
      </c>
      <c r="AI20" s="519">
        <f t="shared" si="79"/>
        <v>0</v>
      </c>
      <c r="AJ20" s="521">
        <v>0.00066</v>
      </c>
      <c r="AK20" s="521">
        <v>6.468e-8</v>
      </c>
      <c r="AL20" s="525">
        <f t="shared" si="199"/>
        <v>15447765.97056</v>
      </c>
      <c r="AM20" s="520"/>
      <c r="AN20" s="519">
        <f ca="1">MAX(INDIRECT("'"&amp;$B$2&amp;"-事故进程'!Y"&amp;(ROW()+22)),INDIRECT("'"&amp;$B$2&amp;"-事故进程'!Z"&amp;(ROW()+22)),INDIRECT("'"&amp;$B$2&amp;"-事故进程'!AA"&amp;(ROW()+22)))</f>
        <v>1.844157675e-13</v>
      </c>
      <c r="AO20" s="519">
        <f ca="1" t="shared" si="3"/>
        <v>0</v>
      </c>
      <c r="AP20" s="560">
        <f t="shared" si="4"/>
        <v>1.12e+16</v>
      </c>
      <c r="AQ20" s="561">
        <f ca="1">(AC20*$C$5+AD20*$C$8+AF20+AG20+AI20+(AL20+AM20)*$C$10)*EXP(-Z20*$C$12*3600)+AO20*$C$11</f>
        <v>3580209.214</v>
      </c>
      <c r="AR20" s="562">
        <f ca="1">AQ20*(1-AR$3)</f>
        <v>0</v>
      </c>
      <c r="AS20" s="563">
        <f ca="1" t="shared" si="5"/>
        <v>3580209.214</v>
      </c>
      <c r="AT20" s="562">
        <f ca="1">AS20*(1-AT$3)</f>
        <v>0</v>
      </c>
      <c r="AU20" s="564">
        <f ca="1" t="shared" si="99"/>
        <v>3580209.214</v>
      </c>
      <c r="AV20" s="565">
        <f t="shared" si="100"/>
        <v>7200</v>
      </c>
      <c r="AW20" s="580">
        <f>AP20*EXP(-Z20*AW$3*3600)</f>
        <v>1.12e+16</v>
      </c>
      <c r="AX20" s="580">
        <f ca="1" t="shared" si="101"/>
        <v>0</v>
      </c>
      <c r="AY20" s="581">
        <f ca="1" t="shared" si="102"/>
        <v>0</v>
      </c>
      <c r="AZ20" s="580">
        <v>0</v>
      </c>
      <c r="BA20" s="580">
        <f ca="1" t="shared" si="200"/>
        <v>5.55517599125e-15</v>
      </c>
      <c r="BB20" s="580">
        <f ca="1">SUM(BA$3,-LN(1-BB$3)/AV20)</f>
        <v>3.92016660325749e-5</v>
      </c>
      <c r="BC20" s="580">
        <f t="shared" si="103"/>
        <v>1157407407407410</v>
      </c>
      <c r="BD20" s="582">
        <f ca="1" t="shared" si="104"/>
        <v>0.99999450694058</v>
      </c>
      <c r="BE20" s="582">
        <f ca="1" t="shared" si="105"/>
        <v>0.754079492758959</v>
      </c>
      <c r="BF20" s="582">
        <f t="shared" si="106"/>
        <v>0</v>
      </c>
      <c r="BG20" s="582">
        <f ca="1" t="shared" si="107"/>
        <v>62.217971102</v>
      </c>
      <c r="BH20" s="582">
        <f ca="1" t="shared" si="108"/>
        <v>1.82073966864598e-33</v>
      </c>
      <c r="BI20" s="582">
        <f ca="1" t="shared" si="6"/>
        <v>1.00000000014171</v>
      </c>
      <c r="BJ20" s="580">
        <f ca="1" t="shared" si="109"/>
        <v>1.11999384777345e+16</v>
      </c>
      <c r="BK20" s="580">
        <f ca="1" t="shared" si="110"/>
        <v>390298.035684358</v>
      </c>
      <c r="BL20" s="586">
        <f ca="1" t="shared" si="111"/>
        <v>1.3219487926331e-14</v>
      </c>
      <c r="BM20" s="594">
        <f ca="1" t="shared" si="112"/>
        <v>57667.9643156417</v>
      </c>
      <c r="BN20" s="580">
        <f ca="1" t="shared" si="113"/>
        <v>447968.161568346</v>
      </c>
      <c r="BO20" s="580">
        <f ca="1" t="shared" si="114"/>
        <v>57669.0035612701</v>
      </c>
      <c r="BP20" s="595">
        <f ca="1" t="shared" si="115"/>
        <v>57669.0035612701</v>
      </c>
      <c r="BQ20" s="596">
        <f t="shared" si="116"/>
        <v>21600</v>
      </c>
      <c r="BR20" s="580">
        <f ca="1" t="shared" ref="BR20:BT20" si="206">BJ20</f>
        <v>1.11999384777345e+16</v>
      </c>
      <c r="BS20" s="580">
        <f ca="1" t="shared" si="206"/>
        <v>390298.035684358</v>
      </c>
      <c r="BT20" s="581">
        <f ca="1" t="shared" si="206"/>
        <v>1.3219487926331e-14</v>
      </c>
      <c r="BU20" s="580">
        <f ca="1" t="shared" si="118"/>
        <v>57667.9643156417</v>
      </c>
      <c r="BV20" s="580">
        <f ca="1">MAX(INDIRECT("'"&amp;$B$2&amp;"-事故进程'!Z"&amp;(ROW()+22)),INDIRECT("'"&amp;$B$2&amp;"-事故进程'!AA"&amp;(ROW()+22)))</f>
        <v>1.844157675e-13</v>
      </c>
      <c r="BW20" s="580">
        <f ca="1">SUM(BV$3,-LN(1-BW$3)/BQ20)</f>
        <v>9.67910672705165e-6</v>
      </c>
      <c r="BX20" s="580">
        <f t="shared" si="119"/>
        <v>1157407407407410</v>
      </c>
      <c r="BY20" s="582">
        <f ca="1" t="shared" si="120"/>
        <v>0.999983517048937</v>
      </c>
      <c r="BZ20" s="582">
        <f ca="1" t="shared" si="121"/>
        <v>0.81132612036455</v>
      </c>
      <c r="CA20" s="582">
        <f t="shared" si="122"/>
        <v>0</v>
      </c>
      <c r="CB20" s="582">
        <f ca="1" t="shared" si="123"/>
        <v>2061.66751405342</v>
      </c>
      <c r="CC20" s="582">
        <f ca="1" t="shared" si="124"/>
        <v>9.9555237261971e-15</v>
      </c>
      <c r="CD20" s="582">
        <f ca="1" t="shared" si="8"/>
        <v>1.00000001905297</v>
      </c>
      <c r="CE20" s="580">
        <f ca="1" t="shared" si="125"/>
        <v>1.11997538696967e+16</v>
      </c>
      <c r="CF20" s="580">
        <f ca="1" t="shared" si="126"/>
        <v>40574664.43857</v>
      </c>
      <c r="CG20" s="586">
        <f ca="1" t="shared" si="127"/>
        <v>3.39315702493155e-13</v>
      </c>
      <c r="CH20" s="594">
        <f ca="1" t="shared" si="128"/>
        <v>4486175.56143001</v>
      </c>
      <c r="CI20" s="580">
        <f ca="1" t="shared" si="129"/>
        <v>44613249.7239327</v>
      </c>
      <c r="CJ20" s="580">
        <f ca="1" t="shared" si="130"/>
        <v>4428534.25744904</v>
      </c>
      <c r="CK20" s="595">
        <f ca="1" t="shared" si="131"/>
        <v>4428534.25744904</v>
      </c>
      <c r="CL20" s="596">
        <f t="shared" si="132"/>
        <v>57600</v>
      </c>
      <c r="CM20" s="580">
        <f ca="1" t="shared" ref="CM20:CO20" si="207">CE20</f>
        <v>1.11997538696967e+16</v>
      </c>
      <c r="CN20" s="580">
        <f ca="1" t="shared" si="207"/>
        <v>40574664.43857</v>
      </c>
      <c r="CO20" s="581">
        <f ca="1" t="shared" si="207"/>
        <v>3.39315702493155e-13</v>
      </c>
      <c r="CP20" s="580">
        <f ca="1" t="shared" si="134"/>
        <v>4486175.56143001</v>
      </c>
      <c r="CQ20" s="580">
        <f ca="1">MAX(INDIRECT("'"&amp;$B$2&amp;"-事故进程'!AA"&amp;(ROW()+22)),INDIRECT("'"&amp;$B$2&amp;"-事故进程'!AB"&amp;(ROW()+22)))</f>
        <v>3.2442075e-13</v>
      </c>
      <c r="CR20" s="580">
        <f ca="1">SUM(CQ$3,-LN(1-CR$3)/CL20)</f>
        <v>9.99426851876734e-7</v>
      </c>
      <c r="CS20" s="580">
        <f t="shared" si="135"/>
        <v>1157407407407410</v>
      </c>
      <c r="CT20" s="582">
        <f ca="1" t="shared" si="136"/>
        <v>0.999956038003648</v>
      </c>
      <c r="CU20" s="582">
        <f ca="1" t="shared" si="137"/>
        <v>0.94401716386252</v>
      </c>
      <c r="CV20" s="582">
        <f t="shared" si="138"/>
        <v>0</v>
      </c>
      <c r="CW20" s="582">
        <f ca="1" t="shared" si="139"/>
        <v>3592.88115423986</v>
      </c>
      <c r="CX20" s="582">
        <f ca="1" t="shared" si="140"/>
        <v>3.04279284991189e-13</v>
      </c>
      <c r="CY20" s="582">
        <f ca="1" t="shared" si="10"/>
        <v>1.0000003246069</v>
      </c>
      <c r="CZ20" s="580">
        <f ca="1" t="shared" si="141"/>
        <v>1.11992615061579e+16</v>
      </c>
      <c r="DA20" s="580">
        <f ca="1" t="shared" si="142"/>
        <v>241669931.02342</v>
      </c>
      <c r="DB20" s="586">
        <f ca="1" t="shared" si="143"/>
        <v>2.08683145459587e-13</v>
      </c>
      <c r="DC20" s="594">
        <f ca="1" t="shared" si="144"/>
        <v>12665444.9765801</v>
      </c>
      <c r="DD20" s="580">
        <f ca="1" t="shared" si="145"/>
        <v>209281114.55007</v>
      </c>
      <c r="DE20" s="580">
        <f ca="1" t="shared" si="146"/>
        <v>8179603.99108204</v>
      </c>
      <c r="DF20" s="595">
        <f ca="1" t="shared" si="147"/>
        <v>8179603.99108204</v>
      </c>
      <c r="DG20" s="596">
        <f t="shared" si="148"/>
        <v>86400</v>
      </c>
      <c r="DH20" s="580">
        <f ca="1" t="shared" ref="DH20:DK20" si="208">CZ20</f>
        <v>1.11992615061579e+16</v>
      </c>
      <c r="DI20" s="580">
        <f ca="1" t="shared" si="208"/>
        <v>241669931.02342</v>
      </c>
      <c r="DJ20" s="581">
        <f ca="1" t="shared" si="208"/>
        <v>2.08683145459587e-13</v>
      </c>
      <c r="DK20" s="580">
        <f ca="1" t="shared" si="208"/>
        <v>12665444.9765801</v>
      </c>
      <c r="DL20" s="580">
        <f ca="1">MAX(INDIRECT("'"&amp;$B$2&amp;"-事故进程'!AB"&amp;(ROW()+22)),INDIRECT("'"&amp;$B$2&amp;"-事故进程'!AC"&amp;(ROW()+22)))</f>
        <v>3.2442075e-13</v>
      </c>
      <c r="DM20" s="580">
        <f ca="1">SUM(DL$3,-LN(1-DM$3)/DG20)</f>
        <v>1.07814939005043e-6</v>
      </c>
      <c r="DN20" s="580">
        <f t="shared" si="150"/>
        <v>1157407407407410</v>
      </c>
      <c r="DO20" s="582">
        <f ca="1" t="shared" si="151"/>
        <v>0.999934057730223</v>
      </c>
      <c r="DP20" s="582">
        <f ca="1" t="shared" si="152"/>
        <v>0.910994860159524</v>
      </c>
      <c r="DQ20" s="582">
        <f t="shared" si="153"/>
        <v>0</v>
      </c>
      <c r="DR20" s="582">
        <f ca="1" t="shared" si="154"/>
        <v>3372.71660695019</v>
      </c>
      <c r="DS20" s="582">
        <f ca="1" t="shared" si="155"/>
        <v>-1.64374880000486e-14</v>
      </c>
      <c r="DT20" s="582">
        <f ca="1" t="shared" si="12"/>
        <v>1.00000030090528</v>
      </c>
      <c r="DU20" s="580">
        <f ca="1" t="shared" si="156"/>
        <v>1.11985230014344e+16</v>
      </c>
      <c r="DV20" s="580">
        <f ca="1" t="shared" si="157"/>
        <v>519877774.956788</v>
      </c>
      <c r="DW20" s="586">
        <f ca="1" t="shared" si="158"/>
        <v>4.84277102758458e-13</v>
      </c>
      <c r="DX20" s="594">
        <f ca="1" t="shared" si="159"/>
        <v>48334911.0432119</v>
      </c>
      <c r="DY20" s="580">
        <f ca="1" t="shared" si="160"/>
        <v>313904421.172398</v>
      </c>
      <c r="DZ20" s="580">
        <f ca="1" t="shared" si="161"/>
        <v>35671335.4427132</v>
      </c>
      <c r="EA20" s="595">
        <f ca="1" t="shared" si="162"/>
        <v>35671335.4427132</v>
      </c>
      <c r="EB20" s="596">
        <f t="shared" si="163"/>
        <v>172800</v>
      </c>
      <c r="EC20" s="580">
        <f ca="1" t="shared" ref="EC20:EF20" si="209">DU20</f>
        <v>1.11985230014344e+16</v>
      </c>
      <c r="ED20" s="580">
        <f ca="1" t="shared" si="209"/>
        <v>519877774.956788</v>
      </c>
      <c r="EE20" s="581">
        <f ca="1" t="shared" si="209"/>
        <v>4.84277102758458e-13</v>
      </c>
      <c r="EF20" s="580">
        <f ca="1" t="shared" si="209"/>
        <v>48334911.0432119</v>
      </c>
      <c r="EG20" s="580">
        <f ca="1">MAX(INDIRECT("'"&amp;$B$2&amp;"-事故进程'!AC"&amp;(ROW()+22)),INDIRECT("'"&amp;$B$2&amp;"-事故进程'!AD"&amp;(ROW()+22)),INDIRECT("'"&amp;$B$2&amp;"-事故进程'!AE"&amp;(ROW()+22)))</f>
        <v>1.32439375e-13</v>
      </c>
      <c r="EH20" s="580">
        <f ca="1">SUM(EG$3,-LN(1-EH$3)/EB20)</f>
        <v>5.81616658188741e-8</v>
      </c>
      <c r="EI20" s="580">
        <f t="shared" si="165"/>
        <v>1157407407407410</v>
      </c>
      <c r="EJ20" s="582">
        <f ca="1" t="shared" si="166"/>
        <v>0.999868152978837</v>
      </c>
      <c r="EK20" s="582">
        <f ca="1" t="shared" si="167"/>
        <v>0.98986949410273</v>
      </c>
      <c r="EL20" s="582">
        <f t="shared" si="168"/>
        <v>0</v>
      </c>
      <c r="EM20" s="582">
        <f ca="1" t="shared" si="169"/>
        <v>1452.88849867168</v>
      </c>
      <c r="EN20" s="582">
        <f ca="1" t="shared" si="170"/>
        <v>4.58152371553024e-13</v>
      </c>
      <c r="EO20" s="582">
        <f ca="1" t="shared" si="14"/>
        <v>1.00000227709566</v>
      </c>
      <c r="EP20" s="580">
        <f ca="1" t="shared" si="171"/>
        <v>1.11970465095352e+16</v>
      </c>
      <c r="EQ20" s="580">
        <f ca="1" t="shared" si="172"/>
        <v>769578032.080166</v>
      </c>
      <c r="ER20" s="586">
        <f ca="1" t="shared" si="173"/>
        <v>3.86725884394116e-14</v>
      </c>
      <c r="ES20" s="594">
        <f ca="1" t="shared" si="174"/>
        <v>54810029.9198341</v>
      </c>
      <c r="ET20" s="580">
        <f ca="1" t="shared" si="175"/>
        <v>256267171.39714</v>
      </c>
      <c r="EU20" s="580">
        <f ca="1" t="shared" si="176"/>
        <v>6481889.66766453</v>
      </c>
      <c r="EV20" s="595">
        <f ca="1" t="shared" si="177"/>
        <v>6481889.66766453</v>
      </c>
      <c r="EW20" s="596">
        <f t="shared" si="178"/>
        <v>2246400</v>
      </c>
      <c r="EX20" s="580">
        <f ca="1" t="shared" ref="EX20:FA20" si="210">EP20</f>
        <v>1.11970465095352e+16</v>
      </c>
      <c r="EY20" s="580">
        <f ca="1" t="shared" si="210"/>
        <v>769578032.080166</v>
      </c>
      <c r="EZ20" s="581">
        <f ca="1" t="shared" si="210"/>
        <v>3.86725884394116e-14</v>
      </c>
      <c r="FA20" s="580">
        <f ca="1" t="shared" si="210"/>
        <v>54810029.9198341</v>
      </c>
      <c r="FB20" s="580">
        <f ca="1">INDIRECT("'"&amp;$B$2&amp;"-事故进程'!AE"&amp;(ROW()+22))</f>
        <v>4.02206e-14</v>
      </c>
      <c r="FC20" s="580">
        <f ca="1">SUM(FB$3,-LN(1-FC$3)/EW20)</f>
        <v>4.47397429375955e-9</v>
      </c>
      <c r="FD20" s="580">
        <f t="shared" si="180"/>
        <v>1157407407407410</v>
      </c>
      <c r="FE20" s="582">
        <f ca="1" t="shared" si="16"/>
        <v>0.998287550798759</v>
      </c>
      <c r="FF20" s="582">
        <f ca="1" t="shared" si="17"/>
        <v>0.98830476458564</v>
      </c>
      <c r="FG20" s="582">
        <f t="shared" si="18"/>
        <v>0</v>
      </c>
      <c r="FH20" s="582">
        <f ca="1" t="shared" si="19"/>
        <v>446.908887461733</v>
      </c>
      <c r="FI20" s="582">
        <f ca="1" t="shared" si="20"/>
        <v>3.56977739440722e-14</v>
      </c>
      <c r="FJ20" s="582">
        <f ca="1" t="shared" si="21"/>
        <v>1.00000898998495</v>
      </c>
      <c r="FK20" s="580">
        <f ca="1" t="shared" si="22"/>
        <v>1.11778721361837e+16</v>
      </c>
      <c r="FL20" s="580">
        <f ca="1" t="shared" si="23"/>
        <v>1765457670.4375</v>
      </c>
      <c r="FM20" s="586">
        <f ca="1" t="shared" si="24"/>
        <v>6.82440097039888e-15</v>
      </c>
      <c r="FN20" s="594">
        <f ca="1" t="shared" si="25"/>
        <v>67456927.5625</v>
      </c>
      <c r="FO20" s="580">
        <f ca="1" t="shared" si="26"/>
        <v>1010804108.27964</v>
      </c>
      <c r="FP20" s="580">
        <f ca="1" t="shared" si="27"/>
        <v>12750243.2595424</v>
      </c>
      <c r="FQ20" s="595">
        <f ca="1" t="shared" si="28"/>
        <v>12750243.2595423</v>
      </c>
      <c r="FR20" s="608" t="str">
        <f t="shared" si="29"/>
        <v>Sr-90</v>
      </c>
      <c r="FS20" s="609">
        <v>5400000</v>
      </c>
      <c r="FT20" s="610">
        <v>657000</v>
      </c>
      <c r="FU20" s="610">
        <v>2620000</v>
      </c>
      <c r="FV20" s="610">
        <v>9480000</v>
      </c>
      <c r="FW20" s="610">
        <v>18200000</v>
      </c>
      <c r="FX20" s="614">
        <f ca="1">H20/FS20</f>
        <v>0.663001706296296</v>
      </c>
      <c r="FY20" s="614">
        <f ca="1">(I20+J20)/FT20</f>
        <v>6.82831546576912</v>
      </c>
      <c r="FZ20" s="614">
        <f ca="1">K20/FU20</f>
        <v>3.12198625613818</v>
      </c>
      <c r="GA20" s="614">
        <f ca="1">L20/FV20</f>
        <v>4.44654273316221</v>
      </c>
      <c r="GB20" s="614">
        <f ca="1">SUM(H20:L20)/FW20</f>
        <v>3.20874953716869</v>
      </c>
      <c r="GC20" s="455">
        <f ca="1">N20/FW20</f>
        <v>3.90931235362706</v>
      </c>
      <c r="GE20" s="609">
        <v>156.853032020541</v>
      </c>
      <c r="GF20" s="610">
        <v>281017.280176744</v>
      </c>
      <c r="GG20" s="610">
        <v>832411.864529439</v>
      </c>
      <c r="GH20" s="610">
        <v>1332820.64230674</v>
      </c>
      <c r="GI20" s="610">
        <v>2967266.44188975</v>
      </c>
      <c r="GJ20" s="610">
        <v>18825190.0818027</v>
      </c>
      <c r="GK20" s="617">
        <v>24238863.1637374</v>
      </c>
      <c r="GL20" s="614">
        <f ca="1" t="shared" si="181"/>
        <v>22825.2470983866</v>
      </c>
      <c r="GM20" s="614">
        <f ca="1" t="shared" si="182"/>
        <v>15.9641544398577</v>
      </c>
      <c r="GN20" s="614">
        <f ca="1" t="shared" si="183"/>
        <v>9.82639044399729</v>
      </c>
      <c r="GO20" s="614">
        <f ca="1" t="shared" si="184"/>
        <v>9.80287707783818</v>
      </c>
      <c r="GP20" s="614">
        <f ca="1" t="shared" si="185"/>
        <v>0.677296919932155</v>
      </c>
      <c r="GQ20" s="614">
        <f ca="1" t="shared" si="186"/>
        <v>2.9353474358672</v>
      </c>
      <c r="GR20" s="451">
        <f t="shared" si="187"/>
        <v>7.62921459615568e-10</v>
      </c>
      <c r="GS20" s="390">
        <f t="shared" si="188"/>
        <v>908543300</v>
      </c>
    </row>
    <row r="21" s="389" customFormat="1" spans="1:201">
      <c r="A21" s="432"/>
      <c r="B21" s="407" t="s">
        <v>270</v>
      </c>
      <c r="C21" s="433">
        <f ca="1">IF(2&lt;=$C$13-$C$12,MAX(1%,INDIRECT("'"&amp;$B$2&amp;"-事故进程'!$AA$23")*150%),0.000000000000001)</f>
        <v>0.188660509598155</v>
      </c>
      <c r="D21" s="410"/>
      <c r="E21" s="409" t="s">
        <v>271</v>
      </c>
      <c r="G21" s="411" t="s">
        <v>62</v>
      </c>
      <c r="H21" s="412">
        <f ca="1" t="shared" si="90"/>
        <v>1614044350</v>
      </c>
      <c r="I21" s="412">
        <f ca="1" t="shared" si="1"/>
        <v>23451196.1911881</v>
      </c>
      <c r="J21" s="412">
        <f ca="1" t="shared" si="91"/>
        <v>668205448.513305</v>
      </c>
      <c r="K21" s="412">
        <f ca="1" t="shared" si="92"/>
        <v>8723217865.791</v>
      </c>
      <c r="L21" s="412">
        <f ca="1" t="shared" si="93"/>
        <v>56963449225.6246</v>
      </c>
      <c r="M21" s="412">
        <f ca="1" t="shared" si="94"/>
        <v>29768128122.4028</v>
      </c>
      <c r="N21" s="412">
        <f ca="1" t="shared" si="95"/>
        <v>97760496208.5229</v>
      </c>
      <c r="O21" s="450">
        <f ca="1" t="shared" si="96"/>
        <v>1614044350</v>
      </c>
      <c r="P21" s="451"/>
      <c r="Q21" s="477" t="str">
        <f t="shared" si="0"/>
        <v>Cs-134</v>
      </c>
      <c r="R21" s="412">
        <f ca="1" t="shared" si="97"/>
        <v>1614044350</v>
      </c>
      <c r="S21" s="412">
        <f ca="1">I21*(1-过滤效率!$B18)</f>
        <v>23451.1961911882</v>
      </c>
      <c r="T21" s="412">
        <f ca="1">J21*(1-过滤效率!$B18)</f>
        <v>668205.448513305</v>
      </c>
      <c r="U21" s="412">
        <f ca="1">K21*(1-过滤效率!$B18)</f>
        <v>8723217.86579101</v>
      </c>
      <c r="V21" s="412">
        <f ca="1">L21*(1-过滤效率!$B18)</f>
        <v>56963449.2256247</v>
      </c>
      <c r="W21" s="412">
        <f ca="1">M21*(1-过滤效率!$B18)</f>
        <v>29768128.1224028</v>
      </c>
      <c r="X21" s="412">
        <f ca="1" t="shared" si="98"/>
        <v>1710190801.85852</v>
      </c>
      <c r="Y21" s="493"/>
      <c r="Z21" s="494">
        <f>VLOOKUP(G21,衰变常数!$A$1:$H$3800,7,FALSE)</f>
        <v>1.06355351616218e-8</v>
      </c>
      <c r="AA21" s="495">
        <f>正常源项!C18</f>
        <v>1.46e+16</v>
      </c>
      <c r="AB21" s="496">
        <f>正常源项!F18</f>
        <v>0</v>
      </c>
      <c r="AC21" s="496">
        <f>正常源项!I18</f>
        <v>385000</v>
      </c>
      <c r="AD21" s="497"/>
      <c r="AE21" s="496">
        <f>正常源项!O18</f>
        <v>806000000000</v>
      </c>
      <c r="AF21" s="498">
        <f t="shared" si="78"/>
        <v>1659350</v>
      </c>
      <c r="AG21" s="519">
        <f>AE21*MIN(100%,$C$7/500)</f>
        <v>1612000000</v>
      </c>
      <c r="AH21" s="523">
        <v>0.95</v>
      </c>
      <c r="AI21" s="519">
        <f t="shared" si="79"/>
        <v>0</v>
      </c>
      <c r="AJ21" s="521">
        <v>0.00066</v>
      </c>
      <c r="AK21" s="521">
        <v>0.000144</v>
      </c>
      <c r="AL21" s="525">
        <f t="shared" si="199"/>
        <v>15745224</v>
      </c>
      <c r="AM21" s="520"/>
      <c r="AN21" s="519">
        <f ca="1">MAX(INDIRECT("'"&amp;$B$2&amp;"-事故进程'!Y"&amp;(ROW()+22)),INDIRECT("'"&amp;$B$2&amp;"-事故进程'!Z"&amp;(ROW()+22)),INDIRECT("'"&amp;$B$2&amp;"-事故进程'!AA"&amp;(ROW()+22)))</f>
        <v>2.0738575e-11</v>
      </c>
      <c r="AO21" s="519">
        <f ca="1" t="shared" si="3"/>
        <v>0</v>
      </c>
      <c r="AP21" s="560">
        <f t="shared" si="4"/>
        <v>1.46e+16</v>
      </c>
      <c r="AQ21" s="561">
        <f ca="1">(AC21*$C$5+AD21*$C$8+AF21+AG21+AI21+(AL21+AM21)*$C$10)*EXP(-Z21*$C$12*3600)+AO21*$C$11</f>
        <v>1614044350</v>
      </c>
      <c r="AR21" s="562">
        <f ca="1">AQ21*(1-AR$3)</f>
        <v>0</v>
      </c>
      <c r="AS21" s="563">
        <f ca="1" t="shared" si="5"/>
        <v>1614044350</v>
      </c>
      <c r="AT21" s="562">
        <f ca="1">AS21*(1-AT$3)</f>
        <v>0</v>
      </c>
      <c r="AU21" s="564">
        <f ca="1" t="shared" si="99"/>
        <v>1614044350</v>
      </c>
      <c r="AV21" s="565">
        <f t="shared" si="100"/>
        <v>7200</v>
      </c>
      <c r="AW21" s="580">
        <f>AP21*EXP(-Z21*AW$3*3600)</f>
        <v>1.46e+16</v>
      </c>
      <c r="AX21" s="580">
        <f ca="1" t="shared" si="101"/>
        <v>0</v>
      </c>
      <c r="AY21" s="581">
        <f ca="1" t="shared" si="102"/>
        <v>0</v>
      </c>
      <c r="AZ21" s="580">
        <v>0</v>
      </c>
      <c r="BA21" s="580">
        <f ca="1" t="shared" si="200"/>
        <v>1.733029225e-12</v>
      </c>
      <c r="BB21" s="580">
        <f ca="1">SUM(BA$3,-LN(1-BB$3)/AV21)</f>
        <v>3.92016660325749e-5</v>
      </c>
      <c r="BC21" s="580">
        <f t="shared" si="103"/>
        <v>1157407407407410</v>
      </c>
      <c r="BD21" s="582">
        <f ca="1" t="shared" si="104"/>
        <v>0.999923414601837</v>
      </c>
      <c r="BE21" s="582">
        <f ca="1" t="shared" si="105"/>
        <v>0.754025892568173</v>
      </c>
      <c r="BF21" s="582">
        <f t="shared" si="106"/>
        <v>0</v>
      </c>
      <c r="BG21" s="582">
        <f ca="1" t="shared" si="107"/>
        <v>25302.226685</v>
      </c>
      <c r="BH21" s="582">
        <f ca="1" t="shared" si="108"/>
        <v>7.40441499690295e-31</v>
      </c>
      <c r="BI21" s="582">
        <f ca="1" t="shared" si="6"/>
        <v>1.00000004420805</v>
      </c>
      <c r="BJ21" s="580">
        <f ca="1" t="shared" si="109"/>
        <v>1.45988818531868e+16</v>
      </c>
      <c r="BK21" s="580">
        <f ca="1" t="shared" si="110"/>
        <v>158711497.456695</v>
      </c>
      <c r="BL21" s="586">
        <f ca="1" t="shared" si="111"/>
        <v>5.37559642266672e-12</v>
      </c>
      <c r="BM21" s="594">
        <f ca="1" t="shared" si="112"/>
        <v>23450582.5433052</v>
      </c>
      <c r="BN21" s="580">
        <f ca="1" t="shared" si="113"/>
        <v>182169056.031091</v>
      </c>
      <c r="BO21" s="580">
        <f ca="1" t="shared" si="114"/>
        <v>23451196.1911882</v>
      </c>
      <c r="BP21" s="595">
        <f ca="1" t="shared" si="115"/>
        <v>23451196.1911881</v>
      </c>
      <c r="BQ21" s="596">
        <f t="shared" si="116"/>
        <v>21600</v>
      </c>
      <c r="BR21" s="580">
        <f ca="1" t="shared" ref="BR21:BT21" si="211">BJ21</f>
        <v>1.45988818531868e+16</v>
      </c>
      <c r="BS21" s="580">
        <f ca="1" t="shared" si="211"/>
        <v>158711497.456695</v>
      </c>
      <c r="BT21" s="581">
        <f ca="1" t="shared" si="211"/>
        <v>5.37559642266672e-12</v>
      </c>
      <c r="BU21" s="580">
        <f ca="1" t="shared" si="118"/>
        <v>23450582.5433052</v>
      </c>
      <c r="BV21" s="580">
        <f ca="1">MAX(INDIRECT("'"&amp;$B$2&amp;"-事故进程'!Z"&amp;(ROW()+22)),INDIRECT("'"&amp;$B$2&amp;"-事故进程'!AA"&amp;(ROW()+22)))</f>
        <v>2.0738575e-11</v>
      </c>
      <c r="BW21" s="580">
        <f ca="1">SUM(BV$3,-LN(1-BW$3)/BQ21)</f>
        <v>9.67910672705165e-6</v>
      </c>
      <c r="BX21" s="580">
        <f t="shared" si="119"/>
        <v>1157407407407410</v>
      </c>
      <c r="BY21" s="582">
        <f ca="1" t="shared" si="120"/>
        <v>0.99976985097564</v>
      </c>
      <c r="BZ21" s="582">
        <f ca="1" t="shared" si="121"/>
        <v>0.811153124768277</v>
      </c>
      <c r="CA21" s="582">
        <f t="shared" si="122"/>
        <v>0</v>
      </c>
      <c r="CB21" s="582">
        <f ca="1" t="shared" si="123"/>
        <v>301223.823997211</v>
      </c>
      <c r="CC21" s="582">
        <f ca="1" t="shared" si="124"/>
        <v>4.0483321310595e-12</v>
      </c>
      <c r="CD21" s="582">
        <f ca="1" t="shared" si="8"/>
        <v>1.00000214261708</v>
      </c>
      <c r="CE21" s="580">
        <f ca="1" t="shared" si="125"/>
        <v>1.45955219347716e+16</v>
      </c>
      <c r="CF21" s="580">
        <f ca="1" t="shared" si="126"/>
        <v>6028635378.16363</v>
      </c>
      <c r="CG21" s="586">
        <f ca="1" t="shared" si="127"/>
        <v>5.04159597305786e-11</v>
      </c>
      <c r="CH21" s="594">
        <f ca="1" t="shared" si="128"/>
        <v>691597369.836372</v>
      </c>
      <c r="CI21" s="580">
        <f ca="1" t="shared" si="129"/>
        <v>6538863562.52743</v>
      </c>
      <c r="CJ21" s="580">
        <f ca="1" t="shared" si="130"/>
        <v>668205448.513305</v>
      </c>
      <c r="CK21" s="595">
        <f ca="1" t="shared" si="131"/>
        <v>668205448.513305</v>
      </c>
      <c r="CL21" s="596">
        <f t="shared" si="132"/>
        <v>57600</v>
      </c>
      <c r="CM21" s="580">
        <f ca="1" t="shared" ref="CM21:CO21" si="212">CE21</f>
        <v>1.45955219347716e+16</v>
      </c>
      <c r="CN21" s="580">
        <f ca="1" t="shared" si="212"/>
        <v>6028635378.16363</v>
      </c>
      <c r="CO21" s="581">
        <f ca="1" t="shared" si="212"/>
        <v>5.04159597305786e-11</v>
      </c>
      <c r="CP21" s="580">
        <f ca="1" t="shared" si="134"/>
        <v>691597369.836372</v>
      </c>
      <c r="CQ21" s="580">
        <f ca="1">MAX(INDIRECT("'"&amp;$B$2&amp;"-事故进程'!AA"&amp;(ROW()+22)),INDIRECT("'"&amp;$B$2&amp;"-事故进程'!AB"&amp;(ROW()+22)))</f>
        <v>3.5338375e-10</v>
      </c>
      <c r="CR21" s="580">
        <f ca="1">SUM(CQ$3,-LN(1-CR$3)/CL21)</f>
        <v>9.99426851876734e-7</v>
      </c>
      <c r="CS21" s="580">
        <f t="shared" si="135"/>
        <v>1157407407407410</v>
      </c>
      <c r="CT21" s="582">
        <f ca="1" t="shared" si="136"/>
        <v>0.999367238548708</v>
      </c>
      <c r="CU21" s="582">
        <f ca="1" t="shared" si="137"/>
        <v>0.943480489263431</v>
      </c>
      <c r="CV21" s="582">
        <f t="shared" si="138"/>
        <v>0</v>
      </c>
      <c r="CW21" s="582">
        <f ca="1" t="shared" si="139"/>
        <v>5151797.2248615</v>
      </c>
      <c r="CX21" s="582">
        <f ca="1" t="shared" si="140"/>
        <v>4.52102041439549e-11</v>
      </c>
      <c r="CY21" s="582">
        <f ca="1" t="shared" si="10"/>
        <v>1.00035371147496</v>
      </c>
      <c r="CZ21" s="580">
        <f ca="1" t="shared" si="141"/>
        <v>1.45862864511298e+16</v>
      </c>
      <c r="DA21" s="580">
        <f ca="1" t="shared" si="142"/>
        <v>294209032422.054</v>
      </c>
      <c r="DB21" s="586">
        <f ca="1" t="shared" si="143"/>
        <v>2.54050911706123e-10</v>
      </c>
      <c r="DC21" s="594">
        <f ca="1" t="shared" si="144"/>
        <v>9412566883.94629</v>
      </c>
      <c r="DD21" s="580">
        <f ca="1" t="shared" si="145"/>
        <v>296996444204.951</v>
      </c>
      <c r="DE21" s="580">
        <f ca="1" t="shared" si="146"/>
        <v>8723217865.79103</v>
      </c>
      <c r="DF21" s="595">
        <f ca="1" t="shared" si="147"/>
        <v>8723217865.791</v>
      </c>
      <c r="DG21" s="596">
        <f t="shared" si="148"/>
        <v>86400</v>
      </c>
      <c r="DH21" s="580">
        <f ca="1" t="shared" ref="DH21:DK21" si="213">CZ21</f>
        <v>1.45862864511298e+16</v>
      </c>
      <c r="DI21" s="580">
        <f ca="1" t="shared" si="213"/>
        <v>294209032422.054</v>
      </c>
      <c r="DJ21" s="581">
        <f ca="1" t="shared" si="213"/>
        <v>2.54050911706123e-10</v>
      </c>
      <c r="DK21" s="580">
        <f ca="1" t="shared" si="213"/>
        <v>9412566883.94629</v>
      </c>
      <c r="DL21" s="580">
        <f ca="1">MAX(INDIRECT("'"&amp;$B$2&amp;"-事故进程'!AB"&amp;(ROW()+22)),INDIRECT("'"&amp;$B$2&amp;"-事故进程'!AC"&amp;(ROW()+22)))</f>
        <v>3.5338375e-10</v>
      </c>
      <c r="DM21" s="580">
        <f ca="1">SUM(DL$3,-LN(1-DM$3)/DG21)</f>
        <v>1.07814939005043e-6</v>
      </c>
      <c r="DN21" s="580">
        <f t="shared" si="150"/>
        <v>1157407407407410</v>
      </c>
      <c r="DO21" s="582">
        <f ca="1" t="shared" si="151"/>
        <v>0.999051007984045</v>
      </c>
      <c r="DP21" s="582">
        <f ca="1" t="shared" si="152"/>
        <v>0.910218118495263</v>
      </c>
      <c r="DQ21" s="582">
        <f t="shared" si="153"/>
        <v>0</v>
      </c>
      <c r="DR21" s="582">
        <f ca="1" t="shared" si="154"/>
        <v>4837459.28451242</v>
      </c>
      <c r="DS21" s="582">
        <f ca="1" t="shared" si="155"/>
        <v>-2.0011001863012e-11</v>
      </c>
      <c r="DT21" s="582">
        <f ca="1" t="shared" si="12"/>
        <v>1.0003278762845</v>
      </c>
      <c r="DU21" s="580">
        <f ca="1" t="shared" si="156"/>
        <v>1.45724441817452e+16</v>
      </c>
      <c r="DV21" s="580">
        <f ca="1" t="shared" si="157"/>
        <v>692637455511.569</v>
      </c>
      <c r="DW21" s="586">
        <f ca="1" t="shared" si="158"/>
        <v>6.45206385760601e-10</v>
      </c>
      <c r="DX21" s="594">
        <f ca="1" t="shared" si="159"/>
        <v>55643116960.4312</v>
      </c>
      <c r="DY21" s="580">
        <f ca="1" t="shared" si="160"/>
        <v>445142338656.384</v>
      </c>
      <c r="DZ21" s="580">
        <f ca="1" t="shared" si="161"/>
        <v>46257601854.1756</v>
      </c>
      <c r="EA21" s="595">
        <f ca="1" t="shared" si="162"/>
        <v>46257601854.1756</v>
      </c>
      <c r="EB21" s="596">
        <f t="shared" si="163"/>
        <v>172800</v>
      </c>
      <c r="EC21" s="580">
        <f ca="1" t="shared" ref="EC21:EF21" si="214">DU21</f>
        <v>1.45724441817452e+16</v>
      </c>
      <c r="ED21" s="580">
        <f ca="1" t="shared" si="214"/>
        <v>692637455511.569</v>
      </c>
      <c r="EE21" s="581">
        <f ca="1" t="shared" si="214"/>
        <v>6.45206385760601e-10</v>
      </c>
      <c r="EF21" s="580">
        <f ca="1" t="shared" si="214"/>
        <v>55643116960.4312</v>
      </c>
      <c r="EG21" s="580">
        <f ca="1">MAX(INDIRECT("'"&amp;$B$2&amp;"-事故进程'!AC"&amp;(ROW()+22)),INDIRECT("'"&amp;$B$2&amp;"-事故进程'!AD"&amp;(ROW()+22)),INDIRECT("'"&amp;$B$2&amp;"-事故进程'!AE"&amp;(ROW()+22)))</f>
        <v>3.00556875e-10</v>
      </c>
      <c r="EH21" s="580">
        <f ca="1">SUM(EG$3,-LN(1-EH$3)/EB21)</f>
        <v>5.81616658188741e-8</v>
      </c>
      <c r="EI21" s="580">
        <f t="shared" si="165"/>
        <v>1157407407407410</v>
      </c>
      <c r="EJ21" s="582">
        <f ca="1" t="shared" si="166"/>
        <v>0.998112027762026</v>
      </c>
      <c r="EK21" s="582">
        <f ca="1" t="shared" si="167"/>
        <v>0.988182228609212</v>
      </c>
      <c r="EL21" s="582">
        <f t="shared" si="168"/>
        <v>0</v>
      </c>
      <c r="EM21" s="582">
        <f ca="1" t="shared" si="169"/>
        <v>4339771.5131053</v>
      </c>
      <c r="EN21" s="582">
        <f ca="1" t="shared" si="170"/>
        <v>6.10400190497572e-10</v>
      </c>
      <c r="EO21" s="582">
        <f ca="1" t="shared" si="14"/>
        <v>1.00519445410719</v>
      </c>
      <c r="EP21" s="580">
        <f ca="1" t="shared" si="171"/>
        <v>1.45449318116906e+16</v>
      </c>
      <c r="EQ21" s="580">
        <f ca="1" t="shared" si="172"/>
        <v>1436097033937.86</v>
      </c>
      <c r="ER21" s="586">
        <f ca="1" t="shared" si="173"/>
        <v>7.21662875464642e-11</v>
      </c>
      <c r="ES21" s="594">
        <f ca="1" t="shared" si="174"/>
        <v>66238107792.1406</v>
      </c>
      <c r="ET21" s="580">
        <f ca="1" t="shared" si="175"/>
        <v>756123114157.432</v>
      </c>
      <c r="EU21" s="580">
        <f ca="1" t="shared" si="176"/>
        <v>10705847371.4491</v>
      </c>
      <c r="EV21" s="595">
        <f ca="1" t="shared" si="177"/>
        <v>10705847371.4491</v>
      </c>
      <c r="EW21" s="596">
        <f t="shared" si="178"/>
        <v>2246400</v>
      </c>
      <c r="EX21" s="580">
        <f ca="1" t="shared" ref="EX21:FA21" si="215">EP21</f>
        <v>1.45449318116906e+16</v>
      </c>
      <c r="EY21" s="580">
        <f ca="1" t="shared" si="215"/>
        <v>1436097033937.86</v>
      </c>
      <c r="EZ21" s="581">
        <f ca="1" t="shared" si="215"/>
        <v>7.21662875464642e-11</v>
      </c>
      <c r="FA21" s="580">
        <f ca="1" t="shared" si="215"/>
        <v>66238107792.1406</v>
      </c>
      <c r="FB21" s="580">
        <f ca="1">INDIRECT("'"&amp;$B$2&amp;"-事故进程'!AE"&amp;(ROW()+22))</f>
        <v>9.672285e-11</v>
      </c>
      <c r="FC21" s="580">
        <f ca="1">SUM(FB$3,-LN(1-FC$3)/EW21)</f>
        <v>4.47397429375955e-9</v>
      </c>
      <c r="FD21" s="580">
        <f t="shared" si="180"/>
        <v>1157407407407410</v>
      </c>
      <c r="FE21" s="582">
        <f ca="1" t="shared" si="16"/>
        <v>0.97617935469316</v>
      </c>
      <c r="FF21" s="582">
        <f ca="1" t="shared" si="17"/>
        <v>0.96662756543811</v>
      </c>
      <c r="FG21" s="582">
        <f t="shared" si="18"/>
        <v>0</v>
      </c>
      <c r="FH21" s="582">
        <f ca="1" t="shared" si="19"/>
        <v>1400541.1000672</v>
      </c>
      <c r="FI21" s="582">
        <f ca="1" t="shared" si="20"/>
        <v>6.66150346582746e-11</v>
      </c>
      <c r="FJ21" s="582">
        <f ca="1" t="shared" si="21"/>
        <v>1.02209670868643</v>
      </c>
      <c r="FK21" s="580">
        <f ca="1" t="shared" si="22"/>
        <v>1.41984621499922e+16</v>
      </c>
      <c r="FL21" s="580">
        <f ca="1" t="shared" si="23"/>
        <v>4458069444062.19</v>
      </c>
      <c r="FM21" s="586">
        <f ca="1" t="shared" si="24"/>
        <v>1.72327289119449e-11</v>
      </c>
      <c r="FN21" s="594">
        <f ca="1" t="shared" si="25"/>
        <v>94149410601.8125</v>
      </c>
      <c r="FO21" s="580">
        <f ca="1" t="shared" si="26"/>
        <v>3122505355510.65</v>
      </c>
      <c r="FP21" s="580">
        <f ca="1" t="shared" si="27"/>
        <v>29768128122.4026</v>
      </c>
      <c r="FQ21" s="595">
        <f ca="1" t="shared" si="28"/>
        <v>29768128122.4028</v>
      </c>
      <c r="FR21" s="608" t="str">
        <f t="shared" si="29"/>
        <v>Cs-134</v>
      </c>
      <c r="FS21" s="609">
        <v>461000000</v>
      </c>
      <c r="FT21" s="610">
        <v>114000000</v>
      </c>
      <c r="FU21" s="610">
        <v>1690000000</v>
      </c>
      <c r="FV21" s="610">
        <v>6030000000</v>
      </c>
      <c r="FW21" s="610">
        <v>8300000000</v>
      </c>
      <c r="FX21" s="614">
        <f ca="1">H21/FS21</f>
        <v>3.50118080260304</v>
      </c>
      <c r="FY21" s="614">
        <f ca="1">(I21+J21)/FT21</f>
        <v>6.06716355003941</v>
      </c>
      <c r="FZ21" s="614">
        <f ca="1">K21/FU21</f>
        <v>5.16166737620769</v>
      </c>
      <c r="GA21" s="614">
        <f ca="1">L21/FV21</f>
        <v>9.44667483012017</v>
      </c>
      <c r="GB21" s="614">
        <f ca="1">SUM(H21:L21)/FW21</f>
        <v>8.19185157664098</v>
      </c>
      <c r="GC21" s="455">
        <f ca="1">N21/FW21</f>
        <v>11.7783730371714</v>
      </c>
      <c r="GE21" s="609">
        <v>138337.233401615</v>
      </c>
      <c r="GF21" s="610">
        <v>26274037.1054101</v>
      </c>
      <c r="GG21" s="610">
        <v>221424566.852603</v>
      </c>
      <c r="GH21" s="610">
        <v>424826527.579059</v>
      </c>
      <c r="GI21" s="610">
        <v>1106810296.94444</v>
      </c>
      <c r="GJ21" s="610">
        <v>7218955945.98593</v>
      </c>
      <c r="GK21" s="617">
        <v>8998429711.70084</v>
      </c>
      <c r="GL21" s="614">
        <f ca="1" t="shared" si="181"/>
        <v>11667.4615380963</v>
      </c>
      <c r="GM21" s="614">
        <f ca="1" t="shared" si="182"/>
        <v>26.3247190345968</v>
      </c>
      <c r="GN21" s="614">
        <f ca="1" t="shared" si="183"/>
        <v>39.3958899402424</v>
      </c>
      <c r="GO21" s="614">
        <f ca="1" t="shared" si="184"/>
        <v>37.1912246516705</v>
      </c>
      <c r="GP21" s="614">
        <f ca="1" t="shared" si="185"/>
        <v>4.12360573262055</v>
      </c>
      <c r="GQ21" s="614">
        <f ca="1" t="shared" si="186"/>
        <v>10.8641728991229</v>
      </c>
      <c r="GR21" s="451">
        <f t="shared" si="187"/>
        <v>1.06355351616218e-8</v>
      </c>
      <c r="GS21" s="390">
        <f t="shared" si="188"/>
        <v>65172760.0000006</v>
      </c>
    </row>
    <row r="22" s="389" customFormat="1" spans="1:201">
      <c r="A22" s="430"/>
      <c r="B22" s="407" t="s">
        <v>276</v>
      </c>
      <c r="C22" s="434">
        <f>C19</f>
        <v>1e+20</v>
      </c>
      <c r="D22" s="410" t="s">
        <v>273</v>
      </c>
      <c r="E22" s="409" t="s">
        <v>274</v>
      </c>
      <c r="G22" s="411" t="s">
        <v>63</v>
      </c>
      <c r="H22" s="412">
        <f ca="1" t="shared" si="90"/>
        <v>24802888640</v>
      </c>
      <c r="I22" s="412">
        <f ca="1" t="shared" si="1"/>
        <v>32293420.5577519</v>
      </c>
      <c r="J22" s="412">
        <f ca="1" t="shared" si="91"/>
        <v>904902734.449611</v>
      </c>
      <c r="K22" s="412">
        <f ca="1" t="shared" si="92"/>
        <v>10514122372.4437</v>
      </c>
      <c r="L22" s="412">
        <f ca="1" t="shared" si="93"/>
        <v>68440523909.6032</v>
      </c>
      <c r="M22" s="412">
        <f ca="1" t="shared" si="94"/>
        <v>36142307785.3019</v>
      </c>
      <c r="N22" s="412">
        <f ca="1" t="shared" si="95"/>
        <v>140837038862.356</v>
      </c>
      <c r="O22" s="450">
        <f ca="1" t="shared" si="96"/>
        <v>24802888640</v>
      </c>
      <c r="P22" s="451"/>
      <c r="Q22" s="477" t="str">
        <f t="shared" si="0"/>
        <v>Cs-137</v>
      </c>
      <c r="R22" s="412">
        <f ca="1" t="shared" si="97"/>
        <v>24802888640</v>
      </c>
      <c r="S22" s="412">
        <f ca="1">I22*(1-过滤效率!$B19)</f>
        <v>32293.4205577519</v>
      </c>
      <c r="T22" s="412">
        <f ca="1">J22*(1-过滤效率!$B19)</f>
        <v>904902.734449612</v>
      </c>
      <c r="U22" s="412">
        <f ca="1">K22*(1-过滤效率!$B19)</f>
        <v>10514122.3724437</v>
      </c>
      <c r="V22" s="412">
        <f ca="1">L22*(1-过滤效率!$B19)</f>
        <v>68440523.9096033</v>
      </c>
      <c r="W22" s="412">
        <f ca="1">M22*(1-过滤效率!$B19)</f>
        <v>36142307.785302</v>
      </c>
      <c r="X22" s="412">
        <f ca="1" t="shared" si="98"/>
        <v>24918922790.2224</v>
      </c>
      <c r="Y22" s="493"/>
      <c r="Z22" s="494">
        <f>VLOOKUP(G22,衰变常数!$A$1:$H$3800,7,FALSE)</f>
        <v>7.302030887879e-10</v>
      </c>
      <c r="AA22" s="495">
        <f>正常源项!C19</f>
        <v>1.74e+16</v>
      </c>
      <c r="AB22" s="496">
        <f>正常源项!F19</f>
        <v>0</v>
      </c>
      <c r="AC22" s="496">
        <f>正常源项!I19</f>
        <v>544000</v>
      </c>
      <c r="AD22" s="497"/>
      <c r="AE22" s="496">
        <f>正常源项!O19</f>
        <v>12400000000000</v>
      </c>
      <c r="AF22" s="498">
        <f t="shared" si="78"/>
        <v>2344640</v>
      </c>
      <c r="AG22" s="519">
        <f>AE22*MIN(100%,$C$7/500)</f>
        <v>24800000000</v>
      </c>
      <c r="AH22" s="523">
        <v>0.95</v>
      </c>
      <c r="AI22" s="519">
        <f t="shared" si="79"/>
        <v>0</v>
      </c>
      <c r="AJ22" s="521">
        <v>0.00066</v>
      </c>
      <c r="AK22" s="521">
        <v>0.001958</v>
      </c>
      <c r="AL22" s="525">
        <f>AA22*(AJ22)*0.00000209</f>
        <v>24001560</v>
      </c>
      <c r="AM22" s="520"/>
      <c r="AN22" s="519">
        <f ca="1">MAX(INDIRECT("'"&amp;$B$2&amp;"-事故进程'!Y"&amp;(ROW()+22)),INDIRECT("'"&amp;$B$2&amp;"-事故进程'!Z"&amp;(ROW()+22)),INDIRECT("'"&amp;$B$2&amp;"-事故进程'!AA"&amp;(ROW()+22)))</f>
        <v>2.35416e-11</v>
      </c>
      <c r="AO22" s="519">
        <f ca="1" t="shared" si="3"/>
        <v>0</v>
      </c>
      <c r="AP22" s="560">
        <f t="shared" si="4"/>
        <v>1.74e+16</v>
      </c>
      <c r="AQ22" s="561">
        <f ca="1">(AC22*$C$5+AD22*$C$8+AF22+AG22+AI22+(AL22+AM22)*$C$10)*EXP(-Z22*$C$12*3600)+AO22*$C$11</f>
        <v>24802888640</v>
      </c>
      <c r="AR22" s="562">
        <f ca="1">AQ22*(1-AR$3)</f>
        <v>0</v>
      </c>
      <c r="AS22" s="563">
        <f ca="1" t="shared" si="5"/>
        <v>24802888640</v>
      </c>
      <c r="AT22" s="562">
        <f ca="1">AS22*(1-AT$3)</f>
        <v>0</v>
      </c>
      <c r="AU22" s="564">
        <f ca="1" t="shared" si="99"/>
        <v>24802888640</v>
      </c>
      <c r="AV22" s="565">
        <f t="shared" si="100"/>
        <v>7200</v>
      </c>
      <c r="AW22" s="580">
        <f>AP22*EXP(-Z22*AW$3*3600)</f>
        <v>1.74e+16</v>
      </c>
      <c r="AX22" s="580">
        <f ca="1" t="shared" si="101"/>
        <v>0</v>
      </c>
      <c r="AY22" s="581">
        <f ca="1" t="shared" si="102"/>
        <v>0</v>
      </c>
      <c r="AZ22" s="580">
        <v>0</v>
      </c>
      <c r="BA22" s="580">
        <f ca="1" t="shared" si="200"/>
        <v>2.002341425e-12</v>
      </c>
      <c r="BB22" s="580">
        <f ca="1">SUM(BA$3,-LN(1-BB$3)/AV22)</f>
        <v>3.92016660325749e-5</v>
      </c>
      <c r="BC22" s="580">
        <f t="shared" si="103"/>
        <v>1157407407407410</v>
      </c>
      <c r="BD22" s="582">
        <f ca="1" t="shared" si="104"/>
        <v>0.999994728134799</v>
      </c>
      <c r="BE22" s="582">
        <f ca="1" t="shared" si="105"/>
        <v>0.754079670399198</v>
      </c>
      <c r="BF22" s="582">
        <f t="shared" si="106"/>
        <v>0</v>
      </c>
      <c r="BG22" s="582">
        <f ca="1" t="shared" si="107"/>
        <v>34840.740795</v>
      </c>
      <c r="BH22" s="582">
        <f ca="1" t="shared" si="108"/>
        <v>1.01957549767208e-30</v>
      </c>
      <c r="BI22" s="582">
        <f ca="1" t="shared" si="6"/>
        <v>1.00000005107797</v>
      </c>
      <c r="BJ22" s="580">
        <f ca="1" t="shared" si="109"/>
        <v>1.73999082695455e+16</v>
      </c>
      <c r="BK22" s="580">
        <f ca="1" t="shared" si="110"/>
        <v>218558650.406925</v>
      </c>
      <c r="BL22" s="586">
        <f ca="1" t="shared" si="111"/>
        <v>7.40263382362015e-12</v>
      </c>
      <c r="BM22" s="594">
        <f ca="1" t="shared" si="112"/>
        <v>32293361.5930748</v>
      </c>
      <c r="BN22" s="580">
        <f ca="1" t="shared" si="113"/>
        <v>250852672.488995</v>
      </c>
      <c r="BO22" s="580">
        <f ca="1" t="shared" si="114"/>
        <v>32293420.5577519</v>
      </c>
      <c r="BP22" s="595">
        <f ca="1" t="shared" si="115"/>
        <v>32293420.5577519</v>
      </c>
      <c r="BQ22" s="596">
        <f t="shared" si="116"/>
        <v>21600</v>
      </c>
      <c r="BR22" s="580">
        <f ca="1" t="shared" ref="BR22:BT22" si="216">BJ22</f>
        <v>1.73999082695455e+16</v>
      </c>
      <c r="BS22" s="580">
        <f ca="1" t="shared" si="216"/>
        <v>218558650.406925</v>
      </c>
      <c r="BT22" s="581">
        <f ca="1" t="shared" si="216"/>
        <v>7.40263382362015e-12</v>
      </c>
      <c r="BU22" s="580">
        <f ca="1" t="shared" si="118"/>
        <v>32293361.5930748</v>
      </c>
      <c r="BV22" s="580">
        <f ca="1">MAX(INDIRECT("'"&amp;$B$2&amp;"-事故进程'!Z"&amp;(ROW()+22)),INDIRECT("'"&amp;$B$2&amp;"-事故进程'!AA"&amp;(ROW()+22)))</f>
        <v>2.35416e-11</v>
      </c>
      <c r="BW22" s="580">
        <f ca="1">SUM(BV$3,-LN(1-BW$3)/BQ22)</f>
        <v>9.67910672705165e-6</v>
      </c>
      <c r="BX22" s="580">
        <f t="shared" si="119"/>
        <v>1157407407407410</v>
      </c>
      <c r="BY22" s="582">
        <f ca="1" t="shared" si="120"/>
        <v>0.999983719247255</v>
      </c>
      <c r="BZ22" s="582">
        <f ca="1" t="shared" si="121"/>
        <v>0.81132669374256</v>
      </c>
      <c r="CA22" s="582">
        <f t="shared" si="122"/>
        <v>0</v>
      </c>
      <c r="CB22" s="582">
        <f ca="1" t="shared" si="123"/>
        <v>407506.233160144</v>
      </c>
      <c r="CC22" s="582">
        <f ca="1" t="shared" si="124"/>
        <v>5.57488286067477e-12</v>
      </c>
      <c r="CD22" s="582">
        <f ca="1" t="shared" si="8"/>
        <v>1.00000243221383</v>
      </c>
      <c r="CE22" s="580">
        <f ca="1" t="shared" si="125"/>
        <v>1.73996249859412e+16</v>
      </c>
      <c r="CF22" s="580">
        <f ca="1" t="shared" si="126"/>
        <v>8161343923.40615</v>
      </c>
      <c r="CG22" s="586">
        <f ca="1" t="shared" si="127"/>
        <v>6.82512643043909e-11</v>
      </c>
      <c r="CH22" s="594">
        <f ca="1" t="shared" si="128"/>
        <v>937190632.593849</v>
      </c>
      <c r="CI22" s="580">
        <f ca="1" t="shared" si="129"/>
        <v>8847756274.36546</v>
      </c>
      <c r="CJ22" s="580">
        <f ca="1" t="shared" si="130"/>
        <v>904902734.449611</v>
      </c>
      <c r="CK22" s="595">
        <f ca="1" t="shared" si="131"/>
        <v>904902734.449611</v>
      </c>
      <c r="CL22" s="596">
        <f t="shared" si="132"/>
        <v>57600</v>
      </c>
      <c r="CM22" s="580">
        <f ca="1" t="shared" ref="CM22:CO22" si="217">CE22</f>
        <v>1.73996249859412e+16</v>
      </c>
      <c r="CN22" s="580">
        <f ca="1" t="shared" si="217"/>
        <v>8161343923.40615</v>
      </c>
      <c r="CO22" s="581">
        <f ca="1" t="shared" si="217"/>
        <v>6.82512643043909e-11</v>
      </c>
      <c r="CP22" s="580">
        <f ca="1" t="shared" si="134"/>
        <v>937190632.593849</v>
      </c>
      <c r="CQ22" s="580">
        <f ca="1">MAX(INDIRECT("'"&amp;$B$2&amp;"-事故进程'!AA"&amp;(ROW()+22)),INDIRECT("'"&amp;$B$2&amp;"-事故进程'!AB"&amp;(ROW()+22)))</f>
        <v>3.5538275e-10</v>
      </c>
      <c r="CR22" s="580">
        <f ca="1">SUM(CQ$3,-LN(1-CR$3)/CL22)</f>
        <v>9.99426851876734e-7</v>
      </c>
      <c r="CS22" s="580">
        <f t="shared" si="135"/>
        <v>1157407407407410</v>
      </c>
      <c r="CT22" s="582">
        <f ca="1" t="shared" si="136"/>
        <v>0.99993747221063</v>
      </c>
      <c r="CU22" s="582">
        <f ca="1" t="shared" si="137"/>
        <v>0.944018942938326</v>
      </c>
      <c r="CV22" s="582">
        <f t="shared" si="138"/>
        <v>0</v>
      </c>
      <c r="CW22" s="582">
        <f ca="1" t="shared" si="139"/>
        <v>6175372.81060888</v>
      </c>
      <c r="CX22" s="582">
        <f ca="1" t="shared" si="140"/>
        <v>6.12039046519034e-11</v>
      </c>
      <c r="CY22" s="582">
        <f ca="1" t="shared" si="10"/>
        <v>1.00035571304054</v>
      </c>
      <c r="CZ22" s="580">
        <f ca="1" t="shared" si="141"/>
        <v>1.73985370258549e+16</v>
      </c>
      <c r="DA22" s="580">
        <f ca="1" t="shared" si="142"/>
        <v>353799535095.356</v>
      </c>
      <c r="DB22" s="586">
        <f ca="1" t="shared" si="143"/>
        <v>3.05507596800214e-10</v>
      </c>
      <c r="DC22" s="594">
        <f ca="1" t="shared" si="144"/>
        <v>11451122216.6436</v>
      </c>
      <c r="DD22" s="580">
        <f ca="1" t="shared" si="145"/>
        <v>356159995391.863</v>
      </c>
      <c r="DE22" s="580">
        <f ca="1" t="shared" si="146"/>
        <v>10514122372.4437</v>
      </c>
      <c r="DF22" s="595">
        <f ca="1" t="shared" si="147"/>
        <v>10514122372.4437</v>
      </c>
      <c r="DG22" s="596">
        <f t="shared" si="148"/>
        <v>86400</v>
      </c>
      <c r="DH22" s="580">
        <f ca="1" t="shared" ref="DH22:DK22" si="218">CZ22</f>
        <v>1.73985370258549e+16</v>
      </c>
      <c r="DI22" s="580">
        <f ca="1" t="shared" si="218"/>
        <v>353799535095.356</v>
      </c>
      <c r="DJ22" s="581">
        <f ca="1" t="shared" si="218"/>
        <v>3.05507596800214e-10</v>
      </c>
      <c r="DK22" s="580">
        <f ca="1" t="shared" si="218"/>
        <v>11451122216.6436</v>
      </c>
      <c r="DL22" s="580">
        <f ca="1">MAX(INDIRECT("'"&amp;$B$2&amp;"-事故进程'!AB"&amp;(ROW()+22)),INDIRECT("'"&amp;$B$2&amp;"-事故进程'!AC"&amp;(ROW()+22)))</f>
        <v>3.5538275e-10</v>
      </c>
      <c r="DM22" s="580">
        <f ca="1">SUM(DL$3,-LN(1-DM$3)/DG22)</f>
        <v>1.07814939005043e-6</v>
      </c>
      <c r="DN22" s="580">
        <f t="shared" si="150"/>
        <v>1157407407407410</v>
      </c>
      <c r="DO22" s="582">
        <f ca="1" t="shared" si="151"/>
        <v>0.999906209782106</v>
      </c>
      <c r="DP22" s="582">
        <f ca="1" t="shared" si="152"/>
        <v>0.910997435424689</v>
      </c>
      <c r="DQ22" s="582">
        <f t="shared" si="153"/>
        <v>0</v>
      </c>
      <c r="DR22" s="582">
        <f ca="1" t="shared" si="154"/>
        <v>5801816.91551369</v>
      </c>
      <c r="DS22" s="582">
        <f ca="1" t="shared" si="155"/>
        <v>-2.40641257599778e-11</v>
      </c>
      <c r="DT22" s="582">
        <f ca="1" t="shared" si="12"/>
        <v>1.00032973160696</v>
      </c>
      <c r="DU22" s="580">
        <f ca="1" t="shared" si="156"/>
        <v>1.73969052132762e+16</v>
      </c>
      <c r="DV22" s="580">
        <f ca="1" t="shared" si="157"/>
        <v>832366555455.178</v>
      </c>
      <c r="DW22" s="586">
        <f ca="1" t="shared" si="158"/>
        <v>7.75366986869895e-10</v>
      </c>
      <c r="DX22" s="594">
        <f ca="1" t="shared" si="159"/>
        <v>67042445480.8223</v>
      </c>
      <c r="DY22" s="580">
        <f ca="1" t="shared" si="160"/>
        <v>534198237466.245</v>
      </c>
      <c r="DZ22" s="580">
        <f ca="1" t="shared" si="161"/>
        <v>55593565002.4992</v>
      </c>
      <c r="EA22" s="595">
        <f ca="1" t="shared" si="162"/>
        <v>55593565002.4991</v>
      </c>
      <c r="EB22" s="596">
        <f t="shared" si="163"/>
        <v>172800</v>
      </c>
      <c r="EC22" s="580">
        <f ca="1" t="shared" ref="EC22:EF22" si="219">DU22</f>
        <v>1.73969052132762e+16</v>
      </c>
      <c r="ED22" s="580">
        <f ca="1" t="shared" si="219"/>
        <v>832366555455.178</v>
      </c>
      <c r="EE22" s="581">
        <f ca="1" t="shared" si="219"/>
        <v>7.75366986869895e-10</v>
      </c>
      <c r="EF22" s="580">
        <f ca="1" t="shared" si="219"/>
        <v>67042445480.8223</v>
      </c>
      <c r="EG22" s="580">
        <f ca="1">MAX(INDIRECT("'"&amp;$B$2&amp;"-事故进程'!AC"&amp;(ROW()+22)),INDIRECT("'"&amp;$B$2&amp;"-事故进程'!AD"&amp;(ROW()+22)),INDIRECT("'"&amp;$B$2&amp;"-事故进程'!AE"&amp;(ROW()+22)))</f>
        <v>3.004945e-10</v>
      </c>
      <c r="EH22" s="580">
        <f ca="1">SUM(EG$3,-LN(1-EH$3)/EB22)</f>
        <v>5.81616658188741e-8</v>
      </c>
      <c r="EI22" s="580">
        <f t="shared" si="165"/>
        <v>1157407407407410</v>
      </c>
      <c r="EJ22" s="582">
        <f ca="1" t="shared" si="166"/>
        <v>0.99982191131633</v>
      </c>
      <c r="EK22" s="582">
        <f ca="1" t="shared" si="167"/>
        <v>0.989875090577839</v>
      </c>
      <c r="EL22" s="582">
        <f t="shared" si="168"/>
        <v>0</v>
      </c>
      <c r="EM22" s="582">
        <f ca="1" t="shared" si="169"/>
        <v>5179512.62974554</v>
      </c>
      <c r="EN22" s="582">
        <f ca="1" t="shared" si="170"/>
        <v>7.33539169692162e-10</v>
      </c>
      <c r="EO22" s="582">
        <f ca="1" t="shared" si="14"/>
        <v>1.00519337049615</v>
      </c>
      <c r="EP22" s="580">
        <f ca="1" t="shared" si="171"/>
        <v>1.73938070213269e+16</v>
      </c>
      <c r="EQ22" s="580">
        <f ca="1" t="shared" si="172"/>
        <v>1722619991606.73</v>
      </c>
      <c r="ER22" s="586">
        <f ca="1" t="shared" si="173"/>
        <v>8.65645473180185e-11</v>
      </c>
      <c r="ES22" s="594">
        <f ca="1" t="shared" si="174"/>
        <v>79880229167.2656</v>
      </c>
      <c r="ET22" s="580">
        <f ca="1" t="shared" si="175"/>
        <v>903261684955.438</v>
      </c>
      <c r="EU22" s="580">
        <f ca="1" t="shared" si="176"/>
        <v>12846958907.1042</v>
      </c>
      <c r="EV22" s="595">
        <f ca="1" t="shared" si="177"/>
        <v>12846958907.1041</v>
      </c>
      <c r="EW22" s="596">
        <f t="shared" si="178"/>
        <v>2246400</v>
      </c>
      <c r="EX22" s="580">
        <f ca="1" t="shared" ref="EX22:FA22" si="220">EP22</f>
        <v>1.73938070213269e+16</v>
      </c>
      <c r="EY22" s="580">
        <f ca="1" t="shared" si="220"/>
        <v>1722619991606.73</v>
      </c>
      <c r="EZ22" s="581">
        <f ca="1" t="shared" si="220"/>
        <v>8.65645473180185e-11</v>
      </c>
      <c r="FA22" s="580">
        <f ca="1" t="shared" si="220"/>
        <v>79880229167.2656</v>
      </c>
      <c r="FB22" s="580">
        <f ca="1">INDIRECT("'"&amp;$B$2&amp;"-事故进程'!AE"&amp;(ROW()+22))</f>
        <v>9.6846275e-11</v>
      </c>
      <c r="FC22" s="580">
        <f ca="1">SUM(FB$3,-LN(1-FC$3)/EW22)</f>
        <v>4.47397429375955e-9</v>
      </c>
      <c r="FD22" s="580">
        <f t="shared" si="180"/>
        <v>1157407407407410</v>
      </c>
      <c r="FE22" s="582">
        <f ca="1" t="shared" si="16"/>
        <v>0.998143841106768</v>
      </c>
      <c r="FF22" s="582">
        <f ca="1" t="shared" si="17"/>
        <v>0.988377406220538</v>
      </c>
      <c r="FG22" s="582">
        <f t="shared" si="18"/>
        <v>0</v>
      </c>
      <c r="FH22" s="582">
        <f ca="1" t="shared" si="19"/>
        <v>1676985.28985342</v>
      </c>
      <c r="FI22" s="582">
        <f ca="1" t="shared" si="20"/>
        <v>7.99057359858633e-11</v>
      </c>
      <c r="FJ22" s="582">
        <f ca="1" t="shared" si="21"/>
        <v>1.02212552947616</v>
      </c>
      <c r="FK22" s="580">
        <f ca="1" t="shared" si="22"/>
        <v>1.73615213517371e+16</v>
      </c>
      <c r="FL22" s="580">
        <f ca="1" t="shared" si="23"/>
        <v>5461183701032.81</v>
      </c>
      <c r="FM22" s="586">
        <f ca="1" t="shared" si="24"/>
        <v>2.11102809050185e-11</v>
      </c>
      <c r="FN22" s="594">
        <f ca="1" t="shared" si="25"/>
        <v>115867120033.187</v>
      </c>
      <c r="FO22" s="580">
        <f ca="1" t="shared" si="26"/>
        <v>3780604849669.49</v>
      </c>
      <c r="FP22" s="580">
        <f ca="1" t="shared" si="27"/>
        <v>36142307785.3021</v>
      </c>
      <c r="FQ22" s="595">
        <f ca="1" t="shared" si="28"/>
        <v>36142307785.3019</v>
      </c>
      <c r="FR22" s="608" t="str">
        <f t="shared" si="29"/>
        <v>Cs-137</v>
      </c>
      <c r="FS22" s="609">
        <v>4800000000</v>
      </c>
      <c r="FT22" s="610">
        <v>160000000</v>
      </c>
      <c r="FU22" s="610">
        <v>2210000000</v>
      </c>
      <c r="FV22" s="610">
        <v>7860000000</v>
      </c>
      <c r="FW22" s="610">
        <v>15000000000</v>
      </c>
      <c r="FX22" s="614">
        <f ca="1">H22/FS22</f>
        <v>5.16726846666667</v>
      </c>
      <c r="FY22" s="614">
        <f ca="1">(I22+J22)/FT22</f>
        <v>5.85747596879602</v>
      </c>
      <c r="FZ22" s="614">
        <f ca="1">K22/FU22</f>
        <v>4.75752143549488</v>
      </c>
      <c r="GA22" s="614">
        <f ca="1">L22/FV22</f>
        <v>8.70744579002586</v>
      </c>
      <c r="GB22" s="614">
        <f ca="1">SUM(H22:L22)/FW22</f>
        <v>6.97964873847028</v>
      </c>
      <c r="GC22" s="455">
        <f ca="1">N22/FW22</f>
        <v>9.38913592415708</v>
      </c>
      <c r="GE22" s="609">
        <v>227252.597555914</v>
      </c>
      <c r="GF22" s="610">
        <v>212417376.915186</v>
      </c>
      <c r="GG22" s="610">
        <v>628318264.087984</v>
      </c>
      <c r="GH22" s="610">
        <v>1022851382.69255</v>
      </c>
      <c r="GI22" s="610">
        <v>2255281278.4136</v>
      </c>
      <c r="GJ22" s="610">
        <v>12982879176.6197</v>
      </c>
      <c r="GK22" s="617">
        <v>17101974731.3265</v>
      </c>
      <c r="GL22" s="614">
        <f ca="1" t="shared" si="181"/>
        <v>109142.376838608</v>
      </c>
      <c r="GM22" s="614">
        <f ca="1" t="shared" si="182"/>
        <v>4.41205031630518</v>
      </c>
      <c r="GN22" s="614">
        <f ca="1" t="shared" si="183"/>
        <v>16.7337525795229</v>
      </c>
      <c r="GO22" s="614">
        <f ca="1" t="shared" si="184"/>
        <v>20.8778993973078</v>
      </c>
      <c r="GP22" s="614">
        <f ca="1" t="shared" si="185"/>
        <v>2.78384380641769</v>
      </c>
      <c r="GQ22" s="614">
        <f ca="1" t="shared" si="186"/>
        <v>8.23513313958875</v>
      </c>
      <c r="GR22" s="451">
        <f t="shared" si="187"/>
        <v>7.302030887879e-10</v>
      </c>
      <c r="GS22" s="390">
        <f t="shared" si="188"/>
        <v>949252600</v>
      </c>
    </row>
    <row r="23" s="389" customFormat="1" spans="1:201">
      <c r="A23" s="432" t="s">
        <v>235</v>
      </c>
      <c r="B23" s="407" t="s">
        <v>267</v>
      </c>
      <c r="C23" s="428">
        <f>-LN(1-0%)/8/3600</f>
        <v>0</v>
      </c>
      <c r="D23" s="410" t="s">
        <v>268</v>
      </c>
      <c r="E23" s="409" t="s">
        <v>269</v>
      </c>
      <c r="G23" s="411" t="s">
        <v>64</v>
      </c>
      <c r="H23" s="412">
        <f ca="1" t="shared" si="90"/>
        <v>566171790</v>
      </c>
      <c r="I23" s="412">
        <f ca="1" t="shared" si="1"/>
        <v>86514547.2011499</v>
      </c>
      <c r="J23" s="412">
        <f ca="1" t="shared" si="91"/>
        <v>356538757.199854</v>
      </c>
      <c r="K23" s="412">
        <f ca="1" t="shared" si="92"/>
        <v>715511002.526568</v>
      </c>
      <c r="L23" s="412">
        <f ca="1" t="shared" si="93"/>
        <v>58382660948.9072</v>
      </c>
      <c r="M23" s="412">
        <f ca="1" t="shared" si="94"/>
        <v>114528514686.875</v>
      </c>
      <c r="N23" s="412">
        <f ca="1" t="shared" si="95"/>
        <v>174635911732.71</v>
      </c>
      <c r="O23" s="450">
        <f ca="1" t="shared" si="96"/>
        <v>566171790</v>
      </c>
      <c r="P23" s="451"/>
      <c r="Q23" s="477" t="str">
        <f t="shared" si="0"/>
        <v>Ag-110m</v>
      </c>
      <c r="R23" s="412">
        <f ca="1" t="shared" si="97"/>
        <v>566171790</v>
      </c>
      <c r="S23" s="412">
        <f ca="1">I23*(1-过滤效率!$B20)</f>
        <v>86514.5472011499</v>
      </c>
      <c r="T23" s="412">
        <f ca="1">J23*(1-过滤效率!$B20)</f>
        <v>356538.757199854</v>
      </c>
      <c r="U23" s="412">
        <f ca="1">K23*(1-过滤效率!$B20)</f>
        <v>715511.002526569</v>
      </c>
      <c r="V23" s="412">
        <f ca="1">L23*(1-过滤效率!$B20)</f>
        <v>58382660.9489072</v>
      </c>
      <c r="W23" s="412">
        <f ca="1">M23*(1-过滤效率!$B20)</f>
        <v>114528514.686875</v>
      </c>
      <c r="X23" s="412">
        <f ca="1" t="shared" si="98"/>
        <v>740241529.94271</v>
      </c>
      <c r="Y23" s="493"/>
      <c r="Z23" s="494">
        <f>VLOOKUP(G23,衰变常数!$A$1:$H$3800,7,FALSE)</f>
        <v>3.21209893462493e-8</v>
      </c>
      <c r="AA23" s="495">
        <f>正常源项!C20</f>
        <v>242000000000000</v>
      </c>
      <c r="AB23" s="496">
        <f>正常源项!F20</f>
        <v>0</v>
      </c>
      <c r="AC23" s="496">
        <f>正常源项!I20</f>
        <v>409000</v>
      </c>
      <c r="AD23" s="497"/>
      <c r="AE23" s="496">
        <f>正常源项!O20</f>
        <v>282000000000</v>
      </c>
      <c r="AF23" s="498">
        <f t="shared" si="78"/>
        <v>1762790</v>
      </c>
      <c r="AG23" s="519">
        <f>AE23*MIN(100%,$C$7/500)</f>
        <v>564000000</v>
      </c>
      <c r="AH23" s="523">
        <v>0.9</v>
      </c>
      <c r="AI23" s="519">
        <f t="shared" si="79"/>
        <v>0</v>
      </c>
      <c r="AJ23" s="521">
        <v>0.00066</v>
      </c>
      <c r="AK23" s="521">
        <v>5.457e-5</v>
      </c>
      <c r="AL23" s="526">
        <f>AA23*(AJ23-AK23)*0.00000209</f>
        <v>306214.3854</v>
      </c>
      <c r="AM23" s="520"/>
      <c r="AN23" s="519">
        <f ca="1">MAX(INDIRECT("'"&amp;$B$2&amp;"-事故进程'!Y"&amp;(ROW()+22)),INDIRECT("'"&amp;$B$2&amp;"-事故进程'!Z"&amp;(ROW()+22)),INDIRECT("'"&amp;$B$2&amp;"-事故进程'!AA"&amp;(ROW()+22)))</f>
        <v>4.8268475e-10</v>
      </c>
      <c r="AO23" s="519">
        <f ca="1" t="shared" si="3"/>
        <v>0</v>
      </c>
      <c r="AP23" s="560">
        <f t="shared" si="4"/>
        <v>242000000000000</v>
      </c>
      <c r="AQ23" s="561">
        <f ca="1">(AC23*$C$5+AD23*$C$8+AF23+AG23+AI23+(AL23+AM23)*$C$10)*EXP(-Z23*$C$12*3600)+AO23*$C$11</f>
        <v>566171790</v>
      </c>
      <c r="AR23" s="562">
        <f ca="1">AQ23*(1-AR$3)</f>
        <v>0</v>
      </c>
      <c r="AS23" s="563">
        <f ca="1" t="shared" si="5"/>
        <v>566171790</v>
      </c>
      <c r="AT23" s="562">
        <f ca="1">AS23*(1-AT$3)</f>
        <v>0</v>
      </c>
      <c r="AU23" s="564">
        <f ca="1" t="shared" si="99"/>
        <v>566171790</v>
      </c>
      <c r="AV23" s="565">
        <f t="shared" si="100"/>
        <v>7200</v>
      </c>
      <c r="AW23" s="580">
        <f>AP23*EXP(-Z23*AW$3*3600)</f>
        <v>242000000000000</v>
      </c>
      <c r="AX23" s="580">
        <f ca="1" t="shared" si="101"/>
        <v>0</v>
      </c>
      <c r="AY23" s="581">
        <f ca="1" t="shared" si="102"/>
        <v>0</v>
      </c>
      <c r="AZ23" s="580">
        <v>0</v>
      </c>
      <c r="BA23" s="580">
        <f ca="1" t="shared" si="200"/>
        <v>3.85755562e-10</v>
      </c>
      <c r="BB23" s="580">
        <f ca="1">SUM(BA$3,-LN(1-BB$3)/AV23)</f>
        <v>3.92016660325749e-5</v>
      </c>
      <c r="BC23" s="580">
        <f t="shared" si="103"/>
        <v>1157407407407410</v>
      </c>
      <c r="BD23" s="582">
        <f ca="1" t="shared" si="104"/>
        <v>0.999765978823889</v>
      </c>
      <c r="BE23" s="582">
        <f ca="1" t="shared" si="105"/>
        <v>0.753909257350728</v>
      </c>
      <c r="BF23" s="582">
        <f t="shared" si="106"/>
        <v>0</v>
      </c>
      <c r="BG23" s="582">
        <f ca="1" t="shared" si="107"/>
        <v>93352.846004</v>
      </c>
      <c r="BH23" s="582">
        <f ca="1" t="shared" si="108"/>
        <v>2.7318671260082e-30</v>
      </c>
      <c r="BI23" s="582">
        <f ca="1" t="shared" si="6"/>
        <v>1.00000984038172</v>
      </c>
      <c r="BJ23" s="580">
        <f ca="1" t="shared" si="109"/>
        <v>241943366875381</v>
      </c>
      <c r="BK23" s="580">
        <f ca="1" t="shared" si="110"/>
        <v>585476405.274209</v>
      </c>
      <c r="BL23" s="586">
        <f ca="1" t="shared" si="111"/>
        <v>1.98302260402184e-11</v>
      </c>
      <c r="BM23" s="594">
        <f ca="1" t="shared" si="112"/>
        <v>86507724.0382912</v>
      </c>
      <c r="BN23" s="580">
        <f ca="1" t="shared" si="113"/>
        <v>672061840.60666</v>
      </c>
      <c r="BO23" s="580">
        <f ca="1" t="shared" si="114"/>
        <v>86514547.2011499</v>
      </c>
      <c r="BP23" s="595">
        <f ca="1" t="shared" si="115"/>
        <v>86514547.2011499</v>
      </c>
      <c r="BQ23" s="596">
        <f t="shared" si="116"/>
        <v>21600</v>
      </c>
      <c r="BR23" s="580">
        <f ca="1" t="shared" ref="BR23:BT23" si="221">BJ23</f>
        <v>241943366875381</v>
      </c>
      <c r="BS23" s="580">
        <f ca="1" t="shared" si="221"/>
        <v>585476405.274209</v>
      </c>
      <c r="BT23" s="581">
        <f ca="1" t="shared" si="221"/>
        <v>1.98302260402184e-11</v>
      </c>
      <c r="BU23" s="580">
        <f ca="1" t="shared" si="118"/>
        <v>86507724.0382912</v>
      </c>
      <c r="BV23" s="580">
        <f ca="1">MAX(INDIRECT("'"&amp;$B$2&amp;"-事故进程'!Z"&amp;(ROW()+22)),INDIRECT("'"&amp;$B$2&amp;"-事故进程'!AA"&amp;(ROW()+22)))</f>
        <v>4.8268475e-10</v>
      </c>
      <c r="BW23" s="580">
        <f ca="1">SUM(BV$3,-LN(1-BW$3)/BQ23)</f>
        <v>9.67910672705165e-6</v>
      </c>
      <c r="BX23" s="580">
        <f t="shared" si="119"/>
        <v>1157407407407410</v>
      </c>
      <c r="BY23" s="582">
        <f ca="1" t="shared" si="120"/>
        <v>0.999296008557858</v>
      </c>
      <c r="BZ23" s="582">
        <f ca="1" t="shared" si="121"/>
        <v>0.81077676745082</v>
      </c>
      <c r="CA23" s="582">
        <f t="shared" si="122"/>
        <v>0</v>
      </c>
      <c r="CB23" s="582">
        <f ca="1" t="shared" si="123"/>
        <v>111115.767542114</v>
      </c>
      <c r="CC23" s="582">
        <f ca="1" t="shared" si="124"/>
        <v>1.49340342787422e-11</v>
      </c>
      <c r="CD23" s="582">
        <f ca="1" t="shared" si="8"/>
        <v>1.00004987121598</v>
      </c>
      <c r="CE23" s="580">
        <f ca="1" t="shared" si="125"/>
        <v>241773040815618</v>
      </c>
      <c r="CF23" s="580">
        <f ca="1" t="shared" si="126"/>
        <v>2749365697.63546</v>
      </c>
      <c r="CG23" s="586">
        <f ca="1" t="shared" si="127"/>
        <v>2.29922530725097e-11</v>
      </c>
      <c r="CH23" s="594">
        <f ca="1" t="shared" si="128"/>
        <v>442888953.270788</v>
      </c>
      <c r="CI23" s="580">
        <f ca="1" t="shared" si="129"/>
        <v>2521611255.6094</v>
      </c>
      <c r="CJ23" s="580">
        <f ca="1" t="shared" si="130"/>
        <v>356538757.199854</v>
      </c>
      <c r="CK23" s="595">
        <f ca="1" t="shared" si="131"/>
        <v>356538757.199854</v>
      </c>
      <c r="CL23" s="596">
        <f t="shared" si="132"/>
        <v>57600</v>
      </c>
      <c r="CM23" s="580">
        <f ca="1" t="shared" ref="CM23:CO23" si="222">CE23</f>
        <v>241773040815618</v>
      </c>
      <c r="CN23" s="580">
        <f ca="1" t="shared" si="222"/>
        <v>2749365697.63546</v>
      </c>
      <c r="CO23" s="581">
        <f ca="1" t="shared" si="222"/>
        <v>2.29922530725097e-11</v>
      </c>
      <c r="CP23" s="580">
        <f ca="1" t="shared" si="134"/>
        <v>442888953.270788</v>
      </c>
      <c r="CQ23" s="580">
        <f ca="1">MAX(INDIRECT("'"&amp;$B$2&amp;"-事故进程'!AA"&amp;(ROW()+22)),INDIRECT("'"&amp;$B$2&amp;"-事故进程'!AB"&amp;(ROW()+22)))</f>
        <v>1.4304925e-9</v>
      </c>
      <c r="CR23" s="580">
        <f ca="1">SUM(CQ$3,-LN(1-CR$3)/CL23)</f>
        <v>9.99426851876734e-7</v>
      </c>
      <c r="CS23" s="580">
        <f t="shared" si="135"/>
        <v>1157407407407410</v>
      </c>
      <c r="CT23" s="582">
        <f ca="1" t="shared" si="136"/>
        <v>0.998069300847701</v>
      </c>
      <c r="CU23" s="582">
        <f ca="1" t="shared" si="137"/>
        <v>0.942313595710828</v>
      </c>
      <c r="CV23" s="582">
        <f t="shared" si="138"/>
        <v>0</v>
      </c>
      <c r="CW23" s="582">
        <f ca="1" t="shared" si="139"/>
        <v>343110.6646321</v>
      </c>
      <c r="CX23" s="582">
        <f ca="1" t="shared" si="140"/>
        <v>2.06181625955871e-11</v>
      </c>
      <c r="CY23" s="582">
        <f ca="1" t="shared" si="10"/>
        <v>1.00143336444723</v>
      </c>
      <c r="CZ23" s="580">
        <f ca="1" t="shared" si="141"/>
        <v>241306249810666</v>
      </c>
      <c r="DA23" s="580">
        <f ca="1" t="shared" si="142"/>
        <v>21912841901.2833</v>
      </c>
      <c r="DB23" s="586">
        <f ca="1" t="shared" si="143"/>
        <v>1.89218441638704e-11</v>
      </c>
      <c r="DC23" s="594">
        <f ca="1" t="shared" si="144"/>
        <v>1157089715.59167</v>
      </c>
      <c r="DD23" s="580">
        <f ca="1" t="shared" si="145"/>
        <v>19901983307.6361</v>
      </c>
      <c r="DE23" s="580">
        <f ca="1" t="shared" si="146"/>
        <v>715511002.526571</v>
      </c>
      <c r="DF23" s="595">
        <f ca="1" t="shared" si="147"/>
        <v>715511002.526568</v>
      </c>
      <c r="DG23" s="596">
        <f t="shared" si="148"/>
        <v>86400</v>
      </c>
      <c r="DH23" s="580">
        <f ca="1" t="shared" ref="DH23:DK23" si="223">CZ23</f>
        <v>241306249810666</v>
      </c>
      <c r="DI23" s="580">
        <f ca="1" t="shared" si="223"/>
        <v>21912841901.2833</v>
      </c>
      <c r="DJ23" s="581">
        <f ca="1" t="shared" si="223"/>
        <v>1.89218441638704e-11</v>
      </c>
      <c r="DK23" s="580">
        <f ca="1" t="shared" si="223"/>
        <v>1157089715.59167</v>
      </c>
      <c r="DL23" s="580">
        <f ca="1">MAX(INDIRECT("'"&amp;$B$2&amp;"-事故进程'!AB"&amp;(ROW()+22)),INDIRECT("'"&amp;$B$2&amp;"-事故进程'!AC"&amp;(ROW()+22)))</f>
        <v>4.091969775e-8</v>
      </c>
      <c r="DM23" s="580">
        <f ca="1">SUM(DL$3,-LN(1-DM$3)/DG23)</f>
        <v>1.07814939005043e-6</v>
      </c>
      <c r="DN23" s="580">
        <f t="shared" si="150"/>
        <v>1157407407407410</v>
      </c>
      <c r="DO23" s="582">
        <f ca="1" t="shared" si="151"/>
        <v>0.993709155377587</v>
      </c>
      <c r="DP23" s="582">
        <f ca="1" t="shared" si="152"/>
        <v>0.90853000858314</v>
      </c>
      <c r="DQ23" s="582">
        <f t="shared" si="153"/>
        <v>0</v>
      </c>
      <c r="DR23" s="582">
        <f ca="1" t="shared" si="154"/>
        <v>9851450.15717577</v>
      </c>
      <c r="DS23" s="582">
        <f ca="1" t="shared" si="155"/>
        <v>-1.49042983657072e-12</v>
      </c>
      <c r="DT23" s="582">
        <f ca="1" t="shared" si="12"/>
        <v>1.03945095098391</v>
      </c>
      <c r="DU23" s="580">
        <f ca="1" t="shared" si="156"/>
        <v>239788229686690</v>
      </c>
      <c r="DV23" s="580">
        <f ca="1" t="shared" si="157"/>
        <v>830793596951.98</v>
      </c>
      <c r="DW23" s="586">
        <f ca="1" t="shared" si="158"/>
        <v>7.73901742877207e-10</v>
      </c>
      <c r="DX23" s="594">
        <f ca="1" t="shared" si="159"/>
        <v>41474928230.332</v>
      </c>
      <c r="DY23" s="580">
        <f ca="1" t="shared" si="160"/>
        <v>850442775403.553</v>
      </c>
      <c r="DZ23" s="580">
        <f ca="1" t="shared" si="161"/>
        <v>40359598638.5271</v>
      </c>
      <c r="EA23" s="595">
        <f ca="1" t="shared" si="162"/>
        <v>40359598638.5272</v>
      </c>
      <c r="EB23" s="596">
        <f t="shared" si="163"/>
        <v>172800</v>
      </c>
      <c r="EC23" s="580">
        <f ca="1" t="shared" ref="EC23:EF23" si="224">DU23</f>
        <v>239788229686690</v>
      </c>
      <c r="ED23" s="580">
        <f ca="1" t="shared" si="224"/>
        <v>830793596951.98</v>
      </c>
      <c r="EE23" s="581">
        <f ca="1" t="shared" si="224"/>
        <v>7.73901742877207e-10</v>
      </c>
      <c r="EF23" s="580">
        <f ca="1" t="shared" si="224"/>
        <v>41474928230.332</v>
      </c>
      <c r="EG23" s="580">
        <f ca="1">MAX(INDIRECT("'"&amp;$B$2&amp;"-事故进程'!AC"&amp;(ROW()+22)),INDIRECT("'"&amp;$B$2&amp;"-事故进程'!AD"&amp;(ROW()+22)),INDIRECT("'"&amp;$B$2&amp;"-事故进程'!AE"&amp;(ROW()+22)))</f>
        <v>4.7227275e-8</v>
      </c>
      <c r="EH23" s="580">
        <f ca="1">SUM(EG$3,-LN(1-EH$3)/EB23)</f>
        <v>5.81616658188741e-8</v>
      </c>
      <c r="EI23" s="580">
        <f t="shared" si="165"/>
        <v>1157407407407410</v>
      </c>
      <c r="EJ23" s="582">
        <f ca="1" t="shared" si="166"/>
        <v>0.986382192733788</v>
      </c>
      <c r="EK23" s="582">
        <f ca="1" t="shared" si="167"/>
        <v>0.984520219957661</v>
      </c>
      <c r="EL23" s="582">
        <f t="shared" si="168"/>
        <v>0</v>
      </c>
      <c r="EM23" s="582">
        <f ca="1" t="shared" si="169"/>
        <v>11315460.4432976</v>
      </c>
      <c r="EN23" s="582">
        <f ca="1" t="shared" si="170"/>
        <v>7.32152969505678e-10</v>
      </c>
      <c r="EO23" s="582">
        <f ca="1" t="shared" si="14"/>
        <v>5.31915008182073</v>
      </c>
      <c r="EP23" s="580">
        <f ca="1" t="shared" si="171"/>
        <v>236522839790111</v>
      </c>
      <c r="EQ23" s="580">
        <f ca="1" t="shared" si="172"/>
        <v>2746343576736.37</v>
      </c>
      <c r="ER23" s="586">
        <f ca="1" t="shared" si="173"/>
        <v>1.38008376576536e-10</v>
      </c>
      <c r="ES23" s="594">
        <f ca="1" t="shared" si="174"/>
        <v>59227375246.9687</v>
      </c>
      <c r="ET23" s="580">
        <f ca="1" t="shared" si="175"/>
        <v>1943526653022.21</v>
      </c>
      <c r="EU23" s="580">
        <f ca="1" t="shared" si="176"/>
        <v>18023062310.3807</v>
      </c>
      <c r="EV23" s="595">
        <f ca="1" t="shared" si="177"/>
        <v>18023062310.38</v>
      </c>
      <c r="EW23" s="596">
        <f t="shared" si="178"/>
        <v>2246400</v>
      </c>
      <c r="EX23" s="580">
        <f ca="1" t="shared" ref="EX23:FA23" si="225">EP23</f>
        <v>236522839790111</v>
      </c>
      <c r="EY23" s="580">
        <f ca="1" t="shared" si="225"/>
        <v>2746343576736.37</v>
      </c>
      <c r="EZ23" s="581">
        <f ca="1" t="shared" si="225"/>
        <v>1.38008376576536e-10</v>
      </c>
      <c r="FA23" s="580">
        <f ca="1" t="shared" si="225"/>
        <v>59227375246.9687</v>
      </c>
      <c r="FB23" s="580">
        <f ca="1">INDIRECT("'"&amp;$B$2&amp;"-事故进程'!AE"&amp;(ROW()+22))</f>
        <v>3.5632668e-8</v>
      </c>
      <c r="FC23" s="580">
        <f ca="1">SUM(FB$3,-LN(1-FC$3)/EW23)</f>
        <v>4.47397429375955e-9</v>
      </c>
      <c r="FD23" s="580">
        <f t="shared" si="180"/>
        <v>1157407407407410</v>
      </c>
      <c r="FE23" s="582">
        <f ca="1" t="shared" si="16"/>
        <v>0.858814940772236</v>
      </c>
      <c r="FF23" s="582">
        <f ca="1" t="shared" si="17"/>
        <v>0.921081343001755</v>
      </c>
      <c r="FG23" s="582">
        <f t="shared" si="18"/>
        <v>0</v>
      </c>
      <c r="FH23" s="582">
        <f ca="1" t="shared" si="19"/>
        <v>8513512.30297784</v>
      </c>
      <c r="FI23" s="582">
        <f ca="1" t="shared" si="20"/>
        <v>1.2739234760911e-10</v>
      </c>
      <c r="FJ23" s="582">
        <f ca="1" t="shared" si="21"/>
        <v>-0.143586709248453</v>
      </c>
      <c r="FK23" s="580">
        <f ca="1" t="shared" si="22"/>
        <v>203129348645625</v>
      </c>
      <c r="FL23" s="580">
        <f ca="1" t="shared" si="23"/>
        <v>19371694783921.4</v>
      </c>
      <c r="FM23" s="586">
        <f ca="1" t="shared" si="24"/>
        <v>7.48815533192046e-11</v>
      </c>
      <c r="FN23" s="594">
        <f ca="1" t="shared" si="25"/>
        <v>166566656113.844</v>
      </c>
      <c r="FO23" s="580">
        <f ca="1" t="shared" si="26"/>
        <v>17562139520107.7</v>
      </c>
      <c r="FP23" s="580">
        <f ca="1" t="shared" si="27"/>
        <v>114528514686.875</v>
      </c>
      <c r="FQ23" s="595">
        <f ca="1" t="shared" si="28"/>
        <v>114528514686.875</v>
      </c>
      <c r="FR23" s="608" t="str">
        <f t="shared" si="29"/>
        <v>Ag-110m</v>
      </c>
      <c r="FS23" s="609">
        <v>127000000</v>
      </c>
      <c r="FT23" s="610">
        <v>442000000</v>
      </c>
      <c r="FU23" s="610">
        <v>1160000000</v>
      </c>
      <c r="FV23" s="610">
        <v>3990000000</v>
      </c>
      <c r="FW23" s="610">
        <v>5720000000</v>
      </c>
      <c r="FX23" s="614">
        <f ca="1">H23/FS23</f>
        <v>4.45804559055118</v>
      </c>
      <c r="FY23" s="614">
        <f ca="1">(I23+J23)/FT23</f>
        <v>1.00238304163123</v>
      </c>
      <c r="FZ23" s="614">
        <f ca="1">K23/FU23</f>
        <v>0.616819829764283</v>
      </c>
      <c r="GA23" s="614">
        <f ca="1">L23/FV23</f>
        <v>14.6322458518564</v>
      </c>
      <c r="GB23" s="614">
        <f ca="1">SUM(H23:L23)/FW23</f>
        <v>10.5082861968243</v>
      </c>
      <c r="GC23" s="455">
        <f ca="1">N23/FW23</f>
        <v>30.5307537994248</v>
      </c>
      <c r="GE23" s="609">
        <v>119532.747822784</v>
      </c>
      <c r="GF23" s="610">
        <v>47625559.870575</v>
      </c>
      <c r="GG23" s="610">
        <v>232397824.418568</v>
      </c>
      <c r="GH23" s="610">
        <v>395119538.985329</v>
      </c>
      <c r="GI23" s="610">
        <v>1005803168.81349</v>
      </c>
      <c r="GJ23" s="610">
        <v>7934681196.38171</v>
      </c>
      <c r="GK23" s="617">
        <v>9615746821.21749</v>
      </c>
      <c r="GL23" s="614">
        <f ca="1" t="shared" si="181"/>
        <v>4736.54124340378</v>
      </c>
      <c r="GM23" s="614">
        <f ca="1" t="shared" si="182"/>
        <v>9.30284716032787</v>
      </c>
      <c r="GN23" s="614">
        <f ca="1" t="shared" si="183"/>
        <v>3.07881971062635</v>
      </c>
      <c r="GO23" s="614">
        <f ca="1" t="shared" si="184"/>
        <v>41.6744340168774</v>
      </c>
      <c r="GP23" s="614">
        <f ca="1" t="shared" si="185"/>
        <v>14.4339150940432</v>
      </c>
      <c r="GQ23" s="614">
        <f ca="1" t="shared" si="186"/>
        <v>18.161450689131</v>
      </c>
      <c r="GR23" s="451">
        <f t="shared" si="187"/>
        <v>3.21209893462493e-8</v>
      </c>
      <c r="GS23" s="390">
        <f t="shared" si="188"/>
        <v>21579260</v>
      </c>
    </row>
    <row r="24" spans="1:201">
      <c r="A24" s="430"/>
      <c r="B24" s="407" t="s">
        <v>270</v>
      </c>
      <c r="C24" s="433">
        <f ca="1">IF(8&lt;=$C$13-$C$12,MAX(1%,INDIRECT("'"&amp;$B$2&amp;"-事故进程'!$AB$23")*150%),0.000000000000001)</f>
        <v>0.0559413510751039</v>
      </c>
      <c r="D24" s="410"/>
      <c r="E24" s="409" t="s">
        <v>271</v>
      </c>
      <c r="G24" s="411" t="s">
        <v>65</v>
      </c>
      <c r="H24" s="412">
        <f t="shared" si="90"/>
        <v>13044000000000</v>
      </c>
      <c r="I24" s="412">
        <f ca="1" t="shared" si="1"/>
        <v>0</v>
      </c>
      <c r="J24" s="412">
        <f ca="1" t="shared" si="91"/>
        <v>0</v>
      </c>
      <c r="K24" s="412">
        <f ca="1" t="shared" si="92"/>
        <v>0</v>
      </c>
      <c r="L24" s="412">
        <f ca="1" t="shared" si="93"/>
        <v>0</v>
      </c>
      <c r="M24" s="412">
        <f ca="1" t="shared" si="94"/>
        <v>0</v>
      </c>
      <c r="N24" s="412">
        <f ca="1" t="shared" si="95"/>
        <v>13044000000000</v>
      </c>
      <c r="O24" s="450">
        <f t="shared" si="96"/>
        <v>13044000000000</v>
      </c>
      <c r="P24" s="451"/>
      <c r="Q24" s="477" t="str">
        <f t="shared" si="0"/>
        <v>H-3</v>
      </c>
      <c r="R24" s="412">
        <f t="shared" si="97"/>
        <v>13044000000000</v>
      </c>
      <c r="S24" s="412">
        <f ca="1">I24*(1-过滤效率!$B21)</f>
        <v>0</v>
      </c>
      <c r="T24" s="412">
        <f ca="1">J24*(1-过滤效率!$B21)</f>
        <v>0</v>
      </c>
      <c r="U24" s="412">
        <f ca="1">K24*(1-过滤效率!$B21)</f>
        <v>0</v>
      </c>
      <c r="V24" s="412">
        <f ca="1">L24*(1-过滤效率!$B21)</f>
        <v>0</v>
      </c>
      <c r="W24" s="412">
        <f ca="1">M24*(1-过滤效率!$B21)</f>
        <v>0</v>
      </c>
      <c r="X24" s="412">
        <f ca="1" t="shared" si="98"/>
        <v>13044000000000</v>
      </c>
      <c r="Y24" s="493"/>
      <c r="Z24" s="494">
        <f>VLOOKUP(G24,衰变常数!$A$1:$H$3800,7,FALSE)</f>
        <v>1.78283364719618e-9</v>
      </c>
      <c r="AA24" s="495">
        <f>正常源项!C21</f>
        <v>111000000000000</v>
      </c>
      <c r="AB24" s="496">
        <f>正常源项!F21</f>
        <v>0</v>
      </c>
      <c r="AC24" s="496">
        <f>正常源项!I21</f>
        <v>144000000000</v>
      </c>
      <c r="AD24" s="496">
        <f>正常源项!L21</f>
        <v>12900000000000</v>
      </c>
      <c r="AE24" s="496"/>
      <c r="AF24" s="498"/>
      <c r="AG24" s="483"/>
      <c r="AH24" s="523"/>
      <c r="AI24" s="519"/>
      <c r="AJ24" s="390"/>
      <c r="AK24" s="527"/>
      <c r="AL24" s="527"/>
      <c r="AM24" s="528"/>
      <c r="AN24" s="527"/>
      <c r="AO24" s="527"/>
      <c r="AP24" s="560">
        <f t="shared" si="4"/>
        <v>111000000000000</v>
      </c>
      <c r="AQ24" s="561">
        <f>(AC24*$C$5+AD24*$C$8+AF24+AG24+AI24+(AL24+AM24)*$C$10)*EXP(-Z24*$C$12*3600)+AO24*$C$11</f>
        <v>13044000000000</v>
      </c>
      <c r="AR24" s="562">
        <f>AQ24*(1-AR$3)</f>
        <v>0</v>
      </c>
      <c r="AS24" s="563">
        <f t="shared" si="5"/>
        <v>13044000000000</v>
      </c>
      <c r="AT24" s="562">
        <f>AS24*(1-AT$3)</f>
        <v>0</v>
      </c>
      <c r="AU24" s="564">
        <f t="shared" si="99"/>
        <v>13044000000000</v>
      </c>
      <c r="AV24" s="565">
        <f t="shared" si="100"/>
        <v>7200</v>
      </c>
      <c r="AW24" s="580">
        <f>AP24*EXP(-Z24*AW$3*3600)</f>
        <v>111000000000000</v>
      </c>
      <c r="AX24" s="580">
        <f t="shared" si="101"/>
        <v>0</v>
      </c>
      <c r="AY24" s="581">
        <f t="shared" si="102"/>
        <v>0</v>
      </c>
      <c r="AZ24" s="580">
        <v>0</v>
      </c>
      <c r="BA24" s="580">
        <f ca="1" t="shared" si="200"/>
        <v>0</v>
      </c>
      <c r="BB24" s="580">
        <f ca="1">SUM(BA$3,-LN(1-BB$3)/AV24)</f>
        <v>3.92016660325749e-5</v>
      </c>
      <c r="BC24" s="580">
        <f t="shared" si="103"/>
        <v>1157407407407410</v>
      </c>
      <c r="BD24" s="582">
        <f ca="1" t="shared" si="104"/>
        <v>0.999987163680126</v>
      </c>
      <c r="BE24" s="582">
        <f ca="1" t="shared" si="105"/>
        <v>0.754073955296262</v>
      </c>
      <c r="BF24" s="582">
        <f t="shared" si="106"/>
        <v>0</v>
      </c>
      <c r="BG24" s="582">
        <f ca="1" t="shared" si="107"/>
        <v>0</v>
      </c>
      <c r="BH24" s="582">
        <f ca="1" t="shared" si="108"/>
        <v>0</v>
      </c>
      <c r="BI24" s="582">
        <f ca="1" t="shared" si="6"/>
        <v>1</v>
      </c>
      <c r="BJ24" s="580">
        <f ca="1" t="shared" si="109"/>
        <v>110998575168494</v>
      </c>
      <c r="BK24" s="580">
        <f ca="1" t="shared" si="110"/>
        <v>0</v>
      </c>
      <c r="BL24" s="586">
        <f ca="1" t="shared" si="111"/>
        <v>0</v>
      </c>
      <c r="BM24" s="594">
        <f ca="1" t="shared" si="112"/>
        <v>0</v>
      </c>
      <c r="BN24" s="580">
        <f ca="1" t="shared" si="113"/>
        <v>0</v>
      </c>
      <c r="BO24" s="580">
        <f ca="1" t="shared" si="114"/>
        <v>0</v>
      </c>
      <c r="BP24" s="595">
        <f ca="1" t="shared" si="115"/>
        <v>0</v>
      </c>
      <c r="BQ24" s="596">
        <f t="shared" si="116"/>
        <v>21600</v>
      </c>
      <c r="BR24" s="580">
        <f ca="1" t="shared" ref="BR24:BT24" si="226">BJ24</f>
        <v>110998575168494</v>
      </c>
      <c r="BS24" s="580">
        <f ca="1" t="shared" si="226"/>
        <v>0</v>
      </c>
      <c r="BT24" s="581">
        <f ca="1" t="shared" si="226"/>
        <v>0</v>
      </c>
      <c r="BU24" s="580">
        <f ca="1" t="shared" si="118"/>
        <v>0</v>
      </c>
      <c r="BV24" s="580">
        <f ca="1">MAX(INDIRECT("'"&amp;$B$2&amp;"-事故进程'!Z"&amp;(ROW()+22)),INDIRECT("'"&amp;$B$2&amp;"-事故进程'!AA"&amp;(ROW()+22)))</f>
        <v>0</v>
      </c>
      <c r="BW24" s="580">
        <f ca="1">SUM(BV$3,-LN(1-BW$3)/BQ24)</f>
        <v>9.67910672705165e-6</v>
      </c>
      <c r="BX24" s="580">
        <f t="shared" si="119"/>
        <v>1157407407407410</v>
      </c>
      <c r="BY24" s="582">
        <f ca="1" t="shared" si="120"/>
        <v>0.99996149153469</v>
      </c>
      <c r="BZ24" s="582">
        <f ca="1" t="shared" si="121"/>
        <v>0.811308246963225</v>
      </c>
      <c r="CA24" s="582">
        <f t="shared" si="122"/>
        <v>0</v>
      </c>
      <c r="CB24" s="582">
        <f ca="1" t="shared" si="123"/>
        <v>0</v>
      </c>
      <c r="CC24" s="582">
        <f ca="1" t="shared" si="124"/>
        <v>0</v>
      </c>
      <c r="CD24" s="582">
        <f ca="1" t="shared" si="8"/>
        <v>1</v>
      </c>
      <c r="CE24" s="580">
        <f ca="1" t="shared" si="125"/>
        <v>110994300783713</v>
      </c>
      <c r="CF24" s="580">
        <f ca="1" t="shared" si="126"/>
        <v>0</v>
      </c>
      <c r="CG24" s="586">
        <f ca="1" t="shared" si="127"/>
        <v>0</v>
      </c>
      <c r="CH24" s="594">
        <f ca="1" t="shared" si="128"/>
        <v>0</v>
      </c>
      <c r="CI24" s="580">
        <f ca="1" t="shared" si="129"/>
        <v>0</v>
      </c>
      <c r="CJ24" s="580">
        <f ca="1" t="shared" si="130"/>
        <v>0</v>
      </c>
      <c r="CK24" s="595">
        <f ca="1" t="shared" si="131"/>
        <v>0</v>
      </c>
      <c r="CL24" s="596">
        <f t="shared" si="132"/>
        <v>57600</v>
      </c>
      <c r="CM24" s="580">
        <f ca="1" t="shared" ref="CM24:CO24" si="227">CE24</f>
        <v>110994300783713</v>
      </c>
      <c r="CN24" s="580">
        <f ca="1" t="shared" si="227"/>
        <v>0</v>
      </c>
      <c r="CO24" s="581">
        <f ca="1" t="shared" si="227"/>
        <v>0</v>
      </c>
      <c r="CP24" s="580">
        <f ca="1" t="shared" si="134"/>
        <v>0</v>
      </c>
      <c r="CQ24" s="580">
        <f ca="1">MAX(INDIRECT("'"&amp;$B$2&amp;"-事故进程'!AA"&amp;(ROW()+22)),INDIRECT("'"&amp;$B$2&amp;"-事故进程'!AB"&amp;(ROW()+22)))</f>
        <v>0</v>
      </c>
      <c r="CR24" s="580">
        <f ca="1">SUM(CQ$3,-LN(1-CR$3)/CL24)</f>
        <v>9.99426851876734e-7</v>
      </c>
      <c r="CS24" s="580">
        <f t="shared" si="135"/>
        <v>1157407407407410</v>
      </c>
      <c r="CT24" s="582">
        <f ca="1" t="shared" si="136"/>
        <v>0.999897314054484</v>
      </c>
      <c r="CU24" s="582">
        <f ca="1" t="shared" si="137"/>
        <v>0.943961707369909</v>
      </c>
      <c r="CV24" s="582">
        <f t="shared" si="138"/>
        <v>0</v>
      </c>
      <c r="CW24" s="582">
        <f ca="1" t="shared" si="139"/>
        <v>0</v>
      </c>
      <c r="CX24" s="582">
        <f ca="1" t="shared" si="140"/>
        <v>0</v>
      </c>
      <c r="CY24" s="582">
        <f ca="1" t="shared" si="10"/>
        <v>1</v>
      </c>
      <c r="CZ24" s="580">
        <f ca="1" t="shared" si="141"/>
        <v>110982903228990</v>
      </c>
      <c r="DA24" s="580">
        <f ca="1" t="shared" si="142"/>
        <v>0</v>
      </c>
      <c r="DB24" s="586">
        <f ca="1" t="shared" si="143"/>
        <v>0</v>
      </c>
      <c r="DC24" s="594">
        <f ca="1" t="shared" si="144"/>
        <v>0</v>
      </c>
      <c r="DD24" s="580">
        <f ca="1" t="shared" si="145"/>
        <v>0</v>
      </c>
      <c r="DE24" s="580">
        <f ca="1" t="shared" si="146"/>
        <v>0</v>
      </c>
      <c r="DF24" s="595">
        <f ca="1" t="shared" si="147"/>
        <v>0</v>
      </c>
      <c r="DG24" s="596">
        <f t="shared" si="148"/>
        <v>86400</v>
      </c>
      <c r="DH24" s="580">
        <f ca="1" t="shared" ref="DH24:DK24" si="228">CZ24</f>
        <v>110982903228990</v>
      </c>
      <c r="DI24" s="580">
        <f ca="1" t="shared" si="228"/>
        <v>0</v>
      </c>
      <c r="DJ24" s="581">
        <f ca="1" t="shared" si="228"/>
        <v>0</v>
      </c>
      <c r="DK24" s="580">
        <f ca="1" t="shared" si="228"/>
        <v>0</v>
      </c>
      <c r="DL24" s="580">
        <f ca="1">MAX(INDIRECT("'"&amp;$B$2&amp;"-事故进程'!AB"&amp;(ROW()+22)),INDIRECT("'"&amp;$B$2&amp;"-事故进程'!AC"&amp;(ROW()+22)))</f>
        <v>0</v>
      </c>
      <c r="DM24" s="580">
        <f ca="1">SUM(DL$3,-LN(1-DM$3)/DG24)</f>
        <v>1.07814939005043e-6</v>
      </c>
      <c r="DN24" s="580">
        <f t="shared" si="150"/>
        <v>1157407407407410</v>
      </c>
      <c r="DO24" s="582">
        <f ca="1" t="shared" si="151"/>
        <v>0.999845975035945</v>
      </c>
      <c r="DP24" s="582">
        <f ca="1" t="shared" si="152"/>
        <v>0.910914586453127</v>
      </c>
      <c r="DQ24" s="582">
        <f t="shared" si="153"/>
        <v>0</v>
      </c>
      <c r="DR24" s="582">
        <f ca="1" t="shared" si="154"/>
        <v>0</v>
      </c>
      <c r="DS24" s="582">
        <f ca="1" t="shared" si="155"/>
        <v>0</v>
      </c>
      <c r="DT24" s="582">
        <f ca="1" t="shared" si="12"/>
        <v>1</v>
      </c>
      <c r="DU24" s="580">
        <f ca="1" t="shared" si="156"/>
        <v>110965809091309</v>
      </c>
      <c r="DV24" s="580">
        <f ca="1" t="shared" si="157"/>
        <v>0</v>
      </c>
      <c r="DW24" s="586">
        <f ca="1" t="shared" si="158"/>
        <v>0</v>
      </c>
      <c r="DX24" s="594">
        <f ca="1" t="shared" si="159"/>
        <v>0</v>
      </c>
      <c r="DY24" s="580">
        <f ca="1" t="shared" si="160"/>
        <v>0</v>
      </c>
      <c r="DZ24" s="580">
        <f ca="1" t="shared" si="161"/>
        <v>0</v>
      </c>
      <c r="EA24" s="595">
        <f ca="1" t="shared" si="162"/>
        <v>0</v>
      </c>
      <c r="EB24" s="596">
        <f t="shared" si="163"/>
        <v>172800</v>
      </c>
      <c r="EC24" s="580">
        <f ca="1" t="shared" ref="EC24:EF24" si="229">DU24</f>
        <v>110965809091309</v>
      </c>
      <c r="ED24" s="580">
        <f ca="1" t="shared" si="229"/>
        <v>0</v>
      </c>
      <c r="EE24" s="581">
        <f ca="1" t="shared" si="229"/>
        <v>0</v>
      </c>
      <c r="EF24" s="580">
        <f ca="1" t="shared" si="229"/>
        <v>0</v>
      </c>
      <c r="EG24" s="580">
        <f ca="1">MAX(INDIRECT("'"&amp;$B$2&amp;"-事故进程'!AC"&amp;(ROW()+22)),INDIRECT("'"&amp;$B$2&amp;"-事故进程'!AD"&amp;(ROW()+22)),INDIRECT("'"&amp;$B$2&amp;"-事故进程'!AE"&amp;(ROW()+22)))</f>
        <v>0</v>
      </c>
      <c r="EH24" s="580">
        <f ca="1">SUM(EG$3,-LN(1-EH$3)/EB24)</f>
        <v>5.81616658188741e-8</v>
      </c>
      <c r="EI24" s="580">
        <f t="shared" si="165"/>
        <v>1157407407407410</v>
      </c>
      <c r="EJ24" s="582">
        <f ca="1" t="shared" si="166"/>
        <v>0.99969197379558</v>
      </c>
      <c r="EK24" s="582">
        <f ca="1" t="shared" si="167"/>
        <v>0.989695054057624</v>
      </c>
      <c r="EL24" s="582">
        <f t="shared" si="168"/>
        <v>0</v>
      </c>
      <c r="EM24" s="582">
        <f ca="1" t="shared" si="169"/>
        <v>0</v>
      </c>
      <c r="EN24" s="582">
        <f ca="1" t="shared" si="170"/>
        <v>0</v>
      </c>
      <c r="EO24" s="582">
        <f ca="1" t="shared" si="14"/>
        <v>1</v>
      </c>
      <c r="EP24" s="580">
        <f ca="1" t="shared" si="171"/>
        <v>110931628714315</v>
      </c>
      <c r="EQ24" s="580">
        <f ca="1" t="shared" si="172"/>
        <v>0</v>
      </c>
      <c r="ER24" s="586">
        <f ca="1" t="shared" si="173"/>
        <v>0</v>
      </c>
      <c r="ES24" s="594">
        <f ca="1" t="shared" si="174"/>
        <v>0</v>
      </c>
      <c r="ET24" s="580">
        <f ca="1" t="shared" si="175"/>
        <v>0</v>
      </c>
      <c r="EU24" s="580">
        <f ca="1" t="shared" si="176"/>
        <v>0</v>
      </c>
      <c r="EV24" s="595">
        <f ca="1" t="shared" si="177"/>
        <v>0</v>
      </c>
      <c r="EW24" s="596">
        <f t="shared" si="178"/>
        <v>2246400</v>
      </c>
      <c r="EX24" s="580">
        <f ca="1" t="shared" ref="EX24:FA24" si="230">EP24</f>
        <v>110931628714315</v>
      </c>
      <c r="EY24" s="580">
        <f ca="1" t="shared" si="230"/>
        <v>0</v>
      </c>
      <c r="EZ24" s="581">
        <f ca="1" t="shared" si="230"/>
        <v>0</v>
      </c>
      <c r="FA24" s="580">
        <f ca="1" t="shared" si="230"/>
        <v>0</v>
      </c>
      <c r="FB24" s="580">
        <f ca="1">INDIRECT("'"&amp;$B$2&amp;"-事故进程'!AE"&amp;(ROW()+22))</f>
        <v>0</v>
      </c>
      <c r="FC24" s="580">
        <f ca="1">SUM(FB$3,-LN(1-FC$3)/EW24)</f>
        <v>4.47397429375955e-9</v>
      </c>
      <c r="FD24" s="580">
        <f t="shared" si="180"/>
        <v>1157407407407410</v>
      </c>
      <c r="FE24" s="582">
        <f ca="1" t="shared" si="16"/>
        <v>0.996003051641582</v>
      </c>
      <c r="FF24" s="582">
        <f ca="1" t="shared" si="17"/>
        <v>0.986043021125167</v>
      </c>
      <c r="FG24" s="582">
        <f t="shared" si="18"/>
        <v>0</v>
      </c>
      <c r="FH24" s="582">
        <f ca="1" t="shared" si="19"/>
        <v>0</v>
      </c>
      <c r="FI24" s="582">
        <f ca="1" t="shared" si="20"/>
        <v>0</v>
      </c>
      <c r="FJ24" s="582">
        <f ca="1" t="shared" si="21"/>
        <v>1</v>
      </c>
      <c r="FK24" s="580">
        <f ca="1" t="shared" si="22"/>
        <v>110488240723028</v>
      </c>
      <c r="FL24" s="580">
        <f ca="1" t="shared" si="23"/>
        <v>0</v>
      </c>
      <c r="FM24" s="586">
        <f ca="1" t="shared" si="24"/>
        <v>0</v>
      </c>
      <c r="FN24" s="594">
        <f ca="1" t="shared" si="25"/>
        <v>0</v>
      </c>
      <c r="FO24" s="580">
        <f ca="1" t="shared" si="26"/>
        <v>0</v>
      </c>
      <c r="FP24" s="580">
        <f ca="1" t="shared" si="27"/>
        <v>0</v>
      </c>
      <c r="FQ24" s="595">
        <f ca="1" t="shared" si="28"/>
        <v>0</v>
      </c>
      <c r="FR24" s="608" t="str">
        <f t="shared" si="29"/>
        <v>H-3</v>
      </c>
      <c r="FS24" s="609">
        <v>7740000000000</v>
      </c>
      <c r="FT24" s="610">
        <v>0</v>
      </c>
      <c r="FU24" s="610">
        <v>0</v>
      </c>
      <c r="FV24" s="610">
        <v>0</v>
      </c>
      <c r="FW24" s="610">
        <v>7740000000000</v>
      </c>
      <c r="FX24" s="614">
        <f t="shared" ref="FX24:FX26" si="231">H24/FS24</f>
        <v>1.68527131782946</v>
      </c>
      <c r="FY24" s="614"/>
      <c r="FZ24" s="614"/>
      <c r="GA24" s="614"/>
      <c r="GB24" s="614">
        <f ca="1">SUM(H24:L24)/FW24</f>
        <v>1.68527131782946</v>
      </c>
      <c r="GC24" s="455">
        <f ca="1">N24/FW24</f>
        <v>1.68527131782946</v>
      </c>
      <c r="GE24" s="609">
        <v>2598482866976.27</v>
      </c>
      <c r="GF24" s="610">
        <v>340744870520.487</v>
      </c>
      <c r="GG24" s="610">
        <v>648293276966.639</v>
      </c>
      <c r="GH24" s="610">
        <v>894780329863.181</v>
      </c>
      <c r="GI24" s="610">
        <v>1541863130089.09</v>
      </c>
      <c r="GJ24" s="610">
        <v>6437907247922.24</v>
      </c>
      <c r="GK24" s="617">
        <v>12462071722337.9</v>
      </c>
      <c r="GL24" s="614">
        <f t="shared" si="181"/>
        <v>5.01985222445537</v>
      </c>
      <c r="GM24" s="614">
        <f ca="1" t="shared" si="182"/>
        <v>0</v>
      </c>
      <c r="GN24" s="614">
        <f ca="1" t="shared" si="183"/>
        <v>0</v>
      </c>
      <c r="GO24" s="614">
        <f ca="1" t="shared" si="184"/>
        <v>0</v>
      </c>
      <c r="GP24" s="614">
        <f ca="1" t="shared" si="185"/>
        <v>0</v>
      </c>
      <c r="GQ24" s="614">
        <f ca="1" t="shared" si="186"/>
        <v>1.04669594996946</v>
      </c>
      <c r="GR24" s="451">
        <f t="shared" si="187"/>
        <v>1.78283364719618e-9</v>
      </c>
      <c r="GS24" s="390">
        <f t="shared" si="188"/>
        <v>388789600.000001</v>
      </c>
    </row>
    <row r="25" spans="1:201">
      <c r="A25" s="430"/>
      <c r="B25" s="407" t="s">
        <v>276</v>
      </c>
      <c r="C25" s="434">
        <f>C22</f>
        <v>1e+20</v>
      </c>
      <c r="D25" s="410" t="s">
        <v>273</v>
      </c>
      <c r="E25" s="409" t="s">
        <v>274</v>
      </c>
      <c r="G25" s="411" t="s">
        <v>66</v>
      </c>
      <c r="H25" s="412">
        <f t="shared" si="90"/>
        <v>18908000000</v>
      </c>
      <c r="I25" s="412">
        <f ca="1" t="shared" si="1"/>
        <v>0</v>
      </c>
      <c r="J25" s="412">
        <f ca="1" t="shared" si="91"/>
        <v>0</v>
      </c>
      <c r="K25" s="412">
        <f ca="1" t="shared" si="92"/>
        <v>0</v>
      </c>
      <c r="L25" s="412">
        <f ca="1" t="shared" si="93"/>
        <v>0</v>
      </c>
      <c r="M25" s="412">
        <f ca="1" t="shared" si="94"/>
        <v>0</v>
      </c>
      <c r="N25" s="412">
        <f ca="1" t="shared" si="95"/>
        <v>18908000000</v>
      </c>
      <c r="O25" s="450">
        <f t="shared" si="96"/>
        <v>18908000000</v>
      </c>
      <c r="P25" s="451"/>
      <c r="Q25" s="477" t="str">
        <f t="shared" si="0"/>
        <v>C-14</v>
      </c>
      <c r="R25" s="412">
        <f t="shared" si="97"/>
        <v>18908000000</v>
      </c>
      <c r="S25" s="412">
        <f ca="1">I25*(1-过滤效率!$B22)</f>
        <v>0</v>
      </c>
      <c r="T25" s="412">
        <f ca="1">J25*(1-过滤效率!$B22)</f>
        <v>0</v>
      </c>
      <c r="U25" s="412">
        <f ca="1">K25*(1-过滤效率!$B22)</f>
        <v>0</v>
      </c>
      <c r="V25" s="412">
        <f ca="1">L25*(1-过滤效率!$B22)</f>
        <v>0</v>
      </c>
      <c r="W25" s="412">
        <f ca="1">M25*(1-过滤效率!$B22)</f>
        <v>0</v>
      </c>
      <c r="X25" s="412">
        <f ca="1" t="shared" si="98"/>
        <v>18908000000</v>
      </c>
      <c r="Y25" s="493"/>
      <c r="Z25" s="494">
        <f>VLOOKUP(G25,衰变常数!$A$1:$H$3800,7,FALSE)</f>
        <v>3.8534294386192e-12</v>
      </c>
      <c r="AA25" s="495"/>
      <c r="AB25" s="496">
        <f>正常源项!F22</f>
        <v>0</v>
      </c>
      <c r="AC25" s="496">
        <f>正常源项!I22</f>
        <v>208000000</v>
      </c>
      <c r="AD25" s="496">
        <f>正常源项!L22</f>
        <v>18700000000</v>
      </c>
      <c r="AE25" s="496"/>
      <c r="AF25" s="498"/>
      <c r="AG25" s="519"/>
      <c r="AH25" s="523"/>
      <c r="AI25" s="519"/>
      <c r="AJ25" s="390"/>
      <c r="AK25" s="527"/>
      <c r="AL25" s="527"/>
      <c r="AM25" s="528"/>
      <c r="AN25" s="527"/>
      <c r="AO25" s="527"/>
      <c r="AP25" s="560">
        <f t="shared" si="4"/>
        <v>0</v>
      </c>
      <c r="AQ25" s="561">
        <f>(AC25*$C$5+AD25*$C$8+AF25+AG25+AI25+(AL25+AM25)*$C$10)*EXP(-Z25*$C$12*3600)+AO25*$C$11</f>
        <v>18908000000</v>
      </c>
      <c r="AR25" s="562">
        <f>AQ25*(1-AR$3)</f>
        <v>0</v>
      </c>
      <c r="AS25" s="563">
        <f t="shared" si="5"/>
        <v>18908000000</v>
      </c>
      <c r="AT25" s="562">
        <f>AS25*(1-AT$3)</f>
        <v>0</v>
      </c>
      <c r="AU25" s="564">
        <f t="shared" si="99"/>
        <v>18908000000</v>
      </c>
      <c r="AV25" s="565">
        <f t="shared" si="100"/>
        <v>7200</v>
      </c>
      <c r="AW25" s="580">
        <f>AP25*EXP(-Z25*AW$3*3600)</f>
        <v>0</v>
      </c>
      <c r="AX25" s="580">
        <f t="shared" si="101"/>
        <v>0</v>
      </c>
      <c r="AY25" s="581">
        <f t="shared" si="102"/>
        <v>0</v>
      </c>
      <c r="AZ25" s="580">
        <v>0</v>
      </c>
      <c r="BA25" s="580">
        <f ca="1" t="shared" si="200"/>
        <v>0</v>
      </c>
      <c r="BB25" s="580">
        <f ca="1">SUM(BA$3,-LN(1-BB$3)/AV25)</f>
        <v>3.92016660325749e-5</v>
      </c>
      <c r="BC25" s="580">
        <f t="shared" si="103"/>
        <v>1157407407407410</v>
      </c>
      <c r="BD25" s="582">
        <f ca="1" t="shared" si="104"/>
        <v>0.999999972255308</v>
      </c>
      <c r="BE25" s="582">
        <f ca="1" t="shared" si="105"/>
        <v>0.754083614033194</v>
      </c>
      <c r="BF25" s="582">
        <f t="shared" si="106"/>
        <v>0</v>
      </c>
      <c r="BG25" s="582">
        <f ca="1" t="shared" si="107"/>
        <v>0</v>
      </c>
      <c r="BH25" s="582">
        <f ca="1" t="shared" si="108"/>
        <v>0</v>
      </c>
      <c r="BI25" s="582">
        <f ca="1" t="shared" si="6"/>
        <v>1</v>
      </c>
      <c r="BJ25" s="580">
        <f ca="1" t="shared" si="109"/>
        <v>0</v>
      </c>
      <c r="BK25" s="580">
        <f ca="1" t="shared" si="110"/>
        <v>0</v>
      </c>
      <c r="BL25" s="586">
        <f ca="1" t="shared" si="111"/>
        <v>0</v>
      </c>
      <c r="BM25" s="594">
        <f ca="1" t="shared" si="112"/>
        <v>0</v>
      </c>
      <c r="BN25" s="580">
        <f ca="1" t="shared" si="113"/>
        <v>0</v>
      </c>
      <c r="BO25" s="580">
        <f ca="1" t="shared" si="114"/>
        <v>0</v>
      </c>
      <c r="BP25" s="595">
        <f ca="1" t="shared" si="115"/>
        <v>0</v>
      </c>
      <c r="BQ25" s="596">
        <f t="shared" si="116"/>
        <v>21600</v>
      </c>
      <c r="BR25" s="580">
        <f ca="1" t="shared" ref="BR25:BT25" si="232">BJ25</f>
        <v>0</v>
      </c>
      <c r="BS25" s="580">
        <f ca="1" t="shared" si="232"/>
        <v>0</v>
      </c>
      <c r="BT25" s="581">
        <f ca="1" t="shared" si="232"/>
        <v>0</v>
      </c>
      <c r="BU25" s="580">
        <f ca="1" t="shared" si="118"/>
        <v>0</v>
      </c>
      <c r="BV25" s="580">
        <f ca="1">MAX(INDIRECT("'"&amp;$B$2&amp;"-事故进程'!Z"&amp;(ROW()+22)),INDIRECT("'"&amp;$B$2&amp;"-事故进程'!AA"&amp;(ROW()+22)))</f>
        <v>0</v>
      </c>
      <c r="BW25" s="580">
        <f ca="1">SUM(BV$3,-LN(1-BW$3)/BQ25)</f>
        <v>9.67910672705165e-6</v>
      </c>
      <c r="BX25" s="580">
        <f t="shared" si="119"/>
        <v>1157407407407410</v>
      </c>
      <c r="BY25" s="582">
        <f ca="1" t="shared" si="120"/>
        <v>0.999999916765928</v>
      </c>
      <c r="BZ25" s="582">
        <f ca="1" t="shared" si="121"/>
        <v>0.811339422870755</v>
      </c>
      <c r="CA25" s="582">
        <f t="shared" si="122"/>
        <v>0</v>
      </c>
      <c r="CB25" s="582">
        <f ca="1" t="shared" si="123"/>
        <v>0</v>
      </c>
      <c r="CC25" s="582">
        <f ca="1" t="shared" si="124"/>
        <v>0</v>
      </c>
      <c r="CD25" s="582">
        <f ca="1" t="shared" si="8"/>
        <v>1</v>
      </c>
      <c r="CE25" s="580">
        <f ca="1" t="shared" si="125"/>
        <v>0</v>
      </c>
      <c r="CF25" s="580">
        <f ca="1" t="shared" si="126"/>
        <v>0</v>
      </c>
      <c r="CG25" s="586">
        <f ca="1" t="shared" si="127"/>
        <v>0</v>
      </c>
      <c r="CH25" s="594">
        <f ca="1" t="shared" si="128"/>
        <v>0</v>
      </c>
      <c r="CI25" s="580">
        <f ca="1" t="shared" si="129"/>
        <v>0</v>
      </c>
      <c r="CJ25" s="580">
        <f ca="1" t="shared" si="130"/>
        <v>0</v>
      </c>
      <c r="CK25" s="595">
        <f ca="1" t="shared" si="131"/>
        <v>0</v>
      </c>
      <c r="CL25" s="596">
        <f t="shared" si="132"/>
        <v>57600</v>
      </c>
      <c r="CM25" s="580">
        <f ca="1" t="shared" ref="CM25:CO25" si="233">CE25</f>
        <v>0</v>
      </c>
      <c r="CN25" s="580">
        <f ca="1" t="shared" si="233"/>
        <v>0</v>
      </c>
      <c r="CO25" s="581">
        <f ca="1" t="shared" si="233"/>
        <v>0</v>
      </c>
      <c r="CP25" s="580">
        <f ca="1" t="shared" si="134"/>
        <v>0</v>
      </c>
      <c r="CQ25" s="580">
        <f ca="1">MAX(INDIRECT("'"&amp;$B$2&amp;"-事故进程'!AA"&amp;(ROW()+22)),INDIRECT("'"&amp;$B$2&amp;"-事故进程'!AB"&amp;(ROW()+22)))</f>
        <v>0</v>
      </c>
      <c r="CR25" s="580">
        <f ca="1">SUM(CQ$3,-LN(1-CR$3)/CL25)</f>
        <v>9.99426851876734e-7</v>
      </c>
      <c r="CS25" s="580">
        <f t="shared" si="135"/>
        <v>1157407407407410</v>
      </c>
      <c r="CT25" s="582">
        <f ca="1" t="shared" si="136"/>
        <v>0.999999778042489</v>
      </c>
      <c r="CU25" s="582">
        <f ca="1" t="shared" si="137"/>
        <v>0.944058439383988</v>
      </c>
      <c r="CV25" s="582">
        <f t="shared" si="138"/>
        <v>0</v>
      </c>
      <c r="CW25" s="582">
        <f ca="1" t="shared" si="139"/>
        <v>0</v>
      </c>
      <c r="CX25" s="582">
        <f ca="1" t="shared" si="140"/>
        <v>0</v>
      </c>
      <c r="CY25" s="582">
        <f ca="1" t="shared" si="10"/>
        <v>1</v>
      </c>
      <c r="CZ25" s="580">
        <f ca="1" t="shared" si="141"/>
        <v>0</v>
      </c>
      <c r="DA25" s="580">
        <f ca="1" t="shared" si="142"/>
        <v>0</v>
      </c>
      <c r="DB25" s="586">
        <f ca="1" t="shared" si="143"/>
        <v>0</v>
      </c>
      <c r="DC25" s="594">
        <f ca="1" t="shared" si="144"/>
        <v>0</v>
      </c>
      <c r="DD25" s="580">
        <f ca="1" t="shared" si="145"/>
        <v>0</v>
      </c>
      <c r="DE25" s="580">
        <f ca="1" t="shared" si="146"/>
        <v>0</v>
      </c>
      <c r="DF25" s="595">
        <f ca="1" t="shared" si="147"/>
        <v>0</v>
      </c>
      <c r="DG25" s="596">
        <f t="shared" si="148"/>
        <v>86400</v>
      </c>
      <c r="DH25" s="580">
        <f ca="1" t="shared" ref="DH25:DK25" si="234">CZ25</f>
        <v>0</v>
      </c>
      <c r="DI25" s="580">
        <f ca="1" t="shared" si="234"/>
        <v>0</v>
      </c>
      <c r="DJ25" s="581">
        <f ca="1" t="shared" si="234"/>
        <v>0</v>
      </c>
      <c r="DK25" s="580">
        <f ca="1" t="shared" si="234"/>
        <v>0</v>
      </c>
      <c r="DL25" s="580">
        <f ca="1">MAX(INDIRECT("'"&amp;$B$2&amp;"-事故进程'!AB"&amp;(ROW()+22)),INDIRECT("'"&amp;$B$2&amp;"-事故进程'!AC"&amp;(ROW()+22)))</f>
        <v>0</v>
      </c>
      <c r="DM25" s="580">
        <f ca="1">SUM(DL$3,-LN(1-DM$3)/DG25)</f>
        <v>1.07814939005043e-6</v>
      </c>
      <c r="DN25" s="580">
        <f t="shared" si="150"/>
        <v>1157407407407410</v>
      </c>
      <c r="DO25" s="582">
        <f ca="1" t="shared" si="151"/>
        <v>0.999999667063752</v>
      </c>
      <c r="DP25" s="582">
        <f ca="1" t="shared" si="152"/>
        <v>0.911054608329943</v>
      </c>
      <c r="DQ25" s="582">
        <f t="shared" si="153"/>
        <v>0</v>
      </c>
      <c r="DR25" s="582">
        <f ca="1" t="shared" si="154"/>
        <v>0</v>
      </c>
      <c r="DS25" s="582">
        <f ca="1" t="shared" si="155"/>
        <v>0</v>
      </c>
      <c r="DT25" s="582">
        <f ca="1" t="shared" si="12"/>
        <v>1</v>
      </c>
      <c r="DU25" s="580">
        <f ca="1" t="shared" si="156"/>
        <v>0</v>
      </c>
      <c r="DV25" s="580">
        <f ca="1" t="shared" si="157"/>
        <v>0</v>
      </c>
      <c r="DW25" s="586">
        <f ca="1" t="shared" si="158"/>
        <v>0</v>
      </c>
      <c r="DX25" s="594">
        <f ca="1" t="shared" si="159"/>
        <v>0</v>
      </c>
      <c r="DY25" s="580">
        <f ca="1" t="shared" si="160"/>
        <v>0</v>
      </c>
      <c r="DZ25" s="580">
        <f ca="1" t="shared" si="161"/>
        <v>0</v>
      </c>
      <c r="EA25" s="595">
        <f ca="1" t="shared" si="162"/>
        <v>0</v>
      </c>
      <c r="EB25" s="596">
        <f t="shared" si="163"/>
        <v>172800</v>
      </c>
      <c r="EC25" s="580">
        <f ca="1" t="shared" ref="EC25:EF25" si="235">DU25</f>
        <v>0</v>
      </c>
      <c r="ED25" s="580">
        <f ca="1" t="shared" si="235"/>
        <v>0</v>
      </c>
      <c r="EE25" s="581">
        <f ca="1" t="shared" si="235"/>
        <v>0</v>
      </c>
      <c r="EF25" s="580">
        <f ca="1" t="shared" si="235"/>
        <v>0</v>
      </c>
      <c r="EG25" s="580">
        <f ca="1">MAX(INDIRECT("'"&amp;$B$2&amp;"-事故进程'!AC"&amp;(ROW()+22)),INDIRECT("'"&amp;$B$2&amp;"-事故进程'!AD"&amp;(ROW()+22)),INDIRECT("'"&amp;$B$2&amp;"-事故进程'!AE"&amp;(ROW()+22)))</f>
        <v>0</v>
      </c>
      <c r="EH25" s="580">
        <f ca="1">SUM(EG$3,-LN(1-EH$3)/EB25)</f>
        <v>5.81616658188741e-8</v>
      </c>
      <c r="EI25" s="580">
        <f t="shared" si="165"/>
        <v>1157407407407410</v>
      </c>
      <c r="EJ25" s="582">
        <f ca="1" t="shared" si="166"/>
        <v>0.999999334127615</v>
      </c>
      <c r="EK25" s="582">
        <f ca="1" t="shared" si="167"/>
        <v>0.989999340786339</v>
      </c>
      <c r="EL25" s="582">
        <f t="shared" si="168"/>
        <v>0</v>
      </c>
      <c r="EM25" s="582">
        <f ca="1" t="shared" si="169"/>
        <v>0</v>
      </c>
      <c r="EN25" s="582">
        <f ca="1" t="shared" si="170"/>
        <v>0</v>
      </c>
      <c r="EO25" s="582">
        <f ca="1" t="shared" si="14"/>
        <v>1</v>
      </c>
      <c r="EP25" s="580">
        <f ca="1" t="shared" si="171"/>
        <v>0</v>
      </c>
      <c r="EQ25" s="580">
        <f ca="1" t="shared" si="172"/>
        <v>0</v>
      </c>
      <c r="ER25" s="586">
        <f ca="1" t="shared" si="173"/>
        <v>0</v>
      </c>
      <c r="ES25" s="594">
        <f ca="1" t="shared" si="174"/>
        <v>0</v>
      </c>
      <c r="ET25" s="580">
        <f ca="1" t="shared" si="175"/>
        <v>0</v>
      </c>
      <c r="EU25" s="580">
        <f ca="1" t="shared" si="176"/>
        <v>0</v>
      </c>
      <c r="EV25" s="595">
        <f ca="1" t="shared" si="177"/>
        <v>0</v>
      </c>
      <c r="EW25" s="596">
        <f t="shared" si="178"/>
        <v>2246400</v>
      </c>
      <c r="EX25" s="580">
        <f ca="1" t="shared" ref="EX25:FA25" si="236">EP25</f>
        <v>0</v>
      </c>
      <c r="EY25" s="580">
        <f ca="1" t="shared" si="236"/>
        <v>0</v>
      </c>
      <c r="EZ25" s="581">
        <f ca="1" t="shared" si="236"/>
        <v>0</v>
      </c>
      <c r="FA25" s="580">
        <f ca="1" t="shared" si="236"/>
        <v>0</v>
      </c>
      <c r="FB25" s="580">
        <f ca="1">INDIRECT("'"&amp;$B$2&amp;"-事故进程'!AE"&amp;(ROW()+22))</f>
        <v>0</v>
      </c>
      <c r="FC25" s="580">
        <f ca="1">SUM(FB$3,-LN(1-FC$3)/EW25)</f>
        <v>4.47397429375955e-9</v>
      </c>
      <c r="FD25" s="580">
        <f t="shared" si="180"/>
        <v>1157407407407410</v>
      </c>
      <c r="FE25" s="582">
        <f ca="1" t="shared" si="16"/>
        <v>0.999991343693575</v>
      </c>
      <c r="FF25" s="582">
        <f ca="1" t="shared" si="17"/>
        <v>0.989991430256639</v>
      </c>
      <c r="FG25" s="582">
        <f t="shared" si="18"/>
        <v>0</v>
      </c>
      <c r="FH25" s="582">
        <f ca="1" t="shared" si="19"/>
        <v>0</v>
      </c>
      <c r="FI25" s="582">
        <f ca="1" t="shared" si="20"/>
        <v>0</v>
      </c>
      <c r="FJ25" s="582">
        <f ca="1" t="shared" si="21"/>
        <v>1</v>
      </c>
      <c r="FK25" s="580">
        <f ca="1" t="shared" si="22"/>
        <v>0</v>
      </c>
      <c r="FL25" s="580">
        <f ca="1" t="shared" si="23"/>
        <v>0</v>
      </c>
      <c r="FM25" s="586">
        <f ca="1" t="shared" si="24"/>
        <v>0</v>
      </c>
      <c r="FN25" s="594">
        <f ca="1" t="shared" si="25"/>
        <v>0</v>
      </c>
      <c r="FO25" s="580">
        <f ca="1" t="shared" si="26"/>
        <v>0</v>
      </c>
      <c r="FP25" s="580">
        <f ca="1" t="shared" si="27"/>
        <v>0</v>
      </c>
      <c r="FQ25" s="595">
        <f ca="1" t="shared" si="28"/>
        <v>0</v>
      </c>
      <c r="FR25" s="608" t="str">
        <f t="shared" si="29"/>
        <v>C-14</v>
      </c>
      <c r="FS25" s="609">
        <v>4940000000</v>
      </c>
      <c r="FT25" s="610">
        <v>0</v>
      </c>
      <c r="FU25" s="610">
        <v>0</v>
      </c>
      <c r="FV25" s="610">
        <v>0</v>
      </c>
      <c r="FW25" s="610">
        <v>4940000000</v>
      </c>
      <c r="FX25" s="614">
        <f t="shared" si="231"/>
        <v>3.82753036437247</v>
      </c>
      <c r="FY25" s="614"/>
      <c r="FZ25" s="614"/>
      <c r="GA25" s="614"/>
      <c r="GB25" s="614">
        <f ca="1">SUM(H25:L25)/FW25</f>
        <v>3.82753036437247</v>
      </c>
      <c r="GC25" s="455">
        <f ca="1">N25/FW25</f>
        <v>3.82753036437247</v>
      </c>
      <c r="GE25" s="609">
        <v>3837456881.37195</v>
      </c>
      <c r="GF25" s="610">
        <v>504669667.114012</v>
      </c>
      <c r="GG25" s="610">
        <v>960246468.180332</v>
      </c>
      <c r="GH25" s="610">
        <v>1325510494.87155</v>
      </c>
      <c r="GI25" s="610">
        <v>2284606584.31661</v>
      </c>
      <c r="GJ25" s="610">
        <v>9552339972.24301</v>
      </c>
      <c r="GK25" s="617">
        <v>18464830068.0975</v>
      </c>
      <c r="GL25" s="614">
        <f t="shared" si="181"/>
        <v>4.92722148665293</v>
      </c>
      <c r="GM25" s="614">
        <f ca="1" t="shared" si="182"/>
        <v>0</v>
      </c>
      <c r="GN25" s="614">
        <f ca="1" t="shared" si="183"/>
        <v>0</v>
      </c>
      <c r="GO25" s="614">
        <f ca="1" t="shared" si="184"/>
        <v>0</v>
      </c>
      <c r="GP25" s="614">
        <f ca="1" t="shared" si="185"/>
        <v>0</v>
      </c>
      <c r="GQ25" s="614">
        <f ca="1" t="shared" si="186"/>
        <v>1.02400075875424</v>
      </c>
      <c r="GR25" s="451">
        <f t="shared" si="187"/>
        <v>3.8534294386192e-12</v>
      </c>
      <c r="GS25" s="390">
        <f t="shared" si="188"/>
        <v>179878000000</v>
      </c>
    </row>
    <row r="26" spans="1:201">
      <c r="A26" s="432" t="s">
        <v>277</v>
      </c>
      <c r="B26" s="407" t="s">
        <v>267</v>
      </c>
      <c r="C26" s="428">
        <f>-LN(1-0%)/8/3600</f>
        <v>0</v>
      </c>
      <c r="D26" s="410" t="s">
        <v>268</v>
      </c>
      <c r="E26" s="409" t="s">
        <v>269</v>
      </c>
      <c r="G26" s="435" t="s">
        <v>67</v>
      </c>
      <c r="H26" s="412">
        <f t="shared" si="90"/>
        <v>4245841</v>
      </c>
      <c r="I26" s="412">
        <f ca="1" t="shared" si="1"/>
        <v>0</v>
      </c>
      <c r="J26" s="412">
        <f ca="1" t="shared" si="91"/>
        <v>0</v>
      </c>
      <c r="K26" s="412">
        <f ca="1" t="shared" si="92"/>
        <v>0</v>
      </c>
      <c r="L26" s="412">
        <f ca="1" t="shared" si="93"/>
        <v>0</v>
      </c>
      <c r="M26" s="412">
        <f ca="1" t="shared" si="94"/>
        <v>0</v>
      </c>
      <c r="N26" s="412">
        <f ca="1" t="shared" si="95"/>
        <v>4245841</v>
      </c>
      <c r="O26" s="450">
        <f t="shared" si="96"/>
        <v>4245841</v>
      </c>
      <c r="P26" s="451"/>
      <c r="Q26" s="477" t="str">
        <f t="shared" si="0"/>
        <v>Co-60</v>
      </c>
      <c r="R26" s="412">
        <f t="shared" si="97"/>
        <v>4245841</v>
      </c>
      <c r="S26" s="412">
        <f ca="1">I26*(1-过滤效率!$B23)</f>
        <v>0</v>
      </c>
      <c r="T26" s="412">
        <f ca="1">J26*(1-过滤效率!$B23)</f>
        <v>0</v>
      </c>
      <c r="U26" s="412">
        <f ca="1">K26*(1-过滤效率!$B23)</f>
        <v>0</v>
      </c>
      <c r="V26" s="412">
        <f ca="1">L26*(1-过滤效率!$B23)</f>
        <v>0</v>
      </c>
      <c r="W26" s="412">
        <f ca="1">M26*(1-过滤效率!$B23)</f>
        <v>0</v>
      </c>
      <c r="X26" s="412">
        <f ca="1" t="shared" si="98"/>
        <v>4245841</v>
      </c>
      <c r="Y26" s="493"/>
      <c r="Z26" s="494">
        <f>VLOOKUP(G26,衰变常数!$A$1:$H$3800,7,FALSE)</f>
        <v>4.16694528910503e-9</v>
      </c>
      <c r="AA26" s="495"/>
      <c r="AB26" s="496">
        <f>正常源项!F23</f>
        <v>0</v>
      </c>
      <c r="AC26" s="496">
        <f>正常源项!I23</f>
        <v>1100</v>
      </c>
      <c r="AD26" s="497"/>
      <c r="AE26" s="496">
        <f>正常源项!O23</f>
        <v>2120000000</v>
      </c>
      <c r="AF26" s="498">
        <f>AC26*$C$6</f>
        <v>4741</v>
      </c>
      <c r="AG26" s="519">
        <f>AE26*MIN(100%,$C$7/500)</f>
        <v>4240000</v>
      </c>
      <c r="AH26" s="523">
        <v>1</v>
      </c>
      <c r="AI26" s="519">
        <f t="shared" si="79"/>
        <v>0</v>
      </c>
      <c r="AK26" s="527"/>
      <c r="AL26" s="527"/>
      <c r="AM26" s="528"/>
      <c r="AN26" s="527"/>
      <c r="AO26" s="527"/>
      <c r="AP26" s="560">
        <f t="shared" si="4"/>
        <v>0</v>
      </c>
      <c r="AQ26" s="561">
        <f>(AC26*$C$5+AD26*$C$8+AF26+AG26+AI26+(AL26+AM26)*$C$10)*EXP(-Z26*$C$12*3600)+AO26*$C$11</f>
        <v>4245841</v>
      </c>
      <c r="AR26" s="562">
        <f>AQ26*(1-AR$3)</f>
        <v>0</v>
      </c>
      <c r="AS26" s="563">
        <f t="shared" si="5"/>
        <v>4245841</v>
      </c>
      <c r="AT26" s="562">
        <f>AS26*(1-AT$3)</f>
        <v>0</v>
      </c>
      <c r="AU26" s="564">
        <f t="shared" si="99"/>
        <v>4245841</v>
      </c>
      <c r="AV26" s="565">
        <f t="shared" si="100"/>
        <v>7200</v>
      </c>
      <c r="AW26" s="580">
        <f>AP26*EXP(-Z26*AW$3*3600)</f>
        <v>0</v>
      </c>
      <c r="AX26" s="580">
        <f t="shared" si="101"/>
        <v>0</v>
      </c>
      <c r="AY26" s="581">
        <f t="shared" si="102"/>
        <v>0</v>
      </c>
      <c r="AZ26" s="580">
        <v>0</v>
      </c>
      <c r="BA26" s="580">
        <f ca="1" t="shared" si="200"/>
        <v>0</v>
      </c>
      <c r="BB26" s="580">
        <f ca="1">SUM(BA$3,-LN(1-BB$3)/AV26)</f>
        <v>3.92016660325749e-5</v>
      </c>
      <c r="BC26" s="580">
        <f t="shared" si="103"/>
        <v>1157407407407410</v>
      </c>
      <c r="BD26" s="582">
        <f ca="1" t="shared" si="104"/>
        <v>0.999969998443974</v>
      </c>
      <c r="BE26" s="582">
        <f ca="1" t="shared" si="105"/>
        <v>0.75406101127259</v>
      </c>
      <c r="BF26" s="582">
        <f t="shared" si="106"/>
        <v>0</v>
      </c>
      <c r="BG26" s="582">
        <f ca="1" t="shared" si="107"/>
        <v>0</v>
      </c>
      <c r="BH26" s="582">
        <f ca="1" t="shared" si="108"/>
        <v>0</v>
      </c>
      <c r="BI26" s="582">
        <f ca="1" t="shared" si="6"/>
        <v>1</v>
      </c>
      <c r="BJ26" s="580">
        <f ca="1" t="shared" si="109"/>
        <v>0</v>
      </c>
      <c r="BK26" s="580">
        <f ca="1" t="shared" si="110"/>
        <v>0</v>
      </c>
      <c r="BL26" s="586">
        <f ca="1" t="shared" si="111"/>
        <v>0</v>
      </c>
      <c r="BM26" s="594">
        <f ca="1" t="shared" si="112"/>
        <v>0</v>
      </c>
      <c r="BN26" s="580">
        <f ca="1" t="shared" si="113"/>
        <v>0</v>
      </c>
      <c r="BO26" s="580">
        <f ca="1" t="shared" si="114"/>
        <v>0</v>
      </c>
      <c r="BP26" s="595">
        <f ca="1" t="shared" si="115"/>
        <v>0</v>
      </c>
      <c r="BQ26" s="596">
        <f t="shared" si="116"/>
        <v>21600</v>
      </c>
      <c r="BR26" s="580">
        <f ca="1" t="shared" ref="BR26:BT26" si="237">BJ26</f>
        <v>0</v>
      </c>
      <c r="BS26" s="580">
        <f ca="1" t="shared" si="237"/>
        <v>0</v>
      </c>
      <c r="BT26" s="581">
        <f ca="1" t="shared" si="237"/>
        <v>0</v>
      </c>
      <c r="BU26" s="580">
        <f ca="1" t="shared" si="118"/>
        <v>0</v>
      </c>
      <c r="BV26" s="580">
        <f ca="1">MAX(INDIRECT("'"&amp;$B$2&amp;"-事故进程'!Z"&amp;(ROW()+22)),INDIRECT("'"&amp;$B$2&amp;"-事故进程'!AA"&amp;(ROW()+22)))</f>
        <v>0</v>
      </c>
      <c r="BW26" s="580">
        <f ca="1">SUM(BV$3,-LN(1-BW$3)/BQ26)</f>
        <v>9.67910672705165e-6</v>
      </c>
      <c r="BX26" s="580">
        <f t="shared" si="119"/>
        <v>1157407407407410</v>
      </c>
      <c r="BY26" s="582">
        <f ca="1" t="shared" si="120"/>
        <v>0.999909998032176</v>
      </c>
      <c r="BZ26" s="582">
        <f ca="1" t="shared" si="121"/>
        <v>0.811266468251135</v>
      </c>
      <c r="CA26" s="582">
        <f t="shared" si="122"/>
        <v>0</v>
      </c>
      <c r="CB26" s="582">
        <f ca="1" t="shared" si="123"/>
        <v>0</v>
      </c>
      <c r="CC26" s="582">
        <f ca="1" t="shared" si="124"/>
        <v>0</v>
      </c>
      <c r="CD26" s="582">
        <f ca="1" t="shared" si="8"/>
        <v>1</v>
      </c>
      <c r="CE26" s="580">
        <f ca="1" t="shared" si="125"/>
        <v>0</v>
      </c>
      <c r="CF26" s="580">
        <f ca="1" t="shared" si="126"/>
        <v>0</v>
      </c>
      <c r="CG26" s="586">
        <f ca="1" t="shared" si="127"/>
        <v>0</v>
      </c>
      <c r="CH26" s="594">
        <f ca="1" t="shared" si="128"/>
        <v>0</v>
      </c>
      <c r="CI26" s="580">
        <f ca="1" t="shared" si="129"/>
        <v>0</v>
      </c>
      <c r="CJ26" s="580">
        <f ca="1" t="shared" si="130"/>
        <v>0</v>
      </c>
      <c r="CK26" s="595">
        <f ca="1" t="shared" si="131"/>
        <v>0</v>
      </c>
      <c r="CL26" s="596">
        <f t="shared" si="132"/>
        <v>57600</v>
      </c>
      <c r="CM26" s="580">
        <f ca="1" t="shared" ref="CM26:CO26" si="238">CE26</f>
        <v>0</v>
      </c>
      <c r="CN26" s="580">
        <f ca="1" t="shared" si="238"/>
        <v>0</v>
      </c>
      <c r="CO26" s="581">
        <f ca="1" t="shared" si="238"/>
        <v>0</v>
      </c>
      <c r="CP26" s="580">
        <f ca="1" t="shared" si="134"/>
        <v>0</v>
      </c>
      <c r="CQ26" s="580">
        <f ca="1">MAX(INDIRECT("'"&amp;$B$2&amp;"-事故进程'!AA"&amp;(ROW()+22)),INDIRECT("'"&amp;$B$2&amp;"-事故进程'!AB"&amp;(ROW()+22)))</f>
        <v>0</v>
      </c>
      <c r="CR26" s="580">
        <f ca="1">SUM(CQ$3,-LN(1-CR$3)/CL26)</f>
        <v>9.99426851876734e-7</v>
      </c>
      <c r="CS26" s="580">
        <f t="shared" si="135"/>
        <v>1157407407407410</v>
      </c>
      <c r="CT26" s="582">
        <f ca="1" t="shared" si="136"/>
        <v>0.999760012752895</v>
      </c>
      <c r="CU26" s="582">
        <f ca="1" t="shared" si="137"/>
        <v>0.943832086888635</v>
      </c>
      <c r="CV26" s="582">
        <f t="shared" si="138"/>
        <v>0</v>
      </c>
      <c r="CW26" s="582">
        <f ca="1" t="shared" si="139"/>
        <v>0</v>
      </c>
      <c r="CX26" s="582">
        <f ca="1" t="shared" si="140"/>
        <v>0</v>
      </c>
      <c r="CY26" s="582">
        <f ca="1" t="shared" si="10"/>
        <v>1</v>
      </c>
      <c r="CZ26" s="580">
        <f ca="1" t="shared" si="141"/>
        <v>0</v>
      </c>
      <c r="DA26" s="580">
        <f ca="1" t="shared" si="142"/>
        <v>0</v>
      </c>
      <c r="DB26" s="586">
        <f ca="1" t="shared" si="143"/>
        <v>0</v>
      </c>
      <c r="DC26" s="594">
        <f ca="1" t="shared" si="144"/>
        <v>0</v>
      </c>
      <c r="DD26" s="580">
        <f ca="1" t="shared" si="145"/>
        <v>0</v>
      </c>
      <c r="DE26" s="580">
        <f ca="1" t="shared" si="146"/>
        <v>0</v>
      </c>
      <c r="DF26" s="595">
        <f ca="1" t="shared" si="147"/>
        <v>0</v>
      </c>
      <c r="DG26" s="596">
        <f t="shared" si="148"/>
        <v>86400</v>
      </c>
      <c r="DH26" s="580">
        <f ca="1" t="shared" ref="DH26:DK26" si="239">CZ26</f>
        <v>0</v>
      </c>
      <c r="DI26" s="580">
        <f ca="1" t="shared" si="239"/>
        <v>0</v>
      </c>
      <c r="DJ26" s="581">
        <f ca="1" t="shared" si="239"/>
        <v>0</v>
      </c>
      <c r="DK26" s="580">
        <f ca="1" t="shared" si="239"/>
        <v>0</v>
      </c>
      <c r="DL26" s="580">
        <f ca="1">MAX(INDIRECT("'"&amp;$B$2&amp;"-事故进程'!AB"&amp;(ROW()+22)),INDIRECT("'"&amp;$B$2&amp;"-事故进程'!AC"&amp;(ROW()+22)))</f>
        <v>0</v>
      </c>
      <c r="DM26" s="580">
        <f ca="1">SUM(DL$3,-LN(1-DM$3)/DG26)</f>
        <v>1.07814939005043e-6</v>
      </c>
      <c r="DN26" s="580">
        <f t="shared" si="150"/>
        <v>1157407407407410</v>
      </c>
      <c r="DO26" s="582">
        <f ca="1" t="shared" si="151"/>
        <v>0.999640040727911</v>
      </c>
      <c r="DP26" s="582">
        <f ca="1" t="shared" si="152"/>
        <v>0.910726968990315</v>
      </c>
      <c r="DQ26" s="582">
        <f t="shared" si="153"/>
        <v>0</v>
      </c>
      <c r="DR26" s="582">
        <f ca="1" t="shared" si="154"/>
        <v>0</v>
      </c>
      <c r="DS26" s="582">
        <f ca="1" t="shared" si="155"/>
        <v>0</v>
      </c>
      <c r="DT26" s="582">
        <f ca="1" t="shared" si="12"/>
        <v>1</v>
      </c>
      <c r="DU26" s="580">
        <f ca="1" t="shared" si="156"/>
        <v>0</v>
      </c>
      <c r="DV26" s="580">
        <f ca="1" t="shared" si="157"/>
        <v>0</v>
      </c>
      <c r="DW26" s="586">
        <f ca="1" t="shared" si="158"/>
        <v>0</v>
      </c>
      <c r="DX26" s="594">
        <f ca="1" t="shared" si="159"/>
        <v>0</v>
      </c>
      <c r="DY26" s="580">
        <f ca="1" t="shared" si="160"/>
        <v>0</v>
      </c>
      <c r="DZ26" s="580">
        <f ca="1" t="shared" si="161"/>
        <v>0</v>
      </c>
      <c r="EA26" s="595">
        <f ca="1" t="shared" si="162"/>
        <v>0</v>
      </c>
      <c r="EB26" s="596">
        <f t="shared" si="163"/>
        <v>172800</v>
      </c>
      <c r="EC26" s="580">
        <f ca="1" t="shared" ref="EC26:EF26" si="240">DU26</f>
        <v>0</v>
      </c>
      <c r="ED26" s="580">
        <f ca="1" t="shared" si="240"/>
        <v>0</v>
      </c>
      <c r="EE26" s="581">
        <f ca="1" t="shared" si="240"/>
        <v>0</v>
      </c>
      <c r="EF26" s="580">
        <f ca="1" t="shared" si="240"/>
        <v>0</v>
      </c>
      <c r="EG26" s="580">
        <f ca="1">MAX(INDIRECT("'"&amp;$B$2&amp;"-事故进程'!AC"&amp;(ROW()+22)),INDIRECT("'"&amp;$B$2&amp;"-事故进程'!AD"&amp;(ROW()+22)),INDIRECT("'"&amp;$B$2&amp;"-事故进程'!AE"&amp;(ROW()+22)))</f>
        <v>0</v>
      </c>
      <c r="EH26" s="580">
        <f ca="1">SUM(EG$3,-LN(1-EH$3)/EB26)</f>
        <v>5.81616658188741e-8</v>
      </c>
      <c r="EI26" s="580">
        <f t="shared" si="165"/>
        <v>1157407407407410</v>
      </c>
      <c r="EJ26" s="582">
        <f ca="1" t="shared" si="166"/>
        <v>0.9992802110265</v>
      </c>
      <c r="EK26" s="582">
        <f ca="1" t="shared" si="167"/>
        <v>0.989287408916235</v>
      </c>
      <c r="EL26" s="582">
        <f t="shared" si="168"/>
        <v>0</v>
      </c>
      <c r="EM26" s="582">
        <f ca="1" t="shared" si="169"/>
        <v>0</v>
      </c>
      <c r="EN26" s="582">
        <f ca="1" t="shared" si="170"/>
        <v>0</v>
      </c>
      <c r="EO26" s="582">
        <f ca="1" t="shared" si="14"/>
        <v>1</v>
      </c>
      <c r="EP26" s="580">
        <f ca="1" t="shared" si="171"/>
        <v>0</v>
      </c>
      <c r="EQ26" s="580">
        <f ca="1" t="shared" si="172"/>
        <v>0</v>
      </c>
      <c r="ER26" s="586">
        <f ca="1" t="shared" si="173"/>
        <v>0</v>
      </c>
      <c r="ES26" s="594">
        <f ca="1" t="shared" si="174"/>
        <v>0</v>
      </c>
      <c r="ET26" s="580">
        <f ca="1" t="shared" si="175"/>
        <v>0</v>
      </c>
      <c r="EU26" s="580">
        <f ca="1" t="shared" si="176"/>
        <v>0</v>
      </c>
      <c r="EV26" s="595">
        <f ca="1" t="shared" si="177"/>
        <v>0</v>
      </c>
      <c r="EW26" s="596">
        <f t="shared" si="178"/>
        <v>2246400</v>
      </c>
      <c r="EX26" s="580">
        <f ca="1" t="shared" ref="EX26:FA26" si="241">EP26</f>
        <v>0</v>
      </c>
      <c r="EY26" s="580">
        <f ca="1" t="shared" si="241"/>
        <v>0</v>
      </c>
      <c r="EZ26" s="581">
        <f ca="1" t="shared" si="241"/>
        <v>0</v>
      </c>
      <c r="FA26" s="580">
        <f ca="1" t="shared" si="241"/>
        <v>0</v>
      </c>
      <c r="FB26" s="580">
        <f ca="1">INDIRECT("'"&amp;$B$2&amp;"-事故进程'!AE"&amp;(ROW()+22))</f>
        <v>0</v>
      </c>
      <c r="FC26" s="580">
        <f ca="1">SUM(FB$3,-LN(1-FC$3)/EW26)</f>
        <v>4.47397429375955e-9</v>
      </c>
      <c r="FD26" s="580">
        <f t="shared" si="180"/>
        <v>1157407407407410</v>
      </c>
      <c r="FE26" s="582">
        <f ca="1" t="shared" si="16"/>
        <v>0.990683048382053</v>
      </c>
      <c r="FF26" s="582">
        <f ca="1" t="shared" si="17"/>
        <v>0.980776217898232</v>
      </c>
      <c r="FG26" s="582">
        <f t="shared" si="18"/>
        <v>0</v>
      </c>
      <c r="FH26" s="582">
        <f ca="1" t="shared" si="19"/>
        <v>0</v>
      </c>
      <c r="FI26" s="582">
        <f ca="1" t="shared" si="20"/>
        <v>0</v>
      </c>
      <c r="FJ26" s="582">
        <f ca="1" t="shared" si="21"/>
        <v>1</v>
      </c>
      <c r="FK26" s="580">
        <f ca="1" t="shared" si="22"/>
        <v>0</v>
      </c>
      <c r="FL26" s="580">
        <f ca="1" t="shared" si="23"/>
        <v>0</v>
      </c>
      <c r="FM26" s="586">
        <f ca="1" t="shared" si="24"/>
        <v>0</v>
      </c>
      <c r="FN26" s="594">
        <f ca="1" t="shared" si="25"/>
        <v>0</v>
      </c>
      <c r="FO26" s="580">
        <f ca="1" t="shared" si="26"/>
        <v>0</v>
      </c>
      <c r="FP26" s="580">
        <f ca="1" t="shared" si="27"/>
        <v>0</v>
      </c>
      <c r="FQ26" s="595">
        <f ca="1" t="shared" si="28"/>
        <v>0</v>
      </c>
      <c r="FR26" s="608" t="str">
        <f t="shared" si="29"/>
        <v>Co-60</v>
      </c>
      <c r="FS26" s="609">
        <v>172000000</v>
      </c>
      <c r="FT26" s="610">
        <v>0</v>
      </c>
      <c r="FU26" s="610">
        <v>0</v>
      </c>
      <c r="FV26" s="610">
        <v>0</v>
      </c>
      <c r="FW26" s="610">
        <v>172000000</v>
      </c>
      <c r="FX26" s="614">
        <f t="shared" si="231"/>
        <v>0.0246851220930233</v>
      </c>
      <c r="FY26" s="614"/>
      <c r="FZ26" s="614"/>
      <c r="GA26" s="614"/>
      <c r="GB26" s="614">
        <f ca="1">SUM(H26:L26)/FW26</f>
        <v>0.0246851220930233</v>
      </c>
      <c r="GC26" s="455">
        <f ca="1">N26/FW26</f>
        <v>0.0246851220930233</v>
      </c>
      <c r="GE26" s="609">
        <v>11430.4546063246</v>
      </c>
      <c r="GF26" s="610">
        <v>5639990.43821344</v>
      </c>
      <c r="GG26" s="610">
        <v>10729403.9250134</v>
      </c>
      <c r="GH26" s="610">
        <v>14806266.6574133</v>
      </c>
      <c r="GI26" s="610">
        <v>25505954.5046211</v>
      </c>
      <c r="GJ26" s="610">
        <v>106299770.702725</v>
      </c>
      <c r="GK26" s="617">
        <v>162992816.682593</v>
      </c>
      <c r="GL26" s="614">
        <f t="shared" si="181"/>
        <v>371.44988071172</v>
      </c>
      <c r="GM26" s="614">
        <f ca="1" t="shared" si="182"/>
        <v>0</v>
      </c>
      <c r="GN26" s="614">
        <f ca="1" t="shared" si="183"/>
        <v>0</v>
      </c>
      <c r="GO26" s="614">
        <f ca="1" t="shared" si="184"/>
        <v>0</v>
      </c>
      <c r="GP26" s="614">
        <f ca="1" t="shared" si="185"/>
        <v>0</v>
      </c>
      <c r="GQ26" s="614">
        <f ca="1" t="shared" si="186"/>
        <v>0.0260492522702287</v>
      </c>
      <c r="GR26" s="451">
        <f t="shared" si="187"/>
        <v>4.16694528910503e-9</v>
      </c>
      <c r="GS26" s="390">
        <f t="shared" si="188"/>
        <v>166344200</v>
      </c>
    </row>
    <row r="27" s="390" customFormat="1" ht="13.5" spans="1:201">
      <c r="A27" s="430"/>
      <c r="B27" s="407" t="s">
        <v>278</v>
      </c>
      <c r="C27" s="433">
        <f ca="1">IF(24&lt;=$C$13-$C$12,MAX(1%,INDIRECT("'"&amp;$B$2&amp;"-事故进程'!$AC$23")*150%),0.000000000000001)</f>
        <v>0.0889450883468533</v>
      </c>
      <c r="D27" s="410"/>
      <c r="E27" s="409" t="s">
        <v>271</v>
      </c>
      <c r="G27" s="411" t="s">
        <v>68</v>
      </c>
      <c r="H27" s="412">
        <f t="shared" si="90"/>
        <v>0</v>
      </c>
      <c r="I27" s="412">
        <f ca="1" t="shared" si="1"/>
        <v>0</v>
      </c>
      <c r="J27" s="412">
        <f ca="1" t="shared" si="91"/>
        <v>0</v>
      </c>
      <c r="K27" s="412">
        <f ca="1" t="shared" si="92"/>
        <v>0</v>
      </c>
      <c r="L27" s="412">
        <f ca="1" t="shared" si="93"/>
        <v>0</v>
      </c>
      <c r="M27" s="412">
        <f ca="1" t="shared" si="94"/>
        <v>0</v>
      </c>
      <c r="N27" s="412">
        <f ca="1" t="shared" si="95"/>
        <v>0</v>
      </c>
      <c r="O27" s="450">
        <f t="shared" si="96"/>
        <v>0</v>
      </c>
      <c r="P27" s="451"/>
      <c r="Q27" s="477" t="str">
        <f t="shared" si="0"/>
        <v>Ar-41</v>
      </c>
      <c r="R27" s="412">
        <f t="shared" si="97"/>
        <v>0</v>
      </c>
      <c r="S27" s="412">
        <f ca="1">I27*(1-过滤效率!$B24)</f>
        <v>0</v>
      </c>
      <c r="T27" s="412">
        <f ca="1">J27*(1-过滤效率!$B24)</f>
        <v>0</v>
      </c>
      <c r="U27" s="412">
        <f ca="1">K27*(1-过滤效率!$B24)</f>
        <v>0</v>
      </c>
      <c r="V27" s="412">
        <f ca="1">L27*(1-过滤效率!$B24)</f>
        <v>0</v>
      </c>
      <c r="W27" s="412">
        <f ca="1">M27*(1-过滤效率!$B24)</f>
        <v>0</v>
      </c>
      <c r="X27" s="412">
        <f ca="1" t="shared" si="98"/>
        <v>0</v>
      </c>
      <c r="Y27" s="499"/>
      <c r="Z27" s="500">
        <f>VLOOKUP(G27,衰变常数!$A$1:$H$3800,7,FALSE)</f>
        <v>0.000105395976729608</v>
      </c>
      <c r="AA27" s="501"/>
      <c r="AB27" s="502">
        <f>正常源项!F24</f>
        <v>0</v>
      </c>
      <c r="AC27" s="502"/>
      <c r="AD27" s="502"/>
      <c r="AE27" s="503"/>
      <c r="AF27" s="504"/>
      <c r="AG27" s="529"/>
      <c r="AH27" s="530"/>
      <c r="AI27" s="531"/>
      <c r="AJ27" s="529"/>
      <c r="AK27" s="531"/>
      <c r="AL27" s="531"/>
      <c r="AM27" s="532"/>
      <c r="AN27" s="531"/>
      <c r="AO27" s="531"/>
      <c r="AP27" s="566">
        <f t="shared" si="4"/>
        <v>0</v>
      </c>
      <c r="AQ27" s="567">
        <f>(AC27*$C$5+AD27*$C$8+AF27+AG27+AI27+(AL27+AM27)*$C$10)*EXP(-Z27*$C$12*3600)+AO27*$C$11</f>
        <v>0</v>
      </c>
      <c r="AR27" s="568">
        <f>AQ27*(1-AR$3)</f>
        <v>0</v>
      </c>
      <c r="AS27" s="569">
        <f t="shared" si="5"/>
        <v>0</v>
      </c>
      <c r="AT27" s="568">
        <f>AS27*(1-AT$3)</f>
        <v>0</v>
      </c>
      <c r="AU27" s="570">
        <f t="shared" si="99"/>
        <v>0</v>
      </c>
      <c r="AV27" s="571">
        <f t="shared" si="100"/>
        <v>7200</v>
      </c>
      <c r="AW27" s="583">
        <f>AP27*EXP(-Z27*AW$3*3600)</f>
        <v>0</v>
      </c>
      <c r="AX27" s="583">
        <f t="shared" si="101"/>
        <v>0</v>
      </c>
      <c r="AY27" s="584">
        <f t="shared" si="102"/>
        <v>0</v>
      </c>
      <c r="AZ27" s="583">
        <v>0</v>
      </c>
      <c r="BA27" s="583">
        <f ca="1" t="shared" si="200"/>
        <v>0</v>
      </c>
      <c r="BB27" s="583">
        <f ca="1">SUM(BA$3,-LN(1-BB$3)/AV27)</f>
        <v>3.92016660325749e-5</v>
      </c>
      <c r="BC27" s="583">
        <f t="shared" si="103"/>
        <v>1157407407407410</v>
      </c>
      <c r="BD27" s="585">
        <f ca="1" t="shared" si="104"/>
        <v>0.468204069364945</v>
      </c>
      <c r="BE27" s="585">
        <f ca="1" t="shared" si="105"/>
        <v>0.353065026527446</v>
      </c>
      <c r="BF27" s="585">
        <f t="shared" si="106"/>
        <v>0</v>
      </c>
      <c r="BG27" s="585">
        <f ca="1" t="shared" si="107"/>
        <v>0</v>
      </c>
      <c r="BH27" s="585">
        <f ca="1" t="shared" si="108"/>
        <v>0</v>
      </c>
      <c r="BI27" s="585">
        <f ca="1" t="shared" si="6"/>
        <v>1</v>
      </c>
      <c r="BJ27" s="583">
        <f ca="1" t="shared" si="109"/>
        <v>0</v>
      </c>
      <c r="BK27" s="583">
        <f ca="1" t="shared" si="110"/>
        <v>0</v>
      </c>
      <c r="BL27" s="587">
        <f ca="1" t="shared" si="111"/>
        <v>0</v>
      </c>
      <c r="BM27" s="597">
        <f ca="1" t="shared" si="112"/>
        <v>0</v>
      </c>
      <c r="BN27" s="583">
        <f ca="1" t="shared" si="113"/>
        <v>0</v>
      </c>
      <c r="BO27" s="583">
        <f ca="1" t="shared" si="114"/>
        <v>0</v>
      </c>
      <c r="BP27" s="598">
        <f ca="1" t="shared" si="115"/>
        <v>0</v>
      </c>
      <c r="BQ27" s="599">
        <f t="shared" si="116"/>
        <v>21600</v>
      </c>
      <c r="BR27" s="583">
        <f ca="1" t="shared" ref="BR27:BT27" si="242">BJ27</f>
        <v>0</v>
      </c>
      <c r="BS27" s="583">
        <f ca="1" t="shared" si="242"/>
        <v>0</v>
      </c>
      <c r="BT27" s="584">
        <f ca="1" t="shared" si="242"/>
        <v>0</v>
      </c>
      <c r="BU27" s="583">
        <f ca="1" t="shared" si="118"/>
        <v>0</v>
      </c>
      <c r="BV27" s="583">
        <f ca="1">MAX(INDIRECT("'"&amp;$B$2&amp;"-事故进程'!Z"&amp;(ROW()+22)),INDIRECT("'"&amp;$B$2&amp;"-事故进程'!AA"&amp;(ROW()+22)))</f>
        <v>0</v>
      </c>
      <c r="BW27" s="583">
        <f ca="1">SUM(BV$3,-LN(1-BW$3)/BQ27)</f>
        <v>9.67910672705165e-6</v>
      </c>
      <c r="BX27" s="583">
        <f t="shared" si="119"/>
        <v>1157407407407410</v>
      </c>
      <c r="BY27" s="585">
        <f ca="1" t="shared" si="120"/>
        <v>0.102637378742866</v>
      </c>
      <c r="BZ27" s="585">
        <f ca="1" t="shared" si="121"/>
        <v>0.0832737585654184</v>
      </c>
      <c r="CA27" s="585">
        <f t="shared" si="122"/>
        <v>0</v>
      </c>
      <c r="CB27" s="585">
        <f ca="1" t="shared" si="123"/>
        <v>0</v>
      </c>
      <c r="CC27" s="585">
        <f ca="1" t="shared" si="124"/>
        <v>0</v>
      </c>
      <c r="CD27" s="585">
        <f ca="1" t="shared" si="8"/>
        <v>1</v>
      </c>
      <c r="CE27" s="583">
        <f ca="1" t="shared" si="125"/>
        <v>0</v>
      </c>
      <c r="CF27" s="583">
        <f ca="1" t="shared" si="126"/>
        <v>0</v>
      </c>
      <c r="CG27" s="587">
        <f ca="1" t="shared" si="127"/>
        <v>0</v>
      </c>
      <c r="CH27" s="597">
        <f ca="1" t="shared" si="128"/>
        <v>0</v>
      </c>
      <c r="CI27" s="583">
        <f ca="1" t="shared" si="129"/>
        <v>0</v>
      </c>
      <c r="CJ27" s="583">
        <f ca="1" t="shared" si="130"/>
        <v>0</v>
      </c>
      <c r="CK27" s="598">
        <f ca="1" t="shared" si="131"/>
        <v>0</v>
      </c>
      <c r="CL27" s="599">
        <f t="shared" si="132"/>
        <v>57600</v>
      </c>
      <c r="CM27" s="583">
        <f ca="1" t="shared" ref="CM27:CO27" si="243">CE27</f>
        <v>0</v>
      </c>
      <c r="CN27" s="583">
        <f ca="1" t="shared" si="243"/>
        <v>0</v>
      </c>
      <c r="CO27" s="584">
        <f ca="1" t="shared" si="243"/>
        <v>0</v>
      </c>
      <c r="CP27" s="583">
        <f ca="1" t="shared" si="134"/>
        <v>0</v>
      </c>
      <c r="CQ27" s="583">
        <f ca="1">MAX(INDIRECT("'"&amp;$B$2&amp;"-事故进程'!AA"&amp;(ROW()+22)),INDIRECT("'"&amp;$B$2&amp;"-事故进程'!AB"&amp;(ROW()+22)))</f>
        <v>0</v>
      </c>
      <c r="CR27" s="583">
        <f ca="1">SUM(CQ$3,-LN(1-CR$3)/CL27)</f>
        <v>9.99426851876734e-7</v>
      </c>
      <c r="CS27" s="583">
        <f t="shared" si="135"/>
        <v>1157407407407410</v>
      </c>
      <c r="CT27" s="585">
        <f ca="1" t="shared" si="136"/>
        <v>0.0023093059373311</v>
      </c>
      <c r="CU27" s="585">
        <f ca="1" t="shared" si="137"/>
        <v>0.00218012024315104</v>
      </c>
      <c r="CV27" s="585">
        <f t="shared" si="138"/>
        <v>0</v>
      </c>
      <c r="CW27" s="585">
        <f ca="1" t="shared" si="139"/>
        <v>0</v>
      </c>
      <c r="CX27" s="585">
        <f ca="1" t="shared" si="140"/>
        <v>0</v>
      </c>
      <c r="CY27" s="585">
        <f ca="1" t="shared" si="10"/>
        <v>1</v>
      </c>
      <c r="CZ27" s="583">
        <f ca="1" t="shared" si="141"/>
        <v>0</v>
      </c>
      <c r="DA27" s="583">
        <f ca="1" t="shared" si="142"/>
        <v>0</v>
      </c>
      <c r="DB27" s="587">
        <f ca="1" t="shared" si="143"/>
        <v>0</v>
      </c>
      <c r="DC27" s="597">
        <f ca="1" t="shared" si="144"/>
        <v>0</v>
      </c>
      <c r="DD27" s="583">
        <f ca="1" t="shared" si="145"/>
        <v>0</v>
      </c>
      <c r="DE27" s="583">
        <f ca="1" t="shared" si="146"/>
        <v>0</v>
      </c>
      <c r="DF27" s="598">
        <f ca="1" t="shared" si="147"/>
        <v>0</v>
      </c>
      <c r="DG27" s="599">
        <f t="shared" si="148"/>
        <v>86400</v>
      </c>
      <c r="DH27" s="583">
        <f ca="1" t="shared" ref="DH27:DK27" si="244">CZ27</f>
        <v>0</v>
      </c>
      <c r="DI27" s="583">
        <f ca="1" t="shared" si="244"/>
        <v>0</v>
      </c>
      <c r="DJ27" s="584">
        <f ca="1" t="shared" si="244"/>
        <v>0</v>
      </c>
      <c r="DK27" s="583">
        <f ca="1" t="shared" si="244"/>
        <v>0</v>
      </c>
      <c r="DL27" s="583">
        <f ca="1">MAX(INDIRECT("'"&amp;$B$2&amp;"-事故进程'!AB"&amp;(ROW()+22)),INDIRECT("'"&amp;$B$2&amp;"-事故进程'!AC"&amp;(ROW()+22)))</f>
        <v>0</v>
      </c>
      <c r="DM27" s="583">
        <f ca="1">SUM(DL$3,-LN(1-DM$3)/DG27)</f>
        <v>1.07814939005043e-6</v>
      </c>
      <c r="DN27" s="583">
        <f t="shared" si="150"/>
        <v>1157407407407410</v>
      </c>
      <c r="DO27" s="585">
        <f ca="1" t="shared" si="151"/>
        <v>0.000110974247348578</v>
      </c>
      <c r="DP27" s="585">
        <f ca="1" t="shared" si="152"/>
        <v>0.000101103633113933</v>
      </c>
      <c r="DQ27" s="585">
        <f t="shared" si="153"/>
        <v>0</v>
      </c>
      <c r="DR27" s="585">
        <f ca="1" t="shared" si="154"/>
        <v>0</v>
      </c>
      <c r="DS27" s="585">
        <f ca="1" t="shared" si="155"/>
        <v>0</v>
      </c>
      <c r="DT27" s="585">
        <f ca="1" t="shared" si="12"/>
        <v>1</v>
      </c>
      <c r="DU27" s="583">
        <f ca="1" t="shared" si="156"/>
        <v>0</v>
      </c>
      <c r="DV27" s="583">
        <f ca="1" t="shared" si="157"/>
        <v>0</v>
      </c>
      <c r="DW27" s="587">
        <f ca="1" t="shared" si="158"/>
        <v>0</v>
      </c>
      <c r="DX27" s="597">
        <f ca="1" t="shared" si="159"/>
        <v>0</v>
      </c>
      <c r="DY27" s="583">
        <f ca="1" t="shared" si="160"/>
        <v>0</v>
      </c>
      <c r="DZ27" s="583">
        <f ca="1" t="shared" si="161"/>
        <v>0</v>
      </c>
      <c r="EA27" s="598">
        <f ca="1" t="shared" si="162"/>
        <v>0</v>
      </c>
      <c r="EB27" s="599">
        <f t="shared" si="163"/>
        <v>172800</v>
      </c>
      <c r="EC27" s="583">
        <f ca="1" t="shared" ref="EC27:EF27" si="245">DU27</f>
        <v>0</v>
      </c>
      <c r="ED27" s="583">
        <f ca="1" t="shared" si="245"/>
        <v>0</v>
      </c>
      <c r="EE27" s="584">
        <f ca="1" t="shared" si="245"/>
        <v>0</v>
      </c>
      <c r="EF27" s="583">
        <f ca="1" t="shared" si="245"/>
        <v>0</v>
      </c>
      <c r="EG27" s="583">
        <f ca="1">MAX(INDIRECT("'"&amp;$B$2&amp;"-事故进程'!AC"&amp;(ROW()+22)),INDIRECT("'"&amp;$B$2&amp;"-事故进程'!AD"&amp;(ROW()+22)),INDIRECT("'"&amp;$B$2&amp;"-事故进程'!AE"&amp;(ROW()+22)))</f>
        <v>0</v>
      </c>
      <c r="EH27" s="583">
        <f ca="1">SUM(EG$3,-LN(1-EH$3)/EB27)</f>
        <v>5.81616658188741e-8</v>
      </c>
      <c r="EI27" s="583">
        <f t="shared" si="165"/>
        <v>1157407407407410</v>
      </c>
      <c r="EJ27" s="585">
        <f ca="1" t="shared" si="166"/>
        <v>1.23152835745834e-8</v>
      </c>
      <c r="EK27" s="585">
        <f ca="1" t="shared" si="167"/>
        <v>1.21921307388375e-8</v>
      </c>
      <c r="EL27" s="585">
        <f t="shared" si="168"/>
        <v>0</v>
      </c>
      <c r="EM27" s="585">
        <f ca="1" t="shared" si="169"/>
        <v>0</v>
      </c>
      <c r="EN27" s="585">
        <f ca="1" t="shared" si="170"/>
        <v>0</v>
      </c>
      <c r="EO27" s="585">
        <f ca="1" t="shared" si="14"/>
        <v>1</v>
      </c>
      <c r="EP27" s="583">
        <f ca="1" t="shared" si="171"/>
        <v>0</v>
      </c>
      <c r="EQ27" s="583">
        <f ca="1" t="shared" si="172"/>
        <v>0</v>
      </c>
      <c r="ER27" s="587">
        <f ca="1" t="shared" si="173"/>
        <v>0</v>
      </c>
      <c r="ES27" s="597">
        <f ca="1" t="shared" si="174"/>
        <v>0</v>
      </c>
      <c r="ET27" s="583">
        <f ca="1" t="shared" si="175"/>
        <v>0</v>
      </c>
      <c r="EU27" s="583">
        <f ca="1" t="shared" si="176"/>
        <v>0</v>
      </c>
      <c r="EV27" s="598">
        <f ca="1" t="shared" si="177"/>
        <v>0</v>
      </c>
      <c r="EW27" s="599">
        <f t="shared" si="178"/>
        <v>2246400</v>
      </c>
      <c r="EX27" s="583">
        <f ca="1" t="shared" ref="EX27:FA27" si="246">EP27</f>
        <v>0</v>
      </c>
      <c r="EY27" s="583">
        <f ca="1" t="shared" si="246"/>
        <v>0</v>
      </c>
      <c r="EZ27" s="584">
        <f ca="1" t="shared" si="246"/>
        <v>0</v>
      </c>
      <c r="FA27" s="583">
        <f ca="1" t="shared" si="246"/>
        <v>0</v>
      </c>
      <c r="FB27" s="583">
        <f ca="1">INDIRECT("'"&amp;$B$2&amp;"-事故进程'!AE"&amp;(ROW()+22))</f>
        <v>0</v>
      </c>
      <c r="FC27" s="583">
        <f ca="1">SUM(FB$3,-LN(1-FC$3)/EW27)</f>
        <v>4.47397429375955e-9</v>
      </c>
      <c r="FD27" s="583">
        <f t="shared" si="180"/>
        <v>1157407407407410</v>
      </c>
      <c r="FE27" s="585">
        <f ca="1" t="shared" si="16"/>
        <v>1.49891640890916e-103</v>
      </c>
      <c r="FF27" s="585">
        <f ca="1" t="shared" si="17"/>
        <v>1.48392724482008e-103</v>
      </c>
      <c r="FG27" s="585">
        <f t="shared" si="18"/>
        <v>0</v>
      </c>
      <c r="FH27" s="585">
        <f ca="1" t="shared" si="19"/>
        <v>0</v>
      </c>
      <c r="FI27" s="585">
        <f ca="1" t="shared" si="20"/>
        <v>0</v>
      </c>
      <c r="FJ27" s="585">
        <f ca="1" t="shared" si="21"/>
        <v>1</v>
      </c>
      <c r="FK27" s="583">
        <f ca="1" t="shared" si="22"/>
        <v>0</v>
      </c>
      <c r="FL27" s="583">
        <f ca="1" t="shared" si="23"/>
        <v>0</v>
      </c>
      <c r="FM27" s="587">
        <f ca="1" t="shared" si="24"/>
        <v>0</v>
      </c>
      <c r="FN27" s="597">
        <f ca="1" t="shared" si="25"/>
        <v>0</v>
      </c>
      <c r="FO27" s="583">
        <f ca="1" t="shared" si="26"/>
        <v>0</v>
      </c>
      <c r="FP27" s="583">
        <f ca="1" t="shared" si="27"/>
        <v>0</v>
      </c>
      <c r="FQ27" s="598">
        <f ca="1" t="shared" si="28"/>
        <v>0</v>
      </c>
      <c r="FR27" s="608" t="str">
        <f t="shared" si="29"/>
        <v>Ar-41</v>
      </c>
      <c r="FS27" s="609"/>
      <c r="FT27" s="610"/>
      <c r="FU27" s="610"/>
      <c r="FV27" s="610"/>
      <c r="FW27" s="610"/>
      <c r="FX27" s="615"/>
      <c r="FY27" s="615"/>
      <c r="FZ27" s="615"/>
      <c r="GA27" s="615"/>
      <c r="GB27" s="615"/>
      <c r="GC27" s="455"/>
      <c r="GE27" s="609">
        <v>9981776543.449</v>
      </c>
      <c r="GF27" s="610">
        <v>411553901.319185</v>
      </c>
      <c r="GG27" s="610">
        <v>19657763.9071776</v>
      </c>
      <c r="GH27" s="610">
        <v>41097.7900978501</v>
      </c>
      <c r="GI27" s="610">
        <v>3.91730897966321</v>
      </c>
      <c r="GJ27" s="610">
        <v>3.55830990489314e-8</v>
      </c>
      <c r="GK27" s="617">
        <v>10413029310.3828</v>
      </c>
      <c r="GL27" s="614">
        <f t="shared" si="181"/>
        <v>0</v>
      </c>
      <c r="GM27" s="614">
        <f ca="1" t="shared" si="182"/>
        <v>0</v>
      </c>
      <c r="GN27" s="614">
        <f ca="1" t="shared" si="183"/>
        <v>0</v>
      </c>
      <c r="GO27" s="614">
        <f ca="1" t="shared" si="184"/>
        <v>0</v>
      </c>
      <c r="GP27" s="614">
        <f ca="1" t="shared" si="185"/>
        <v>0</v>
      </c>
      <c r="GQ27" s="614">
        <f ca="1" t="shared" si="186"/>
        <v>0</v>
      </c>
      <c r="GR27" s="451">
        <f t="shared" si="187"/>
        <v>0.000105395976729608</v>
      </c>
      <c r="GS27" s="390">
        <f t="shared" si="188"/>
        <v>6576.60000000005</v>
      </c>
    </row>
    <row r="28" spans="1:173">
      <c r="A28" s="430"/>
      <c r="B28" s="407" t="s">
        <v>276</v>
      </c>
      <c r="C28" s="434">
        <f>C25</f>
        <v>1e+20</v>
      </c>
      <c r="D28" s="410" t="s">
        <v>273</v>
      </c>
      <c r="E28" s="409" t="s">
        <v>274</v>
      </c>
      <c r="G28" s="436" t="s">
        <v>73</v>
      </c>
      <c r="H28" s="390"/>
      <c r="I28" s="390"/>
      <c r="J28" s="390"/>
      <c r="K28" s="390"/>
      <c r="L28" s="390"/>
      <c r="M28" s="390"/>
      <c r="N28" s="390"/>
      <c r="O28" s="390"/>
      <c r="AA28" s="390">
        <f t="shared" ref="AA28:AJ28" si="247">SUM(AA5:AA27)</f>
        <v>3.190513e+18</v>
      </c>
      <c r="AB28" s="390">
        <f t="shared" si="247"/>
        <v>0</v>
      </c>
      <c r="AC28" s="390">
        <f t="shared" si="247"/>
        <v>490140141999.4</v>
      </c>
      <c r="AD28" s="390">
        <f t="shared" si="247"/>
        <v>13434246000000</v>
      </c>
      <c r="AE28" s="390">
        <f t="shared" si="247"/>
        <v>14488800000000</v>
      </c>
      <c r="AF28" s="390">
        <f t="shared" si="247"/>
        <v>5288120017.414</v>
      </c>
      <c r="AG28" s="390">
        <f>SUM(AG5:AG27)</f>
        <v>46813800000</v>
      </c>
      <c r="AI28" s="390">
        <f t="shared" ref="AI28:AM28" si="248">SUM(AI5:AI27)</f>
        <v>0</v>
      </c>
      <c r="AL28" s="390">
        <f t="shared" si="248"/>
        <v>687814609.14826</v>
      </c>
      <c r="AM28" s="390">
        <f t="shared" si="248"/>
        <v>12293040000000</v>
      </c>
      <c r="AO28" s="390">
        <f ca="1" t="shared" ref="AO28:AQ28" si="249">SUM(AO5:AO27)</f>
        <v>0</v>
      </c>
      <c r="AP28" s="390">
        <f t="shared" si="249"/>
        <v>3.190513e+18</v>
      </c>
      <c r="AQ28" s="390">
        <f ca="1" t="shared" si="249"/>
        <v>13976488062016.8</v>
      </c>
      <c r="AS28" s="390">
        <f ca="1">SUM(AS5:AS27)</f>
        <v>13976488062016.8</v>
      </c>
      <c r="AU28" s="390">
        <f ca="1">SUM(AU5:AU27)</f>
        <v>13976488062016.8</v>
      </c>
      <c r="AW28" s="390">
        <f>SUM(AW5:AW27)</f>
        <v>3.190513e+18</v>
      </c>
      <c r="AX28" s="390">
        <f ca="1">SUM(AX5:AX27)</f>
        <v>0</v>
      </c>
      <c r="AY28" s="390">
        <f ca="1">SUM(AY5:AY27)</f>
        <v>0</v>
      </c>
      <c r="AZ28" s="390">
        <f>SUM(AZ5:AZ27)</f>
        <v>0</v>
      </c>
      <c r="BB28" s="580"/>
      <c r="BC28" s="580"/>
      <c r="BD28" s="521"/>
      <c r="BE28" s="521"/>
      <c r="BF28" s="521"/>
      <c r="BG28" s="521"/>
      <c r="BH28" s="521"/>
      <c r="BI28" s="521"/>
      <c r="BJ28" s="390">
        <f ca="1">SUM(BJ5:BJ27)</f>
        <v>2.30898228468301e+18</v>
      </c>
      <c r="BK28" s="390">
        <f ca="1">SUM(BK5:BK27)</f>
        <v>272591529084.777</v>
      </c>
      <c r="BL28" s="390">
        <f ca="1">SUM(BL5:BL27)</f>
        <v>9.23274036272768e-9</v>
      </c>
      <c r="BM28" s="390"/>
      <c r="BN28" s="390">
        <f ca="1">SUM(BN5:BN27)</f>
        <v>431662474425.187</v>
      </c>
      <c r="BO28" s="390">
        <f ca="1">SUM(BO5:BO27)</f>
        <v>49738008479.8043</v>
      </c>
      <c r="BP28" s="451">
        <f ca="1">SUM(BP5:BP27)</f>
        <v>49738008479.8043</v>
      </c>
      <c r="BR28" s="390">
        <f ca="1">SUM(BR5:BR27)</f>
        <v>2.30898228468301e+18</v>
      </c>
      <c r="BS28" s="390">
        <f ca="1">SUM(BS5:BS27)</f>
        <v>272591529084.777</v>
      </c>
      <c r="BT28" s="390">
        <f ca="1">SUM(BT5:BT27)</f>
        <v>9.23274036272768e-9</v>
      </c>
      <c r="BU28" s="390">
        <f ca="1">SUM(BU5:BU27)</f>
        <v>40277049368.0354</v>
      </c>
      <c r="BW28" s="580"/>
      <c r="BX28" s="580"/>
      <c r="BY28" s="521"/>
      <c r="BZ28" s="521"/>
      <c r="CA28" s="521"/>
      <c r="CB28" s="521"/>
      <c r="CC28" s="521"/>
      <c r="CD28" s="521"/>
      <c r="CE28" s="390">
        <f ca="1">SUM(CE5:CE27)</f>
        <v>1.60427839201797e+18</v>
      </c>
      <c r="CF28" s="390">
        <f ca="1">SUM(CF5:CF27)</f>
        <v>1115813187070.1</v>
      </c>
      <c r="CG28" s="390">
        <f ca="1">SUM(CG5:CG27)</f>
        <v>9.33126473528914e-9</v>
      </c>
      <c r="CH28" s="390"/>
      <c r="CI28" s="390">
        <f ca="1">SUM(CI5:CI27)</f>
        <v>1713866697890.73</v>
      </c>
      <c r="CJ28" s="390">
        <f ca="1">SUM(CJ5:CJ27)</f>
        <v>174404894629.078</v>
      </c>
      <c r="CK28" s="390">
        <f ca="1">SUM(CK5:CK27)</f>
        <v>174404894629.078</v>
      </c>
      <c r="CM28" s="390">
        <f ca="1">SUM(CM5:CM27)</f>
        <v>1.60427839201797e+18</v>
      </c>
      <c r="CN28" s="390">
        <f ca="1">SUM(CN5:CN27)</f>
        <v>1115813187070.1</v>
      </c>
      <c r="CO28" s="390">
        <f ca="1">SUM(CO5:CO27)</f>
        <v>9.33126473528914e-9</v>
      </c>
      <c r="CP28" s="390">
        <f ca="1">SUM(CP5:CP27)</f>
        <v>148014165832.554</v>
      </c>
      <c r="CR28" s="580"/>
      <c r="CS28" s="580"/>
      <c r="CT28" s="521"/>
      <c r="CU28" s="521"/>
      <c r="CV28" s="521"/>
      <c r="CW28" s="521"/>
      <c r="CX28" s="521"/>
      <c r="CY28" s="521"/>
      <c r="CZ28" s="390">
        <f ca="1">SUM(CZ5:CZ27)</f>
        <v>1.1566306889441e+18</v>
      </c>
      <c r="DA28" s="390">
        <f ca="1">SUM(DA5:DA27)</f>
        <v>3401147708198.86</v>
      </c>
      <c r="DB28" s="390">
        <f ca="1">SUM(DB5:DB27)</f>
        <v>2.93690737161183e-9</v>
      </c>
      <c r="DC28" s="390"/>
      <c r="DD28" s="390">
        <f ca="1">SUM(DD5:DD27)</f>
        <v>4068939296088.42</v>
      </c>
      <c r="DE28" s="390">
        <f ca="1">SUM(DE5:DE27)</f>
        <v>142040643172.994</v>
      </c>
      <c r="DF28" s="390">
        <f ca="1">SUM(DF5:DF27)</f>
        <v>142040643172.994</v>
      </c>
      <c r="DH28" s="390">
        <f ca="1">SUM(DH5:DH27)</f>
        <v>1.1566306889441e+18</v>
      </c>
      <c r="DI28" s="390">
        <f ca="1">SUM(DI5:DI27)</f>
        <v>3401147708198.86</v>
      </c>
      <c r="DJ28" s="390">
        <f ca="1">SUM(DJ5:DJ27)</f>
        <v>2.93690737161183e-9</v>
      </c>
      <c r="DK28" s="390"/>
      <c r="DL28" s="394"/>
      <c r="DM28" s="580"/>
      <c r="DN28" s="580"/>
      <c r="DO28" s="521"/>
      <c r="DP28" s="521"/>
      <c r="DQ28" s="521"/>
      <c r="DR28" s="521"/>
      <c r="DS28" s="521"/>
      <c r="DT28" s="521"/>
      <c r="DU28" s="390">
        <f ca="1" t="shared" ref="DU28:EA28" si="250">SUM(DU5:DU27)</f>
        <v>9.26820561280352e+17</v>
      </c>
      <c r="DV28" s="390">
        <f ca="1" t="shared" si="250"/>
        <v>8025551437338.15</v>
      </c>
      <c r="DW28" s="390">
        <f ca="1" t="shared" si="250"/>
        <v>7.47597028635461e-9</v>
      </c>
      <c r="DX28" s="390"/>
      <c r="DY28" s="390">
        <f ca="1" t="shared" si="250"/>
        <v>7574898243609.35</v>
      </c>
      <c r="DZ28" s="390">
        <f ca="1" t="shared" si="250"/>
        <v>561256917632.458</v>
      </c>
      <c r="EA28" s="390">
        <f ca="1" t="shared" si="250"/>
        <v>561256917632.459</v>
      </c>
      <c r="EC28" s="390">
        <f ca="1">SUM(EC5:EC27)</f>
        <v>9.26820561280352e+17</v>
      </c>
      <c r="ED28" s="390">
        <f ca="1">SUM(ED5:ED27)</f>
        <v>8025551437338.15</v>
      </c>
      <c r="EE28" s="390">
        <f ca="1">SUM(EE5:EE27)</f>
        <v>7.47597028635461e-9</v>
      </c>
      <c r="EF28" s="390"/>
      <c r="EG28" s="394"/>
      <c r="EH28" s="580"/>
      <c r="EI28" s="580"/>
      <c r="EJ28" s="521"/>
      <c r="EK28" s="521"/>
      <c r="EL28" s="521"/>
      <c r="EM28" s="521"/>
      <c r="EN28" s="521"/>
      <c r="EO28" s="521"/>
      <c r="EP28" s="390">
        <f ca="1" t="shared" ref="EP28:EV28" si="251">SUM(EP5:EP27)</f>
        <v>7.26511554169049e+17</v>
      </c>
      <c r="EQ28" s="390">
        <f ca="1" t="shared" si="251"/>
        <v>14100557578911.3</v>
      </c>
      <c r="ER28" s="390">
        <f ca="1" t="shared" si="251"/>
        <v>7.08576696948469e-10</v>
      </c>
      <c r="ES28" s="390"/>
      <c r="ET28" s="390">
        <f ca="1" t="shared" si="251"/>
        <v>10092275240193.3</v>
      </c>
      <c r="EU28" s="390">
        <f ca="1" t="shared" si="251"/>
        <v>113223862589.313</v>
      </c>
      <c r="EV28" s="390">
        <f ca="1" t="shared" si="251"/>
        <v>113223862589.313</v>
      </c>
      <c r="EX28" s="390">
        <f ca="1">SUM(EX5:EX27)</f>
        <v>7.26511554169049e+17</v>
      </c>
      <c r="EY28" s="390">
        <f ca="1">SUM(EY5:EY27)</f>
        <v>14100557578911.3</v>
      </c>
      <c r="EZ28" s="390">
        <f ca="1">SUM(EZ5:EZ27)</f>
        <v>7.08576696948469e-10</v>
      </c>
      <c r="FA28" s="390"/>
      <c r="FB28" s="394"/>
      <c r="FC28" s="580"/>
      <c r="FD28" s="580"/>
      <c r="FE28" s="521"/>
      <c r="FF28" s="521"/>
      <c r="FG28" s="521"/>
      <c r="FH28" s="521"/>
      <c r="FI28" s="521"/>
      <c r="FJ28" s="521"/>
      <c r="FK28" s="390">
        <f ca="1" t="shared" ref="FK28:FM28" si="252">SUM(FK5:FK27)</f>
        <v>2.29390511683384e+17</v>
      </c>
      <c r="FL28" s="390">
        <f ca="1" t="shared" si="252"/>
        <v>31350661788135.2</v>
      </c>
      <c r="FM28" s="390">
        <f ca="1" t="shared" si="252"/>
        <v>1.21186415461651e-10</v>
      </c>
      <c r="FN28" s="390"/>
      <c r="FO28" s="390">
        <f ca="1" t="shared" ref="FO28:FQ28" si="253">SUM(FO5:FO27)</f>
        <v>34065435846830.5</v>
      </c>
      <c r="FP28" s="390">
        <f ca="1" t="shared" si="253"/>
        <v>230837930634.147</v>
      </c>
      <c r="FQ28" s="390">
        <f ca="1" t="shared" si="253"/>
        <v>230837930634.146</v>
      </c>
    </row>
    <row r="29" spans="1:189">
      <c r="A29" s="432" t="s">
        <v>279</v>
      </c>
      <c r="B29" s="407" t="s">
        <v>267</v>
      </c>
      <c r="C29" s="428">
        <f>-LN(1-0%)/8/3600</f>
        <v>0</v>
      </c>
      <c r="D29" s="410" t="s">
        <v>268</v>
      </c>
      <c r="E29" s="409" t="s">
        <v>269</v>
      </c>
      <c r="H29" s="390" t="s">
        <v>280</v>
      </c>
      <c r="I29" s="390"/>
      <c r="J29" s="390" t="s">
        <v>281</v>
      </c>
      <c r="K29" s="390"/>
      <c r="L29" s="390"/>
      <c r="M29" s="390"/>
      <c r="N29" s="390"/>
      <c r="O29" s="390"/>
      <c r="R29" s="390" t="s">
        <v>280</v>
      </c>
      <c r="T29" s="390" t="s">
        <v>281</v>
      </c>
      <c r="AN29" s="390" t="s">
        <v>282</v>
      </c>
      <c r="BA29" s="394" t="s">
        <v>283</v>
      </c>
      <c r="BB29" s="580"/>
      <c r="BC29" s="580"/>
      <c r="BD29" s="580"/>
      <c r="BE29" s="580"/>
      <c r="BF29" s="580"/>
      <c r="BG29" s="580"/>
      <c r="BH29" s="580"/>
      <c r="BI29" s="580"/>
      <c r="BJ29" s="580"/>
      <c r="BK29" s="580"/>
      <c r="BL29" s="580"/>
      <c r="BM29" s="580"/>
      <c r="BN29" s="580"/>
      <c r="BO29" s="600"/>
      <c r="BP29" s="601"/>
      <c r="BQ29" s="394"/>
      <c r="BR29" s="394"/>
      <c r="BS29" s="580"/>
      <c r="BT29" s="521"/>
      <c r="BU29" s="394"/>
      <c r="BV29" s="394" t="s">
        <v>284</v>
      </c>
      <c r="BW29" s="580"/>
      <c r="BX29" s="580"/>
      <c r="BY29" s="580"/>
      <c r="BZ29" s="580"/>
      <c r="CA29" s="580"/>
      <c r="CB29" s="580"/>
      <c r="CC29" s="580"/>
      <c r="CD29" s="580"/>
      <c r="CE29" s="580"/>
      <c r="CF29" s="580"/>
      <c r="CG29" s="580"/>
      <c r="CH29" s="580"/>
      <c r="CI29" s="580"/>
      <c r="CJ29" s="600"/>
      <c r="CK29" s="394"/>
      <c r="CL29" s="394"/>
      <c r="CM29" s="394"/>
      <c r="CN29" s="580"/>
      <c r="CO29" s="580"/>
      <c r="CP29" s="394"/>
      <c r="CQ29" s="394" t="s">
        <v>285</v>
      </c>
      <c r="CR29" s="580"/>
      <c r="CS29" s="580"/>
      <c r="CT29" s="580"/>
      <c r="CU29" s="580"/>
      <c r="CV29" s="580"/>
      <c r="CW29" s="580"/>
      <c r="CX29" s="580"/>
      <c r="CY29" s="580"/>
      <c r="CZ29" s="580"/>
      <c r="DA29" s="580"/>
      <c r="DB29" s="580"/>
      <c r="DC29" s="580"/>
      <c r="DD29" s="580"/>
      <c r="DE29" s="580"/>
      <c r="DF29" s="394"/>
      <c r="DG29" s="394"/>
      <c r="DH29" s="394"/>
      <c r="DI29" s="580"/>
      <c r="DJ29" s="580"/>
      <c r="DK29" s="521"/>
      <c r="DL29" s="394" t="s">
        <v>286</v>
      </c>
      <c r="DM29" s="580"/>
      <c r="DN29" s="580"/>
      <c r="DO29" s="580"/>
      <c r="DP29" s="580"/>
      <c r="DQ29" s="580"/>
      <c r="DR29" s="580"/>
      <c r="DS29" s="580"/>
      <c r="DT29" s="580"/>
      <c r="DU29" s="580"/>
      <c r="DV29" s="580"/>
      <c r="DW29" s="580"/>
      <c r="DX29" s="580"/>
      <c r="DY29" s="580"/>
      <c r="DZ29" s="600"/>
      <c r="EA29" s="394"/>
      <c r="EB29" s="394"/>
      <c r="EC29" s="394"/>
      <c r="ED29" s="580"/>
      <c r="EE29" s="580"/>
      <c r="EF29" s="521"/>
      <c r="EG29" s="394" t="s">
        <v>287</v>
      </c>
      <c r="EJ29" s="580"/>
      <c r="EK29" s="580"/>
      <c r="EL29" s="580"/>
      <c r="EM29" s="580"/>
      <c r="EN29" s="580"/>
      <c r="EO29" s="580"/>
      <c r="EP29" s="580"/>
      <c r="EQ29" s="580"/>
      <c r="ER29" s="580"/>
      <c r="ES29" s="580"/>
      <c r="ET29" s="580"/>
      <c r="EU29" s="603"/>
      <c r="EV29" s="394"/>
      <c r="EW29" s="394"/>
      <c r="EX29" s="394"/>
      <c r="EY29" s="580"/>
      <c r="EZ29" s="580"/>
      <c r="FA29" s="521"/>
      <c r="FB29" s="394" t="s">
        <v>288</v>
      </c>
      <c r="FE29" s="580"/>
      <c r="FF29" s="580"/>
      <c r="FG29" s="580"/>
      <c r="FH29" s="580"/>
      <c r="FI29" s="580"/>
      <c r="FJ29" s="580"/>
      <c r="FK29" s="580"/>
      <c r="FL29" s="580"/>
      <c r="FM29" s="580"/>
      <c r="FN29" s="580"/>
      <c r="FO29" s="580"/>
      <c r="FP29" s="603"/>
      <c r="FQ29" s="394"/>
      <c r="FS29" s="390" t="s">
        <v>280</v>
      </c>
      <c r="FU29" s="390" t="s">
        <v>281</v>
      </c>
      <c r="GD29" s="392"/>
      <c r="GE29" s="390" t="s">
        <v>280</v>
      </c>
      <c r="GG29" s="390" t="s">
        <v>281</v>
      </c>
    </row>
    <row r="30" spans="1:192">
      <c r="A30" s="430"/>
      <c r="B30" s="407" t="s">
        <v>270</v>
      </c>
      <c r="C30" s="437">
        <f ca="1">IF(48&lt;=$C$13-$C$12,MAX(1%,INDIRECT("'"&amp;$B$2&amp;"-事故进程'!$AD$23")*150%),0.000000000000001)</f>
        <v>0.01</v>
      </c>
      <c r="D30" s="410"/>
      <c r="E30" s="409" t="s">
        <v>271</v>
      </c>
      <c r="G30" s="438" t="s">
        <v>289</v>
      </c>
      <c r="H30" s="439" t="s">
        <v>290</v>
      </c>
      <c r="I30" s="439" t="s">
        <v>291</v>
      </c>
      <c r="J30" s="452" t="s">
        <v>290</v>
      </c>
      <c r="K30" s="452" t="s">
        <v>291</v>
      </c>
      <c r="L30" s="452" t="s">
        <v>292</v>
      </c>
      <c r="M30" s="452" t="s">
        <v>292</v>
      </c>
      <c r="N30" s="390"/>
      <c r="O30" s="390"/>
      <c r="Q30" s="438" t="s">
        <v>289</v>
      </c>
      <c r="R30" s="439" t="s">
        <v>290</v>
      </c>
      <c r="S30" s="439" t="s">
        <v>291</v>
      </c>
      <c r="T30" s="452" t="s">
        <v>290</v>
      </c>
      <c r="U30" s="452" t="s">
        <v>291</v>
      </c>
      <c r="V30" s="452" t="s">
        <v>292</v>
      </c>
      <c r="W30" s="452" t="s">
        <v>292</v>
      </c>
      <c r="AD30" s="451"/>
      <c r="AE30" s="390"/>
      <c r="AF30" s="390"/>
      <c r="AG30" s="390"/>
      <c r="AH30" s="390"/>
      <c r="AI30" s="390"/>
      <c r="AJ30" s="390"/>
      <c r="AK30" s="390"/>
      <c r="AL30" s="390"/>
      <c r="AM30" s="390"/>
      <c r="AN30" s="533"/>
      <c r="AO30" s="390"/>
      <c r="AP30" s="390"/>
      <c r="AQ30" s="390"/>
      <c r="AR30" s="390"/>
      <c r="AS30" s="572"/>
      <c r="AT30" s="390"/>
      <c r="AU30" s="390"/>
      <c r="AV30" s="394"/>
      <c r="AW30" s="394"/>
      <c r="AX30" s="394"/>
      <c r="AY30" s="394"/>
      <c r="AZ30" s="394"/>
      <c r="BA30" s="394"/>
      <c r="BB30" s="394"/>
      <c r="BC30" s="394"/>
      <c r="BD30" s="394"/>
      <c r="BE30" s="394"/>
      <c r="BF30" s="394"/>
      <c r="BG30" s="394"/>
      <c r="BH30" s="394"/>
      <c r="BI30" s="394"/>
      <c r="BJ30" s="394"/>
      <c r="BK30" s="394"/>
      <c r="BL30" s="394"/>
      <c r="BM30" s="394"/>
      <c r="BN30" s="394"/>
      <c r="BO30" s="600"/>
      <c r="BP30" s="601"/>
      <c r="BQ30" s="394"/>
      <c r="BR30" s="394"/>
      <c r="BS30" s="394"/>
      <c r="BT30" s="394"/>
      <c r="BU30" s="394"/>
      <c r="BV30" s="394"/>
      <c r="BW30" s="394"/>
      <c r="BX30" s="394"/>
      <c r="BY30" s="394"/>
      <c r="BZ30" s="394"/>
      <c r="CA30" s="394"/>
      <c r="CB30" s="394"/>
      <c r="CC30" s="394"/>
      <c r="CD30" s="394"/>
      <c r="CE30" s="394"/>
      <c r="CF30" s="394"/>
      <c r="CG30" s="394"/>
      <c r="CH30" s="394"/>
      <c r="CI30" s="394"/>
      <c r="CJ30" s="600"/>
      <c r="CK30" s="394"/>
      <c r="CL30" s="394"/>
      <c r="CM30" s="394"/>
      <c r="CN30" s="394"/>
      <c r="CO30" s="394"/>
      <c r="CP30" s="394"/>
      <c r="CQ30" s="394"/>
      <c r="CR30" s="394"/>
      <c r="CS30" s="394"/>
      <c r="CT30" s="394"/>
      <c r="CU30" s="394"/>
      <c r="CV30" s="394"/>
      <c r="CW30" s="394"/>
      <c r="CX30" s="394"/>
      <c r="CY30" s="394"/>
      <c r="CZ30" s="394"/>
      <c r="DA30" s="394"/>
      <c r="DB30" s="394"/>
      <c r="DC30" s="394"/>
      <c r="DD30" s="394"/>
      <c r="DE30" s="394"/>
      <c r="DF30" s="394"/>
      <c r="DG30" s="394"/>
      <c r="DH30" s="394"/>
      <c r="DI30" s="394"/>
      <c r="DJ30" s="394"/>
      <c r="DK30" s="394"/>
      <c r="DL30" s="394"/>
      <c r="DM30" s="394"/>
      <c r="DN30" s="394"/>
      <c r="DO30" s="394"/>
      <c r="DP30" s="394"/>
      <c r="DQ30" s="394"/>
      <c r="DR30" s="394"/>
      <c r="DS30" s="394"/>
      <c r="DT30" s="394"/>
      <c r="DU30" s="394"/>
      <c r="DV30" s="394"/>
      <c r="DW30" s="394"/>
      <c r="DX30" s="394"/>
      <c r="DY30" s="394"/>
      <c r="DZ30" s="602"/>
      <c r="EA30" s="394"/>
      <c r="EB30" s="394"/>
      <c r="EC30" s="394"/>
      <c r="ED30" s="394"/>
      <c r="EE30" s="394"/>
      <c r="EF30" s="394"/>
      <c r="EG30" s="394"/>
      <c r="EH30" s="394"/>
      <c r="EI30" s="394"/>
      <c r="EJ30" s="394"/>
      <c r="EK30" s="394"/>
      <c r="EL30" s="394"/>
      <c r="EM30" s="394"/>
      <c r="EN30" s="394"/>
      <c r="EO30" s="394"/>
      <c r="EP30" s="394"/>
      <c r="EQ30" s="394"/>
      <c r="ER30" s="394"/>
      <c r="ES30" s="394"/>
      <c r="ET30" s="394"/>
      <c r="EU30" s="603"/>
      <c r="EV30" s="394"/>
      <c r="EW30" s="394"/>
      <c r="EX30" s="394"/>
      <c r="EY30" s="394"/>
      <c r="EZ30" s="394"/>
      <c r="FA30" s="394"/>
      <c r="FB30" s="394"/>
      <c r="FC30" s="394"/>
      <c r="FD30" s="394"/>
      <c r="FE30" s="394"/>
      <c r="FF30" s="394"/>
      <c r="FG30" s="394"/>
      <c r="FH30" s="394"/>
      <c r="FI30" s="394"/>
      <c r="FJ30" s="394"/>
      <c r="FK30" s="394"/>
      <c r="FL30" s="394"/>
      <c r="FM30" s="394"/>
      <c r="FN30" s="394"/>
      <c r="FO30" s="394"/>
      <c r="FP30" s="603"/>
      <c r="FQ30" s="394"/>
      <c r="FS30" s="439" t="s">
        <v>290</v>
      </c>
      <c r="FT30" s="439" t="s">
        <v>291</v>
      </c>
      <c r="FU30" s="452" t="s">
        <v>290</v>
      </c>
      <c r="FV30" s="452" t="s">
        <v>291</v>
      </c>
      <c r="FW30" s="452" t="s">
        <v>292</v>
      </c>
      <c r="FX30" s="452" t="s">
        <v>292</v>
      </c>
      <c r="GD30" s="438" t="s">
        <v>289</v>
      </c>
      <c r="GE30" s="439" t="s">
        <v>290</v>
      </c>
      <c r="GF30" s="439" t="s">
        <v>291</v>
      </c>
      <c r="GG30" s="439" t="s">
        <v>290</v>
      </c>
      <c r="GH30" s="439" t="s">
        <v>291</v>
      </c>
      <c r="GI30" s="439" t="s">
        <v>292</v>
      </c>
      <c r="GJ30" s="439" t="s">
        <v>292</v>
      </c>
    </row>
    <row r="31" spans="1:192">
      <c r="A31" s="430"/>
      <c r="B31" s="407" t="s">
        <v>276</v>
      </c>
      <c r="C31" s="434">
        <f>C28</f>
        <v>1e+20</v>
      </c>
      <c r="D31" s="410" t="s">
        <v>273</v>
      </c>
      <c r="E31" s="409" t="s">
        <v>274</v>
      </c>
      <c r="G31" s="440">
        <f>后果有效剂量!$P5</f>
        <v>0</v>
      </c>
      <c r="H31" s="441">
        <f ca="1">SUMPRODUCT(H$5:H$27,后果有效剂量!$I$5:$I$27)*后果有效剂量!$Q5+SUMPRODUCT(I$5:I$27,后果有效剂量!$I$5:$I$27)*后果有效剂量!$Q5+SUMPRODUCT(J$5:J$27,后果有效剂量!$I$5:$I$27)*后果有效剂量!$R5+SUMPRODUCT(K$5:K$27,后果有效剂量!$I$5:$I$27)*后果有效剂量!$S5+SUMPRODUCT(L$5:L$27,后果有效剂量!$I$5:$I$27)*后果有效剂量!$T5+SUMPRODUCT(M$5:M$27,后果有效剂量!$I$5:$I$27)*后果有效剂量!$U5+SUMPRODUCT(H$5:H$27,后果有效剂量!$J$5:$J$27)*后果有效剂量!$Q5*后果有效剂量!$Q$3+SUMPRODUCT(I$5:I$27,后果有效剂量!$J$5:$J$27)*后果有效剂量!$Q5*后果有效剂量!$Q$3+SUMPRODUCT(J$5:J$27,后果有效剂量!$J$5:$J$27)*后果有效剂量!$R5*后果有效剂量!$R$3+SUMPRODUCT(K$5:K$27,后果有效剂量!$J$5:$J$27)*后果有效剂量!$S5*后果有效剂量!$S$3+SUMPRODUCT(L$5:L$27,后果有效剂量!$J$5:$J$27)*后果有效剂量!$T5*后果有效剂量!$T$3+SUMPRODUCT(M$5:M$27,后果有效剂量!$J$5:$J$27)*后果有效剂量!$U5*后果有效剂量!$U$3+SUMPRODUCT(H$5:H$27,后果有效剂量!$K$5:$K$27)*后果有效剂量!$Q5+SUMPRODUCT(I$5:I$27,后果有效剂量!$K$5:$K$27)*后果有效剂量!$Q5+SUMPRODUCT(J$5:J$27,后果有效剂量!$K$5:$K$27)*后果有效剂量!$R5+SUMPRODUCT(K$5:K$27,后果有效剂量!$K$5:$K$27)*后果有效剂量!$S5+SUMPRODUCT(L$5:L$27,后果有效剂量!$K$5:$K$27)*后果有效剂量!$T5+SUMPRODUCT(M$5:M$27,后果有效剂量!$K$5:$K$27)*后果有效剂量!$U5</f>
        <v>0</v>
      </c>
      <c r="I31" s="453">
        <f ca="1">SUMPRODUCT(H$5:H$27,后果甲状腺剂量!$I$5:$I$27)*后果甲状腺剂量!$Q5+SUMPRODUCT(I$5:I$27,后果甲状腺剂量!$I$5:$I$27)*后果甲状腺剂量!$Q5+SUMPRODUCT(J$5:J$27,后果甲状腺剂量!$I$5:$I$27)*后果甲状腺剂量!$R5+SUMPRODUCT(K$5:K$27,后果甲状腺剂量!$I$5:$I$27)*后果甲状腺剂量!$S5+SUMPRODUCT(L$5:L$27,后果甲状腺剂量!$I$5:$I$27)*后果甲状腺剂量!$T5+SUMPRODUCT(M$5:M$27,后果甲状腺剂量!$I$5:$I$27)*后果甲状腺剂量!$U5+SUMPRODUCT(H$5:H$27,后果甲状腺剂量!$J$5:$J$27)*后果甲状腺剂量!$Q5*后果甲状腺剂量!$Q$3+SUMPRODUCT(I$5:I$27,后果甲状腺剂量!$J$5:$J$27)*后果甲状腺剂量!$Q5*后果甲状腺剂量!$Q$3+SUMPRODUCT(J$5:J$27,后果甲状腺剂量!$J$5:$J$27)*后果甲状腺剂量!$R5*后果甲状腺剂量!$R$3+SUMPRODUCT(K$5:K$27,后果甲状腺剂量!$J$5:$J$27)*后果甲状腺剂量!$S5*后果甲状腺剂量!$S$3+SUMPRODUCT(L$5:L$27,后果甲状腺剂量!$J$5:$J$27)*后果甲状腺剂量!$T5*后果甲状腺剂量!$T$3+SUMPRODUCT(M$5:M$27,后果甲状腺剂量!$J$5:$J$27)*后果甲状腺剂量!$U5*后果甲状腺剂量!$U$3+SUMPRODUCT(H$5:H$27,后果甲状腺剂量!$K$5:$K$27)*后果甲状腺剂量!$Q5+SUMPRODUCT(I$5:I$27,后果甲状腺剂量!$K$5:$K$27)*后果甲状腺剂量!$Q5+SUMPRODUCT(J$5:J$27,后果甲状腺剂量!$K$5:$K$27)*后果甲状腺剂量!$R5+SUMPRODUCT(K$5:K$27,后果甲状腺剂量!$K$5:$K$27)*后果甲状腺剂量!$S5+SUMPRODUCT(L$5:L$27,后果甲状腺剂量!$K$5:$K$27)*后果甲状腺剂量!$T5+SUMPRODUCT(M$5:M$27,后果甲状腺剂量!$K$5:$K$27)*后果甲状腺剂量!$U5</f>
        <v>0</v>
      </c>
      <c r="J31" s="454">
        <f ca="1" t="shared" ref="J31:J56" si="254">H31*1000</f>
        <v>0</v>
      </c>
      <c r="K31" s="454">
        <f ca="1" t="shared" ref="K31:K56" si="255">I31*1000</f>
        <v>0</v>
      </c>
      <c r="L31" s="436"/>
      <c r="M31" s="436"/>
      <c r="N31" s="455"/>
      <c r="O31" s="390"/>
      <c r="Q31" s="440">
        <f>后果有效剂量!$P5</f>
        <v>0</v>
      </c>
      <c r="R31" s="441">
        <f ca="1">SUMPRODUCT(R$5:R$27,后果有效剂量!$I$5:$I$27)*后果有效剂量!$Q5+SUMPRODUCT(S$5:S$27,后果有效剂量!$I$5:$I$27)*后果有效剂量!$Q5+SUMPRODUCT(T$5:T$27,后果有效剂量!$I$5:$I$27)*后果有效剂量!$R5+SUMPRODUCT(U$5:U$27,后果有效剂量!$I$5:$I$27)*后果有效剂量!$S5+SUMPRODUCT(V$5:V$27,后果有效剂量!$I$5:$I$27)*后果有效剂量!$T5+SUMPRODUCT(W$5:W$27,后果有效剂量!$I$5:$I$27)*后果有效剂量!$U5+SUMPRODUCT(R$5:R$27,后果有效剂量!$J$5:$J$27)*后果有效剂量!$Q5*后果有效剂量!$Q$3+SUMPRODUCT(S$5:S$27,后果有效剂量!$J$5:$J$27)*后果有效剂量!$Q5*后果有效剂量!$Q$3+SUMPRODUCT(T$5:T$27,后果有效剂量!$J$5:$J$27)*后果有效剂量!$R5*后果有效剂量!$R$3+SUMPRODUCT(U$5:U$27,后果有效剂量!$J$5:$J$27)*后果有效剂量!$S5*后果有效剂量!$S$3+SUMPRODUCT(V$5:V$27,后果有效剂量!$J$5:$J$27)*后果有效剂量!$T5*后果有效剂量!$T$3+SUMPRODUCT(W$5:W$27,后果有效剂量!$J$5:$J$27)*后果有效剂量!$U5*后果有效剂量!$U$3+SUMPRODUCT(R$5:R$27,后果有效剂量!$K$5:$K$27)*后果有效剂量!$Q5+SUMPRODUCT(S$5:S$27,后果有效剂量!$K$5:$K$27)*后果有效剂量!$Q5+SUMPRODUCT(T$5:T$27,后果有效剂量!$K$5:$K$27)*后果有效剂量!$R5+SUMPRODUCT(U$5:U$27,后果有效剂量!$K$5:$K$27)*后果有效剂量!$S5+SUMPRODUCT(V$5:V$27,后果有效剂量!$K$5:$K$27)*后果有效剂量!$T5+SUMPRODUCT(W$5:W$27,后果有效剂量!$K$5:$K$27)*后果有效剂量!$U5</f>
        <v>0</v>
      </c>
      <c r="S31" s="453">
        <f ca="1">SUMPRODUCT(R$5:R$27,后果甲状腺剂量!$I$5:$I$27)*后果甲状腺剂量!$Q5+SUMPRODUCT(S$5:S$27,后果甲状腺剂量!$I$5:$I$27)*后果甲状腺剂量!$Q5+SUMPRODUCT(T$5:T$27,后果甲状腺剂量!$I$5:$I$27)*后果甲状腺剂量!$R5+SUMPRODUCT(U$5:U$27,后果甲状腺剂量!$I$5:$I$27)*后果甲状腺剂量!$S5+SUMPRODUCT(V$5:V$27,后果甲状腺剂量!$I$5:$I$27)*后果甲状腺剂量!$T5+SUMPRODUCT(W$5:W$27,后果甲状腺剂量!$I$5:$I$27)*后果甲状腺剂量!$U5+SUMPRODUCT(R$5:R$27,后果甲状腺剂量!$J$5:$J$27)*后果甲状腺剂量!$Q5*后果甲状腺剂量!$Q$3+SUMPRODUCT(S$5:S$27,后果甲状腺剂量!$J$5:$J$27)*后果甲状腺剂量!$Q5*后果甲状腺剂量!$Q$3+SUMPRODUCT(T$5:T$27,后果甲状腺剂量!$J$5:$J$27)*后果甲状腺剂量!$R5*后果甲状腺剂量!$R$3+SUMPRODUCT(U$5:U$27,后果甲状腺剂量!$J$5:$J$27)*后果甲状腺剂量!$S5*后果甲状腺剂量!$S$3+SUMPRODUCT(V$5:V$27,后果甲状腺剂量!$J$5:$J$27)*后果甲状腺剂量!$T5*后果甲状腺剂量!$T$3+SUMPRODUCT(W$5:W$27,后果甲状腺剂量!$J$5:$J$27)*后果甲状腺剂量!$U5*后果甲状腺剂量!$U$3+SUMPRODUCT(R$5:R$27,后果甲状腺剂量!$K$5:$K$27)*后果甲状腺剂量!$Q5+SUMPRODUCT(S$5:S$27,后果甲状腺剂量!$K$5:$K$27)*后果甲状腺剂量!$Q5+SUMPRODUCT(T$5:T$27,后果甲状腺剂量!$K$5:$K$27)*后果甲状腺剂量!$R5+SUMPRODUCT(U$5:U$27,后果甲状腺剂量!$K$5:$K$27)*后果甲状腺剂量!$S5+SUMPRODUCT(V$5:V$27,后果甲状腺剂量!$K$5:$K$27)*后果甲状腺剂量!$T5+SUMPRODUCT(W$5:W$27,后果甲状腺剂量!$K$5:$K$27)*后果甲状腺剂量!$U5</f>
        <v>0</v>
      </c>
      <c r="T31" s="454">
        <f ca="1" t="shared" ref="T31:T56" si="256">R31*1000</f>
        <v>0</v>
      </c>
      <c r="U31" s="454">
        <f ca="1" t="shared" ref="U31:U56" si="257">S31*1000</f>
        <v>0</v>
      </c>
      <c r="V31" s="436"/>
      <c r="W31" s="436"/>
      <c r="AN31" s="533"/>
      <c r="AO31" s="390"/>
      <c r="AP31" s="390"/>
      <c r="AQ31" s="390"/>
      <c r="AR31" s="390"/>
      <c r="AS31" s="572"/>
      <c r="AT31" s="390"/>
      <c r="AU31" s="390"/>
      <c r="AV31" s="394"/>
      <c r="AW31" s="394"/>
      <c r="AX31" s="394"/>
      <c r="AY31" s="394"/>
      <c r="AZ31" s="394"/>
      <c r="BA31" s="394"/>
      <c r="BB31" s="394"/>
      <c r="BC31" s="394"/>
      <c r="BD31" s="394"/>
      <c r="BE31" s="394"/>
      <c r="BF31" s="394"/>
      <c r="BG31" s="394"/>
      <c r="BH31" s="394"/>
      <c r="BI31" s="394"/>
      <c r="BJ31" s="394"/>
      <c r="BK31" s="394"/>
      <c r="BL31" s="394"/>
      <c r="BM31" s="394"/>
      <c r="BN31" s="394"/>
      <c r="BO31" s="600"/>
      <c r="BP31" s="600"/>
      <c r="BQ31" s="394"/>
      <c r="BR31" s="394"/>
      <c r="BS31" s="394"/>
      <c r="BT31" s="394"/>
      <c r="BU31" s="394"/>
      <c r="BV31" s="394"/>
      <c r="BW31" s="394"/>
      <c r="BX31" s="394"/>
      <c r="BY31" s="394"/>
      <c r="BZ31" s="394"/>
      <c r="CA31" s="394"/>
      <c r="CB31" s="394"/>
      <c r="CC31" s="394"/>
      <c r="CD31" s="394"/>
      <c r="CE31" s="394"/>
      <c r="CF31" s="394"/>
      <c r="CG31" s="394"/>
      <c r="CH31" s="394"/>
      <c r="CI31" s="394"/>
      <c r="CJ31" s="600"/>
      <c r="CK31" s="394"/>
      <c r="CL31" s="394"/>
      <c r="CM31" s="394"/>
      <c r="CN31" s="394"/>
      <c r="CO31" s="394"/>
      <c r="CP31" s="394"/>
      <c r="CQ31" s="394"/>
      <c r="CR31" s="394"/>
      <c r="CS31" s="394"/>
      <c r="CT31" s="394"/>
      <c r="CU31" s="394"/>
      <c r="CV31" s="394"/>
      <c r="CW31" s="394"/>
      <c r="CX31" s="394"/>
      <c r="CY31" s="394"/>
      <c r="CZ31" s="394"/>
      <c r="DA31" s="394"/>
      <c r="DB31" s="394"/>
      <c r="DC31" s="394"/>
      <c r="DD31" s="394"/>
      <c r="DE31" s="394"/>
      <c r="DF31" s="394"/>
      <c r="DG31" s="394"/>
      <c r="DH31" s="394"/>
      <c r="DI31" s="394"/>
      <c r="DJ31" s="394"/>
      <c r="DK31" s="394"/>
      <c r="DL31" s="394"/>
      <c r="DM31" s="394"/>
      <c r="DN31" s="394"/>
      <c r="DO31" s="394"/>
      <c r="DP31" s="394"/>
      <c r="DQ31" s="394"/>
      <c r="DR31" s="394"/>
      <c r="DS31" s="394"/>
      <c r="DT31" s="394"/>
      <c r="DU31" s="394"/>
      <c r="DV31" s="394"/>
      <c r="DW31" s="394"/>
      <c r="DX31" s="394"/>
      <c r="DY31" s="394"/>
      <c r="DZ31" s="600"/>
      <c r="EA31" s="394"/>
      <c r="EB31" s="394"/>
      <c r="EC31" s="394"/>
      <c r="ED31" s="394"/>
      <c r="EE31" s="394"/>
      <c r="EF31" s="394"/>
      <c r="EG31" s="394"/>
      <c r="EH31" s="394"/>
      <c r="EI31" s="394"/>
      <c r="EJ31" s="394"/>
      <c r="EK31" s="394"/>
      <c r="EL31" s="394"/>
      <c r="EM31" s="394"/>
      <c r="EN31" s="394"/>
      <c r="EO31" s="394"/>
      <c r="EP31" s="394"/>
      <c r="EQ31" s="394"/>
      <c r="ER31" s="394"/>
      <c r="ES31" s="394"/>
      <c r="ET31" s="394"/>
      <c r="EU31" s="603"/>
      <c r="EV31" s="394"/>
      <c r="EW31" s="394"/>
      <c r="EX31" s="394"/>
      <c r="EY31" s="394"/>
      <c r="EZ31" s="394"/>
      <c r="FA31" s="394"/>
      <c r="FB31" s="394"/>
      <c r="FC31" s="394"/>
      <c r="FD31" s="394"/>
      <c r="FE31" s="394"/>
      <c r="FF31" s="394"/>
      <c r="FG31" s="394"/>
      <c r="FH31" s="394"/>
      <c r="FI31" s="394"/>
      <c r="FJ31" s="394"/>
      <c r="FK31" s="394"/>
      <c r="FL31" s="394"/>
      <c r="FM31" s="394"/>
      <c r="FN31" s="394"/>
      <c r="FO31" s="394"/>
      <c r="FP31" s="603"/>
      <c r="FQ31" s="394"/>
      <c r="FS31" s="441">
        <f>SUMPRODUCT(FS$5:FS$27,后果有效剂量!$I$5:$I$27)*后果有效剂量!$Q5+SUMPRODUCT(FT$5:FT$27,后果有效剂量!$I$5:$I$27)*后果有效剂量!$R5+SUMPRODUCT(FU$5:FU$27,后果有效剂量!$I$5:$I$27)*后果有效剂量!$S5+SUMPRODUCT(FV$5:FV$27,后果有效剂量!$I$5:$I$27)*后果有效剂量!$T5+SUMPRODUCT(FS$5:FS$27,后果有效剂量!$J$5:$J$27)*后果有效剂量!$Q5*后果有效剂量!$Q$3+SUMPRODUCT(FT$5:FT$27,后果有效剂量!$J$5:$J$27)*后果有效剂量!$R5*后果有效剂量!$R$3+SUMPRODUCT(FU$5:FU$27,后果有效剂量!$J$5:$J$27)*后果有效剂量!$S5*后果有效剂量!$S$3+SUMPRODUCT(FV$5:FV$27,后果有效剂量!$J$5:$J$27)*后果有效剂量!$T5*后果有效剂量!$T$3+SUMPRODUCT(FS$5:FS$27,后果有效剂量!$K$5:$K$27)*后果有效剂量!$Q5+SUMPRODUCT(FT$5:FT$27,后果有效剂量!$K$5:$K$27)*后果有效剂量!$R5+SUMPRODUCT(FU$5:FU$27,后果有效剂量!$K$5:$K$27)*后果有效剂量!$S5+SUMPRODUCT(FV$5:FV$27,后果有效剂量!$K$5:$K$27)*后果有效剂量!$T5</f>
        <v>0</v>
      </c>
      <c r="FT31" s="441">
        <f>SUMPRODUCT(FS$5:FS$27,后果甲状腺剂量!$I$5:$I$27)*后果甲状腺剂量!$Q5+SUMPRODUCT(FT$5:FT$27,后果甲状腺剂量!$I$5:$I$27)*后果甲状腺剂量!$R5+SUMPRODUCT(FU$5:FU$27,后果甲状腺剂量!$I$5:$I$27)*后果甲状腺剂量!$S5+SUMPRODUCT(FV$5:FV$27,后果甲状腺剂量!$I$5:$I$27)*后果甲状腺剂量!$T5+SUMPRODUCT(FS$5:FS$27,后果甲状腺剂量!$J$5:$J$27)*后果甲状腺剂量!$Q5*后果甲状腺剂量!$Q$3+SUMPRODUCT(FT$5:FT$27,后果甲状腺剂量!$J$5:$J$27)*后果甲状腺剂量!$R5*后果甲状腺剂量!$R$3+SUMPRODUCT(FU$5:FU$27,后果甲状腺剂量!$J$5:$J$27)*后果甲状腺剂量!$S5*后果甲状腺剂量!$S$3+SUMPRODUCT(FV$5:FV$27,后果甲状腺剂量!$J$5:$J$27)*后果甲状腺剂量!$T5*后果甲状腺剂量!$T$3+SUMPRODUCT(FS$5:FS$27,后果甲状腺剂量!$K$5:$K$27)*后果甲状腺剂量!$Q5+SUMPRODUCT(FT$5:FT$27,后果甲状腺剂量!$K$5:$K$27)*后果甲状腺剂量!$R5+SUMPRODUCT(FU$5:FU$27,后果甲状腺剂量!$K$5:$K$27)*后果甲状腺剂量!$S5+SUMPRODUCT(FV$5:FV$27,后果甲状腺剂量!$K$5:$K$27)*后果甲状腺剂量!$T5</f>
        <v>0</v>
      </c>
      <c r="FU31" s="454">
        <f t="shared" ref="FU31:FU56" si="258">FS31*1000</f>
        <v>0</v>
      </c>
      <c r="FV31" s="454">
        <f t="shared" ref="FV31:FV56" si="259">FT31*1000</f>
        <v>0</v>
      </c>
      <c r="FW31" s="436"/>
      <c r="FX31" s="436"/>
      <c r="GD31" s="440">
        <f>后果有效剂量!$P5</f>
        <v>0</v>
      </c>
      <c r="GE31" s="441">
        <f>SUMPRODUCT(GE$5:GE$27,后果有效剂量!$I$5:$I$27)*后果有效剂量!$Q5+SUMPRODUCT(GF$5:GF$27,后果有效剂量!$I$5:$I$27)*后果有效剂量!$R5+SUMPRODUCT(GG$5:GG$27,后果有效剂量!$I$5:$I$27)*后果有效剂量!$S5+(SUMPRODUCT(GH$5:GH$27,后果有效剂量!$I$5:$I$27)+SUMPRODUCT(GI$5:GI$27,后果有效剂量!$I$5:$I$27))*后果有效剂量!$T5+SUMPRODUCT(GJ$5:GJ$27,后果有效剂量!$I$5:$I$27)*后果有效剂量!$U5+SUMPRODUCT(GE$5:GE$27,后果有效剂量!$J$5:$J$27)*后果有效剂量!$Q5*后果有效剂量!$Q$3+SUMPRODUCT(GF$5:GF$27,后果有效剂量!$J$5:$J$27)*后果有效剂量!$R5*后果有效剂量!$R$3+SUMPRODUCT(GG$5:GG$27,后果有效剂量!$J$5:$J$27)*后果有效剂量!$S5*后果有效剂量!$S$3+(SUMPRODUCT(GH$5:GH$27,后果有效剂量!$J$5:$J$27)+SUMPRODUCT(GI$5:GI$27,后果有效剂量!$J$5:$J$27))*后果有效剂量!$T5*后果有效剂量!$T$3+SUMPRODUCT(GJ$5:GJ$27,后果有效剂量!$J$5:$J$27)*后果有效剂量!$U5*后果有效剂量!$U$3+SUMPRODUCT(GE$5:GE$27,后果有效剂量!$K$5:$K$27)*后果有效剂量!$Q5+SUMPRODUCT(GF$5:GF$27,后果有效剂量!$K$5:$K$27)*后果有效剂量!$R5+SUMPRODUCT(GG$5:GG$27,后果有效剂量!$K$5:$K$27)*后果有效剂量!$S5+(SUMPRODUCT(GH$5:GH$27,后果有效剂量!$K$5:$K$27)+SUMPRODUCT(GI$5:GI$27,后果有效剂量!$K$5:$K$27))*后果有效剂量!$T5+SUMPRODUCT(GJ$5:GJ$27,后果有效剂量!$K$5:$K$27)*后果有效剂量!$U5</f>
        <v>0</v>
      </c>
      <c r="GF31" s="453">
        <f>SUMPRODUCT(GE$5:GE$27,后果甲状腺剂量!$I$5:$I$27)*后果甲状腺剂量!$Q5+SUMPRODUCT(GF$5:GF$27,后果甲状腺剂量!$I$5:$I$27)*后果甲状腺剂量!$R5+SUMPRODUCT(GG$5:GG$27,后果甲状腺剂量!$I$5:$I$27)*后果甲状腺剂量!$S5+(SUMPRODUCT(GH$5:GH$27,后果甲状腺剂量!$I$5:$I$27)+SUMPRODUCT(GI$5:GI$27,后果甲状腺剂量!$I$5:$I$27))*后果甲状腺剂量!$T5+SUMPRODUCT(GJ$5:GJ$27,后果甲状腺剂量!$I$5:$I$27)*后果甲状腺剂量!$U5+SUMPRODUCT(GE$5:GE$27,后果甲状腺剂量!$J$5:$J$27)*后果甲状腺剂量!$Q5*后果甲状腺剂量!$Q$3+SUMPRODUCT(GF$5:GF$27,后果甲状腺剂量!$J$5:$J$27)*后果甲状腺剂量!$R5*后果甲状腺剂量!$R$3+SUMPRODUCT(GG$5:GG$27,后果甲状腺剂量!$J$5:$J$27)*后果甲状腺剂量!$S5*后果甲状腺剂量!$S$3+(SUMPRODUCT(GH$5:GH$27,后果甲状腺剂量!$J$5:$J$27)+SUMPRODUCT(GI$5:GI$27,后果甲状腺剂量!$J$5:$J$27))*后果甲状腺剂量!$T5*后果甲状腺剂量!$T$3+SUMPRODUCT(GJ$5:GJ$27,后果甲状腺剂量!$J$5:$J$27)*后果甲状腺剂量!$U5*后果甲状腺剂量!$U$3+SUMPRODUCT(GE$5:GE$27,后果甲状腺剂量!$K$5:$K$27)*后果甲状腺剂量!$Q5+SUMPRODUCT(GF$5:GF$27,后果甲状腺剂量!$K$5:$K$27)*后果甲状腺剂量!$R5+SUMPRODUCT(GG$5:GG$27,后果甲状腺剂量!$K$5:$K$27)*后果甲状腺剂量!$S5+(SUMPRODUCT(GH$5:GH$27,后果甲状腺剂量!$K$5:$K$27)+SUMPRODUCT(GI$5:GI$27,后果甲状腺剂量!$K$5:$K$27))*后果甲状腺剂量!$T5+SUMPRODUCT(GJ$5:GJ$27,后果甲状腺剂量!$K$5:$K$27)*后果甲状腺剂量!$U5</f>
        <v>0</v>
      </c>
      <c r="GG31" s="454">
        <f t="shared" ref="GG31:GG56" si="260">GE31*1000</f>
        <v>0</v>
      </c>
      <c r="GH31" s="454">
        <f t="shared" ref="GH31:GH56" si="261">GF31*1000</f>
        <v>0</v>
      </c>
      <c r="GI31" s="436"/>
      <c r="GJ31" s="436"/>
    </row>
    <row r="32" spans="1:192">
      <c r="A32" s="432" t="s">
        <v>293</v>
      </c>
      <c r="B32" s="407" t="s">
        <v>267</v>
      </c>
      <c r="C32" s="428">
        <f>-LN(1-0%)/8/3600</f>
        <v>0</v>
      </c>
      <c r="D32" s="410" t="s">
        <v>268</v>
      </c>
      <c r="E32" s="409" t="s">
        <v>269</v>
      </c>
      <c r="G32" s="440">
        <f>后果有效剂量!$P6</f>
        <v>0</v>
      </c>
      <c r="H32" s="441">
        <f ca="1">SUMPRODUCT(H$5:H$27,后果有效剂量!$I$5:$I$27)*后果有效剂量!$Q6+SUMPRODUCT(I$5:I$27,后果有效剂量!$I$5:$I$27)*后果有效剂量!$Q6+SUMPRODUCT(J$5:J$27,后果有效剂量!$I$5:$I$27)*后果有效剂量!$R6+SUMPRODUCT(K$5:K$27,后果有效剂量!$I$5:$I$27)*后果有效剂量!$S6+SUMPRODUCT(L$5:L$27,后果有效剂量!$I$5:$I$27)*后果有效剂量!$T6+SUMPRODUCT(M$5:M$27,后果有效剂量!$I$5:$I$27)*后果有效剂量!$U6+SUMPRODUCT(H$5:H$27,后果有效剂量!$J$5:$J$27)*后果有效剂量!$Q6*后果有效剂量!$Q$3+SUMPRODUCT(I$5:I$27,后果有效剂量!$J$5:$J$27)*后果有效剂量!$Q6*后果有效剂量!$Q$3+SUMPRODUCT(J$5:J$27,后果有效剂量!$J$5:$J$27)*后果有效剂量!$R6*后果有效剂量!$R$3+SUMPRODUCT(K$5:K$27,后果有效剂量!$J$5:$J$27)*后果有效剂量!$S6*后果有效剂量!$S$3+SUMPRODUCT(L$5:L$27,后果有效剂量!$J$5:$J$27)*后果有效剂量!$T6*后果有效剂量!$T$3+SUMPRODUCT(M$5:M$27,后果有效剂量!$J$5:$J$27)*后果有效剂量!$U6*后果有效剂量!$U$3+SUMPRODUCT(H$5:H$27,后果有效剂量!$K$5:$K$27)*后果有效剂量!$Q6+SUMPRODUCT(I$5:I$27,后果有效剂量!$K$5:$K$27)*后果有效剂量!$Q6+SUMPRODUCT(J$5:J$27,后果有效剂量!$K$5:$K$27)*后果有效剂量!$R6+SUMPRODUCT(K$5:K$27,后果有效剂量!$K$5:$K$27)*后果有效剂量!$S6+SUMPRODUCT(L$5:L$27,后果有效剂量!$K$5:$K$27)*后果有效剂量!$T6+SUMPRODUCT(M$5:M$27,后果有效剂量!$K$5:$K$27)*后果有效剂量!$U6</f>
        <v>0</v>
      </c>
      <c r="I32" s="453">
        <f ca="1">SUMPRODUCT(H$5:H$27,后果甲状腺剂量!$I$5:$I$27)*后果甲状腺剂量!$Q6+SUMPRODUCT(I$5:I$27,后果甲状腺剂量!$I$5:$I$27)*后果甲状腺剂量!$Q6+SUMPRODUCT(J$5:J$27,后果甲状腺剂量!$I$5:$I$27)*后果甲状腺剂量!$R6+SUMPRODUCT(K$5:K$27,后果甲状腺剂量!$I$5:$I$27)*后果甲状腺剂量!$S6+SUMPRODUCT(L$5:L$27,后果甲状腺剂量!$I$5:$I$27)*后果甲状腺剂量!$T6+SUMPRODUCT(M$5:M$27,后果甲状腺剂量!$I$5:$I$27)*后果甲状腺剂量!$U6+SUMPRODUCT(H$5:H$27,后果甲状腺剂量!$J$5:$J$27)*后果甲状腺剂量!$Q6*后果甲状腺剂量!$Q$3+SUMPRODUCT(I$5:I$27,后果甲状腺剂量!$J$5:$J$27)*后果甲状腺剂量!$Q6*后果甲状腺剂量!$Q$3+SUMPRODUCT(J$5:J$27,后果甲状腺剂量!$J$5:$J$27)*后果甲状腺剂量!$R6*后果甲状腺剂量!$R$3+SUMPRODUCT(K$5:K$27,后果甲状腺剂量!$J$5:$J$27)*后果甲状腺剂量!$S6*后果甲状腺剂量!$S$3+SUMPRODUCT(L$5:L$27,后果甲状腺剂量!$J$5:$J$27)*后果甲状腺剂量!$T6*后果甲状腺剂量!$T$3+SUMPRODUCT(M$5:M$27,后果甲状腺剂量!$J$5:$J$27)*后果甲状腺剂量!$U6*后果甲状腺剂量!$U$3+SUMPRODUCT(H$5:H$27,后果甲状腺剂量!$K$5:$K$27)*后果甲状腺剂量!$Q6+SUMPRODUCT(I$5:I$27,后果甲状腺剂量!$K$5:$K$27)*后果甲状腺剂量!$Q6+SUMPRODUCT(J$5:J$27,后果甲状腺剂量!$K$5:$K$27)*后果甲状腺剂量!$R6+SUMPRODUCT(K$5:K$27,后果甲状腺剂量!$K$5:$K$27)*后果甲状腺剂量!$S6+SUMPRODUCT(L$5:L$27,后果甲状腺剂量!$K$5:$K$27)*后果甲状腺剂量!$T6+SUMPRODUCT(M$5:M$27,后果甲状腺剂量!$K$5:$K$27)*后果甲状腺剂量!$U6</f>
        <v>0</v>
      </c>
      <c r="J32" s="454">
        <f ca="1" t="shared" si="254"/>
        <v>0</v>
      </c>
      <c r="K32" s="454">
        <f ca="1" t="shared" si="255"/>
        <v>0</v>
      </c>
      <c r="L32" s="436"/>
      <c r="M32" s="436"/>
      <c r="N32" s="455"/>
      <c r="O32" s="390"/>
      <c r="Q32" s="440">
        <f>后果有效剂量!$P6</f>
        <v>0</v>
      </c>
      <c r="R32" s="441">
        <f ca="1">SUMPRODUCT(R$5:R$27,后果有效剂量!$I$5:$I$27)*后果有效剂量!$Q6+SUMPRODUCT(S$5:S$27,后果有效剂量!$I$5:$I$27)*后果有效剂量!$Q6+SUMPRODUCT(T$5:T$27,后果有效剂量!$I$5:$I$27)*后果有效剂量!$R6+SUMPRODUCT(U$5:U$27,后果有效剂量!$I$5:$I$27)*后果有效剂量!$S6+SUMPRODUCT(V$5:V$27,后果有效剂量!$I$5:$I$27)*后果有效剂量!$T6+SUMPRODUCT(W$5:W$27,后果有效剂量!$I$5:$I$27)*后果有效剂量!$U6+SUMPRODUCT(R$5:R$27,后果有效剂量!$J$5:$J$27)*后果有效剂量!$Q6*后果有效剂量!$Q$3+SUMPRODUCT(S$5:S$27,后果有效剂量!$J$5:$J$27)*后果有效剂量!$Q6*后果有效剂量!$Q$3+SUMPRODUCT(T$5:T$27,后果有效剂量!$J$5:$J$27)*后果有效剂量!$R6*后果有效剂量!$R$3+SUMPRODUCT(U$5:U$27,后果有效剂量!$J$5:$J$27)*后果有效剂量!$S6*后果有效剂量!$S$3+SUMPRODUCT(V$5:V$27,后果有效剂量!$J$5:$J$27)*后果有效剂量!$T6*后果有效剂量!$T$3+SUMPRODUCT(W$5:W$27,后果有效剂量!$J$5:$J$27)*后果有效剂量!$U6*后果有效剂量!$U$3+SUMPRODUCT(R$5:R$27,后果有效剂量!$K$5:$K$27)*后果有效剂量!$Q6+SUMPRODUCT(S$5:S$27,后果有效剂量!$K$5:$K$27)*后果有效剂量!$Q6+SUMPRODUCT(T$5:T$27,后果有效剂量!$K$5:$K$27)*后果有效剂量!$R6+SUMPRODUCT(U$5:U$27,后果有效剂量!$K$5:$K$27)*后果有效剂量!$S6+SUMPRODUCT(V$5:V$27,后果有效剂量!$K$5:$K$27)*后果有效剂量!$T6+SUMPRODUCT(W$5:W$27,后果有效剂量!$K$5:$K$27)*后果有效剂量!$U6</f>
        <v>0</v>
      </c>
      <c r="S32" s="453">
        <f ca="1">SUMPRODUCT(R$5:R$27,后果甲状腺剂量!$I$5:$I$27)*后果甲状腺剂量!$Q6+SUMPRODUCT(S$5:S$27,后果甲状腺剂量!$I$5:$I$27)*后果甲状腺剂量!$Q6+SUMPRODUCT(T$5:T$27,后果甲状腺剂量!$I$5:$I$27)*后果甲状腺剂量!$R6+SUMPRODUCT(U$5:U$27,后果甲状腺剂量!$I$5:$I$27)*后果甲状腺剂量!$S6+SUMPRODUCT(V$5:V$27,后果甲状腺剂量!$I$5:$I$27)*后果甲状腺剂量!$T6+SUMPRODUCT(W$5:W$27,后果甲状腺剂量!$I$5:$I$27)*后果甲状腺剂量!$U6+SUMPRODUCT(R$5:R$27,后果甲状腺剂量!$J$5:$J$27)*后果甲状腺剂量!$Q6*后果甲状腺剂量!$Q$3+SUMPRODUCT(S$5:S$27,后果甲状腺剂量!$J$5:$J$27)*后果甲状腺剂量!$Q6*后果甲状腺剂量!$Q$3+SUMPRODUCT(T$5:T$27,后果甲状腺剂量!$J$5:$J$27)*后果甲状腺剂量!$R6*后果甲状腺剂量!$R$3+SUMPRODUCT(U$5:U$27,后果甲状腺剂量!$J$5:$J$27)*后果甲状腺剂量!$S6*后果甲状腺剂量!$S$3+SUMPRODUCT(V$5:V$27,后果甲状腺剂量!$J$5:$J$27)*后果甲状腺剂量!$T6*后果甲状腺剂量!$T$3+SUMPRODUCT(W$5:W$27,后果甲状腺剂量!$J$5:$J$27)*后果甲状腺剂量!$U6*后果甲状腺剂量!$U$3+SUMPRODUCT(R$5:R$27,后果甲状腺剂量!$K$5:$K$27)*后果甲状腺剂量!$Q6+SUMPRODUCT(S$5:S$27,后果甲状腺剂量!$K$5:$K$27)*后果甲状腺剂量!$Q6+SUMPRODUCT(T$5:T$27,后果甲状腺剂量!$K$5:$K$27)*后果甲状腺剂量!$R6+SUMPRODUCT(U$5:U$27,后果甲状腺剂量!$K$5:$K$27)*后果甲状腺剂量!$S6+SUMPRODUCT(V$5:V$27,后果甲状腺剂量!$K$5:$K$27)*后果甲状腺剂量!$T6+SUMPRODUCT(W$5:W$27,后果甲状腺剂量!$K$5:$K$27)*后果甲状腺剂量!$U6</f>
        <v>0</v>
      </c>
      <c r="T32" s="454">
        <f ca="1" t="shared" si="256"/>
        <v>0</v>
      </c>
      <c r="U32" s="454">
        <f ca="1" t="shared" si="257"/>
        <v>0</v>
      </c>
      <c r="V32" s="436"/>
      <c r="W32" s="436"/>
      <c r="AN32" s="533"/>
      <c r="AO32" s="390"/>
      <c r="AP32" s="390"/>
      <c r="AQ32" s="390"/>
      <c r="AR32" s="390"/>
      <c r="AS32" s="572"/>
      <c r="AT32" s="390"/>
      <c r="AU32" s="390"/>
      <c r="AV32" s="394"/>
      <c r="AW32" s="394"/>
      <c r="AX32" s="394"/>
      <c r="AY32" s="394"/>
      <c r="AZ32" s="394"/>
      <c r="BA32" s="394"/>
      <c r="BB32" s="394"/>
      <c r="BC32" s="394"/>
      <c r="BD32" s="394"/>
      <c r="BE32" s="394"/>
      <c r="BF32" s="394"/>
      <c r="BG32" s="394"/>
      <c r="BH32" s="394"/>
      <c r="BI32" s="394"/>
      <c r="BJ32" s="394"/>
      <c r="BK32" s="394"/>
      <c r="BL32" s="394"/>
      <c r="BM32" s="394"/>
      <c r="BN32" s="394"/>
      <c r="BO32" s="600"/>
      <c r="BP32" s="600"/>
      <c r="BQ32" s="394"/>
      <c r="BR32" s="394"/>
      <c r="BS32" s="394"/>
      <c r="BT32" s="394"/>
      <c r="BU32" s="394"/>
      <c r="BV32" s="394"/>
      <c r="BW32" s="394"/>
      <c r="BX32" s="394"/>
      <c r="BY32" s="394"/>
      <c r="BZ32" s="394"/>
      <c r="CA32" s="394"/>
      <c r="CB32" s="394"/>
      <c r="CC32" s="394"/>
      <c r="CD32" s="394"/>
      <c r="CE32" s="394"/>
      <c r="CF32" s="394"/>
      <c r="CG32" s="394"/>
      <c r="CH32" s="394"/>
      <c r="CI32" s="394"/>
      <c r="CJ32" s="600"/>
      <c r="CK32" s="394"/>
      <c r="CL32" s="394"/>
      <c r="CM32" s="394"/>
      <c r="CN32" s="394"/>
      <c r="CO32" s="394"/>
      <c r="CP32" s="394"/>
      <c r="CQ32" s="394"/>
      <c r="CR32" s="394"/>
      <c r="CS32" s="394"/>
      <c r="CT32" s="394"/>
      <c r="CU32" s="394"/>
      <c r="CV32" s="394"/>
      <c r="CW32" s="394"/>
      <c r="CX32" s="394"/>
      <c r="CY32" s="394"/>
      <c r="CZ32" s="394"/>
      <c r="DA32" s="394"/>
      <c r="DB32" s="394"/>
      <c r="DC32" s="394"/>
      <c r="DD32" s="394"/>
      <c r="DE32" s="394"/>
      <c r="DF32" s="394"/>
      <c r="DG32" s="394"/>
      <c r="DH32" s="394"/>
      <c r="DI32" s="394"/>
      <c r="DJ32" s="394"/>
      <c r="DK32" s="394"/>
      <c r="DL32" s="394"/>
      <c r="DM32" s="394"/>
      <c r="DN32" s="394"/>
      <c r="DO32" s="394"/>
      <c r="DP32" s="394"/>
      <c r="DQ32" s="394"/>
      <c r="DR32" s="394"/>
      <c r="DS32" s="394"/>
      <c r="DT32" s="394"/>
      <c r="DU32" s="394"/>
      <c r="DV32" s="394"/>
      <c r="DW32" s="394"/>
      <c r="DX32" s="394"/>
      <c r="DY32" s="394"/>
      <c r="DZ32" s="600"/>
      <c r="EA32" s="394"/>
      <c r="EB32" s="394"/>
      <c r="EC32" s="394"/>
      <c r="ED32" s="394"/>
      <c r="EE32" s="394"/>
      <c r="EF32" s="394"/>
      <c r="EG32" s="394"/>
      <c r="EH32" s="394"/>
      <c r="EI32" s="394"/>
      <c r="EJ32" s="394"/>
      <c r="EK32" s="394"/>
      <c r="EL32" s="394"/>
      <c r="EM32" s="394"/>
      <c r="EN32" s="394"/>
      <c r="EO32" s="394"/>
      <c r="EP32" s="394"/>
      <c r="EQ32" s="394"/>
      <c r="ER32" s="394"/>
      <c r="ES32" s="394"/>
      <c r="ET32" s="394"/>
      <c r="EU32" s="603"/>
      <c r="EV32" s="394"/>
      <c r="EW32" s="394"/>
      <c r="EX32" s="394"/>
      <c r="EY32" s="394"/>
      <c r="EZ32" s="394"/>
      <c r="FA32" s="394"/>
      <c r="FB32" s="394"/>
      <c r="FC32" s="394"/>
      <c r="FD32" s="394"/>
      <c r="FE32" s="394"/>
      <c r="FF32" s="394"/>
      <c r="FG32" s="394"/>
      <c r="FH32" s="394"/>
      <c r="FI32" s="394"/>
      <c r="FJ32" s="394"/>
      <c r="FK32" s="394"/>
      <c r="FL32" s="394"/>
      <c r="FM32" s="394"/>
      <c r="FN32" s="394"/>
      <c r="FO32" s="394"/>
      <c r="FP32" s="603"/>
      <c r="FQ32" s="394"/>
      <c r="FS32" s="441">
        <f>SUMPRODUCT(FS$5:FS$27,后果有效剂量!$I$5:$I$27)*后果有效剂量!$Q6+SUMPRODUCT(FT$5:FT$27,后果有效剂量!$I$5:$I$27)*后果有效剂量!$R6+SUMPRODUCT(FU$5:FU$27,后果有效剂量!$I$5:$I$27)*后果有效剂量!$S6+SUMPRODUCT(FV$5:FV$27,后果有效剂量!$I$5:$I$27)*后果有效剂量!$T6+SUMPRODUCT(FS$5:FS$27,后果有效剂量!$J$5:$J$27)*后果有效剂量!$Q6*后果有效剂量!$Q$3+SUMPRODUCT(FT$5:FT$27,后果有效剂量!$J$5:$J$27)*后果有效剂量!$R6*后果有效剂量!$R$3+SUMPRODUCT(FU$5:FU$27,后果有效剂量!$J$5:$J$27)*后果有效剂量!$S6*后果有效剂量!$S$3+SUMPRODUCT(FV$5:FV$27,后果有效剂量!$J$5:$J$27)*后果有效剂量!$T6*后果有效剂量!$T$3+SUMPRODUCT(FS$5:FS$27,后果有效剂量!$K$5:$K$27)*后果有效剂量!$Q6+SUMPRODUCT(FT$5:FT$27,后果有效剂量!$K$5:$K$27)*后果有效剂量!$R6+SUMPRODUCT(FU$5:FU$27,后果有效剂量!$K$5:$K$27)*后果有效剂量!$S6+SUMPRODUCT(FV$5:FV$27,后果有效剂量!$K$5:$K$27)*后果有效剂量!$T6</f>
        <v>0</v>
      </c>
      <c r="FT32" s="453">
        <f>SUMPRODUCT(FS$5:FS$27,后果甲状腺剂量!$I$5:$I$27)*后果甲状腺剂量!$Q6+SUMPRODUCT(FT$5:FT$27,后果甲状腺剂量!$I$5:$I$27)*后果甲状腺剂量!$R6+SUMPRODUCT(FU$5:FU$27,后果甲状腺剂量!$I$5:$I$27)*后果甲状腺剂量!$S6+SUMPRODUCT(FV$5:FV$27,后果甲状腺剂量!$I$5:$I$27)*后果甲状腺剂量!$T6+SUMPRODUCT(FS$5:FS$27,后果甲状腺剂量!$J$5:$J$27)*后果甲状腺剂量!$Q6*后果甲状腺剂量!$Q$3+SUMPRODUCT(FT$5:FT$27,后果甲状腺剂量!$J$5:$J$27)*后果甲状腺剂量!$R6*后果甲状腺剂量!$R$3+SUMPRODUCT(FU$5:FU$27,后果甲状腺剂量!$J$5:$J$27)*后果甲状腺剂量!$S6*后果甲状腺剂量!$S$3+SUMPRODUCT(FV$5:FV$27,后果甲状腺剂量!$J$5:$J$27)*后果甲状腺剂量!$T6*后果甲状腺剂量!$T$3+SUMPRODUCT(FS$5:FS$27,后果甲状腺剂量!$K$5:$K$27)*后果甲状腺剂量!$Q6+SUMPRODUCT(FT$5:FT$27,后果甲状腺剂量!$K$5:$K$27)*后果甲状腺剂量!$R6+SUMPRODUCT(FU$5:FU$27,后果甲状腺剂量!$K$5:$K$27)*后果甲状腺剂量!$S6+SUMPRODUCT(FV$5:FV$27,后果甲状腺剂量!$K$5:$K$27)*后果甲状腺剂量!$T6</f>
        <v>0</v>
      </c>
      <c r="FU32" s="454">
        <f t="shared" si="258"/>
        <v>0</v>
      </c>
      <c r="FV32" s="454">
        <f t="shared" si="259"/>
        <v>0</v>
      </c>
      <c r="FW32" s="436"/>
      <c r="FX32" s="436"/>
      <c r="GD32" s="440">
        <f>后果有效剂量!$P6</f>
        <v>0</v>
      </c>
      <c r="GE32" s="441">
        <f>SUMPRODUCT(GE$5:GE$27,后果有效剂量!$I$5:$I$27)*后果有效剂量!$Q6+SUMPRODUCT(GF$5:GF$27,后果有效剂量!$I$5:$I$27)*后果有效剂量!$R6+SUMPRODUCT(GG$5:GG$27,后果有效剂量!$I$5:$I$27)*后果有效剂量!$S6+(SUMPRODUCT(GH$5:GH$27,后果有效剂量!$I$5:$I$27)+SUMPRODUCT(GI$5:GI$27,后果有效剂量!$I$5:$I$27))*后果有效剂量!$T6+SUMPRODUCT(GJ$5:GJ$27,后果有效剂量!$I$5:$I$27)*后果有效剂量!$U6+SUMPRODUCT(GE$5:GE$27,后果有效剂量!$J$5:$J$27)*后果有效剂量!$Q6*后果有效剂量!$Q$3+SUMPRODUCT(GF$5:GF$27,后果有效剂量!$J$5:$J$27)*后果有效剂量!$R6*后果有效剂量!$R$3+SUMPRODUCT(GG$5:GG$27,后果有效剂量!$J$5:$J$27)*后果有效剂量!$S6*后果有效剂量!$S$3+(SUMPRODUCT(GH$5:GH$27,后果有效剂量!$J$5:$J$27)+SUMPRODUCT(GI$5:GI$27,后果有效剂量!$J$5:$J$27))*后果有效剂量!$T6*后果有效剂量!$T$3+SUMPRODUCT(GJ$5:GJ$27,后果有效剂量!$J$5:$J$27)*后果有效剂量!$U6*后果有效剂量!$U$3+SUMPRODUCT(GE$5:GE$27,后果有效剂量!$K$5:$K$27)*后果有效剂量!$Q6+SUMPRODUCT(GF$5:GF$27,后果有效剂量!$K$5:$K$27)*后果有效剂量!$R6+SUMPRODUCT(GG$5:GG$27,后果有效剂量!$K$5:$K$27)*后果有效剂量!$S6+(SUMPRODUCT(GH$5:GH$27,后果有效剂量!$K$5:$K$27)+SUMPRODUCT(GI$5:GI$27,后果有效剂量!$K$5:$K$27))*后果有效剂量!$T6+SUMPRODUCT(GJ$5:GJ$27,后果有效剂量!$K$5:$K$27)*后果有效剂量!$U6</f>
        <v>0</v>
      </c>
      <c r="GF32" s="453">
        <f>SUMPRODUCT(GE$5:GE$27,后果甲状腺剂量!$I$5:$I$27)*后果甲状腺剂量!$Q6+SUMPRODUCT(GF$5:GF$27,后果甲状腺剂量!$I$5:$I$27)*后果甲状腺剂量!$R6+SUMPRODUCT(GG$5:GG$27,后果甲状腺剂量!$I$5:$I$27)*后果甲状腺剂量!$S6+(SUMPRODUCT(GH$5:GH$27,后果甲状腺剂量!$I$5:$I$27)+SUMPRODUCT(GI$5:GI$27,后果甲状腺剂量!$I$5:$I$27))*后果甲状腺剂量!$T6+SUMPRODUCT(GJ$5:GJ$27,后果甲状腺剂量!$I$5:$I$27)*后果甲状腺剂量!$U6+SUMPRODUCT(GE$5:GE$27,后果甲状腺剂量!$J$5:$J$27)*后果甲状腺剂量!$Q6*后果甲状腺剂量!$Q$3+SUMPRODUCT(GF$5:GF$27,后果甲状腺剂量!$J$5:$J$27)*后果甲状腺剂量!$R6*后果甲状腺剂量!$R$3+SUMPRODUCT(GG$5:GG$27,后果甲状腺剂量!$J$5:$J$27)*后果甲状腺剂量!$S6*后果甲状腺剂量!$S$3+(SUMPRODUCT(GH$5:GH$27,后果甲状腺剂量!$J$5:$J$27)+SUMPRODUCT(GI$5:GI$27,后果甲状腺剂量!$J$5:$J$27))*后果甲状腺剂量!$T6*后果甲状腺剂量!$T$3+SUMPRODUCT(GJ$5:GJ$27,后果甲状腺剂量!$J$5:$J$27)*后果甲状腺剂量!$U6*后果甲状腺剂量!$U$3+SUMPRODUCT(GE$5:GE$27,后果甲状腺剂量!$K$5:$K$27)*后果甲状腺剂量!$Q6+SUMPRODUCT(GF$5:GF$27,后果甲状腺剂量!$K$5:$K$27)*后果甲状腺剂量!$R6+SUMPRODUCT(GG$5:GG$27,后果甲状腺剂量!$K$5:$K$27)*后果甲状腺剂量!$S6+(SUMPRODUCT(GH$5:GH$27,后果甲状腺剂量!$K$5:$K$27)+SUMPRODUCT(GI$5:GI$27,后果甲状腺剂量!$K$5:$K$27))*后果甲状腺剂量!$T6+SUMPRODUCT(GJ$5:GJ$27,后果甲状腺剂量!$K$5:$K$27)*后果甲状腺剂量!$U6</f>
        <v>0</v>
      </c>
      <c r="GG32" s="454">
        <f t="shared" si="260"/>
        <v>0</v>
      </c>
      <c r="GH32" s="454">
        <f t="shared" si="261"/>
        <v>0</v>
      </c>
      <c r="GI32" s="436"/>
      <c r="GJ32" s="436"/>
    </row>
    <row r="33" spans="1:192">
      <c r="A33" s="430"/>
      <c r="B33" s="407" t="s">
        <v>270</v>
      </c>
      <c r="C33" s="437">
        <f ca="1">IF(96&lt;=$C$13-$C$12,MAX(1%,INDIRECT("'"&amp;$B$2&amp;"-事故进程'!$AE$23")*150%),0.000000000000001)</f>
        <v>0.01</v>
      </c>
      <c r="D33" s="410"/>
      <c r="E33" s="409" t="s">
        <v>271</v>
      </c>
      <c r="G33" s="440">
        <f>后果有效剂量!$P7</f>
        <v>0</v>
      </c>
      <c r="H33" s="441">
        <f ca="1">SUMPRODUCT(H$5:H$27,后果有效剂量!$I$5:$I$27)*后果有效剂量!$Q7+SUMPRODUCT(I$5:I$27,后果有效剂量!$I$5:$I$27)*后果有效剂量!$Q7+SUMPRODUCT(J$5:J$27,后果有效剂量!$I$5:$I$27)*后果有效剂量!$R7+SUMPRODUCT(K$5:K$27,后果有效剂量!$I$5:$I$27)*后果有效剂量!$S7+SUMPRODUCT(L$5:L$27,后果有效剂量!$I$5:$I$27)*后果有效剂量!$T7+SUMPRODUCT(M$5:M$27,后果有效剂量!$I$5:$I$27)*后果有效剂量!$U7+SUMPRODUCT(H$5:H$27,后果有效剂量!$J$5:$J$27)*后果有效剂量!$Q7*后果有效剂量!$Q$3+SUMPRODUCT(I$5:I$27,后果有效剂量!$J$5:$J$27)*后果有效剂量!$Q7*后果有效剂量!$Q$3+SUMPRODUCT(J$5:J$27,后果有效剂量!$J$5:$J$27)*后果有效剂量!$R7*后果有效剂量!$R$3+SUMPRODUCT(K$5:K$27,后果有效剂量!$J$5:$J$27)*后果有效剂量!$S7*后果有效剂量!$S$3+SUMPRODUCT(L$5:L$27,后果有效剂量!$J$5:$J$27)*后果有效剂量!$T7*后果有效剂量!$T$3+SUMPRODUCT(M$5:M$27,后果有效剂量!$J$5:$J$27)*后果有效剂量!$U7*后果有效剂量!$U$3+SUMPRODUCT(H$5:H$27,后果有效剂量!$K$5:$K$27)*后果有效剂量!$Q7+SUMPRODUCT(I$5:I$27,后果有效剂量!$K$5:$K$27)*后果有效剂量!$Q7+SUMPRODUCT(J$5:J$27,后果有效剂量!$K$5:$K$27)*后果有效剂量!$R7+SUMPRODUCT(K$5:K$27,后果有效剂量!$K$5:$K$27)*后果有效剂量!$S7+SUMPRODUCT(L$5:L$27,后果有效剂量!$K$5:$K$27)*后果有效剂量!$T7+SUMPRODUCT(M$5:M$27,后果有效剂量!$K$5:$K$27)*后果有效剂量!$U7</f>
        <v>0</v>
      </c>
      <c r="I33" s="453">
        <f ca="1">SUMPRODUCT(H$5:H$27,后果甲状腺剂量!$I$5:$I$27)*后果甲状腺剂量!$Q7+SUMPRODUCT(I$5:I$27,后果甲状腺剂量!$I$5:$I$27)*后果甲状腺剂量!$Q7+SUMPRODUCT(J$5:J$27,后果甲状腺剂量!$I$5:$I$27)*后果甲状腺剂量!$R7+SUMPRODUCT(K$5:K$27,后果甲状腺剂量!$I$5:$I$27)*后果甲状腺剂量!$S7+SUMPRODUCT(L$5:L$27,后果甲状腺剂量!$I$5:$I$27)*后果甲状腺剂量!$T7+SUMPRODUCT(M$5:M$27,后果甲状腺剂量!$I$5:$I$27)*后果甲状腺剂量!$U7+SUMPRODUCT(H$5:H$27,后果甲状腺剂量!$J$5:$J$27)*后果甲状腺剂量!$Q7*后果甲状腺剂量!$Q$3+SUMPRODUCT(I$5:I$27,后果甲状腺剂量!$J$5:$J$27)*后果甲状腺剂量!$Q7*后果甲状腺剂量!$Q$3+SUMPRODUCT(J$5:J$27,后果甲状腺剂量!$J$5:$J$27)*后果甲状腺剂量!$R7*后果甲状腺剂量!$R$3+SUMPRODUCT(K$5:K$27,后果甲状腺剂量!$J$5:$J$27)*后果甲状腺剂量!$S7*后果甲状腺剂量!$S$3+SUMPRODUCT(L$5:L$27,后果甲状腺剂量!$J$5:$J$27)*后果甲状腺剂量!$T7*后果甲状腺剂量!$T$3+SUMPRODUCT(M$5:M$27,后果甲状腺剂量!$J$5:$J$27)*后果甲状腺剂量!$U7*后果甲状腺剂量!$U$3+SUMPRODUCT(H$5:H$27,后果甲状腺剂量!$K$5:$K$27)*后果甲状腺剂量!$Q7+SUMPRODUCT(I$5:I$27,后果甲状腺剂量!$K$5:$K$27)*后果甲状腺剂量!$Q7+SUMPRODUCT(J$5:J$27,后果甲状腺剂量!$K$5:$K$27)*后果甲状腺剂量!$R7+SUMPRODUCT(K$5:K$27,后果甲状腺剂量!$K$5:$K$27)*后果甲状腺剂量!$S7+SUMPRODUCT(L$5:L$27,后果甲状腺剂量!$K$5:$K$27)*后果甲状腺剂量!$T7+SUMPRODUCT(M$5:M$27,后果甲状腺剂量!$K$5:$K$27)*后果甲状腺剂量!$U7</f>
        <v>0</v>
      </c>
      <c r="J33" s="454">
        <f ca="1" t="shared" si="254"/>
        <v>0</v>
      </c>
      <c r="K33" s="454">
        <f ca="1" t="shared" si="255"/>
        <v>0</v>
      </c>
      <c r="L33" s="436"/>
      <c r="M33" s="436"/>
      <c r="N33" s="455"/>
      <c r="O33" s="390"/>
      <c r="Q33" s="440">
        <f>后果有效剂量!$P7</f>
        <v>0</v>
      </c>
      <c r="R33" s="441">
        <f ca="1">SUMPRODUCT(R$5:R$27,后果有效剂量!$I$5:$I$27)*后果有效剂量!$Q7+SUMPRODUCT(S$5:S$27,后果有效剂量!$I$5:$I$27)*后果有效剂量!$Q7+SUMPRODUCT(T$5:T$27,后果有效剂量!$I$5:$I$27)*后果有效剂量!$R7+SUMPRODUCT(U$5:U$27,后果有效剂量!$I$5:$I$27)*后果有效剂量!$S7+SUMPRODUCT(V$5:V$27,后果有效剂量!$I$5:$I$27)*后果有效剂量!$T7+SUMPRODUCT(W$5:W$27,后果有效剂量!$I$5:$I$27)*后果有效剂量!$U7+SUMPRODUCT(R$5:R$27,后果有效剂量!$J$5:$J$27)*后果有效剂量!$Q7*后果有效剂量!$Q$3+SUMPRODUCT(S$5:S$27,后果有效剂量!$J$5:$J$27)*后果有效剂量!$Q7*后果有效剂量!$Q$3+SUMPRODUCT(T$5:T$27,后果有效剂量!$J$5:$J$27)*后果有效剂量!$R7*后果有效剂量!$R$3+SUMPRODUCT(U$5:U$27,后果有效剂量!$J$5:$J$27)*后果有效剂量!$S7*后果有效剂量!$S$3+SUMPRODUCT(V$5:V$27,后果有效剂量!$J$5:$J$27)*后果有效剂量!$T7*后果有效剂量!$T$3+SUMPRODUCT(W$5:W$27,后果有效剂量!$J$5:$J$27)*后果有效剂量!$U7*后果有效剂量!$U$3+SUMPRODUCT(R$5:R$27,后果有效剂量!$K$5:$K$27)*后果有效剂量!$Q7+SUMPRODUCT(S$5:S$27,后果有效剂量!$K$5:$K$27)*后果有效剂量!$Q7+SUMPRODUCT(T$5:T$27,后果有效剂量!$K$5:$K$27)*后果有效剂量!$R7+SUMPRODUCT(U$5:U$27,后果有效剂量!$K$5:$K$27)*后果有效剂量!$S7+SUMPRODUCT(V$5:V$27,后果有效剂量!$K$5:$K$27)*后果有效剂量!$T7+SUMPRODUCT(W$5:W$27,后果有效剂量!$K$5:$K$27)*后果有效剂量!$U7</f>
        <v>0</v>
      </c>
      <c r="S33" s="453">
        <f ca="1">SUMPRODUCT(R$5:R$27,后果甲状腺剂量!$I$5:$I$27)*后果甲状腺剂量!$Q7+SUMPRODUCT(S$5:S$27,后果甲状腺剂量!$I$5:$I$27)*后果甲状腺剂量!$Q7+SUMPRODUCT(T$5:T$27,后果甲状腺剂量!$I$5:$I$27)*后果甲状腺剂量!$R7+SUMPRODUCT(U$5:U$27,后果甲状腺剂量!$I$5:$I$27)*后果甲状腺剂量!$S7+SUMPRODUCT(V$5:V$27,后果甲状腺剂量!$I$5:$I$27)*后果甲状腺剂量!$T7+SUMPRODUCT(W$5:W$27,后果甲状腺剂量!$I$5:$I$27)*后果甲状腺剂量!$U7+SUMPRODUCT(R$5:R$27,后果甲状腺剂量!$J$5:$J$27)*后果甲状腺剂量!$Q7*后果甲状腺剂量!$Q$3+SUMPRODUCT(S$5:S$27,后果甲状腺剂量!$J$5:$J$27)*后果甲状腺剂量!$Q7*后果甲状腺剂量!$Q$3+SUMPRODUCT(T$5:T$27,后果甲状腺剂量!$J$5:$J$27)*后果甲状腺剂量!$R7*后果甲状腺剂量!$R$3+SUMPRODUCT(U$5:U$27,后果甲状腺剂量!$J$5:$J$27)*后果甲状腺剂量!$S7*后果甲状腺剂量!$S$3+SUMPRODUCT(V$5:V$27,后果甲状腺剂量!$J$5:$J$27)*后果甲状腺剂量!$T7*后果甲状腺剂量!$T$3+SUMPRODUCT(W$5:W$27,后果甲状腺剂量!$J$5:$J$27)*后果甲状腺剂量!$U7*后果甲状腺剂量!$U$3+SUMPRODUCT(R$5:R$27,后果甲状腺剂量!$K$5:$K$27)*后果甲状腺剂量!$Q7+SUMPRODUCT(S$5:S$27,后果甲状腺剂量!$K$5:$K$27)*后果甲状腺剂量!$Q7+SUMPRODUCT(T$5:T$27,后果甲状腺剂量!$K$5:$K$27)*后果甲状腺剂量!$R7+SUMPRODUCT(U$5:U$27,后果甲状腺剂量!$K$5:$K$27)*后果甲状腺剂量!$S7+SUMPRODUCT(V$5:V$27,后果甲状腺剂量!$K$5:$K$27)*后果甲状腺剂量!$T7+SUMPRODUCT(W$5:W$27,后果甲状腺剂量!$K$5:$K$27)*后果甲状腺剂量!$U7</f>
        <v>0</v>
      </c>
      <c r="T33" s="454">
        <f ca="1" t="shared" si="256"/>
        <v>0</v>
      </c>
      <c r="U33" s="454">
        <f ca="1" t="shared" si="257"/>
        <v>0</v>
      </c>
      <c r="V33" s="436"/>
      <c r="W33" s="436"/>
      <c r="AN33" s="533"/>
      <c r="AO33" s="390"/>
      <c r="AP33" s="390"/>
      <c r="AQ33" s="390"/>
      <c r="AR33" s="390"/>
      <c r="AS33" s="572"/>
      <c r="AT33" s="390"/>
      <c r="AU33" s="390"/>
      <c r="AV33" s="394"/>
      <c r="AW33" s="394"/>
      <c r="AX33" s="394"/>
      <c r="AY33" s="394"/>
      <c r="AZ33" s="394"/>
      <c r="BA33" s="394"/>
      <c r="BB33" s="394"/>
      <c r="BC33" s="394"/>
      <c r="BD33" s="394"/>
      <c r="BE33" s="394"/>
      <c r="BF33" s="394"/>
      <c r="BG33" s="394"/>
      <c r="BH33" s="394"/>
      <c r="BI33" s="394"/>
      <c r="BJ33" s="394"/>
      <c r="BK33" s="394"/>
      <c r="BL33" s="394"/>
      <c r="BM33" s="394"/>
      <c r="BN33" s="394"/>
      <c r="BO33" s="600"/>
      <c r="BP33" s="600"/>
      <c r="BQ33" s="394"/>
      <c r="BR33" s="394"/>
      <c r="BS33" s="394"/>
      <c r="BT33" s="394"/>
      <c r="BU33" s="394"/>
      <c r="BV33" s="394"/>
      <c r="BW33" s="394"/>
      <c r="BX33" s="394"/>
      <c r="BY33" s="394"/>
      <c r="BZ33" s="394"/>
      <c r="CA33" s="394"/>
      <c r="CB33" s="394"/>
      <c r="CC33" s="394"/>
      <c r="CD33" s="394"/>
      <c r="CE33" s="394"/>
      <c r="CF33" s="394"/>
      <c r="CG33" s="394"/>
      <c r="CH33" s="394"/>
      <c r="CI33" s="394"/>
      <c r="CJ33" s="600"/>
      <c r="CK33" s="394"/>
      <c r="CL33" s="394"/>
      <c r="CM33" s="394"/>
      <c r="CN33" s="394"/>
      <c r="CO33" s="394"/>
      <c r="CP33" s="394"/>
      <c r="CQ33" s="394"/>
      <c r="CR33" s="394"/>
      <c r="CS33" s="394"/>
      <c r="CT33" s="394"/>
      <c r="CU33" s="394"/>
      <c r="CV33" s="394"/>
      <c r="CW33" s="394"/>
      <c r="CX33" s="394"/>
      <c r="CY33" s="394"/>
      <c r="CZ33" s="394"/>
      <c r="DA33" s="394"/>
      <c r="DB33" s="394"/>
      <c r="DC33" s="394"/>
      <c r="DD33" s="394"/>
      <c r="DE33" s="394"/>
      <c r="DF33" s="394"/>
      <c r="DG33" s="394"/>
      <c r="DH33" s="394"/>
      <c r="DI33" s="394"/>
      <c r="DJ33" s="394"/>
      <c r="DK33" s="394"/>
      <c r="DL33" s="394"/>
      <c r="DM33" s="394"/>
      <c r="DN33" s="394"/>
      <c r="DO33" s="394"/>
      <c r="DP33" s="394"/>
      <c r="DQ33" s="394"/>
      <c r="DR33" s="394"/>
      <c r="DS33" s="394"/>
      <c r="DT33" s="394"/>
      <c r="DU33" s="394"/>
      <c r="DV33" s="394"/>
      <c r="DW33" s="394"/>
      <c r="DX33" s="394"/>
      <c r="DY33" s="394"/>
      <c r="DZ33" s="600"/>
      <c r="EA33" s="394"/>
      <c r="EB33" s="394"/>
      <c r="EC33" s="394"/>
      <c r="ED33" s="394"/>
      <c r="EE33" s="394"/>
      <c r="EF33" s="394"/>
      <c r="EG33" s="394"/>
      <c r="EH33" s="394"/>
      <c r="EI33" s="394"/>
      <c r="EJ33" s="394"/>
      <c r="EK33" s="394"/>
      <c r="EL33" s="394"/>
      <c r="EM33" s="394"/>
      <c r="EN33" s="394"/>
      <c r="EO33" s="394"/>
      <c r="EP33" s="394"/>
      <c r="EQ33" s="394"/>
      <c r="ER33" s="394"/>
      <c r="ES33" s="394"/>
      <c r="ET33" s="394"/>
      <c r="EU33" s="603"/>
      <c r="EV33" s="394"/>
      <c r="EW33" s="394"/>
      <c r="EX33" s="394"/>
      <c r="EY33" s="394"/>
      <c r="EZ33" s="394"/>
      <c r="FA33" s="394"/>
      <c r="FB33" s="394"/>
      <c r="FC33" s="394"/>
      <c r="FD33" s="394"/>
      <c r="FE33" s="394"/>
      <c r="FF33" s="394"/>
      <c r="FG33" s="394"/>
      <c r="FH33" s="394"/>
      <c r="FI33" s="394"/>
      <c r="FJ33" s="394"/>
      <c r="FK33" s="394"/>
      <c r="FL33" s="394"/>
      <c r="FM33" s="394"/>
      <c r="FN33" s="394"/>
      <c r="FO33" s="394"/>
      <c r="FP33" s="603"/>
      <c r="FQ33" s="394"/>
      <c r="FS33" s="441">
        <f>SUMPRODUCT(FS$5:FS$27,后果有效剂量!$I$5:$I$27)*后果有效剂量!$Q7+SUMPRODUCT(FT$5:FT$27,后果有效剂量!$I$5:$I$27)*后果有效剂量!$R7+SUMPRODUCT(FU$5:FU$27,后果有效剂量!$I$5:$I$27)*后果有效剂量!$S7+SUMPRODUCT(FV$5:FV$27,后果有效剂量!$I$5:$I$27)*后果有效剂量!$T7+SUMPRODUCT(FS$5:FS$27,后果有效剂量!$J$5:$J$27)*后果有效剂量!$Q7*后果有效剂量!$Q$3+SUMPRODUCT(FT$5:FT$27,后果有效剂量!$J$5:$J$27)*后果有效剂量!$R7*后果有效剂量!$R$3+SUMPRODUCT(FU$5:FU$27,后果有效剂量!$J$5:$J$27)*后果有效剂量!$S7*后果有效剂量!$S$3+SUMPRODUCT(FV$5:FV$27,后果有效剂量!$J$5:$J$27)*后果有效剂量!$T7*后果有效剂量!$T$3+SUMPRODUCT(FS$5:FS$27,后果有效剂量!$K$5:$K$27)*后果有效剂量!$Q7+SUMPRODUCT(FT$5:FT$27,后果有效剂量!$K$5:$K$27)*后果有效剂量!$R7+SUMPRODUCT(FU$5:FU$27,后果有效剂量!$K$5:$K$27)*后果有效剂量!$S7+SUMPRODUCT(FV$5:FV$27,后果有效剂量!$K$5:$K$27)*后果有效剂量!$T7</f>
        <v>0</v>
      </c>
      <c r="FT33" s="453">
        <f>SUMPRODUCT(FS$5:FS$27,后果甲状腺剂量!$I$5:$I$27)*后果甲状腺剂量!$Q7+SUMPRODUCT(FT$5:FT$27,后果甲状腺剂量!$I$5:$I$27)*后果甲状腺剂量!$R7+SUMPRODUCT(FU$5:FU$27,后果甲状腺剂量!$I$5:$I$27)*后果甲状腺剂量!$S7+SUMPRODUCT(FV$5:FV$27,后果甲状腺剂量!$I$5:$I$27)*后果甲状腺剂量!$T7+SUMPRODUCT(FS$5:FS$27,后果甲状腺剂量!$J$5:$J$27)*后果甲状腺剂量!$Q7*后果甲状腺剂量!$Q$3+SUMPRODUCT(FT$5:FT$27,后果甲状腺剂量!$J$5:$J$27)*后果甲状腺剂量!$R7*后果甲状腺剂量!$R$3+SUMPRODUCT(FU$5:FU$27,后果甲状腺剂量!$J$5:$J$27)*后果甲状腺剂量!$S7*后果甲状腺剂量!$S$3+SUMPRODUCT(FV$5:FV$27,后果甲状腺剂量!$J$5:$J$27)*后果甲状腺剂量!$T7*后果甲状腺剂量!$T$3+SUMPRODUCT(FS$5:FS$27,后果甲状腺剂量!$K$5:$K$27)*后果甲状腺剂量!$Q7+SUMPRODUCT(FT$5:FT$27,后果甲状腺剂量!$K$5:$K$27)*后果甲状腺剂量!$R7+SUMPRODUCT(FU$5:FU$27,后果甲状腺剂量!$K$5:$K$27)*后果甲状腺剂量!$S7+SUMPRODUCT(FV$5:FV$27,后果甲状腺剂量!$K$5:$K$27)*后果甲状腺剂量!$T7</f>
        <v>0</v>
      </c>
      <c r="FU33" s="454">
        <f t="shared" si="258"/>
        <v>0</v>
      </c>
      <c r="FV33" s="454">
        <f t="shared" si="259"/>
        <v>0</v>
      </c>
      <c r="FW33" s="436"/>
      <c r="FX33" s="436"/>
      <c r="GD33" s="440">
        <f>后果有效剂量!$P7</f>
        <v>0</v>
      </c>
      <c r="GE33" s="441">
        <f>SUMPRODUCT(GE$5:GE$27,后果有效剂量!$I$5:$I$27)*后果有效剂量!$Q7+SUMPRODUCT(GF$5:GF$27,后果有效剂量!$I$5:$I$27)*后果有效剂量!$R7+SUMPRODUCT(GG$5:GG$27,后果有效剂量!$I$5:$I$27)*后果有效剂量!$S7+(SUMPRODUCT(GH$5:GH$27,后果有效剂量!$I$5:$I$27)+SUMPRODUCT(GI$5:GI$27,后果有效剂量!$I$5:$I$27))*后果有效剂量!$T7+SUMPRODUCT(GJ$5:GJ$27,后果有效剂量!$I$5:$I$27)*后果有效剂量!$U7+SUMPRODUCT(GE$5:GE$27,后果有效剂量!$J$5:$J$27)*后果有效剂量!$Q7*后果有效剂量!$Q$3+SUMPRODUCT(GF$5:GF$27,后果有效剂量!$J$5:$J$27)*后果有效剂量!$R7*后果有效剂量!$R$3+SUMPRODUCT(GG$5:GG$27,后果有效剂量!$J$5:$J$27)*后果有效剂量!$S7*后果有效剂量!$S$3+(SUMPRODUCT(GH$5:GH$27,后果有效剂量!$J$5:$J$27)+SUMPRODUCT(GI$5:GI$27,后果有效剂量!$J$5:$J$27))*后果有效剂量!$T7*后果有效剂量!$T$3+SUMPRODUCT(GJ$5:GJ$27,后果有效剂量!$J$5:$J$27)*后果有效剂量!$U7*后果有效剂量!$U$3+SUMPRODUCT(GE$5:GE$27,后果有效剂量!$K$5:$K$27)*后果有效剂量!$Q7+SUMPRODUCT(GF$5:GF$27,后果有效剂量!$K$5:$K$27)*后果有效剂量!$R7+SUMPRODUCT(GG$5:GG$27,后果有效剂量!$K$5:$K$27)*后果有效剂量!$S7+(SUMPRODUCT(GH$5:GH$27,后果有效剂量!$K$5:$K$27)+SUMPRODUCT(GI$5:GI$27,后果有效剂量!$K$5:$K$27))*后果有效剂量!$T7+SUMPRODUCT(GJ$5:GJ$27,后果有效剂量!$K$5:$K$27)*后果有效剂量!$U7</f>
        <v>0</v>
      </c>
      <c r="GF33" s="453">
        <f>SUMPRODUCT(GE$5:GE$27,后果甲状腺剂量!$I$5:$I$27)*后果甲状腺剂量!$Q7+SUMPRODUCT(GF$5:GF$27,后果甲状腺剂量!$I$5:$I$27)*后果甲状腺剂量!$R7+SUMPRODUCT(GG$5:GG$27,后果甲状腺剂量!$I$5:$I$27)*后果甲状腺剂量!$S7+(SUMPRODUCT(GH$5:GH$27,后果甲状腺剂量!$I$5:$I$27)+SUMPRODUCT(GI$5:GI$27,后果甲状腺剂量!$I$5:$I$27))*后果甲状腺剂量!$T7+SUMPRODUCT(GJ$5:GJ$27,后果甲状腺剂量!$I$5:$I$27)*后果甲状腺剂量!$U7+SUMPRODUCT(GE$5:GE$27,后果甲状腺剂量!$J$5:$J$27)*后果甲状腺剂量!$Q7*后果甲状腺剂量!$Q$3+SUMPRODUCT(GF$5:GF$27,后果甲状腺剂量!$J$5:$J$27)*后果甲状腺剂量!$R7*后果甲状腺剂量!$R$3+SUMPRODUCT(GG$5:GG$27,后果甲状腺剂量!$J$5:$J$27)*后果甲状腺剂量!$S7*后果甲状腺剂量!$S$3+(SUMPRODUCT(GH$5:GH$27,后果甲状腺剂量!$J$5:$J$27)+SUMPRODUCT(GI$5:GI$27,后果甲状腺剂量!$J$5:$J$27))*后果甲状腺剂量!$T7*后果甲状腺剂量!$T$3+SUMPRODUCT(GJ$5:GJ$27,后果甲状腺剂量!$J$5:$J$27)*后果甲状腺剂量!$U7*后果甲状腺剂量!$U$3+SUMPRODUCT(GE$5:GE$27,后果甲状腺剂量!$K$5:$K$27)*后果甲状腺剂量!$Q7+SUMPRODUCT(GF$5:GF$27,后果甲状腺剂量!$K$5:$K$27)*后果甲状腺剂量!$R7+SUMPRODUCT(GG$5:GG$27,后果甲状腺剂量!$K$5:$K$27)*后果甲状腺剂量!$S7+(SUMPRODUCT(GH$5:GH$27,后果甲状腺剂量!$K$5:$K$27)+SUMPRODUCT(GI$5:GI$27,后果甲状腺剂量!$K$5:$K$27))*后果甲状腺剂量!$T7+SUMPRODUCT(GJ$5:GJ$27,后果甲状腺剂量!$K$5:$K$27)*后果甲状腺剂量!$U7</f>
        <v>0</v>
      </c>
      <c r="GG33" s="454">
        <f t="shared" si="260"/>
        <v>0</v>
      </c>
      <c r="GH33" s="454">
        <f t="shared" si="261"/>
        <v>0</v>
      </c>
      <c r="GI33" s="436"/>
      <c r="GJ33" s="436"/>
    </row>
    <row r="34" spans="1:192">
      <c r="A34" s="442"/>
      <c r="B34" s="407" t="s">
        <v>276</v>
      </c>
      <c r="C34" s="434">
        <f>C31</f>
        <v>1e+20</v>
      </c>
      <c r="D34" s="410" t="s">
        <v>273</v>
      </c>
      <c r="E34" s="409" t="s">
        <v>274</v>
      </c>
      <c r="G34" s="440" t="str">
        <f>后果有效剂量!$P8</f>
        <v>500m</v>
      </c>
      <c r="H34" s="443">
        <f ca="1">SUMPRODUCT(H$5:H$27,后果有效剂量!$I$5:$I$27)*后果有效剂量!$Q8+SUMPRODUCT(I$5:I$27,后果有效剂量!$I$5:$I$27)*后果有效剂量!$Q8+SUMPRODUCT(J$5:J$27,后果有效剂量!$I$5:$I$27)*后果有效剂量!$R8+SUMPRODUCT(K$5:K$27,后果有效剂量!$I$5:$I$27)*后果有效剂量!$S8+SUMPRODUCT(L$5:L$27,后果有效剂量!$I$5:$I$27)*后果有效剂量!$T8+SUMPRODUCT(M$5:M$27,后果有效剂量!$I$5:$I$27)*后果有效剂量!$U8+SUMPRODUCT(H$5:H$27,后果有效剂量!$J$5:$J$27)*后果有效剂量!$Q8*后果有效剂量!$Q$3+SUMPRODUCT(I$5:I$27,后果有效剂量!$J$5:$J$27)*后果有效剂量!$Q8*后果有效剂量!$Q$3+SUMPRODUCT(J$5:J$27,后果有效剂量!$J$5:$J$27)*后果有效剂量!$R8*后果有效剂量!$R$3+SUMPRODUCT(K$5:K$27,后果有效剂量!$J$5:$J$27)*后果有效剂量!$S8*后果有效剂量!$S$3+SUMPRODUCT(L$5:L$27,后果有效剂量!$J$5:$J$27)*后果有效剂量!$T8*后果有效剂量!$T$3+SUMPRODUCT(M$5:M$27,后果有效剂量!$J$5:$J$27)*后果有效剂量!$U8*后果有效剂量!$U$3+SUMPRODUCT(H$5:H$27,后果有效剂量!$K$5:$K$27)*后果有效剂量!$Q8+SUMPRODUCT(I$5:I$27,后果有效剂量!$K$5:$K$27)*后果有效剂量!$Q8+SUMPRODUCT(J$5:J$27,后果有效剂量!$K$5:$K$27)*后果有效剂量!$R8+SUMPRODUCT(K$5:K$27,后果有效剂量!$K$5:$K$27)*后果有效剂量!$S8+SUMPRODUCT(L$5:L$27,后果有效剂量!$K$5:$K$27)*后果有效剂量!$T8+SUMPRODUCT(M$5:M$27,后果有效剂量!$K$5:$K$27)*后果有效剂量!$U8</f>
        <v>0.000828143755457309</v>
      </c>
      <c r="I34" s="456">
        <f ca="1">SUMPRODUCT(H$5:H$27,后果甲状腺剂量!$I$5:$I$27)*后果甲状腺剂量!$Q8+SUMPRODUCT(I$5:I$27,后果甲状腺剂量!$I$5:$I$27)*后果甲状腺剂量!$Q8+SUMPRODUCT(J$5:J$27,后果甲状腺剂量!$I$5:$I$27)*后果甲状腺剂量!$R8+SUMPRODUCT(K$5:K$27,后果甲状腺剂量!$I$5:$I$27)*后果甲状腺剂量!$S8+SUMPRODUCT(L$5:L$27,后果甲状腺剂量!$I$5:$I$27)*后果甲状腺剂量!$T8+SUMPRODUCT(M$5:M$27,后果甲状腺剂量!$I$5:$I$27)*后果甲状腺剂量!$U8+SUMPRODUCT(H$5:H$27,后果甲状腺剂量!$J$5:$J$27)*后果甲状腺剂量!$Q8*后果甲状腺剂量!$Q$3+SUMPRODUCT(I$5:I$27,后果甲状腺剂量!$J$5:$J$27)*后果甲状腺剂量!$Q8*后果甲状腺剂量!$Q$3+SUMPRODUCT(J$5:J$27,后果甲状腺剂量!$J$5:$J$27)*后果甲状腺剂量!$R8*后果甲状腺剂量!$R$3+SUMPRODUCT(K$5:K$27,后果甲状腺剂量!$J$5:$J$27)*后果甲状腺剂量!$S8*后果甲状腺剂量!$S$3+SUMPRODUCT(L$5:L$27,后果甲状腺剂量!$J$5:$J$27)*后果甲状腺剂量!$T8*后果甲状腺剂量!$T$3+SUMPRODUCT(M$5:M$27,后果甲状腺剂量!$J$5:$J$27)*后果甲状腺剂量!$U8*后果甲状腺剂量!$U$3+SUMPRODUCT(H$5:H$27,后果甲状腺剂量!$K$5:$K$27)*后果甲状腺剂量!$Q8+SUMPRODUCT(I$5:I$27,后果甲状腺剂量!$K$5:$K$27)*后果甲状腺剂量!$Q8+SUMPRODUCT(J$5:J$27,后果甲状腺剂量!$K$5:$K$27)*后果甲状腺剂量!$R8+SUMPRODUCT(K$5:K$27,后果甲状腺剂量!$K$5:$K$27)*后果甲状腺剂量!$S8+SUMPRODUCT(L$5:L$27,后果甲状腺剂量!$K$5:$K$27)*后果甲状腺剂量!$T8+SUMPRODUCT(M$5:M$27,后果甲状腺剂量!$K$5:$K$27)*后果甲状腺剂量!$U8</f>
        <v>0.0222745087599935</v>
      </c>
      <c r="J34" s="457">
        <f ca="1" t="shared" si="254"/>
        <v>0.828143755457309</v>
      </c>
      <c r="K34" s="457">
        <f ca="1" t="shared" si="255"/>
        <v>22.2745087599935</v>
      </c>
      <c r="L34" s="458">
        <f ca="1">J34/$C$35</f>
        <v>0.0828143755457309</v>
      </c>
      <c r="M34" s="458">
        <f ca="1">K34/$C$36</f>
        <v>0.222745087599935</v>
      </c>
      <c r="N34" s="455"/>
      <c r="O34" s="390"/>
      <c r="Q34" s="440" t="str">
        <f>后果有效剂量!$P8</f>
        <v>500m</v>
      </c>
      <c r="R34" s="443">
        <f ca="1">SUMPRODUCT(R$5:R$27,后果有效剂量!$I$5:$I$27)*后果有效剂量!$Q8+SUMPRODUCT(S$5:S$27,后果有效剂量!$I$5:$I$27)*后果有效剂量!$Q8+SUMPRODUCT(T$5:T$27,后果有效剂量!$I$5:$I$27)*后果有效剂量!$R8+SUMPRODUCT(U$5:U$27,后果有效剂量!$I$5:$I$27)*后果有效剂量!$S8+SUMPRODUCT(V$5:V$27,后果有效剂量!$I$5:$I$27)*后果有效剂量!$T8+SUMPRODUCT(W$5:W$27,后果有效剂量!$I$5:$I$27)*后果有效剂量!$U8+SUMPRODUCT(R$5:R$27,后果有效剂量!$J$5:$J$27)*后果有效剂量!$Q8*后果有效剂量!$Q$3+SUMPRODUCT(S$5:S$27,后果有效剂量!$J$5:$J$27)*后果有效剂量!$Q8*后果有效剂量!$Q$3+SUMPRODUCT(T$5:T$27,后果有效剂量!$J$5:$J$27)*后果有效剂量!$R8*后果有效剂量!$R$3+SUMPRODUCT(U$5:U$27,后果有效剂量!$J$5:$J$27)*后果有效剂量!$S8*后果有效剂量!$S$3+SUMPRODUCT(V$5:V$27,后果有效剂量!$J$5:$J$27)*后果有效剂量!$T8*后果有效剂量!$T$3+SUMPRODUCT(W$5:W$27,后果有效剂量!$J$5:$J$27)*后果有效剂量!$U8*后果有效剂量!$U$3+SUMPRODUCT(R$5:R$27,后果有效剂量!$K$5:$K$27)*后果有效剂量!$Q8+SUMPRODUCT(S$5:S$27,后果有效剂量!$K$5:$K$27)*后果有效剂量!$Q8+SUMPRODUCT(T$5:T$27,后果有效剂量!$K$5:$K$27)*后果有效剂量!$R8+SUMPRODUCT(U$5:U$27,后果有效剂量!$K$5:$K$27)*后果有效剂量!$S8+SUMPRODUCT(V$5:V$27,后果有效剂量!$K$5:$K$27)*后果有效剂量!$T8+SUMPRODUCT(W$5:W$27,后果有效剂量!$K$5:$K$27)*后果有效剂量!$U8</f>
        <v>0.000214736251169933</v>
      </c>
      <c r="S34" s="456">
        <f ca="1">SUMPRODUCT(R$5:R$27,后果甲状腺剂量!$I$5:$I$27)*后果甲状腺剂量!$Q8+SUMPRODUCT(S$5:S$27,后果甲状腺剂量!$I$5:$I$27)*后果甲状腺剂量!$Q8+SUMPRODUCT(T$5:T$27,后果甲状腺剂量!$I$5:$I$27)*后果甲状腺剂量!$R8+SUMPRODUCT(U$5:U$27,后果甲状腺剂量!$I$5:$I$27)*后果甲状腺剂量!$S8+SUMPRODUCT(V$5:V$27,后果甲状腺剂量!$I$5:$I$27)*后果甲状腺剂量!$T8+SUMPRODUCT(W$5:W$27,后果甲状腺剂量!$I$5:$I$27)*后果甲状腺剂量!$U8+SUMPRODUCT(R$5:R$27,后果甲状腺剂量!$J$5:$J$27)*后果甲状腺剂量!$Q8*后果甲状腺剂量!$Q$3+SUMPRODUCT(S$5:S$27,后果甲状腺剂量!$J$5:$J$27)*后果甲状腺剂量!$Q8*后果甲状腺剂量!$Q$3+SUMPRODUCT(T$5:T$27,后果甲状腺剂量!$J$5:$J$27)*后果甲状腺剂量!$R8*后果甲状腺剂量!$R$3+SUMPRODUCT(U$5:U$27,后果甲状腺剂量!$J$5:$J$27)*后果甲状腺剂量!$S8*后果甲状腺剂量!$S$3+SUMPRODUCT(V$5:V$27,后果甲状腺剂量!$J$5:$J$27)*后果甲状腺剂量!$T8*后果甲状腺剂量!$T$3+SUMPRODUCT(W$5:W$27,后果甲状腺剂量!$J$5:$J$27)*后果甲状腺剂量!$U8*后果甲状腺剂量!$U$3+SUMPRODUCT(R$5:R$27,后果甲状腺剂量!$K$5:$K$27)*后果甲状腺剂量!$Q8+SUMPRODUCT(S$5:S$27,后果甲状腺剂量!$K$5:$K$27)*后果甲状腺剂量!$Q8+SUMPRODUCT(T$5:T$27,后果甲状腺剂量!$K$5:$K$27)*后果甲状腺剂量!$R8+SUMPRODUCT(U$5:U$27,后果甲状腺剂量!$K$5:$K$27)*后果甲状腺剂量!$S8+SUMPRODUCT(V$5:V$27,后果甲状腺剂量!$K$5:$K$27)*后果甲状腺剂量!$T8+SUMPRODUCT(W$5:W$27,后果甲状腺剂量!$K$5:$K$27)*后果甲状腺剂量!$U8</f>
        <v>0.00553526664128477</v>
      </c>
      <c r="T34" s="457">
        <f ca="1" t="shared" si="256"/>
        <v>0.214736251169933</v>
      </c>
      <c r="U34" s="457">
        <f ca="1" t="shared" si="257"/>
        <v>5.53526664128477</v>
      </c>
      <c r="V34" s="458">
        <f ca="1">T34/$C$35</f>
        <v>0.0214736251169933</v>
      </c>
      <c r="W34" s="458">
        <f ca="1">U34/$C$36</f>
        <v>0.0553526664128477</v>
      </c>
      <c r="AN34" s="533"/>
      <c r="AO34" s="390"/>
      <c r="AP34" s="390"/>
      <c r="AQ34" s="390"/>
      <c r="AR34" s="390"/>
      <c r="AS34" s="572"/>
      <c r="AT34" s="390"/>
      <c r="AU34" s="390"/>
      <c r="AV34" s="394"/>
      <c r="AW34" s="394"/>
      <c r="AX34" s="394"/>
      <c r="AY34" s="394"/>
      <c r="AZ34" s="394"/>
      <c r="BA34" s="394"/>
      <c r="BB34" s="394"/>
      <c r="BC34" s="394"/>
      <c r="BD34" s="394"/>
      <c r="BE34" s="394"/>
      <c r="BF34" s="394"/>
      <c r="BG34" s="394"/>
      <c r="BH34" s="394"/>
      <c r="BI34" s="394"/>
      <c r="BJ34" s="394"/>
      <c r="BK34" s="394"/>
      <c r="BL34" s="394"/>
      <c r="BM34" s="394"/>
      <c r="BN34" s="394"/>
      <c r="BO34" s="600"/>
      <c r="BP34" s="600"/>
      <c r="BQ34" s="394"/>
      <c r="BR34" s="394"/>
      <c r="BS34" s="394"/>
      <c r="BT34" s="394"/>
      <c r="BU34" s="394"/>
      <c r="BV34" s="394"/>
      <c r="BW34" s="394"/>
      <c r="BX34" s="394"/>
      <c r="BY34" s="394"/>
      <c r="BZ34" s="394"/>
      <c r="CA34" s="394"/>
      <c r="CB34" s="394"/>
      <c r="CC34" s="394"/>
      <c r="CD34" s="394"/>
      <c r="CE34" s="394"/>
      <c r="CF34" s="394"/>
      <c r="CG34" s="394"/>
      <c r="CH34" s="394"/>
      <c r="CI34" s="394"/>
      <c r="CJ34" s="600"/>
      <c r="CK34" s="394"/>
      <c r="CL34" s="394"/>
      <c r="CM34" s="394"/>
      <c r="CN34" s="394"/>
      <c r="CO34" s="394"/>
      <c r="CP34" s="394"/>
      <c r="CQ34" s="394"/>
      <c r="CR34" s="394"/>
      <c r="CS34" s="394"/>
      <c r="CT34" s="394"/>
      <c r="CU34" s="394"/>
      <c r="CV34" s="394"/>
      <c r="CW34" s="394"/>
      <c r="CX34" s="394"/>
      <c r="CY34" s="394"/>
      <c r="CZ34" s="394"/>
      <c r="DA34" s="394"/>
      <c r="DB34" s="394"/>
      <c r="DC34" s="394"/>
      <c r="DD34" s="394"/>
      <c r="DE34" s="394"/>
      <c r="DF34" s="394"/>
      <c r="DG34" s="394"/>
      <c r="DH34" s="394"/>
      <c r="DI34" s="394"/>
      <c r="DJ34" s="394"/>
      <c r="DK34" s="394"/>
      <c r="DL34" s="394"/>
      <c r="DM34" s="394"/>
      <c r="DN34" s="394"/>
      <c r="DO34" s="394"/>
      <c r="DP34" s="394"/>
      <c r="DQ34" s="394"/>
      <c r="DR34" s="394"/>
      <c r="DS34" s="394"/>
      <c r="DT34" s="394"/>
      <c r="DU34" s="394"/>
      <c r="DV34" s="394"/>
      <c r="DW34" s="394"/>
      <c r="DX34" s="394"/>
      <c r="DY34" s="394"/>
      <c r="DZ34" s="600"/>
      <c r="EA34" s="394"/>
      <c r="EB34" s="394"/>
      <c r="EC34" s="394"/>
      <c r="ED34" s="394"/>
      <c r="EE34" s="394"/>
      <c r="EF34" s="394"/>
      <c r="EG34" s="394"/>
      <c r="EH34" s="394"/>
      <c r="EI34" s="394"/>
      <c r="EJ34" s="394"/>
      <c r="EK34" s="394"/>
      <c r="EL34" s="394"/>
      <c r="EM34" s="394"/>
      <c r="EN34" s="394"/>
      <c r="EO34" s="394"/>
      <c r="EP34" s="394"/>
      <c r="EQ34" s="394"/>
      <c r="ER34" s="394"/>
      <c r="ES34" s="394"/>
      <c r="ET34" s="394"/>
      <c r="EU34" s="603"/>
      <c r="EV34" s="394"/>
      <c r="EW34" s="394"/>
      <c r="EX34" s="394"/>
      <c r="EY34" s="394"/>
      <c r="EZ34" s="394"/>
      <c r="FA34" s="394"/>
      <c r="FB34" s="394"/>
      <c r="FC34" s="394"/>
      <c r="FD34" s="394"/>
      <c r="FE34" s="394"/>
      <c r="FF34" s="394"/>
      <c r="FG34" s="394"/>
      <c r="FH34" s="394"/>
      <c r="FI34" s="394"/>
      <c r="FJ34" s="394"/>
      <c r="FK34" s="394"/>
      <c r="FL34" s="394"/>
      <c r="FM34" s="394"/>
      <c r="FN34" s="394"/>
      <c r="FO34" s="394"/>
      <c r="FP34" s="603"/>
      <c r="FQ34" s="394"/>
      <c r="FS34" s="443">
        <f>SUMPRODUCT(FS$5:FS$27,后果有效剂量!$I$5:$I$27)*后果有效剂量!$Q8+SUMPRODUCT(FT$5:FT$27,后果有效剂量!$I$5:$I$27)*后果有效剂量!$R8+SUMPRODUCT(FU$5:FU$27,后果有效剂量!$I$5:$I$27)*后果有效剂量!$S8+SUMPRODUCT(FV$5:FV$27,后果有效剂量!$I$5:$I$27)*后果有效剂量!$T8+SUMPRODUCT(FS$5:FS$27,后果有效剂量!$J$5:$J$27)*后果有效剂量!$Q8*后果有效剂量!$Q$3+SUMPRODUCT(FT$5:FT$27,后果有效剂量!$J$5:$J$27)*后果有效剂量!$R8*后果有效剂量!$R$3+SUMPRODUCT(FU$5:FU$27,后果有效剂量!$J$5:$J$27)*后果有效剂量!$S8*后果有效剂量!$S$3+SUMPRODUCT(FV$5:FV$27,后果有效剂量!$J$5:$J$27)*后果有效剂量!$T8*后果有效剂量!$T$3+SUMPRODUCT(FS$5:FS$27,后果有效剂量!$K$5:$K$27)*后果有效剂量!$Q8+SUMPRODUCT(FT$5:FT$27,后果有效剂量!$K$5:$K$27)*后果有效剂量!$R8+SUMPRODUCT(FU$5:FU$27,后果有效剂量!$K$5:$K$27)*后果有效剂量!$S8+SUMPRODUCT(FV$5:FV$27,后果有效剂量!$K$5:$K$27)*后果有效剂量!$T8</f>
        <v>0.000430699305079664</v>
      </c>
      <c r="FT34" s="456">
        <f>SUMPRODUCT(FS$5:FS$27,后果甲状腺剂量!$I$5:$I$27)*后果甲状腺剂量!$Q8+SUMPRODUCT(FT$5:FT$27,后果甲状腺剂量!$I$5:$I$27)*后果甲状腺剂量!$R8+SUMPRODUCT(FU$5:FU$27,后果甲状腺剂量!$I$5:$I$27)*后果甲状腺剂量!$S8+SUMPRODUCT(FV$5:FV$27,后果甲状腺剂量!$I$5:$I$27)*后果甲状腺剂量!$T8+SUMPRODUCT(FS$5:FS$27,后果甲状腺剂量!$J$5:$J$27)*后果甲状腺剂量!$Q8*后果甲状腺剂量!$Q$3+SUMPRODUCT(FT$5:FT$27,后果甲状腺剂量!$J$5:$J$27)*后果甲状腺剂量!$R8*后果甲状腺剂量!$R$3+SUMPRODUCT(FU$5:FU$27,后果甲状腺剂量!$J$5:$J$27)*后果甲状腺剂量!$S8*后果甲状腺剂量!$S$3+SUMPRODUCT(FV$5:FV$27,后果甲状腺剂量!$J$5:$J$27)*后果甲状腺剂量!$T8*后果甲状腺剂量!$T$3+SUMPRODUCT(FS$5:FS$27,后果甲状腺剂量!$K$5:$K$27)*后果甲状腺剂量!$Q8+SUMPRODUCT(FT$5:FT$27,后果甲状腺剂量!$K$5:$K$27)*后果甲状腺剂量!$R8+SUMPRODUCT(FU$5:FU$27,后果甲状腺剂量!$K$5:$K$27)*后果甲状腺剂量!$S8+SUMPRODUCT(FV$5:FV$27,后果甲状腺剂量!$K$5:$K$27)*后果甲状腺剂量!$T8</f>
        <v>0.0235018831581312</v>
      </c>
      <c r="FU34" s="457">
        <f t="shared" si="258"/>
        <v>0.430699305079664</v>
      </c>
      <c r="FV34" s="457">
        <f t="shared" si="259"/>
        <v>23.5018831581312</v>
      </c>
      <c r="FW34" s="459">
        <f>FU34/10*100</f>
        <v>4.30699305079664</v>
      </c>
      <c r="FX34" s="459">
        <f>FV34/100*100</f>
        <v>23.5018831581312</v>
      </c>
      <c r="GD34" s="440" t="str">
        <f>后果有效剂量!$P8</f>
        <v>500m</v>
      </c>
      <c r="GE34" s="443">
        <f>SUMPRODUCT(GE$5:GE$27,后果有效剂量!$I$5:$I$27)*后果有效剂量!$Q8+SUMPRODUCT(GF$5:GF$27,后果有效剂量!$I$5:$I$27)*后果有效剂量!$R8+SUMPRODUCT(GG$5:GG$27,后果有效剂量!$I$5:$I$27)*后果有效剂量!$S8+(SUMPRODUCT(GH$5:GH$27,后果有效剂量!$I$5:$I$27)+SUMPRODUCT(GI$5:GI$27,后果有效剂量!$I$5:$I$27))*后果有效剂量!$T8+SUMPRODUCT(GJ$5:GJ$27,后果有效剂量!$I$5:$I$27)*后果有效剂量!$U8+SUMPRODUCT(GE$5:GE$27,后果有效剂量!$J$5:$J$27)*后果有效剂量!$Q8*后果有效剂量!$Q$3+SUMPRODUCT(GF$5:GF$27,后果有效剂量!$J$5:$J$27)*后果有效剂量!$R8*后果有效剂量!$R$3+SUMPRODUCT(GG$5:GG$27,后果有效剂量!$J$5:$J$27)*后果有效剂量!$S8*后果有效剂量!$S$3+(SUMPRODUCT(GH$5:GH$27,后果有效剂量!$J$5:$J$27)+SUMPRODUCT(GI$5:GI$27,后果有效剂量!$J$5:$J$27))*后果有效剂量!$T8*后果有效剂量!$T$3+SUMPRODUCT(GJ$5:GJ$27,后果有效剂量!$J$5:$J$27)*后果有效剂量!$U8*后果有效剂量!$U$3+SUMPRODUCT(GE$5:GE$27,后果有效剂量!$K$5:$K$27)*后果有效剂量!$Q8+SUMPRODUCT(GF$5:GF$27,后果有效剂量!$K$5:$K$27)*后果有效剂量!$R8+SUMPRODUCT(GG$5:GG$27,后果有效剂量!$K$5:$K$27)*后果有效剂量!$S8+(SUMPRODUCT(GH$5:GH$27,后果有效剂量!$K$5:$K$27)+SUMPRODUCT(GI$5:GI$27,后果有效剂量!$K$5:$K$27))*后果有效剂量!$T8+SUMPRODUCT(GJ$5:GJ$27,后果有效剂量!$K$5:$K$27)*后果有效剂量!$U8</f>
        <v>0.000177662497114534</v>
      </c>
      <c r="GF34" s="456">
        <f>SUMPRODUCT(GE$5:GE$27,后果甲状腺剂量!$I$5:$I$27)*后果甲状腺剂量!$Q8+SUMPRODUCT(GF$5:GF$27,后果甲状腺剂量!$I$5:$I$27)*后果甲状腺剂量!$R8+SUMPRODUCT(GG$5:GG$27,后果甲状腺剂量!$I$5:$I$27)*后果甲状腺剂量!$S8+(SUMPRODUCT(GH$5:GH$27,后果甲状腺剂量!$I$5:$I$27)+SUMPRODUCT(GI$5:GI$27,后果甲状腺剂量!$I$5:$I$27))*后果甲状腺剂量!$T8+SUMPRODUCT(GJ$5:GJ$27,后果甲状腺剂量!$I$5:$I$27)*后果甲状腺剂量!$U8+SUMPRODUCT(GE$5:GE$27,后果甲状腺剂量!$J$5:$J$27)*后果甲状腺剂量!$Q8*后果甲状腺剂量!$Q$3+SUMPRODUCT(GF$5:GF$27,后果甲状腺剂量!$J$5:$J$27)*后果甲状腺剂量!$R8*后果甲状腺剂量!$R$3+SUMPRODUCT(GG$5:GG$27,后果甲状腺剂量!$J$5:$J$27)*后果甲状腺剂量!$S8*后果甲状腺剂量!$S$3+(SUMPRODUCT(GH$5:GH$27,后果甲状腺剂量!$J$5:$J$27)+SUMPRODUCT(GI$5:GI$27,后果甲状腺剂量!$J$5:$J$27))*后果甲状腺剂量!$T8*后果甲状腺剂量!$T$3+SUMPRODUCT(GJ$5:GJ$27,后果甲状腺剂量!$J$5:$J$27)*后果甲状腺剂量!$U8*后果甲状腺剂量!$U$3+SUMPRODUCT(GE$5:GE$27,后果甲状腺剂量!$K$5:$K$27)*后果甲状腺剂量!$Q8+SUMPRODUCT(GF$5:GF$27,后果甲状腺剂量!$K$5:$K$27)*后果甲状腺剂量!$R8+SUMPRODUCT(GG$5:GG$27,后果甲状腺剂量!$K$5:$K$27)*后果甲状腺剂量!$S8+(SUMPRODUCT(GH$5:GH$27,后果甲状腺剂量!$K$5:$K$27)+SUMPRODUCT(GI$5:GI$27,后果甲状腺剂量!$K$5:$K$27))*后果甲状腺剂量!$T8+SUMPRODUCT(GJ$5:GJ$27,后果甲状腺剂量!$K$5:$K$27)*后果甲状腺剂量!$U8</f>
        <v>0.00783546060769133</v>
      </c>
      <c r="GG34" s="457">
        <f t="shared" si="260"/>
        <v>0.177662497114534</v>
      </c>
      <c r="GH34" s="457">
        <f t="shared" si="261"/>
        <v>7.83546060769133</v>
      </c>
      <c r="GI34" s="459">
        <f>GG34/10*100</f>
        <v>1.77662497114534</v>
      </c>
      <c r="GJ34" s="459">
        <f>GH34/100*100</f>
        <v>7.83546060769132</v>
      </c>
    </row>
    <row r="35" spans="1:192">
      <c r="A35" s="444" t="s">
        <v>294</v>
      </c>
      <c r="B35" s="445" t="s">
        <v>290</v>
      </c>
      <c r="C35" s="422">
        <v>10</v>
      </c>
      <c r="D35" s="410" t="s">
        <v>281</v>
      </c>
      <c r="E35" s="409" t="s">
        <v>295</v>
      </c>
      <c r="G35" s="440" t="str">
        <f>后果有效剂量!$P9</f>
        <v>1500m</v>
      </c>
      <c r="H35" s="441">
        <f ca="1">SUMPRODUCT(H$5:H$27,后果有效剂量!$I$5:$I$27)*后果有效剂量!$Q9+SUMPRODUCT(I$5:I$27,后果有效剂量!$I$5:$I$27)*后果有效剂量!$Q9+SUMPRODUCT(J$5:J$27,后果有效剂量!$I$5:$I$27)*后果有效剂量!$R9+SUMPRODUCT(K$5:K$27,后果有效剂量!$I$5:$I$27)*后果有效剂量!$S9+SUMPRODUCT(L$5:L$27,后果有效剂量!$I$5:$I$27)*后果有效剂量!$T9+SUMPRODUCT(M$5:M$27,后果有效剂量!$I$5:$I$27)*后果有效剂量!$U9+SUMPRODUCT(H$5:H$27,后果有效剂量!$J$5:$J$27)*后果有效剂量!$Q9*后果有效剂量!$Q$3+SUMPRODUCT(I$5:I$27,后果有效剂量!$J$5:$J$27)*后果有效剂量!$Q9*后果有效剂量!$Q$3+SUMPRODUCT(J$5:J$27,后果有效剂量!$J$5:$J$27)*后果有效剂量!$R9*后果有效剂量!$R$3+SUMPRODUCT(K$5:K$27,后果有效剂量!$J$5:$J$27)*后果有效剂量!$S9*后果有效剂量!$S$3+SUMPRODUCT(L$5:L$27,后果有效剂量!$J$5:$J$27)*后果有效剂量!$T9*后果有效剂量!$T$3+SUMPRODUCT(M$5:M$27,后果有效剂量!$J$5:$J$27)*后果有效剂量!$U9*后果有效剂量!$U$3+SUMPRODUCT(H$5:H$27,后果有效剂量!$K$5:$K$27)*后果有效剂量!$Q9+SUMPRODUCT(I$5:I$27,后果有效剂量!$K$5:$K$27)*后果有效剂量!$Q9+SUMPRODUCT(J$5:J$27,后果有效剂量!$K$5:$K$27)*后果有效剂量!$R9+SUMPRODUCT(K$5:K$27,后果有效剂量!$K$5:$K$27)*后果有效剂量!$S9+SUMPRODUCT(L$5:L$27,后果有效剂量!$K$5:$K$27)*后果有效剂量!$T9+SUMPRODUCT(M$5:M$27,后果有效剂量!$K$5:$K$27)*后果有效剂量!$U9</f>
        <v>0.000216193918021566</v>
      </c>
      <c r="I35" s="453">
        <f ca="1">SUMPRODUCT(H$5:H$27,后果甲状腺剂量!$I$5:$I$27)*后果甲状腺剂量!$Q9+SUMPRODUCT(I$5:I$27,后果甲状腺剂量!$I$5:$I$27)*后果甲状腺剂量!$Q9+SUMPRODUCT(J$5:J$27,后果甲状腺剂量!$I$5:$I$27)*后果甲状腺剂量!$R9+SUMPRODUCT(K$5:K$27,后果甲状腺剂量!$I$5:$I$27)*后果甲状腺剂量!$S9+SUMPRODUCT(L$5:L$27,后果甲状腺剂量!$I$5:$I$27)*后果甲状腺剂量!$T9+SUMPRODUCT(M$5:M$27,后果甲状腺剂量!$I$5:$I$27)*后果甲状腺剂量!$U9+SUMPRODUCT(H$5:H$27,后果甲状腺剂量!$J$5:$J$27)*后果甲状腺剂量!$Q9*后果甲状腺剂量!$Q$3+SUMPRODUCT(I$5:I$27,后果甲状腺剂量!$J$5:$J$27)*后果甲状腺剂量!$Q9*后果甲状腺剂量!$Q$3+SUMPRODUCT(J$5:J$27,后果甲状腺剂量!$J$5:$J$27)*后果甲状腺剂量!$R9*后果甲状腺剂量!$R$3+SUMPRODUCT(K$5:K$27,后果甲状腺剂量!$J$5:$J$27)*后果甲状腺剂量!$S9*后果甲状腺剂量!$S$3+SUMPRODUCT(L$5:L$27,后果甲状腺剂量!$J$5:$J$27)*后果甲状腺剂量!$T9*后果甲状腺剂量!$T$3+SUMPRODUCT(M$5:M$27,后果甲状腺剂量!$J$5:$J$27)*后果甲状腺剂量!$U9*后果甲状腺剂量!$U$3+SUMPRODUCT(H$5:H$27,后果甲状腺剂量!$K$5:$K$27)*后果甲状腺剂量!$Q9+SUMPRODUCT(I$5:I$27,后果甲状腺剂量!$K$5:$K$27)*后果甲状腺剂量!$Q9+SUMPRODUCT(J$5:J$27,后果甲状腺剂量!$K$5:$K$27)*后果甲状腺剂量!$R9+SUMPRODUCT(K$5:K$27,后果甲状腺剂量!$K$5:$K$27)*后果甲状腺剂量!$S9+SUMPRODUCT(L$5:L$27,后果甲状腺剂量!$K$5:$K$27)*后果甲状腺剂量!$T9+SUMPRODUCT(M$5:M$27,后果甲状腺剂量!$K$5:$K$27)*后果甲状腺剂量!$U9</f>
        <v>0.00659574084643267</v>
      </c>
      <c r="J35" s="454">
        <f ca="1" t="shared" si="254"/>
        <v>0.216193918021566</v>
      </c>
      <c r="K35" s="454">
        <f ca="1" t="shared" si="255"/>
        <v>6.59574084643267</v>
      </c>
      <c r="L35" s="436"/>
      <c r="M35" s="436"/>
      <c r="N35" s="455"/>
      <c r="O35" s="390"/>
      <c r="Q35" s="440" t="str">
        <f>后果有效剂量!$P9</f>
        <v>1500m</v>
      </c>
      <c r="R35" s="441">
        <f ca="1">SUMPRODUCT(R$5:R$27,后果有效剂量!$I$5:$I$27)*后果有效剂量!$Q9+SUMPRODUCT(S$5:S$27,后果有效剂量!$I$5:$I$27)*后果有效剂量!$Q9+SUMPRODUCT(T$5:T$27,后果有效剂量!$I$5:$I$27)*后果有效剂量!$R9+SUMPRODUCT(U$5:U$27,后果有效剂量!$I$5:$I$27)*后果有效剂量!$S9+SUMPRODUCT(V$5:V$27,后果有效剂量!$I$5:$I$27)*后果有效剂量!$T9+SUMPRODUCT(W$5:W$27,后果有效剂量!$I$5:$I$27)*后果有效剂量!$U9+SUMPRODUCT(R$5:R$27,后果有效剂量!$J$5:$J$27)*后果有效剂量!$Q9*后果有效剂量!$Q$3+SUMPRODUCT(S$5:S$27,后果有效剂量!$J$5:$J$27)*后果有效剂量!$Q9*后果有效剂量!$Q$3+SUMPRODUCT(T$5:T$27,后果有效剂量!$J$5:$J$27)*后果有效剂量!$R9*后果有效剂量!$R$3+SUMPRODUCT(U$5:U$27,后果有效剂量!$J$5:$J$27)*后果有效剂量!$S9*后果有效剂量!$S$3+SUMPRODUCT(V$5:V$27,后果有效剂量!$J$5:$J$27)*后果有效剂量!$T9*后果有效剂量!$T$3+SUMPRODUCT(W$5:W$27,后果有效剂量!$J$5:$J$27)*后果有效剂量!$U9*后果有效剂量!$U$3+SUMPRODUCT(R$5:R$27,后果有效剂量!$K$5:$K$27)*后果有效剂量!$Q9+SUMPRODUCT(S$5:S$27,后果有效剂量!$K$5:$K$27)*后果有效剂量!$Q9+SUMPRODUCT(T$5:T$27,后果有效剂量!$K$5:$K$27)*后果有效剂量!$R9+SUMPRODUCT(U$5:U$27,后果有效剂量!$K$5:$K$27)*后果有效剂量!$S9+SUMPRODUCT(V$5:V$27,后果有效剂量!$K$5:$K$27)*后果有效剂量!$T9+SUMPRODUCT(W$5:W$27,后果有效剂量!$K$5:$K$27)*后果有效剂量!$U9</f>
        <v>7.09745778087795e-5</v>
      </c>
      <c r="S35" s="453">
        <f ca="1">SUMPRODUCT(R$5:R$27,后果甲状腺剂量!$I$5:$I$27)*后果甲状腺剂量!$Q9+SUMPRODUCT(S$5:S$27,后果甲状腺剂量!$I$5:$I$27)*后果甲状腺剂量!$Q9+SUMPRODUCT(T$5:T$27,后果甲状腺剂量!$I$5:$I$27)*后果甲状腺剂量!$R9+SUMPRODUCT(U$5:U$27,后果甲状腺剂量!$I$5:$I$27)*后果甲状腺剂量!$S9+SUMPRODUCT(V$5:V$27,后果甲状腺剂量!$I$5:$I$27)*后果甲状腺剂量!$T9+SUMPRODUCT(W$5:W$27,后果甲状腺剂量!$I$5:$I$27)*后果甲状腺剂量!$U9+SUMPRODUCT(R$5:R$27,后果甲状腺剂量!$J$5:$J$27)*后果甲状腺剂量!$Q9*后果甲状腺剂量!$Q$3+SUMPRODUCT(S$5:S$27,后果甲状腺剂量!$J$5:$J$27)*后果甲状腺剂量!$Q9*后果甲状腺剂量!$Q$3+SUMPRODUCT(T$5:T$27,后果甲状腺剂量!$J$5:$J$27)*后果甲状腺剂量!$R9*后果甲状腺剂量!$R$3+SUMPRODUCT(U$5:U$27,后果甲状腺剂量!$J$5:$J$27)*后果甲状腺剂量!$S9*后果甲状腺剂量!$S$3+SUMPRODUCT(V$5:V$27,后果甲状腺剂量!$J$5:$J$27)*后果甲状腺剂量!$T9*后果甲状腺剂量!$T$3+SUMPRODUCT(W$5:W$27,后果甲状腺剂量!$J$5:$J$27)*后果甲状腺剂量!$U9*后果甲状腺剂量!$U$3+SUMPRODUCT(R$5:R$27,后果甲状腺剂量!$K$5:$K$27)*后果甲状腺剂量!$Q9+SUMPRODUCT(S$5:S$27,后果甲状腺剂量!$K$5:$K$27)*后果甲状腺剂量!$Q9+SUMPRODUCT(T$5:T$27,后果甲状腺剂量!$K$5:$K$27)*后果甲状腺剂量!$R9+SUMPRODUCT(U$5:U$27,后果甲状腺剂量!$K$5:$K$27)*后果甲状腺剂量!$S9+SUMPRODUCT(V$5:V$27,后果甲状腺剂量!$K$5:$K$27)*后果甲状腺剂量!$T9+SUMPRODUCT(W$5:W$27,后果甲状腺剂量!$K$5:$K$27)*后果甲状腺剂量!$U9</f>
        <v>0.00195486490582909</v>
      </c>
      <c r="T35" s="454">
        <f ca="1" t="shared" si="256"/>
        <v>0.0709745778087795</v>
      </c>
      <c r="U35" s="454">
        <f ca="1" t="shared" si="257"/>
        <v>1.95486490582909</v>
      </c>
      <c r="V35" s="436"/>
      <c r="W35" s="436"/>
      <c r="AN35" s="533"/>
      <c r="AO35" s="390"/>
      <c r="AP35" s="390"/>
      <c r="AQ35" s="390"/>
      <c r="AR35" s="390"/>
      <c r="AS35" s="572"/>
      <c r="AT35" s="390"/>
      <c r="AU35" s="390"/>
      <c r="AV35" s="394"/>
      <c r="AW35" s="394"/>
      <c r="AX35" s="394"/>
      <c r="AY35" s="394"/>
      <c r="AZ35" s="394"/>
      <c r="BA35" s="394"/>
      <c r="BB35" s="394"/>
      <c r="BC35" s="394"/>
      <c r="BD35" s="394"/>
      <c r="BE35" s="394"/>
      <c r="BF35" s="394"/>
      <c r="BG35" s="394"/>
      <c r="BH35" s="394"/>
      <c r="BI35" s="394"/>
      <c r="BJ35" s="394"/>
      <c r="BK35" s="394"/>
      <c r="BL35" s="394"/>
      <c r="BM35" s="394"/>
      <c r="BN35" s="394"/>
      <c r="BO35" s="600"/>
      <c r="BP35" s="600"/>
      <c r="BQ35" s="394"/>
      <c r="BR35" s="394"/>
      <c r="BS35" s="394"/>
      <c r="BT35" s="394"/>
      <c r="BU35" s="394"/>
      <c r="BV35" s="394"/>
      <c r="BW35" s="394"/>
      <c r="BX35" s="394"/>
      <c r="BY35" s="394"/>
      <c r="BZ35" s="394"/>
      <c r="CA35" s="394"/>
      <c r="CB35" s="394"/>
      <c r="CC35" s="394"/>
      <c r="CD35" s="394"/>
      <c r="CE35" s="394"/>
      <c r="CF35" s="394"/>
      <c r="CG35" s="394"/>
      <c r="CH35" s="394"/>
      <c r="CI35" s="394"/>
      <c r="CJ35" s="600"/>
      <c r="CK35" s="394"/>
      <c r="CL35" s="394"/>
      <c r="CM35" s="394"/>
      <c r="CN35" s="394"/>
      <c r="CO35" s="394"/>
      <c r="CP35" s="394"/>
      <c r="CQ35" s="394"/>
      <c r="CR35" s="394"/>
      <c r="CS35" s="394"/>
      <c r="CT35" s="394"/>
      <c r="CU35" s="394"/>
      <c r="CV35" s="394"/>
      <c r="CW35" s="394"/>
      <c r="CX35" s="394"/>
      <c r="CY35" s="394"/>
      <c r="CZ35" s="394"/>
      <c r="DA35" s="394"/>
      <c r="DB35" s="394"/>
      <c r="DC35" s="394"/>
      <c r="DD35" s="394"/>
      <c r="DE35" s="394"/>
      <c r="DF35" s="394"/>
      <c r="DG35" s="394"/>
      <c r="DH35" s="394"/>
      <c r="DI35" s="394"/>
      <c r="DJ35" s="394"/>
      <c r="DK35" s="394"/>
      <c r="DL35" s="394"/>
      <c r="DM35" s="394"/>
      <c r="DN35" s="394"/>
      <c r="DO35" s="394"/>
      <c r="DP35" s="394"/>
      <c r="DQ35" s="394"/>
      <c r="DR35" s="394"/>
      <c r="DS35" s="394"/>
      <c r="DT35" s="394"/>
      <c r="DU35" s="394"/>
      <c r="DV35" s="394"/>
      <c r="DW35" s="394"/>
      <c r="DX35" s="394"/>
      <c r="DY35" s="394"/>
      <c r="DZ35" s="600"/>
      <c r="EA35" s="394"/>
      <c r="EB35" s="394"/>
      <c r="EC35" s="394"/>
      <c r="ED35" s="394"/>
      <c r="EE35" s="394"/>
      <c r="EF35" s="394"/>
      <c r="EG35" s="394"/>
      <c r="EH35" s="394"/>
      <c r="EI35" s="394"/>
      <c r="EJ35" s="394"/>
      <c r="EK35" s="394"/>
      <c r="EL35" s="394"/>
      <c r="EM35" s="394"/>
      <c r="EN35" s="394"/>
      <c r="EO35" s="394"/>
      <c r="EP35" s="394"/>
      <c r="EQ35" s="394"/>
      <c r="ER35" s="394"/>
      <c r="ES35" s="394"/>
      <c r="ET35" s="394"/>
      <c r="EU35" s="603"/>
      <c r="EV35" s="394"/>
      <c r="EW35" s="394"/>
      <c r="EX35" s="394"/>
      <c r="EY35" s="394"/>
      <c r="EZ35" s="394"/>
      <c r="FA35" s="394"/>
      <c r="FB35" s="394"/>
      <c r="FC35" s="394"/>
      <c r="FD35" s="394"/>
      <c r="FE35" s="394"/>
      <c r="FF35" s="394"/>
      <c r="FG35" s="394"/>
      <c r="FH35" s="394"/>
      <c r="FI35" s="394"/>
      <c r="FJ35" s="394"/>
      <c r="FK35" s="394"/>
      <c r="FL35" s="394"/>
      <c r="FM35" s="394"/>
      <c r="FN35" s="394"/>
      <c r="FO35" s="394"/>
      <c r="FP35" s="603"/>
      <c r="FQ35" s="394"/>
      <c r="FS35" s="441">
        <f>SUMPRODUCT(FS$5:FS$27,后果有效剂量!$I$5:$I$27)*后果有效剂量!$Q9+SUMPRODUCT(FT$5:FT$27,后果有效剂量!$I$5:$I$27)*后果有效剂量!$R9+SUMPRODUCT(FU$5:FU$27,后果有效剂量!$I$5:$I$27)*后果有效剂量!$S9+SUMPRODUCT(FV$5:FV$27,后果有效剂量!$I$5:$I$27)*后果有效剂量!$T9+SUMPRODUCT(FS$5:FS$27,后果有效剂量!$J$5:$J$27)*后果有效剂量!$Q9*后果有效剂量!$Q$3+SUMPRODUCT(FT$5:FT$27,后果有效剂量!$J$5:$J$27)*后果有效剂量!$R9*后果有效剂量!$R$3+SUMPRODUCT(FU$5:FU$27,后果有效剂量!$J$5:$J$27)*后果有效剂量!$S9*后果有效剂量!$S$3+SUMPRODUCT(FV$5:FV$27,后果有效剂量!$J$5:$J$27)*后果有效剂量!$T9*后果有效剂量!$T$3+SUMPRODUCT(FS$5:FS$27,后果有效剂量!$K$5:$K$27)*后果有效剂量!$Q9+SUMPRODUCT(FT$5:FT$27,后果有效剂量!$K$5:$K$27)*后果有效剂量!$R9+SUMPRODUCT(FU$5:FU$27,后果有效剂量!$K$5:$K$27)*后果有效剂量!$S9+SUMPRODUCT(FV$5:FV$27,后果有效剂量!$K$5:$K$27)*后果有效剂量!$T9</f>
        <v>0.000122787235560545</v>
      </c>
      <c r="FT35" s="453">
        <f>SUMPRODUCT(FS$5:FS$27,后果甲状腺剂量!$I$5:$I$27)*后果甲状腺剂量!$Q9+SUMPRODUCT(FT$5:FT$27,后果甲状腺剂量!$I$5:$I$27)*后果甲状腺剂量!$R9+SUMPRODUCT(FU$5:FU$27,后果甲状腺剂量!$I$5:$I$27)*后果甲状腺剂量!$S9+SUMPRODUCT(FV$5:FV$27,后果甲状腺剂量!$I$5:$I$27)*后果甲状腺剂量!$T9+SUMPRODUCT(FS$5:FS$27,后果甲状腺剂量!$J$5:$J$27)*后果甲状腺剂量!$Q9*后果甲状腺剂量!$Q$3+SUMPRODUCT(FT$5:FT$27,后果甲状腺剂量!$J$5:$J$27)*后果甲状腺剂量!$R9*后果甲状腺剂量!$R$3+SUMPRODUCT(FU$5:FU$27,后果甲状腺剂量!$J$5:$J$27)*后果甲状腺剂量!$S9*后果甲状腺剂量!$S$3+SUMPRODUCT(FV$5:FV$27,后果甲状腺剂量!$J$5:$J$27)*后果甲状腺剂量!$T9*后果甲状腺剂量!$T$3+SUMPRODUCT(FS$5:FS$27,后果甲状腺剂量!$K$5:$K$27)*后果甲状腺剂量!$Q9+SUMPRODUCT(FT$5:FT$27,后果甲状腺剂量!$K$5:$K$27)*后果甲状腺剂量!$R9+SUMPRODUCT(FU$5:FU$27,后果甲状腺剂量!$K$5:$K$27)*后果甲状腺剂量!$S9+SUMPRODUCT(FV$5:FV$27,后果甲状腺剂量!$K$5:$K$27)*后果甲状腺剂量!$T9</f>
        <v>0.00717817440586791</v>
      </c>
      <c r="FU35" s="454">
        <f t="shared" si="258"/>
        <v>0.122787235560545</v>
      </c>
      <c r="FV35" s="454">
        <f t="shared" si="259"/>
        <v>7.17817440586791</v>
      </c>
      <c r="FW35" s="436"/>
      <c r="FX35" s="436"/>
      <c r="GD35" s="440" t="str">
        <f>后果有效剂量!$P9</f>
        <v>1500m</v>
      </c>
      <c r="GE35" s="441">
        <f>SUMPRODUCT(GE$5:GE$27,后果有效剂量!$I$5:$I$27)*后果有效剂量!$Q9+SUMPRODUCT(GF$5:GF$27,后果有效剂量!$I$5:$I$27)*后果有效剂量!$R9+SUMPRODUCT(GG$5:GG$27,后果有效剂量!$I$5:$I$27)*后果有效剂量!$S9+(SUMPRODUCT(GH$5:GH$27,后果有效剂量!$I$5:$I$27)+SUMPRODUCT(GI$5:GI$27,后果有效剂量!$I$5:$I$27))*后果有效剂量!$T9+SUMPRODUCT(GJ$5:GJ$27,后果有效剂量!$I$5:$I$27)*后果有效剂量!$U9+SUMPRODUCT(GE$5:GE$27,后果有效剂量!$J$5:$J$27)*后果有效剂量!$Q9*后果有效剂量!$Q$3+SUMPRODUCT(GF$5:GF$27,后果有效剂量!$J$5:$J$27)*后果有效剂量!$R9*后果有效剂量!$R$3+SUMPRODUCT(GG$5:GG$27,后果有效剂量!$J$5:$J$27)*后果有效剂量!$S9*后果有效剂量!$S$3+(SUMPRODUCT(GH$5:GH$27,后果有效剂量!$J$5:$J$27)+SUMPRODUCT(GI$5:GI$27,后果有效剂量!$J$5:$J$27))*后果有效剂量!$T9*后果有效剂量!$T$3+SUMPRODUCT(GJ$5:GJ$27,后果有效剂量!$J$5:$J$27)*后果有效剂量!$U9*后果有效剂量!$U$3+SUMPRODUCT(GE$5:GE$27,后果有效剂量!$K$5:$K$27)*后果有效剂量!$Q9+SUMPRODUCT(GF$5:GF$27,后果有效剂量!$K$5:$K$27)*后果有效剂量!$R9+SUMPRODUCT(GG$5:GG$27,后果有效剂量!$K$5:$K$27)*后果有效剂量!$S9+(SUMPRODUCT(GH$5:GH$27,后果有效剂量!$K$5:$K$27)+SUMPRODUCT(GI$5:GI$27,后果有效剂量!$K$5:$K$27))*后果有效剂量!$T9+SUMPRODUCT(GJ$5:GJ$27,后果有效剂量!$K$5:$K$27)*后果有效剂量!$U9</f>
        <v>4.31227309385956e-5</v>
      </c>
      <c r="GF35" s="453">
        <f>SUMPRODUCT(GE$5:GE$27,后果甲状腺剂量!$I$5:$I$27)*后果甲状腺剂量!$Q9+SUMPRODUCT(GF$5:GF$27,后果甲状腺剂量!$I$5:$I$27)*后果甲状腺剂量!$R9+SUMPRODUCT(GG$5:GG$27,后果甲状腺剂量!$I$5:$I$27)*后果甲状腺剂量!$S9+(SUMPRODUCT(GH$5:GH$27,后果甲状腺剂量!$I$5:$I$27)+SUMPRODUCT(GI$5:GI$27,后果甲状腺剂量!$I$5:$I$27))*后果甲状腺剂量!$T9+SUMPRODUCT(GJ$5:GJ$27,后果甲状腺剂量!$I$5:$I$27)*后果甲状腺剂量!$U9+SUMPRODUCT(GE$5:GE$27,后果甲状腺剂量!$J$5:$J$27)*后果甲状腺剂量!$Q9*后果甲状腺剂量!$Q$3+SUMPRODUCT(GF$5:GF$27,后果甲状腺剂量!$J$5:$J$27)*后果甲状腺剂量!$R9*后果甲状腺剂量!$R$3+SUMPRODUCT(GG$5:GG$27,后果甲状腺剂量!$J$5:$J$27)*后果甲状腺剂量!$S9*后果甲状腺剂量!$S$3+(SUMPRODUCT(GH$5:GH$27,后果甲状腺剂量!$J$5:$J$27)+SUMPRODUCT(GI$5:GI$27,后果甲状腺剂量!$J$5:$J$27))*后果甲状腺剂量!$T9*后果甲状腺剂量!$T$3+SUMPRODUCT(GJ$5:GJ$27,后果甲状腺剂量!$J$5:$J$27)*后果甲状腺剂量!$U9*后果甲状腺剂量!$U$3+SUMPRODUCT(GE$5:GE$27,后果甲状腺剂量!$K$5:$K$27)*后果甲状腺剂量!$Q9+SUMPRODUCT(GF$5:GF$27,后果甲状腺剂量!$K$5:$K$27)*后果甲状腺剂量!$R9+SUMPRODUCT(GG$5:GG$27,后果甲状腺剂量!$K$5:$K$27)*后果甲状腺剂量!$S9+(SUMPRODUCT(GH$5:GH$27,后果甲状腺剂量!$K$5:$K$27)+SUMPRODUCT(GI$5:GI$27,后果甲状腺剂量!$K$5:$K$27))*后果甲状腺剂量!$T9+SUMPRODUCT(GJ$5:GJ$27,后果甲状腺剂量!$K$5:$K$27)*后果甲状腺剂量!$U9</f>
        <v>0.00196417473419171</v>
      </c>
      <c r="GG35" s="454">
        <f t="shared" si="260"/>
        <v>0.0431227309385956</v>
      </c>
      <c r="GH35" s="454">
        <f t="shared" si="261"/>
        <v>1.96417473419171</v>
      </c>
      <c r="GI35" s="436"/>
      <c r="GJ35" s="436"/>
    </row>
    <row r="36" spans="1:192">
      <c r="A36" s="446"/>
      <c r="B36" s="445" t="s">
        <v>291</v>
      </c>
      <c r="C36" s="422">
        <v>100</v>
      </c>
      <c r="D36" s="410" t="s">
        <v>281</v>
      </c>
      <c r="E36" s="410"/>
      <c r="G36" s="440" t="str">
        <f>后果有效剂量!$P10</f>
        <v>2500m</v>
      </c>
      <c r="H36" s="441">
        <f ca="1">SUMPRODUCT(H$5:H$27,后果有效剂量!$I$5:$I$27)*后果有效剂量!$Q10+SUMPRODUCT(I$5:I$27,后果有效剂量!$I$5:$I$27)*后果有效剂量!$Q10+SUMPRODUCT(J$5:J$27,后果有效剂量!$I$5:$I$27)*后果有效剂量!$R10+SUMPRODUCT(K$5:K$27,后果有效剂量!$I$5:$I$27)*后果有效剂量!$S10+SUMPRODUCT(L$5:L$27,后果有效剂量!$I$5:$I$27)*后果有效剂量!$T10+SUMPRODUCT(M$5:M$27,后果有效剂量!$I$5:$I$27)*后果有效剂量!$U10+SUMPRODUCT(H$5:H$27,后果有效剂量!$J$5:$J$27)*后果有效剂量!$Q10*后果有效剂量!$Q$3+SUMPRODUCT(I$5:I$27,后果有效剂量!$J$5:$J$27)*后果有效剂量!$Q10*后果有效剂量!$Q$3+SUMPRODUCT(J$5:J$27,后果有效剂量!$J$5:$J$27)*后果有效剂量!$R10*后果有效剂量!$R$3+SUMPRODUCT(K$5:K$27,后果有效剂量!$J$5:$J$27)*后果有效剂量!$S10*后果有效剂量!$S$3+SUMPRODUCT(L$5:L$27,后果有效剂量!$J$5:$J$27)*后果有效剂量!$T10*后果有效剂量!$T$3+SUMPRODUCT(M$5:M$27,后果有效剂量!$J$5:$J$27)*后果有效剂量!$U10*后果有效剂量!$U$3+SUMPRODUCT(H$5:H$27,后果有效剂量!$K$5:$K$27)*后果有效剂量!$Q10+SUMPRODUCT(I$5:I$27,后果有效剂量!$K$5:$K$27)*后果有效剂量!$Q10+SUMPRODUCT(J$5:J$27,后果有效剂量!$K$5:$K$27)*后果有效剂量!$R10+SUMPRODUCT(K$5:K$27,后果有效剂量!$K$5:$K$27)*后果有效剂量!$S10+SUMPRODUCT(L$5:L$27,后果有效剂量!$K$5:$K$27)*后果有效剂量!$T10+SUMPRODUCT(M$5:M$27,后果有效剂量!$K$5:$K$27)*后果有效剂量!$U10</f>
        <v>0.00012503394386383</v>
      </c>
      <c r="I36" s="453">
        <f ca="1">SUMPRODUCT(H$5:H$27,后果甲状腺剂量!$I$5:$I$27)*后果甲状腺剂量!$Q10+SUMPRODUCT(I$5:I$27,后果甲状腺剂量!$I$5:$I$27)*后果甲状腺剂量!$Q10+SUMPRODUCT(J$5:J$27,后果甲状腺剂量!$I$5:$I$27)*后果甲状腺剂量!$R10+SUMPRODUCT(K$5:K$27,后果甲状腺剂量!$I$5:$I$27)*后果甲状腺剂量!$S10+SUMPRODUCT(L$5:L$27,后果甲状腺剂量!$I$5:$I$27)*后果甲状腺剂量!$T10+SUMPRODUCT(M$5:M$27,后果甲状腺剂量!$I$5:$I$27)*后果甲状腺剂量!$U10+SUMPRODUCT(H$5:H$27,后果甲状腺剂量!$J$5:$J$27)*后果甲状腺剂量!$Q10*后果甲状腺剂量!$Q$3+SUMPRODUCT(I$5:I$27,后果甲状腺剂量!$J$5:$J$27)*后果甲状腺剂量!$Q10*后果甲状腺剂量!$Q$3+SUMPRODUCT(J$5:J$27,后果甲状腺剂量!$J$5:$J$27)*后果甲状腺剂量!$R10*后果甲状腺剂量!$R$3+SUMPRODUCT(K$5:K$27,后果甲状腺剂量!$J$5:$J$27)*后果甲状腺剂量!$S10*后果甲状腺剂量!$S$3+SUMPRODUCT(L$5:L$27,后果甲状腺剂量!$J$5:$J$27)*后果甲状腺剂量!$T10*后果甲状腺剂量!$T$3+SUMPRODUCT(M$5:M$27,后果甲状腺剂量!$J$5:$J$27)*后果甲状腺剂量!$U10*后果甲状腺剂量!$U$3+SUMPRODUCT(H$5:H$27,后果甲状腺剂量!$K$5:$K$27)*后果甲状腺剂量!$Q10+SUMPRODUCT(I$5:I$27,后果甲状腺剂量!$K$5:$K$27)*后果甲状腺剂量!$Q10+SUMPRODUCT(J$5:J$27,后果甲状腺剂量!$K$5:$K$27)*后果甲状腺剂量!$R10+SUMPRODUCT(K$5:K$27,后果甲状腺剂量!$K$5:$K$27)*后果甲状腺剂量!$S10+SUMPRODUCT(L$5:L$27,后果甲状腺剂量!$K$5:$K$27)*后果甲状腺剂量!$T10+SUMPRODUCT(M$5:M$27,后果甲状腺剂量!$K$5:$K$27)*后果甲状腺剂量!$U10</f>
        <v>0.00402389259412849</v>
      </c>
      <c r="J36" s="454">
        <f ca="1" t="shared" si="254"/>
        <v>0.12503394386383</v>
      </c>
      <c r="K36" s="454">
        <f ca="1" t="shared" si="255"/>
        <v>4.02389259412849</v>
      </c>
      <c r="L36" s="436"/>
      <c r="M36" s="436"/>
      <c r="N36" s="455"/>
      <c r="O36" s="390"/>
      <c r="Q36" s="440" t="str">
        <f>后果有效剂量!$P10</f>
        <v>2500m</v>
      </c>
      <c r="R36" s="441">
        <f ca="1">SUMPRODUCT(R$5:R$27,后果有效剂量!$I$5:$I$27)*后果有效剂量!$Q10+SUMPRODUCT(S$5:S$27,后果有效剂量!$I$5:$I$27)*后果有效剂量!$Q10+SUMPRODUCT(T$5:T$27,后果有效剂量!$I$5:$I$27)*后果有效剂量!$R10+SUMPRODUCT(U$5:U$27,后果有效剂量!$I$5:$I$27)*后果有效剂量!$S10+SUMPRODUCT(V$5:V$27,后果有效剂量!$I$5:$I$27)*后果有效剂量!$T10+SUMPRODUCT(W$5:W$27,后果有效剂量!$I$5:$I$27)*后果有效剂量!$U10+SUMPRODUCT(R$5:R$27,后果有效剂量!$J$5:$J$27)*后果有效剂量!$Q10*后果有效剂量!$Q$3+SUMPRODUCT(S$5:S$27,后果有效剂量!$J$5:$J$27)*后果有效剂量!$Q10*后果有效剂量!$Q$3+SUMPRODUCT(T$5:T$27,后果有效剂量!$J$5:$J$27)*后果有效剂量!$R10*后果有效剂量!$R$3+SUMPRODUCT(U$5:U$27,后果有效剂量!$J$5:$J$27)*后果有效剂量!$S10*后果有效剂量!$S$3+SUMPRODUCT(V$5:V$27,后果有效剂量!$J$5:$J$27)*后果有效剂量!$T10*后果有效剂量!$T$3+SUMPRODUCT(W$5:W$27,后果有效剂量!$J$5:$J$27)*后果有效剂量!$U10*后果有效剂量!$U$3+SUMPRODUCT(R$5:R$27,后果有效剂量!$K$5:$K$27)*后果有效剂量!$Q10+SUMPRODUCT(S$5:S$27,后果有效剂量!$K$5:$K$27)*后果有效剂量!$Q10+SUMPRODUCT(T$5:T$27,后果有效剂量!$K$5:$K$27)*后果有效剂量!$R10+SUMPRODUCT(U$5:U$27,后果有效剂量!$K$5:$K$27)*后果有效剂量!$S10+SUMPRODUCT(V$5:V$27,后果有效剂量!$K$5:$K$27)*后果有效剂量!$T10+SUMPRODUCT(W$5:W$27,后果有效剂量!$K$5:$K$27)*后果有效剂量!$U10</f>
        <v>4.75754769290946e-5</v>
      </c>
      <c r="S36" s="453">
        <f ca="1">SUMPRODUCT(R$5:R$27,后果甲状腺剂量!$I$5:$I$27)*后果甲状腺剂量!$Q10+SUMPRODUCT(S$5:S$27,后果甲状腺剂量!$I$5:$I$27)*后果甲状腺剂量!$Q10+SUMPRODUCT(T$5:T$27,后果甲状腺剂量!$I$5:$I$27)*后果甲状腺剂量!$R10+SUMPRODUCT(U$5:U$27,后果甲状腺剂量!$I$5:$I$27)*后果甲状腺剂量!$S10+SUMPRODUCT(V$5:V$27,后果甲状腺剂量!$I$5:$I$27)*后果甲状腺剂量!$T10+SUMPRODUCT(W$5:W$27,后果甲状腺剂量!$I$5:$I$27)*后果甲状腺剂量!$U10+SUMPRODUCT(R$5:R$27,后果甲状腺剂量!$J$5:$J$27)*后果甲状腺剂量!$Q10*后果甲状腺剂量!$Q$3+SUMPRODUCT(S$5:S$27,后果甲状腺剂量!$J$5:$J$27)*后果甲状腺剂量!$Q10*后果甲状腺剂量!$Q$3+SUMPRODUCT(T$5:T$27,后果甲状腺剂量!$J$5:$J$27)*后果甲状腺剂量!$R10*后果甲状腺剂量!$R$3+SUMPRODUCT(U$5:U$27,后果甲状腺剂量!$J$5:$J$27)*后果甲状腺剂量!$S10*后果甲状腺剂量!$S$3+SUMPRODUCT(V$5:V$27,后果甲状腺剂量!$J$5:$J$27)*后果甲状腺剂量!$T10*后果甲状腺剂量!$T$3+SUMPRODUCT(W$5:W$27,后果甲状腺剂量!$J$5:$J$27)*后果甲状腺剂量!$U10*后果甲状腺剂量!$U$3+SUMPRODUCT(R$5:R$27,后果甲状腺剂量!$K$5:$K$27)*后果甲状腺剂量!$Q10+SUMPRODUCT(S$5:S$27,后果甲状腺剂量!$K$5:$K$27)*后果甲状腺剂量!$Q10+SUMPRODUCT(T$5:T$27,后果甲状腺剂量!$K$5:$K$27)*后果甲状腺剂量!$R10+SUMPRODUCT(U$5:U$27,后果甲状腺剂量!$K$5:$K$27)*后果甲状腺剂量!$S10+SUMPRODUCT(V$5:V$27,后果甲状腺剂量!$K$5:$K$27)*后果甲状腺剂量!$T10+SUMPRODUCT(W$5:W$27,后果甲状腺剂量!$K$5:$K$27)*后果甲状腺剂量!$U10</f>
        <v>0.00140180351551633</v>
      </c>
      <c r="T36" s="454">
        <f ca="1" t="shared" si="256"/>
        <v>0.0475754769290946</v>
      </c>
      <c r="U36" s="454">
        <f ca="1" t="shared" si="257"/>
        <v>1.40180351551633</v>
      </c>
      <c r="V36" s="436"/>
      <c r="W36" s="436"/>
      <c r="AN36" s="533"/>
      <c r="AO36" s="390"/>
      <c r="AP36" s="390"/>
      <c r="AQ36" s="390"/>
      <c r="AR36" s="390"/>
      <c r="AS36" s="572"/>
      <c r="AT36" s="390"/>
      <c r="AU36" s="390"/>
      <c r="AV36" s="394"/>
      <c r="AW36" s="394"/>
      <c r="AX36" s="394"/>
      <c r="AY36" s="394"/>
      <c r="AZ36" s="394"/>
      <c r="BA36" s="394"/>
      <c r="BB36" s="394"/>
      <c r="BC36" s="394"/>
      <c r="BD36" s="394"/>
      <c r="BE36" s="394"/>
      <c r="BF36" s="394"/>
      <c r="BG36" s="394"/>
      <c r="BH36" s="394"/>
      <c r="BI36" s="394"/>
      <c r="BJ36" s="394"/>
      <c r="BK36" s="394"/>
      <c r="BL36" s="394"/>
      <c r="BM36" s="394"/>
      <c r="BN36" s="394"/>
      <c r="BO36" s="600"/>
      <c r="BP36" s="394"/>
      <c r="BQ36" s="394"/>
      <c r="BR36" s="394"/>
      <c r="BS36" s="394"/>
      <c r="BT36" s="394"/>
      <c r="BU36" s="394"/>
      <c r="BV36" s="394"/>
      <c r="BW36" s="394"/>
      <c r="BX36" s="394"/>
      <c r="BY36" s="394"/>
      <c r="BZ36" s="394"/>
      <c r="CA36" s="394"/>
      <c r="CB36" s="394"/>
      <c r="CC36" s="394"/>
      <c r="CD36" s="394"/>
      <c r="CE36" s="394"/>
      <c r="CF36" s="394"/>
      <c r="CG36" s="394"/>
      <c r="CH36" s="394"/>
      <c r="CI36" s="394"/>
      <c r="CJ36" s="600"/>
      <c r="CK36" s="394"/>
      <c r="CL36" s="394"/>
      <c r="CM36" s="394"/>
      <c r="CN36" s="394"/>
      <c r="CO36" s="394"/>
      <c r="CP36" s="394"/>
      <c r="CQ36" s="394"/>
      <c r="CR36" s="394"/>
      <c r="CS36" s="394"/>
      <c r="CT36" s="394"/>
      <c r="CU36" s="394"/>
      <c r="CV36" s="394"/>
      <c r="CW36" s="394"/>
      <c r="CX36" s="394"/>
      <c r="CY36" s="394"/>
      <c r="CZ36" s="394"/>
      <c r="DA36" s="394"/>
      <c r="DB36" s="394"/>
      <c r="DC36" s="394"/>
      <c r="DD36" s="394"/>
      <c r="DE36" s="394"/>
      <c r="DF36" s="394"/>
      <c r="DG36" s="394"/>
      <c r="DH36" s="394"/>
      <c r="DI36" s="394"/>
      <c r="DJ36" s="394"/>
      <c r="DK36" s="394"/>
      <c r="DL36" s="394"/>
      <c r="DM36" s="394"/>
      <c r="DN36" s="394"/>
      <c r="DO36" s="394"/>
      <c r="DP36" s="394"/>
      <c r="DQ36" s="394"/>
      <c r="DR36" s="394"/>
      <c r="DS36" s="394"/>
      <c r="DT36" s="394"/>
      <c r="DU36" s="394"/>
      <c r="DV36" s="394"/>
      <c r="DW36" s="394"/>
      <c r="DX36" s="394"/>
      <c r="DY36" s="394"/>
      <c r="DZ36" s="600"/>
      <c r="EA36" s="394"/>
      <c r="EB36" s="394"/>
      <c r="EC36" s="394"/>
      <c r="ED36" s="394"/>
      <c r="EE36" s="394"/>
      <c r="EF36" s="394"/>
      <c r="EG36" s="394"/>
      <c r="EH36" s="394"/>
      <c r="EI36" s="394"/>
      <c r="EJ36" s="394"/>
      <c r="EK36" s="394"/>
      <c r="EL36" s="394"/>
      <c r="EM36" s="394"/>
      <c r="EN36" s="394"/>
      <c r="EO36" s="394"/>
      <c r="EP36" s="394"/>
      <c r="EQ36" s="394"/>
      <c r="ER36" s="394"/>
      <c r="ES36" s="394"/>
      <c r="ET36" s="394"/>
      <c r="EU36" s="603"/>
      <c r="EV36" s="394"/>
      <c r="EW36" s="394"/>
      <c r="EX36" s="394"/>
      <c r="EY36" s="394"/>
      <c r="EZ36" s="394"/>
      <c r="FA36" s="394"/>
      <c r="FB36" s="394"/>
      <c r="FC36" s="394"/>
      <c r="FD36" s="394"/>
      <c r="FE36" s="394"/>
      <c r="FF36" s="394"/>
      <c r="FG36" s="394"/>
      <c r="FH36" s="394"/>
      <c r="FI36" s="394"/>
      <c r="FJ36" s="394"/>
      <c r="FK36" s="394"/>
      <c r="FL36" s="394"/>
      <c r="FM36" s="394"/>
      <c r="FN36" s="394"/>
      <c r="FO36" s="394"/>
      <c r="FP36" s="603"/>
      <c r="FQ36" s="394"/>
      <c r="FS36" s="441">
        <f>SUMPRODUCT(FS$5:FS$27,后果有效剂量!$I$5:$I$27)*后果有效剂量!$Q10+SUMPRODUCT(FT$5:FT$27,后果有效剂量!$I$5:$I$27)*后果有效剂量!$R10+SUMPRODUCT(FU$5:FU$27,后果有效剂量!$I$5:$I$27)*后果有效剂量!$S10+SUMPRODUCT(FV$5:FV$27,后果有效剂量!$I$5:$I$27)*后果有效剂量!$T10+SUMPRODUCT(FS$5:FS$27,后果有效剂量!$J$5:$J$27)*后果有效剂量!$Q10*后果有效剂量!$Q$3+SUMPRODUCT(FT$5:FT$27,后果有效剂量!$J$5:$J$27)*后果有效剂量!$R10*后果有效剂量!$R$3+SUMPRODUCT(FU$5:FU$27,后果有效剂量!$J$5:$J$27)*后果有效剂量!$S10*后果有效剂量!$S$3+SUMPRODUCT(FV$5:FV$27,后果有效剂量!$J$5:$J$27)*后果有效剂量!$T10*后果有效剂量!$T$3+SUMPRODUCT(FS$5:FS$27,后果有效剂量!$K$5:$K$27)*后果有效剂量!$Q10+SUMPRODUCT(FT$5:FT$27,后果有效剂量!$K$5:$K$27)*后果有效剂量!$R10+SUMPRODUCT(FU$5:FU$27,后果有效剂量!$K$5:$K$27)*后果有效剂量!$S10+SUMPRODUCT(FV$5:FV$27,后果有效剂量!$K$5:$K$27)*后果有效剂量!$T10</f>
        <v>7.43271850862798e-5</v>
      </c>
      <c r="FT36" s="453">
        <f>SUMPRODUCT(FS$5:FS$27,后果甲状腺剂量!$I$5:$I$27)*后果甲状腺剂量!$Q10+SUMPRODUCT(FT$5:FT$27,后果甲状腺剂量!$I$5:$I$27)*后果甲状腺剂量!$R10+SUMPRODUCT(FU$5:FU$27,后果甲状腺剂量!$I$5:$I$27)*后果甲状腺剂量!$S10+SUMPRODUCT(FV$5:FV$27,后果甲状腺剂量!$I$5:$I$27)*后果甲状腺剂量!$T10+SUMPRODUCT(FS$5:FS$27,后果甲状腺剂量!$J$5:$J$27)*后果甲状腺剂量!$Q10*后果甲状腺剂量!$Q$3+SUMPRODUCT(FT$5:FT$27,后果甲状腺剂量!$J$5:$J$27)*后果甲状腺剂量!$R10*后果甲状腺剂量!$R$3+SUMPRODUCT(FU$5:FU$27,后果甲状腺剂量!$J$5:$J$27)*后果甲状腺剂量!$S10*后果甲状腺剂量!$S$3+SUMPRODUCT(FV$5:FV$27,后果甲状腺剂量!$J$5:$J$27)*后果甲状腺剂量!$T10*后果甲状腺剂量!$T$3+SUMPRODUCT(FS$5:FS$27,后果甲状腺剂量!$K$5:$K$27)*后果甲状腺剂量!$Q10+SUMPRODUCT(FT$5:FT$27,后果甲状腺剂量!$K$5:$K$27)*后果甲状腺剂量!$R10+SUMPRODUCT(FU$5:FU$27,后果甲状腺剂量!$K$5:$K$27)*后果甲状腺剂量!$S10+SUMPRODUCT(FV$5:FV$27,后果甲状腺剂量!$K$5:$K$27)*后果甲状腺剂量!$T10</f>
        <v>0.00447460799875152</v>
      </c>
      <c r="FU36" s="454">
        <f t="shared" si="258"/>
        <v>0.0743271850862798</v>
      </c>
      <c r="FV36" s="454">
        <f t="shared" si="259"/>
        <v>4.47460799875152</v>
      </c>
      <c r="FW36" s="436"/>
      <c r="FX36" s="436"/>
      <c r="GD36" s="440" t="str">
        <f>后果有效剂量!$P10</f>
        <v>2500m</v>
      </c>
      <c r="GE36" s="441">
        <f>SUMPRODUCT(GE$5:GE$27,后果有效剂量!$I$5:$I$27)*后果有效剂量!$Q10+SUMPRODUCT(GF$5:GF$27,后果有效剂量!$I$5:$I$27)*后果有效剂量!$R10+SUMPRODUCT(GG$5:GG$27,后果有效剂量!$I$5:$I$27)*后果有效剂量!$S10+(SUMPRODUCT(GH$5:GH$27,后果有效剂量!$I$5:$I$27)+SUMPRODUCT(GI$5:GI$27,后果有效剂量!$I$5:$I$27))*后果有效剂量!$T10+SUMPRODUCT(GJ$5:GJ$27,后果有效剂量!$I$5:$I$27)*后果有效剂量!$U10+SUMPRODUCT(GE$5:GE$27,后果有效剂量!$J$5:$J$27)*后果有效剂量!$Q10*后果有效剂量!$Q$3+SUMPRODUCT(GF$5:GF$27,后果有效剂量!$J$5:$J$27)*后果有效剂量!$R10*后果有效剂量!$R$3+SUMPRODUCT(GG$5:GG$27,后果有效剂量!$J$5:$J$27)*后果有效剂量!$S10*后果有效剂量!$S$3+(SUMPRODUCT(GH$5:GH$27,后果有效剂量!$J$5:$J$27)+SUMPRODUCT(GI$5:GI$27,后果有效剂量!$J$5:$J$27))*后果有效剂量!$T10*后果有效剂量!$T$3+SUMPRODUCT(GJ$5:GJ$27,后果有效剂量!$J$5:$J$27)*后果有效剂量!$U10*后果有效剂量!$U$3+SUMPRODUCT(GE$5:GE$27,后果有效剂量!$K$5:$K$27)*后果有效剂量!$Q10+SUMPRODUCT(GF$5:GF$27,后果有效剂量!$K$5:$K$27)*后果有效剂量!$R10+SUMPRODUCT(GG$5:GG$27,后果有效剂量!$K$5:$K$27)*后果有效剂量!$S10+(SUMPRODUCT(GH$5:GH$27,后果有效剂量!$K$5:$K$27)+SUMPRODUCT(GI$5:GI$27,后果有效剂量!$K$5:$K$27))*后果有效剂量!$T10+SUMPRODUCT(GJ$5:GJ$27,后果有效剂量!$K$5:$K$27)*后果有效剂量!$U10</f>
        <v>2.30543802500546e-5</v>
      </c>
      <c r="GF36" s="453">
        <f>SUMPRODUCT(GE$5:GE$27,后果甲状腺剂量!$I$5:$I$27)*后果甲状腺剂量!$Q10+SUMPRODUCT(GF$5:GF$27,后果甲状腺剂量!$I$5:$I$27)*后果甲状腺剂量!$R10+SUMPRODUCT(GG$5:GG$27,后果甲状腺剂量!$I$5:$I$27)*后果甲状腺剂量!$S10+(SUMPRODUCT(GH$5:GH$27,后果甲状腺剂量!$I$5:$I$27)+SUMPRODUCT(GI$5:GI$27,后果甲状腺剂量!$I$5:$I$27))*后果甲状腺剂量!$T10+SUMPRODUCT(GJ$5:GJ$27,后果甲状腺剂量!$I$5:$I$27)*后果甲状腺剂量!$U10+SUMPRODUCT(GE$5:GE$27,后果甲状腺剂量!$J$5:$J$27)*后果甲状腺剂量!$Q10*后果甲状腺剂量!$Q$3+SUMPRODUCT(GF$5:GF$27,后果甲状腺剂量!$J$5:$J$27)*后果甲状腺剂量!$R10*后果甲状腺剂量!$R$3+SUMPRODUCT(GG$5:GG$27,后果甲状腺剂量!$J$5:$J$27)*后果甲状腺剂量!$S10*后果甲状腺剂量!$S$3+(SUMPRODUCT(GH$5:GH$27,后果甲状腺剂量!$J$5:$J$27)+SUMPRODUCT(GI$5:GI$27,后果甲状腺剂量!$J$5:$J$27))*后果甲状腺剂量!$T10*后果甲状腺剂量!$T$3+SUMPRODUCT(GJ$5:GJ$27,后果甲状腺剂量!$J$5:$J$27)*后果甲状腺剂量!$U10*后果甲状腺剂量!$U$3+SUMPRODUCT(GE$5:GE$27,后果甲状腺剂量!$K$5:$K$27)*后果甲状腺剂量!$Q10+SUMPRODUCT(GF$5:GF$27,后果甲状腺剂量!$K$5:$K$27)*后果甲状腺剂量!$R10+SUMPRODUCT(GG$5:GG$27,后果甲状腺剂量!$K$5:$K$27)*后果甲状腺剂量!$S10+(SUMPRODUCT(GH$5:GH$27,后果甲状腺剂量!$K$5:$K$27)+SUMPRODUCT(GI$5:GI$27,后果甲状腺剂量!$K$5:$K$27))*后果甲状腺剂量!$T10+SUMPRODUCT(GJ$5:GJ$27,后果甲状腺剂量!$K$5:$K$27)*后果甲状腺剂量!$U10</f>
        <v>0.00101005182774948</v>
      </c>
      <c r="GG36" s="454">
        <f t="shared" si="260"/>
        <v>0.0230543802500546</v>
      </c>
      <c r="GH36" s="454">
        <f t="shared" si="261"/>
        <v>1.01005182774948</v>
      </c>
      <c r="GI36" s="436"/>
      <c r="GJ36" s="436"/>
    </row>
    <row r="37" spans="7:192">
      <c r="G37" s="440" t="str">
        <f>后果有效剂量!$P11</f>
        <v>4000m</v>
      </c>
      <c r="H37" s="441">
        <f ca="1">SUMPRODUCT(H$5:H$27,后果有效剂量!$I$5:$I$27)*后果有效剂量!$Q11+SUMPRODUCT(I$5:I$27,后果有效剂量!$I$5:$I$27)*后果有效剂量!$Q11+SUMPRODUCT(J$5:J$27,后果有效剂量!$I$5:$I$27)*后果有效剂量!$R11+SUMPRODUCT(K$5:K$27,后果有效剂量!$I$5:$I$27)*后果有效剂量!$S11+SUMPRODUCT(L$5:L$27,后果有效剂量!$I$5:$I$27)*后果有效剂量!$T11+SUMPRODUCT(M$5:M$27,后果有效剂量!$I$5:$I$27)*后果有效剂量!$U11+SUMPRODUCT(H$5:H$27,后果有效剂量!$J$5:$J$27)*后果有效剂量!$Q11*后果有效剂量!$Q$3+SUMPRODUCT(I$5:I$27,后果有效剂量!$J$5:$J$27)*后果有效剂量!$Q11*后果有效剂量!$Q$3+SUMPRODUCT(J$5:J$27,后果有效剂量!$J$5:$J$27)*后果有效剂量!$R11*后果有效剂量!$R$3+SUMPRODUCT(K$5:K$27,后果有效剂量!$J$5:$J$27)*后果有效剂量!$S11*后果有效剂量!$S$3+SUMPRODUCT(L$5:L$27,后果有效剂量!$J$5:$J$27)*后果有效剂量!$T11*后果有效剂量!$T$3+SUMPRODUCT(M$5:M$27,后果有效剂量!$J$5:$J$27)*后果有效剂量!$U11*后果有效剂量!$U$3+SUMPRODUCT(H$5:H$27,后果有效剂量!$K$5:$K$27)*后果有效剂量!$Q11+SUMPRODUCT(I$5:I$27,后果有效剂量!$K$5:$K$27)*后果有效剂量!$Q11+SUMPRODUCT(J$5:J$27,后果有效剂量!$K$5:$K$27)*后果有效剂量!$R11+SUMPRODUCT(K$5:K$27,后果有效剂量!$K$5:$K$27)*后果有效剂量!$S11+SUMPRODUCT(L$5:L$27,后果有效剂量!$K$5:$K$27)*后果有效剂量!$T11+SUMPRODUCT(M$5:M$27,后果有效剂量!$K$5:$K$27)*后果有效剂量!$U11</f>
        <v>0.000549058383750231</v>
      </c>
      <c r="I37" s="453">
        <f ca="1">SUMPRODUCT(H$5:H$27,后果甲状腺剂量!$I$5:$I$27)*后果甲状腺剂量!$Q11+SUMPRODUCT(I$5:I$27,后果甲状腺剂量!$I$5:$I$27)*后果甲状腺剂量!$Q11+SUMPRODUCT(J$5:J$27,后果甲状腺剂量!$I$5:$I$27)*后果甲状腺剂量!$R11+SUMPRODUCT(K$5:K$27,后果甲状腺剂量!$I$5:$I$27)*后果甲状腺剂量!$S11+SUMPRODUCT(L$5:L$27,后果甲状腺剂量!$I$5:$I$27)*后果甲状腺剂量!$T11+SUMPRODUCT(M$5:M$27,后果甲状腺剂量!$I$5:$I$27)*后果甲状腺剂量!$U11+SUMPRODUCT(H$5:H$27,后果甲状腺剂量!$J$5:$J$27)*后果甲状腺剂量!$Q11*后果甲状腺剂量!$Q$3+SUMPRODUCT(I$5:I$27,后果甲状腺剂量!$J$5:$J$27)*后果甲状腺剂量!$Q11*后果甲状腺剂量!$Q$3+SUMPRODUCT(J$5:J$27,后果甲状腺剂量!$J$5:$J$27)*后果甲状腺剂量!$R11*后果甲状腺剂量!$R$3+SUMPRODUCT(K$5:K$27,后果甲状腺剂量!$J$5:$J$27)*后果甲状腺剂量!$S11*后果甲状腺剂量!$S$3+SUMPRODUCT(L$5:L$27,后果甲状腺剂量!$J$5:$J$27)*后果甲状腺剂量!$T11*后果甲状腺剂量!$T$3+SUMPRODUCT(M$5:M$27,后果甲状腺剂量!$J$5:$J$27)*后果甲状腺剂量!$U11*后果甲状腺剂量!$U$3+SUMPRODUCT(H$5:H$27,后果甲状腺剂量!$K$5:$K$27)*后果甲状腺剂量!$Q11+SUMPRODUCT(I$5:I$27,后果甲状腺剂量!$K$5:$K$27)*后果甲状腺剂量!$Q11+SUMPRODUCT(J$5:J$27,后果甲状腺剂量!$K$5:$K$27)*后果甲状腺剂量!$R11+SUMPRODUCT(K$5:K$27,后果甲状腺剂量!$K$5:$K$27)*后果甲状腺剂量!$S11+SUMPRODUCT(L$5:L$27,后果甲状腺剂量!$K$5:$K$27)*后果甲状腺剂量!$T11+SUMPRODUCT(M$5:M$27,后果甲状腺剂量!$K$5:$K$27)*后果甲状腺剂量!$U11</f>
        <v>0.0024548965121549</v>
      </c>
      <c r="J37" s="454">
        <f ca="1" t="shared" si="254"/>
        <v>0.549058383750231</v>
      </c>
      <c r="K37" s="454">
        <f ca="1" t="shared" si="255"/>
        <v>2.4548965121549</v>
      </c>
      <c r="L37" s="436"/>
      <c r="M37" s="436"/>
      <c r="N37" s="455"/>
      <c r="O37" s="390"/>
      <c r="Q37" s="440" t="str">
        <f>后果有效剂量!$P11</f>
        <v>4000m</v>
      </c>
      <c r="R37" s="441">
        <f ca="1">SUMPRODUCT(R$5:R$27,后果有效剂量!$I$5:$I$27)*后果有效剂量!$Q11+SUMPRODUCT(S$5:S$27,后果有效剂量!$I$5:$I$27)*后果有效剂量!$Q11+SUMPRODUCT(T$5:T$27,后果有效剂量!$I$5:$I$27)*后果有效剂量!$R11+SUMPRODUCT(U$5:U$27,后果有效剂量!$I$5:$I$27)*后果有效剂量!$S11+SUMPRODUCT(V$5:V$27,后果有效剂量!$I$5:$I$27)*后果有效剂量!$T11+SUMPRODUCT(W$5:W$27,后果有效剂量!$I$5:$I$27)*后果有效剂量!$U11+SUMPRODUCT(R$5:R$27,后果有效剂量!$J$5:$J$27)*后果有效剂量!$Q11*后果有效剂量!$Q$3+SUMPRODUCT(S$5:S$27,后果有效剂量!$J$5:$J$27)*后果有效剂量!$Q11*后果有效剂量!$Q$3+SUMPRODUCT(T$5:T$27,后果有效剂量!$J$5:$J$27)*后果有效剂量!$R11*后果有效剂量!$R$3+SUMPRODUCT(U$5:U$27,后果有效剂量!$J$5:$J$27)*后果有效剂量!$S11*后果有效剂量!$S$3+SUMPRODUCT(V$5:V$27,后果有效剂量!$J$5:$J$27)*后果有效剂量!$T11*后果有效剂量!$T$3+SUMPRODUCT(W$5:W$27,后果有效剂量!$J$5:$J$27)*后果有效剂量!$U11*后果有效剂量!$U$3+SUMPRODUCT(R$5:R$27,后果有效剂量!$K$5:$K$27)*后果有效剂量!$Q11+SUMPRODUCT(S$5:S$27,后果有效剂量!$K$5:$K$27)*后果有效剂量!$Q11+SUMPRODUCT(T$5:T$27,后果有效剂量!$K$5:$K$27)*后果有效剂量!$R11+SUMPRODUCT(U$5:U$27,后果有效剂量!$K$5:$K$27)*后果有效剂量!$S11+SUMPRODUCT(V$5:V$27,后果有效剂量!$K$5:$K$27)*后果有效剂量!$T11+SUMPRODUCT(W$5:W$27,后果有效剂量!$K$5:$K$27)*后果有效剂量!$U11</f>
        <v>0.000270864956085264</v>
      </c>
      <c r="S37" s="453">
        <f ca="1">SUMPRODUCT(R$5:R$27,后果甲状腺剂量!$I$5:$I$27)*后果甲状腺剂量!$Q11+SUMPRODUCT(S$5:S$27,后果甲状腺剂量!$I$5:$I$27)*后果甲状腺剂量!$Q11+SUMPRODUCT(T$5:T$27,后果甲状腺剂量!$I$5:$I$27)*后果甲状腺剂量!$R11+SUMPRODUCT(U$5:U$27,后果甲状腺剂量!$I$5:$I$27)*后果甲状腺剂量!$S11+SUMPRODUCT(V$5:V$27,后果甲状腺剂量!$I$5:$I$27)*后果甲状腺剂量!$T11+SUMPRODUCT(W$5:W$27,后果甲状腺剂量!$I$5:$I$27)*后果甲状腺剂量!$U11+SUMPRODUCT(R$5:R$27,后果甲状腺剂量!$J$5:$J$27)*后果甲状腺剂量!$Q11*后果甲状腺剂量!$Q$3+SUMPRODUCT(S$5:S$27,后果甲状腺剂量!$J$5:$J$27)*后果甲状腺剂量!$Q11*后果甲状腺剂量!$Q$3+SUMPRODUCT(T$5:T$27,后果甲状腺剂量!$J$5:$J$27)*后果甲状腺剂量!$R11*后果甲状腺剂量!$R$3+SUMPRODUCT(U$5:U$27,后果甲状腺剂量!$J$5:$J$27)*后果甲状腺剂量!$S11*后果甲状腺剂量!$S$3+SUMPRODUCT(V$5:V$27,后果甲状腺剂量!$J$5:$J$27)*后果甲状腺剂量!$T11*后果甲状腺剂量!$T$3+SUMPRODUCT(W$5:W$27,后果甲状腺剂量!$J$5:$J$27)*后果甲状腺剂量!$U11*后果甲状腺剂量!$U$3+SUMPRODUCT(R$5:R$27,后果甲状腺剂量!$K$5:$K$27)*后果甲状腺剂量!$Q11+SUMPRODUCT(S$5:S$27,后果甲状腺剂量!$K$5:$K$27)*后果甲状腺剂量!$Q11+SUMPRODUCT(T$5:T$27,后果甲状腺剂量!$K$5:$K$27)*后果甲状腺剂量!$R11+SUMPRODUCT(U$5:U$27,后果甲状腺剂量!$K$5:$K$27)*后果甲状腺剂量!$S11+SUMPRODUCT(V$5:V$27,后果甲状腺剂量!$K$5:$K$27)*后果甲状腺剂量!$T11+SUMPRODUCT(W$5:W$27,后果甲状腺剂量!$K$5:$K$27)*后果甲状腺剂量!$U11</f>
        <v>0.000959197852152777</v>
      </c>
      <c r="T37" s="454">
        <f ca="1" t="shared" si="256"/>
        <v>0.270864956085264</v>
      </c>
      <c r="U37" s="454">
        <f ca="1" t="shared" si="257"/>
        <v>0.959197852152777</v>
      </c>
      <c r="V37" s="436"/>
      <c r="W37" s="436"/>
      <c r="AN37" s="533"/>
      <c r="AO37" s="390"/>
      <c r="AP37" s="390"/>
      <c r="AQ37" s="390"/>
      <c r="AR37" s="390"/>
      <c r="AS37" s="572"/>
      <c r="AT37" s="390"/>
      <c r="AU37" s="390"/>
      <c r="AV37" s="394"/>
      <c r="AW37" s="394"/>
      <c r="AX37" s="394"/>
      <c r="AY37" s="394"/>
      <c r="AZ37" s="394"/>
      <c r="BA37" s="394"/>
      <c r="BB37" s="394"/>
      <c r="BC37" s="394"/>
      <c r="BD37" s="394"/>
      <c r="BE37" s="394"/>
      <c r="BF37" s="394"/>
      <c r="BG37" s="394"/>
      <c r="BH37" s="394"/>
      <c r="BI37" s="394"/>
      <c r="BJ37" s="394"/>
      <c r="BK37" s="394"/>
      <c r="BL37" s="394"/>
      <c r="BM37" s="394"/>
      <c r="BN37" s="394"/>
      <c r="BO37" s="600"/>
      <c r="BP37" s="394"/>
      <c r="BQ37" s="394"/>
      <c r="BR37" s="394"/>
      <c r="BS37" s="394"/>
      <c r="BT37" s="394"/>
      <c r="BU37" s="394"/>
      <c r="BV37" s="394"/>
      <c r="BW37" s="394"/>
      <c r="BX37" s="394"/>
      <c r="BY37" s="394"/>
      <c r="BZ37" s="394"/>
      <c r="CA37" s="394"/>
      <c r="CB37" s="394"/>
      <c r="CC37" s="394"/>
      <c r="CD37" s="394"/>
      <c r="CE37" s="394"/>
      <c r="CF37" s="394"/>
      <c r="CG37" s="394"/>
      <c r="CH37" s="394"/>
      <c r="CI37" s="394"/>
      <c r="CJ37" s="600"/>
      <c r="CK37" s="394"/>
      <c r="CL37" s="394"/>
      <c r="CM37" s="394"/>
      <c r="CN37" s="394"/>
      <c r="CO37" s="394"/>
      <c r="CP37" s="394"/>
      <c r="CQ37" s="394"/>
      <c r="CR37" s="394"/>
      <c r="CS37" s="394"/>
      <c r="CT37" s="394"/>
      <c r="CU37" s="394"/>
      <c r="CV37" s="394"/>
      <c r="CW37" s="394"/>
      <c r="CX37" s="394"/>
      <c r="CY37" s="394"/>
      <c r="CZ37" s="394"/>
      <c r="DA37" s="394"/>
      <c r="DB37" s="394"/>
      <c r="DC37" s="394"/>
      <c r="DD37" s="394"/>
      <c r="DE37" s="394"/>
      <c r="DF37" s="394"/>
      <c r="DG37" s="394"/>
      <c r="DH37" s="394"/>
      <c r="DI37" s="394"/>
      <c r="DJ37" s="394"/>
      <c r="DK37" s="394"/>
      <c r="DL37" s="394"/>
      <c r="DM37" s="394"/>
      <c r="DN37" s="394"/>
      <c r="DO37" s="394"/>
      <c r="DP37" s="394"/>
      <c r="DQ37" s="394"/>
      <c r="DR37" s="394"/>
      <c r="DS37" s="394"/>
      <c r="DT37" s="394"/>
      <c r="DU37" s="394"/>
      <c r="DV37" s="394"/>
      <c r="DW37" s="394"/>
      <c r="DX37" s="394"/>
      <c r="DY37" s="394"/>
      <c r="DZ37" s="600"/>
      <c r="EA37" s="394"/>
      <c r="EB37" s="394"/>
      <c r="EC37" s="394"/>
      <c r="ED37" s="394"/>
      <c r="EE37" s="394"/>
      <c r="EF37" s="394"/>
      <c r="EG37" s="394"/>
      <c r="EH37" s="394"/>
      <c r="EI37" s="394"/>
      <c r="EJ37" s="394"/>
      <c r="EK37" s="394"/>
      <c r="EL37" s="394"/>
      <c r="EM37" s="394"/>
      <c r="EN37" s="394"/>
      <c r="EO37" s="394"/>
      <c r="EP37" s="394"/>
      <c r="EQ37" s="394"/>
      <c r="ER37" s="394"/>
      <c r="ES37" s="394"/>
      <c r="ET37" s="394"/>
      <c r="EU37" s="603"/>
      <c r="EV37" s="394"/>
      <c r="EW37" s="394"/>
      <c r="EX37" s="394"/>
      <c r="EY37" s="394"/>
      <c r="EZ37" s="394"/>
      <c r="FA37" s="394"/>
      <c r="FB37" s="394"/>
      <c r="FC37" s="394"/>
      <c r="FD37" s="394"/>
      <c r="FE37" s="394"/>
      <c r="FF37" s="394"/>
      <c r="FG37" s="394"/>
      <c r="FH37" s="394"/>
      <c r="FI37" s="394"/>
      <c r="FJ37" s="394"/>
      <c r="FK37" s="394"/>
      <c r="FL37" s="394"/>
      <c r="FM37" s="394"/>
      <c r="FN37" s="394"/>
      <c r="FO37" s="394"/>
      <c r="FP37" s="603"/>
      <c r="FQ37" s="394"/>
      <c r="FS37" s="441">
        <f>SUMPRODUCT(FS$5:FS$27,后果有效剂量!$I$5:$I$27)*后果有效剂量!$Q11+SUMPRODUCT(FT$5:FT$27,后果有效剂量!$I$5:$I$27)*后果有效剂量!$R11+SUMPRODUCT(FU$5:FU$27,后果有效剂量!$I$5:$I$27)*后果有效剂量!$S11+SUMPRODUCT(FV$5:FV$27,后果有效剂量!$I$5:$I$27)*后果有效剂量!$T11+SUMPRODUCT(FS$5:FS$27,后果有效剂量!$J$5:$J$27)*后果有效剂量!$Q11*后果有效剂量!$Q$3+SUMPRODUCT(FT$5:FT$27,后果有效剂量!$J$5:$J$27)*后果有效剂量!$R11*后果有效剂量!$R$3+SUMPRODUCT(FU$5:FU$27,后果有效剂量!$J$5:$J$27)*后果有效剂量!$S11*后果有效剂量!$S$3+SUMPRODUCT(FV$5:FV$27,后果有效剂量!$J$5:$J$27)*后果有效剂量!$T11*后果有效剂量!$T$3+SUMPRODUCT(FS$5:FS$27,后果有效剂量!$K$5:$K$27)*后果有效剂量!$Q11+SUMPRODUCT(FT$5:FT$27,后果有效剂量!$K$5:$K$27)*后果有效剂量!$R11+SUMPRODUCT(FU$5:FU$27,后果有效剂量!$K$5:$K$27)*后果有效剂量!$S11+SUMPRODUCT(FV$5:FV$27,后果有效剂量!$K$5:$K$27)*后果有效剂量!$T11</f>
        <v>0.000364720194815751</v>
      </c>
      <c r="FT37" s="453">
        <f>SUMPRODUCT(FS$5:FS$27,后果甲状腺剂量!$I$5:$I$27)*后果甲状腺剂量!$Q11+SUMPRODUCT(FT$5:FT$27,后果甲状腺剂量!$I$5:$I$27)*后果甲状腺剂量!$R11+SUMPRODUCT(FU$5:FU$27,后果甲状腺剂量!$I$5:$I$27)*后果甲状腺剂量!$S11+SUMPRODUCT(FV$5:FV$27,后果甲状腺剂量!$I$5:$I$27)*后果甲状腺剂量!$T11+SUMPRODUCT(FS$5:FS$27,后果甲状腺剂量!$J$5:$J$27)*后果甲状腺剂量!$Q11*后果甲状腺剂量!$Q$3+SUMPRODUCT(FT$5:FT$27,后果甲状腺剂量!$J$5:$J$27)*后果甲状腺剂量!$R11*后果甲状腺剂量!$R$3+SUMPRODUCT(FU$5:FU$27,后果甲状腺剂量!$J$5:$J$27)*后果甲状腺剂量!$S11*后果甲状腺剂量!$S$3+SUMPRODUCT(FV$5:FV$27,后果甲状腺剂量!$J$5:$J$27)*后果甲状腺剂量!$T11*后果甲状腺剂量!$T$3+SUMPRODUCT(FS$5:FS$27,后果甲状腺剂量!$K$5:$K$27)*后果甲状腺剂量!$Q11+SUMPRODUCT(FT$5:FT$27,后果甲状腺剂量!$K$5:$K$27)*后果甲状腺剂量!$R11+SUMPRODUCT(FU$5:FU$27,后果甲状腺剂量!$K$5:$K$27)*后果甲状腺剂量!$S11+SUMPRODUCT(FV$5:FV$27,后果甲状腺剂量!$K$5:$K$27)*后果甲状腺剂量!$T11</f>
        <v>0.00275749363591398</v>
      </c>
      <c r="FU37" s="454">
        <f t="shared" si="258"/>
        <v>0.364720194815751</v>
      </c>
      <c r="FV37" s="454">
        <f t="shared" si="259"/>
        <v>2.75749363591398</v>
      </c>
      <c r="FW37" s="436"/>
      <c r="FX37" s="436"/>
      <c r="GD37" s="440" t="str">
        <f>后果有效剂量!$P11</f>
        <v>4000m</v>
      </c>
      <c r="GE37" s="441">
        <f>SUMPRODUCT(GE$5:GE$27,后果有效剂量!$I$5:$I$27)*后果有效剂量!$Q11+SUMPRODUCT(GF$5:GF$27,后果有效剂量!$I$5:$I$27)*后果有效剂量!$R11+SUMPRODUCT(GG$5:GG$27,后果有效剂量!$I$5:$I$27)*后果有效剂量!$S11+(SUMPRODUCT(GH$5:GH$27,后果有效剂量!$I$5:$I$27)+SUMPRODUCT(GI$5:GI$27,后果有效剂量!$I$5:$I$27))*后果有效剂量!$T11+SUMPRODUCT(GJ$5:GJ$27,后果有效剂量!$I$5:$I$27)*后果有效剂量!$U11+SUMPRODUCT(GE$5:GE$27,后果有效剂量!$J$5:$J$27)*后果有效剂量!$Q11*后果有效剂量!$Q$3+SUMPRODUCT(GF$5:GF$27,后果有效剂量!$J$5:$J$27)*后果有效剂量!$R11*后果有效剂量!$R$3+SUMPRODUCT(GG$5:GG$27,后果有效剂量!$J$5:$J$27)*后果有效剂量!$S11*后果有效剂量!$S$3+(SUMPRODUCT(GH$5:GH$27,后果有效剂量!$J$5:$J$27)+SUMPRODUCT(GI$5:GI$27,后果有效剂量!$J$5:$J$27))*后果有效剂量!$T11*后果有效剂量!$T$3+SUMPRODUCT(GJ$5:GJ$27,后果有效剂量!$J$5:$J$27)*后果有效剂量!$U11*后果有效剂量!$U$3+SUMPRODUCT(GE$5:GE$27,后果有效剂量!$K$5:$K$27)*后果有效剂量!$Q11+SUMPRODUCT(GF$5:GF$27,后果有效剂量!$K$5:$K$27)*后果有效剂量!$R11+SUMPRODUCT(GG$5:GG$27,后果有效剂量!$K$5:$K$27)*后果有效剂量!$S11+(SUMPRODUCT(GH$5:GH$27,后果有效剂量!$K$5:$K$27)+SUMPRODUCT(GI$5:GI$27,后果有效剂量!$K$5:$K$27))*后果有效剂量!$T11+SUMPRODUCT(GJ$5:GJ$27,后果有效剂量!$K$5:$K$27)*后果有效剂量!$U11</f>
        <v>8.91871700666406e-5</v>
      </c>
      <c r="GF37" s="453">
        <f>SUMPRODUCT(GE$5:GE$27,后果甲状腺剂量!$I$5:$I$27)*后果甲状腺剂量!$Q11+SUMPRODUCT(GF$5:GF$27,后果甲状腺剂量!$I$5:$I$27)*后果甲状腺剂量!$R11+SUMPRODUCT(GG$5:GG$27,后果甲状腺剂量!$I$5:$I$27)*后果甲状腺剂量!$S11+(SUMPRODUCT(GH$5:GH$27,后果甲状腺剂量!$I$5:$I$27)+SUMPRODUCT(GI$5:GI$27,后果甲状腺剂量!$I$5:$I$27))*后果甲状腺剂量!$T11+SUMPRODUCT(GJ$5:GJ$27,后果甲状腺剂量!$I$5:$I$27)*后果甲状腺剂量!$U11+SUMPRODUCT(GE$5:GE$27,后果甲状腺剂量!$J$5:$J$27)*后果甲状腺剂量!$Q11*后果甲状腺剂量!$Q$3+SUMPRODUCT(GF$5:GF$27,后果甲状腺剂量!$J$5:$J$27)*后果甲状腺剂量!$R11*后果甲状腺剂量!$R$3+SUMPRODUCT(GG$5:GG$27,后果甲状腺剂量!$J$5:$J$27)*后果甲状腺剂量!$S11*后果甲状腺剂量!$S$3+(SUMPRODUCT(GH$5:GH$27,后果甲状腺剂量!$J$5:$J$27)+SUMPRODUCT(GI$5:GI$27,后果甲状腺剂量!$J$5:$J$27))*后果甲状腺剂量!$T11*后果甲状腺剂量!$T$3+SUMPRODUCT(GJ$5:GJ$27,后果甲状腺剂量!$J$5:$J$27)*后果甲状腺剂量!$U11*后果甲状腺剂量!$U$3+SUMPRODUCT(GE$5:GE$27,后果甲状腺剂量!$K$5:$K$27)*后果甲状腺剂量!$Q11+SUMPRODUCT(GF$5:GF$27,后果甲状腺剂量!$K$5:$K$27)*后果甲状腺剂量!$R11+SUMPRODUCT(GG$5:GG$27,后果甲状腺剂量!$K$5:$K$27)*后果甲状腺剂量!$S11+(SUMPRODUCT(GH$5:GH$27,后果甲状腺剂量!$K$5:$K$27)+SUMPRODUCT(GI$5:GI$27,后果甲状腺剂量!$K$5:$K$27))*后果甲状腺剂量!$T11+SUMPRODUCT(GJ$5:GJ$27,后果甲状腺剂量!$K$5:$K$27)*后果甲状腺剂量!$U11</f>
        <v>0.000539068281266805</v>
      </c>
      <c r="GG37" s="454">
        <f t="shared" si="260"/>
        <v>0.0891871700666406</v>
      </c>
      <c r="GH37" s="454">
        <f t="shared" si="261"/>
        <v>0.539068281266805</v>
      </c>
      <c r="GI37" s="436"/>
      <c r="GJ37" s="436"/>
    </row>
    <row r="38" spans="7:192">
      <c r="G38" s="440" t="str">
        <f>后果有效剂量!$P12</f>
        <v>5000m</v>
      </c>
      <c r="H38" s="441">
        <f ca="1">SUMPRODUCT(H$5:H$27,后果有效剂量!$I$5:$I$27)*后果有效剂量!$Q12+SUMPRODUCT(I$5:I$27,后果有效剂量!$I$5:$I$27)*后果有效剂量!$Q12+SUMPRODUCT(J$5:J$27,后果有效剂量!$I$5:$I$27)*后果有效剂量!$R12+SUMPRODUCT(K$5:K$27,后果有效剂量!$I$5:$I$27)*后果有效剂量!$S12+SUMPRODUCT(L$5:L$27,后果有效剂量!$I$5:$I$27)*后果有效剂量!$T12+SUMPRODUCT(M$5:M$27,后果有效剂量!$I$5:$I$27)*后果有效剂量!$U12+SUMPRODUCT(H$5:H$27,后果有效剂量!$J$5:$J$27)*后果有效剂量!$Q12*后果有效剂量!$Q$3+SUMPRODUCT(I$5:I$27,后果有效剂量!$J$5:$J$27)*后果有效剂量!$Q12*后果有效剂量!$Q$3+SUMPRODUCT(J$5:J$27,后果有效剂量!$J$5:$J$27)*后果有效剂量!$R12*后果有效剂量!$R$3+SUMPRODUCT(K$5:K$27,后果有效剂量!$J$5:$J$27)*后果有效剂量!$S12*后果有效剂量!$S$3+SUMPRODUCT(L$5:L$27,后果有效剂量!$J$5:$J$27)*后果有效剂量!$T12*后果有效剂量!$T$3+SUMPRODUCT(M$5:M$27,后果有效剂量!$J$5:$J$27)*后果有效剂量!$U12*后果有效剂量!$U$3+SUMPRODUCT(H$5:H$27,后果有效剂量!$K$5:$K$27)*后果有效剂量!$Q12+SUMPRODUCT(I$5:I$27,后果有效剂量!$K$5:$K$27)*后果有效剂量!$Q12+SUMPRODUCT(J$5:J$27,后果有效剂量!$K$5:$K$27)*后果有效剂量!$R12+SUMPRODUCT(K$5:K$27,后果有效剂量!$K$5:$K$27)*后果有效剂量!$S12+SUMPRODUCT(L$5:L$27,后果有效剂量!$K$5:$K$27)*后果有效剂量!$T12+SUMPRODUCT(M$5:M$27,后果有效剂量!$K$5:$K$27)*后果有效剂量!$U12</f>
        <v>5.83447873903185e-5</v>
      </c>
      <c r="I38" s="453">
        <f ca="1">SUMPRODUCT(H$5:H$27,后果甲状腺剂量!$I$5:$I$27)*后果甲状腺剂量!$Q12+SUMPRODUCT(I$5:I$27,后果甲状腺剂量!$I$5:$I$27)*后果甲状腺剂量!$Q12+SUMPRODUCT(J$5:J$27,后果甲状腺剂量!$I$5:$I$27)*后果甲状腺剂量!$R12+SUMPRODUCT(K$5:K$27,后果甲状腺剂量!$I$5:$I$27)*后果甲状腺剂量!$S12+SUMPRODUCT(L$5:L$27,后果甲状腺剂量!$I$5:$I$27)*后果甲状腺剂量!$T12+SUMPRODUCT(M$5:M$27,后果甲状腺剂量!$I$5:$I$27)*后果甲状腺剂量!$U12+SUMPRODUCT(H$5:H$27,后果甲状腺剂量!$J$5:$J$27)*后果甲状腺剂量!$Q12*后果甲状腺剂量!$Q$3+SUMPRODUCT(I$5:I$27,后果甲状腺剂量!$J$5:$J$27)*后果甲状腺剂量!$Q12*后果甲状腺剂量!$Q$3+SUMPRODUCT(J$5:J$27,后果甲状腺剂量!$J$5:$J$27)*后果甲状腺剂量!$R12*后果甲状腺剂量!$R$3+SUMPRODUCT(K$5:K$27,后果甲状腺剂量!$J$5:$J$27)*后果甲状腺剂量!$S12*后果甲状腺剂量!$S$3+SUMPRODUCT(L$5:L$27,后果甲状腺剂量!$J$5:$J$27)*后果甲状腺剂量!$T12*后果甲状腺剂量!$T$3+SUMPRODUCT(M$5:M$27,后果甲状腺剂量!$J$5:$J$27)*后果甲状腺剂量!$U12*后果甲状腺剂量!$U$3+SUMPRODUCT(H$5:H$27,后果甲状腺剂量!$K$5:$K$27)*后果甲状腺剂量!$Q12+SUMPRODUCT(I$5:I$27,后果甲状腺剂量!$K$5:$K$27)*后果甲状腺剂量!$Q12+SUMPRODUCT(J$5:J$27,后果甲状腺剂量!$K$5:$K$27)*后果甲状腺剂量!$R12+SUMPRODUCT(K$5:K$27,后果甲状腺剂量!$K$5:$K$27)*后果甲状腺剂量!$S12+SUMPRODUCT(L$5:L$27,后果甲状腺剂量!$K$5:$K$27)*后果甲状腺剂量!$T12+SUMPRODUCT(M$5:M$27,后果甲状腺剂量!$K$5:$K$27)*后果甲状腺剂量!$U12</f>
        <v>0.00186389869276741</v>
      </c>
      <c r="J38" s="454">
        <f ca="1" t="shared" si="254"/>
        <v>0.0583447873903185</v>
      </c>
      <c r="K38" s="454">
        <f ca="1" t="shared" si="255"/>
        <v>1.86389869276741</v>
      </c>
      <c r="L38" s="436"/>
      <c r="M38" s="436"/>
      <c r="N38" s="455"/>
      <c r="O38" s="390"/>
      <c r="Q38" s="440" t="str">
        <f>后果有效剂量!$P12</f>
        <v>5000m</v>
      </c>
      <c r="R38" s="441">
        <f ca="1">SUMPRODUCT(R$5:R$27,后果有效剂量!$I$5:$I$27)*后果有效剂量!$Q12+SUMPRODUCT(S$5:S$27,后果有效剂量!$I$5:$I$27)*后果有效剂量!$Q12+SUMPRODUCT(T$5:T$27,后果有效剂量!$I$5:$I$27)*后果有效剂量!$R12+SUMPRODUCT(U$5:U$27,后果有效剂量!$I$5:$I$27)*后果有效剂量!$S12+SUMPRODUCT(V$5:V$27,后果有效剂量!$I$5:$I$27)*后果有效剂量!$T12+SUMPRODUCT(W$5:W$27,后果有效剂量!$I$5:$I$27)*后果有效剂量!$U12+SUMPRODUCT(R$5:R$27,后果有效剂量!$J$5:$J$27)*后果有效剂量!$Q12*后果有效剂量!$Q$3+SUMPRODUCT(S$5:S$27,后果有效剂量!$J$5:$J$27)*后果有效剂量!$Q12*后果有效剂量!$Q$3+SUMPRODUCT(T$5:T$27,后果有效剂量!$J$5:$J$27)*后果有效剂量!$R12*后果有效剂量!$R$3+SUMPRODUCT(U$5:U$27,后果有效剂量!$J$5:$J$27)*后果有效剂量!$S12*后果有效剂量!$S$3+SUMPRODUCT(V$5:V$27,后果有效剂量!$J$5:$J$27)*后果有效剂量!$T12*后果有效剂量!$T$3+SUMPRODUCT(W$5:W$27,后果有效剂量!$J$5:$J$27)*后果有效剂量!$U12*后果有效剂量!$U$3+SUMPRODUCT(R$5:R$27,后果有效剂量!$K$5:$K$27)*后果有效剂量!$Q12+SUMPRODUCT(S$5:S$27,后果有效剂量!$K$5:$K$27)*后果有效剂量!$Q12+SUMPRODUCT(T$5:T$27,后果有效剂量!$K$5:$K$27)*后果有效剂量!$R12+SUMPRODUCT(U$5:U$27,后果有效剂量!$K$5:$K$27)*后果有效剂量!$S12+SUMPRODUCT(V$5:V$27,后果有效剂量!$K$5:$K$27)*后果有效剂量!$T12+SUMPRODUCT(W$5:W$27,后果有效剂量!$K$5:$K$27)*后果有效剂量!$U12</f>
        <v>2.58095200597532e-5</v>
      </c>
      <c r="S38" s="453">
        <f ca="1">SUMPRODUCT(R$5:R$27,后果甲状腺剂量!$I$5:$I$27)*后果甲状腺剂量!$Q12+SUMPRODUCT(S$5:S$27,后果甲状腺剂量!$I$5:$I$27)*后果甲状腺剂量!$Q12+SUMPRODUCT(T$5:T$27,后果甲状腺剂量!$I$5:$I$27)*后果甲状腺剂量!$R12+SUMPRODUCT(U$5:U$27,后果甲状腺剂量!$I$5:$I$27)*后果甲状腺剂量!$S12+SUMPRODUCT(V$5:V$27,后果甲状腺剂量!$I$5:$I$27)*后果甲状腺剂量!$T12+SUMPRODUCT(W$5:W$27,后果甲状腺剂量!$I$5:$I$27)*后果甲状腺剂量!$U12+SUMPRODUCT(R$5:R$27,后果甲状腺剂量!$J$5:$J$27)*后果甲状腺剂量!$Q12*后果甲状腺剂量!$Q$3+SUMPRODUCT(S$5:S$27,后果甲状腺剂量!$J$5:$J$27)*后果甲状腺剂量!$Q12*后果甲状腺剂量!$Q$3+SUMPRODUCT(T$5:T$27,后果甲状腺剂量!$J$5:$J$27)*后果甲状腺剂量!$R12*后果甲状腺剂量!$R$3+SUMPRODUCT(U$5:U$27,后果甲状腺剂量!$J$5:$J$27)*后果甲状腺剂量!$S12*后果甲状腺剂量!$S$3+SUMPRODUCT(V$5:V$27,后果甲状腺剂量!$J$5:$J$27)*后果甲状腺剂量!$T12*后果甲状腺剂量!$T$3+SUMPRODUCT(W$5:W$27,后果甲状腺剂量!$J$5:$J$27)*后果甲状腺剂量!$U12*后果甲状腺剂量!$U$3+SUMPRODUCT(R$5:R$27,后果甲状腺剂量!$K$5:$K$27)*后果甲状腺剂量!$Q12+SUMPRODUCT(S$5:S$27,后果甲状腺剂量!$K$5:$K$27)*后果甲状腺剂量!$Q12+SUMPRODUCT(T$5:T$27,后果甲状腺剂量!$K$5:$K$27)*后果甲状腺剂量!$R12+SUMPRODUCT(U$5:U$27,后果甲状腺剂量!$K$5:$K$27)*后果甲状腺剂量!$S12+SUMPRODUCT(V$5:V$27,后果甲状腺剂量!$K$5:$K$27)*后果甲状腺剂量!$T12+SUMPRODUCT(W$5:W$27,后果甲状腺剂量!$K$5:$K$27)*后果甲状腺剂量!$U12</f>
        <v>0.000756889962452135</v>
      </c>
      <c r="T38" s="454">
        <f ca="1" t="shared" si="256"/>
        <v>0.0258095200597532</v>
      </c>
      <c r="U38" s="454">
        <f ca="1" t="shared" si="257"/>
        <v>0.756889962452135</v>
      </c>
      <c r="V38" s="436"/>
      <c r="W38" s="436"/>
      <c r="AN38" s="533"/>
      <c r="AO38" s="390"/>
      <c r="AP38" s="390"/>
      <c r="AQ38" s="390"/>
      <c r="AR38" s="390"/>
      <c r="AS38" s="572"/>
      <c r="AT38" s="390"/>
      <c r="AU38" s="390"/>
      <c r="AV38" s="394"/>
      <c r="AW38" s="394"/>
      <c r="AX38" s="394"/>
      <c r="AY38" s="394"/>
      <c r="AZ38" s="394"/>
      <c r="BA38" s="394"/>
      <c r="BB38" s="394"/>
      <c r="BC38" s="394"/>
      <c r="BD38" s="394"/>
      <c r="BE38" s="394"/>
      <c r="BF38" s="394"/>
      <c r="BG38" s="394"/>
      <c r="BH38" s="394"/>
      <c r="BI38" s="394"/>
      <c r="BJ38" s="394"/>
      <c r="BK38" s="394"/>
      <c r="BL38" s="394"/>
      <c r="BM38" s="394"/>
      <c r="BN38" s="394"/>
      <c r="BO38" s="600"/>
      <c r="BP38" s="394"/>
      <c r="BQ38" s="394"/>
      <c r="BR38" s="394"/>
      <c r="BS38" s="394"/>
      <c r="BT38" s="394"/>
      <c r="BU38" s="394"/>
      <c r="BV38" s="394"/>
      <c r="BW38" s="394"/>
      <c r="BX38" s="394"/>
      <c r="BY38" s="394"/>
      <c r="BZ38" s="394"/>
      <c r="CA38" s="394"/>
      <c r="CB38" s="394"/>
      <c r="CC38" s="394"/>
      <c r="CD38" s="394"/>
      <c r="CE38" s="394"/>
      <c r="CF38" s="394"/>
      <c r="CG38" s="394"/>
      <c r="CH38" s="394"/>
      <c r="CI38" s="394"/>
      <c r="CJ38" s="600"/>
      <c r="CK38" s="394"/>
      <c r="CL38" s="394"/>
      <c r="CM38" s="394"/>
      <c r="CN38" s="394"/>
      <c r="CO38" s="394"/>
      <c r="CP38" s="394"/>
      <c r="CQ38" s="394"/>
      <c r="CR38" s="394"/>
      <c r="CS38" s="394"/>
      <c r="CT38" s="394"/>
      <c r="CU38" s="394"/>
      <c r="CV38" s="394"/>
      <c r="CW38" s="394"/>
      <c r="CX38" s="394"/>
      <c r="CY38" s="394"/>
      <c r="CZ38" s="394"/>
      <c r="DA38" s="394"/>
      <c r="DB38" s="394"/>
      <c r="DC38" s="394"/>
      <c r="DD38" s="394"/>
      <c r="DE38" s="394"/>
      <c r="DF38" s="394"/>
      <c r="DG38" s="394"/>
      <c r="DH38" s="394"/>
      <c r="DI38" s="394"/>
      <c r="DJ38" s="394"/>
      <c r="DK38" s="394"/>
      <c r="DL38" s="394"/>
      <c r="DM38" s="394"/>
      <c r="DN38" s="394"/>
      <c r="DO38" s="394"/>
      <c r="DP38" s="394"/>
      <c r="DQ38" s="394"/>
      <c r="DR38" s="394"/>
      <c r="DS38" s="394"/>
      <c r="DT38" s="394"/>
      <c r="DU38" s="394"/>
      <c r="DV38" s="394"/>
      <c r="DW38" s="394"/>
      <c r="DX38" s="394"/>
      <c r="DY38" s="394"/>
      <c r="DZ38" s="600"/>
      <c r="EA38" s="394"/>
      <c r="EB38" s="394"/>
      <c r="EC38" s="394"/>
      <c r="ED38" s="394"/>
      <c r="EE38" s="394"/>
      <c r="EF38" s="394"/>
      <c r="EG38" s="394"/>
      <c r="EH38" s="394"/>
      <c r="EI38" s="394"/>
      <c r="EJ38" s="394"/>
      <c r="EK38" s="394"/>
      <c r="EL38" s="394"/>
      <c r="EM38" s="394"/>
      <c r="EN38" s="394"/>
      <c r="EO38" s="394"/>
      <c r="EP38" s="394"/>
      <c r="EQ38" s="394"/>
      <c r="ER38" s="394"/>
      <c r="ES38" s="394"/>
      <c r="ET38" s="394"/>
      <c r="EU38" s="603"/>
      <c r="EV38" s="394"/>
      <c r="EW38" s="394"/>
      <c r="EX38" s="394"/>
      <c r="EY38" s="394"/>
      <c r="EZ38" s="394"/>
      <c r="FA38" s="394"/>
      <c r="FB38" s="394"/>
      <c r="FC38" s="394"/>
      <c r="FD38" s="394"/>
      <c r="FE38" s="394"/>
      <c r="FF38" s="394"/>
      <c r="FG38" s="394"/>
      <c r="FH38" s="394"/>
      <c r="FI38" s="394"/>
      <c r="FJ38" s="394"/>
      <c r="FK38" s="394"/>
      <c r="FL38" s="394"/>
      <c r="FM38" s="394"/>
      <c r="FN38" s="394"/>
      <c r="FO38" s="394"/>
      <c r="FP38" s="603"/>
      <c r="FQ38" s="394"/>
      <c r="FS38" s="441">
        <f>SUMPRODUCT(FS$5:FS$27,后果有效剂量!$I$5:$I$27)*后果有效剂量!$Q12+SUMPRODUCT(FT$5:FT$27,后果有效剂量!$I$5:$I$27)*后果有效剂量!$R12+SUMPRODUCT(FU$5:FU$27,后果有效剂量!$I$5:$I$27)*后果有效剂量!$S12+SUMPRODUCT(FV$5:FV$27,后果有效剂量!$I$5:$I$27)*后果有效剂量!$T12+SUMPRODUCT(FS$5:FS$27,后果有效剂量!$J$5:$J$27)*后果有效剂量!$Q12*后果有效剂量!$Q$3+SUMPRODUCT(FT$5:FT$27,后果有效剂量!$J$5:$J$27)*后果有效剂量!$R12*后果有效剂量!$R$3+SUMPRODUCT(FU$5:FU$27,后果有效剂量!$J$5:$J$27)*后果有效剂量!$S12*后果有效剂量!$S$3+SUMPRODUCT(FV$5:FV$27,后果有效剂量!$J$5:$J$27)*后果有效剂量!$T12*后果有效剂量!$T$3+SUMPRODUCT(FS$5:FS$27,后果有效剂量!$K$5:$K$27)*后果有效剂量!$Q12+SUMPRODUCT(FT$5:FT$27,后果有效剂量!$K$5:$K$27)*后果有效剂量!$R12+SUMPRODUCT(FU$5:FU$27,后果有效剂量!$K$5:$K$27)*后果有效剂量!$S12+SUMPRODUCT(FV$5:FV$27,后果有效剂量!$K$5:$K$27)*后果有效剂量!$T12</f>
        <v>3.76124270740873e-5</v>
      </c>
      <c r="FT38" s="453">
        <f>SUMPRODUCT(FS$5:FS$27,后果甲状腺剂量!$I$5:$I$27)*后果甲状腺剂量!$Q12+SUMPRODUCT(FT$5:FT$27,后果甲状腺剂量!$I$5:$I$27)*后果甲状腺剂量!$R12+SUMPRODUCT(FU$5:FU$27,后果甲状腺剂量!$I$5:$I$27)*后果甲状腺剂量!$S12+SUMPRODUCT(FV$5:FV$27,后果甲状腺剂量!$I$5:$I$27)*后果甲状腺剂量!$T12+SUMPRODUCT(FS$5:FS$27,后果甲状腺剂量!$J$5:$J$27)*后果甲状腺剂量!$Q12*后果甲状腺剂量!$Q$3+SUMPRODUCT(FT$5:FT$27,后果甲状腺剂量!$J$5:$J$27)*后果甲状腺剂量!$R12*后果甲状腺剂量!$R$3+SUMPRODUCT(FU$5:FU$27,后果甲状腺剂量!$J$5:$J$27)*后果甲状腺剂量!$S12*后果甲状腺剂量!$S$3+SUMPRODUCT(FV$5:FV$27,后果甲状腺剂量!$J$5:$J$27)*后果甲状腺剂量!$T12*后果甲状腺剂量!$T$3+SUMPRODUCT(FS$5:FS$27,后果甲状腺剂量!$K$5:$K$27)*后果甲状腺剂量!$Q12+SUMPRODUCT(FT$5:FT$27,后果甲状腺剂量!$K$5:$K$27)*后果甲状腺剂量!$R12+SUMPRODUCT(FU$5:FU$27,后果甲状腺剂量!$K$5:$K$27)*后果甲状腺剂量!$S12+SUMPRODUCT(FV$5:FV$27,后果甲状腺剂量!$K$5:$K$27)*后果甲状腺剂量!$T12</f>
        <v>0.00209817268079309</v>
      </c>
      <c r="FU38" s="454">
        <f t="shared" si="258"/>
        <v>0.0376124270740873</v>
      </c>
      <c r="FV38" s="454">
        <f t="shared" si="259"/>
        <v>2.09817268079309</v>
      </c>
      <c r="FW38" s="436"/>
      <c r="FX38" s="436"/>
      <c r="GD38" s="440" t="str">
        <f>后果有效剂量!$P12</f>
        <v>5000m</v>
      </c>
      <c r="GE38" s="441">
        <f>SUMPRODUCT(GE$5:GE$27,后果有效剂量!$I$5:$I$27)*后果有效剂量!$Q12+SUMPRODUCT(GF$5:GF$27,后果有效剂量!$I$5:$I$27)*后果有效剂量!$R12+SUMPRODUCT(GG$5:GG$27,后果有效剂量!$I$5:$I$27)*后果有效剂量!$S12+(SUMPRODUCT(GH$5:GH$27,后果有效剂量!$I$5:$I$27)+SUMPRODUCT(GI$5:GI$27,后果有效剂量!$I$5:$I$27))*后果有效剂量!$T12+SUMPRODUCT(GJ$5:GJ$27,后果有效剂量!$I$5:$I$27)*后果有效剂量!$U12+SUMPRODUCT(GE$5:GE$27,后果有效剂量!$J$5:$J$27)*后果有效剂量!$Q12*后果有效剂量!$Q$3+SUMPRODUCT(GF$5:GF$27,后果有效剂量!$J$5:$J$27)*后果有效剂量!$R12*后果有效剂量!$R$3+SUMPRODUCT(GG$5:GG$27,后果有效剂量!$J$5:$J$27)*后果有效剂量!$S12*后果有效剂量!$S$3+(SUMPRODUCT(GH$5:GH$27,后果有效剂量!$J$5:$J$27)+SUMPRODUCT(GI$5:GI$27,后果有效剂量!$J$5:$J$27))*后果有效剂量!$T12*后果有效剂量!$T$3+SUMPRODUCT(GJ$5:GJ$27,后果有效剂量!$J$5:$J$27)*后果有效剂量!$U12*后果有效剂量!$U$3+SUMPRODUCT(GE$5:GE$27,后果有效剂量!$K$5:$K$27)*后果有效剂量!$Q12+SUMPRODUCT(GF$5:GF$27,后果有效剂量!$K$5:$K$27)*后果有效剂量!$R12+SUMPRODUCT(GG$5:GG$27,后果有效剂量!$K$5:$K$27)*后果有效剂量!$S12+(SUMPRODUCT(GH$5:GH$27,后果有效剂量!$K$5:$K$27)+SUMPRODUCT(GI$5:GI$27,后果有效剂量!$K$5:$K$27))*后果有效剂量!$T12+SUMPRODUCT(GJ$5:GJ$27,后果有效剂量!$K$5:$K$27)*后果有效剂量!$U12</f>
        <v>9.96698491087919e-6</v>
      </c>
      <c r="GF38" s="453">
        <f>SUMPRODUCT(GE$5:GE$27,后果甲状腺剂量!$I$5:$I$27)*后果甲状腺剂量!$Q12+SUMPRODUCT(GF$5:GF$27,后果甲状腺剂量!$I$5:$I$27)*后果甲状腺剂量!$R12+SUMPRODUCT(GG$5:GG$27,后果甲状腺剂量!$I$5:$I$27)*后果甲状腺剂量!$S12+(SUMPRODUCT(GH$5:GH$27,后果甲状腺剂量!$I$5:$I$27)+SUMPRODUCT(GI$5:GI$27,后果甲状腺剂量!$I$5:$I$27))*后果甲状腺剂量!$T12+SUMPRODUCT(GJ$5:GJ$27,后果甲状腺剂量!$I$5:$I$27)*后果甲状腺剂量!$U12+SUMPRODUCT(GE$5:GE$27,后果甲状腺剂量!$J$5:$J$27)*后果甲状腺剂量!$Q12*后果甲状腺剂量!$Q$3+SUMPRODUCT(GF$5:GF$27,后果甲状腺剂量!$J$5:$J$27)*后果甲状腺剂量!$R12*后果甲状腺剂量!$R$3+SUMPRODUCT(GG$5:GG$27,后果甲状腺剂量!$J$5:$J$27)*后果甲状腺剂量!$S12*后果甲状腺剂量!$S$3+(SUMPRODUCT(GH$5:GH$27,后果甲状腺剂量!$J$5:$J$27)+SUMPRODUCT(GI$5:GI$27,后果甲状腺剂量!$J$5:$J$27))*后果甲状腺剂量!$T12*后果甲状腺剂量!$T$3+SUMPRODUCT(GJ$5:GJ$27,后果甲状腺剂量!$J$5:$J$27)*后果甲状腺剂量!$U12*后果甲状腺剂量!$U$3+SUMPRODUCT(GE$5:GE$27,后果甲状腺剂量!$K$5:$K$27)*后果甲状腺剂量!$Q12+SUMPRODUCT(GF$5:GF$27,后果甲状腺剂量!$K$5:$K$27)*后果甲状腺剂量!$R12+SUMPRODUCT(GG$5:GG$27,后果甲状腺剂量!$K$5:$K$27)*后果甲状腺剂量!$S12+(SUMPRODUCT(GH$5:GH$27,后果甲状腺剂量!$K$5:$K$27)+SUMPRODUCT(GI$5:GI$27,后果甲状腺剂量!$K$5:$K$27))*后果甲状腺剂量!$T12+SUMPRODUCT(GJ$5:GJ$27,后果甲状腺剂量!$K$5:$K$27)*后果甲状腺剂量!$U12</f>
        <v>0.000390031853238463</v>
      </c>
      <c r="GG38" s="454">
        <f t="shared" si="260"/>
        <v>0.00996698491087919</v>
      </c>
      <c r="GH38" s="454">
        <f t="shared" si="261"/>
        <v>0.390031853238463</v>
      </c>
      <c r="GI38" s="436"/>
      <c r="GJ38" s="436"/>
    </row>
    <row r="39" spans="7:192">
      <c r="G39" s="440" t="str">
        <f>后果有效剂量!$P13</f>
        <v>7500m</v>
      </c>
      <c r="H39" s="441">
        <f ca="1">SUMPRODUCT(H$5:H$27,后果有效剂量!$I$5:$I$27)*后果有效剂量!$Q13+SUMPRODUCT(I$5:I$27,后果有效剂量!$I$5:$I$27)*后果有效剂量!$Q13+SUMPRODUCT(J$5:J$27,后果有效剂量!$I$5:$I$27)*后果有效剂量!$R13+SUMPRODUCT(K$5:K$27,后果有效剂量!$I$5:$I$27)*后果有效剂量!$S13+SUMPRODUCT(L$5:L$27,后果有效剂量!$I$5:$I$27)*后果有效剂量!$T13+SUMPRODUCT(M$5:M$27,后果有效剂量!$I$5:$I$27)*后果有效剂量!$U13+SUMPRODUCT(H$5:H$27,后果有效剂量!$J$5:$J$27)*后果有效剂量!$Q13*后果有效剂量!$Q$3+SUMPRODUCT(I$5:I$27,后果有效剂量!$J$5:$J$27)*后果有效剂量!$Q13*后果有效剂量!$Q$3+SUMPRODUCT(J$5:J$27,后果有效剂量!$J$5:$J$27)*后果有效剂量!$R13*后果有效剂量!$R$3+SUMPRODUCT(K$5:K$27,后果有效剂量!$J$5:$J$27)*后果有效剂量!$S13*后果有效剂量!$S$3+SUMPRODUCT(L$5:L$27,后果有效剂量!$J$5:$J$27)*后果有效剂量!$T13*后果有效剂量!$T$3+SUMPRODUCT(M$5:M$27,后果有效剂量!$J$5:$J$27)*后果有效剂量!$U13*后果有效剂量!$U$3+SUMPRODUCT(H$5:H$27,后果有效剂量!$K$5:$K$27)*后果有效剂量!$Q13+SUMPRODUCT(I$5:I$27,后果有效剂量!$K$5:$K$27)*后果有效剂量!$Q13+SUMPRODUCT(J$5:J$27,后果有效剂量!$K$5:$K$27)*后果有效剂量!$R13+SUMPRODUCT(K$5:K$27,后果有效剂量!$K$5:$K$27)*后果有效剂量!$S13+SUMPRODUCT(L$5:L$27,后果有效剂量!$K$5:$K$27)*后果有效剂量!$T13+SUMPRODUCT(M$5:M$27,后果有效剂量!$K$5:$K$27)*后果有效剂量!$U13</f>
        <v>0.000264145836976673</v>
      </c>
      <c r="I39" s="453">
        <f ca="1">SUMPRODUCT(H$5:H$27,后果甲状腺剂量!$I$5:$I$27)*后果甲状腺剂量!$Q13+SUMPRODUCT(I$5:I$27,后果甲状腺剂量!$I$5:$I$27)*后果甲状腺剂量!$Q13+SUMPRODUCT(J$5:J$27,后果甲状腺剂量!$I$5:$I$27)*后果甲状腺剂量!$R13+SUMPRODUCT(K$5:K$27,后果甲状腺剂量!$I$5:$I$27)*后果甲状腺剂量!$S13+SUMPRODUCT(L$5:L$27,后果甲状腺剂量!$I$5:$I$27)*后果甲状腺剂量!$T13+SUMPRODUCT(M$5:M$27,后果甲状腺剂量!$I$5:$I$27)*后果甲状腺剂量!$U13+SUMPRODUCT(H$5:H$27,后果甲状腺剂量!$J$5:$J$27)*后果甲状腺剂量!$Q13*后果甲状腺剂量!$Q$3+SUMPRODUCT(I$5:I$27,后果甲状腺剂量!$J$5:$J$27)*后果甲状腺剂量!$Q13*后果甲状腺剂量!$Q$3+SUMPRODUCT(J$5:J$27,后果甲状腺剂量!$J$5:$J$27)*后果甲状腺剂量!$R13*后果甲状腺剂量!$R$3+SUMPRODUCT(K$5:K$27,后果甲状腺剂量!$J$5:$J$27)*后果甲状腺剂量!$S13*后果甲状腺剂量!$S$3+SUMPRODUCT(L$5:L$27,后果甲状腺剂量!$J$5:$J$27)*后果甲状腺剂量!$T13*后果甲状腺剂量!$T$3+SUMPRODUCT(M$5:M$27,后果甲状腺剂量!$J$5:$J$27)*后果甲状腺剂量!$U13*后果甲状腺剂量!$U$3+SUMPRODUCT(H$5:H$27,后果甲状腺剂量!$K$5:$K$27)*后果甲状腺剂量!$Q13+SUMPRODUCT(I$5:I$27,后果甲状腺剂量!$K$5:$K$27)*后果甲状腺剂量!$Q13+SUMPRODUCT(J$5:J$27,后果甲状腺剂量!$K$5:$K$27)*后果甲状腺剂量!$R13+SUMPRODUCT(K$5:K$27,后果甲状腺剂量!$K$5:$K$27)*后果甲状腺剂量!$S13+SUMPRODUCT(L$5:L$27,后果甲状腺剂量!$K$5:$K$27)*后果甲状腺剂量!$T13+SUMPRODUCT(M$5:M$27,后果甲状腺剂量!$K$5:$K$27)*后果甲状腺剂量!$U13</f>
        <v>0.00118232343246498</v>
      </c>
      <c r="J39" s="454">
        <f ca="1" t="shared" si="254"/>
        <v>0.264145836976673</v>
      </c>
      <c r="K39" s="454">
        <f ca="1" t="shared" si="255"/>
        <v>1.18232343246498</v>
      </c>
      <c r="L39" s="436"/>
      <c r="M39" s="436"/>
      <c r="N39" s="455"/>
      <c r="O39" s="390"/>
      <c r="Q39" s="440" t="str">
        <f>后果有效剂量!$P13</f>
        <v>7500m</v>
      </c>
      <c r="R39" s="441">
        <f ca="1">SUMPRODUCT(R$5:R$27,后果有效剂量!$I$5:$I$27)*后果有效剂量!$Q13+SUMPRODUCT(S$5:S$27,后果有效剂量!$I$5:$I$27)*后果有效剂量!$Q13+SUMPRODUCT(T$5:T$27,后果有效剂量!$I$5:$I$27)*后果有效剂量!$R13+SUMPRODUCT(U$5:U$27,后果有效剂量!$I$5:$I$27)*后果有效剂量!$S13+SUMPRODUCT(V$5:V$27,后果有效剂量!$I$5:$I$27)*后果有效剂量!$T13+SUMPRODUCT(W$5:W$27,后果有效剂量!$I$5:$I$27)*后果有效剂量!$U13+SUMPRODUCT(R$5:R$27,后果有效剂量!$J$5:$J$27)*后果有效剂量!$Q13*后果有效剂量!$Q$3+SUMPRODUCT(S$5:S$27,后果有效剂量!$J$5:$J$27)*后果有效剂量!$Q13*后果有效剂量!$Q$3+SUMPRODUCT(T$5:T$27,后果有效剂量!$J$5:$J$27)*后果有效剂量!$R13*后果有效剂量!$R$3+SUMPRODUCT(U$5:U$27,后果有效剂量!$J$5:$J$27)*后果有效剂量!$S13*后果有效剂量!$S$3+SUMPRODUCT(V$5:V$27,后果有效剂量!$J$5:$J$27)*后果有效剂量!$T13*后果有效剂量!$T$3+SUMPRODUCT(W$5:W$27,后果有效剂量!$J$5:$J$27)*后果有效剂量!$U13*后果有效剂量!$U$3+SUMPRODUCT(R$5:R$27,后果有效剂量!$K$5:$K$27)*后果有效剂量!$Q13+SUMPRODUCT(S$5:S$27,后果有效剂量!$K$5:$K$27)*后果有效剂量!$Q13+SUMPRODUCT(T$5:T$27,后果有效剂量!$K$5:$K$27)*后果有效剂量!$R13+SUMPRODUCT(U$5:U$27,后果有效剂量!$K$5:$K$27)*后果有效剂量!$S13+SUMPRODUCT(V$5:V$27,后果有效剂量!$K$5:$K$27)*后果有效剂量!$T13+SUMPRODUCT(W$5:W$27,后果有效剂量!$K$5:$K$27)*后果有效剂量!$U13</f>
        <v>0.000146421891066287</v>
      </c>
      <c r="S39" s="453">
        <f ca="1">SUMPRODUCT(R$5:R$27,后果甲状腺剂量!$I$5:$I$27)*后果甲状腺剂量!$Q13+SUMPRODUCT(S$5:S$27,后果甲状腺剂量!$I$5:$I$27)*后果甲状腺剂量!$Q13+SUMPRODUCT(T$5:T$27,后果甲状腺剂量!$I$5:$I$27)*后果甲状腺剂量!$R13+SUMPRODUCT(U$5:U$27,后果甲状腺剂量!$I$5:$I$27)*后果甲状腺剂量!$S13+SUMPRODUCT(V$5:V$27,后果甲状腺剂量!$I$5:$I$27)*后果甲状腺剂量!$T13+SUMPRODUCT(W$5:W$27,后果甲状腺剂量!$I$5:$I$27)*后果甲状腺剂量!$U13+SUMPRODUCT(R$5:R$27,后果甲状腺剂量!$J$5:$J$27)*后果甲状腺剂量!$Q13*后果甲状腺剂量!$Q$3+SUMPRODUCT(S$5:S$27,后果甲状腺剂量!$J$5:$J$27)*后果甲状腺剂量!$Q13*后果甲状腺剂量!$Q$3+SUMPRODUCT(T$5:T$27,后果甲状腺剂量!$J$5:$J$27)*后果甲状腺剂量!$R13*后果甲状腺剂量!$R$3+SUMPRODUCT(U$5:U$27,后果甲状腺剂量!$J$5:$J$27)*后果甲状腺剂量!$S13*后果甲状腺剂量!$S$3+SUMPRODUCT(V$5:V$27,后果甲状腺剂量!$J$5:$J$27)*后果甲状腺剂量!$T13*后果甲状腺剂量!$T$3+SUMPRODUCT(W$5:W$27,后果甲状腺剂量!$J$5:$J$27)*后果甲状腺剂量!$U13*后果甲状腺剂量!$U$3+SUMPRODUCT(R$5:R$27,后果甲状腺剂量!$K$5:$K$27)*后果甲状腺剂量!$Q13+SUMPRODUCT(S$5:S$27,后果甲状腺剂量!$K$5:$K$27)*后果甲状腺剂量!$Q13+SUMPRODUCT(T$5:T$27,后果甲状腺剂量!$K$5:$K$27)*后果甲状腺剂量!$R13+SUMPRODUCT(U$5:U$27,后果甲状腺剂量!$K$5:$K$27)*后果甲状腺剂量!$S13+SUMPRODUCT(V$5:V$27,后果甲状腺剂量!$K$5:$K$27)*后果甲状腺剂量!$T13+SUMPRODUCT(W$5:W$27,后果甲状腺剂量!$K$5:$K$27)*后果甲状腺剂量!$U13</f>
        <v>0.000513734506848951</v>
      </c>
      <c r="T39" s="454">
        <f ca="1" t="shared" si="256"/>
        <v>0.146421891066287</v>
      </c>
      <c r="U39" s="454">
        <f ca="1" t="shared" si="257"/>
        <v>0.513734506848951</v>
      </c>
      <c r="V39" s="436"/>
      <c r="W39" s="436"/>
      <c r="AN39" s="533"/>
      <c r="AO39" s="390"/>
      <c r="AP39" s="390"/>
      <c r="AQ39" s="390"/>
      <c r="AR39" s="390"/>
      <c r="AS39" s="572"/>
      <c r="AT39" s="390"/>
      <c r="AU39" s="390"/>
      <c r="AV39" s="394"/>
      <c r="AW39" s="394"/>
      <c r="AX39" s="394"/>
      <c r="AY39" s="394"/>
      <c r="AZ39" s="394"/>
      <c r="BA39" s="394"/>
      <c r="BB39" s="394"/>
      <c r="BC39" s="394"/>
      <c r="BD39" s="394"/>
      <c r="BE39" s="394"/>
      <c r="BF39" s="394"/>
      <c r="BG39" s="394"/>
      <c r="BH39" s="394"/>
      <c r="BI39" s="394"/>
      <c r="BJ39" s="394"/>
      <c r="BK39" s="394"/>
      <c r="BL39" s="394"/>
      <c r="BM39" s="394"/>
      <c r="BN39" s="394"/>
      <c r="BO39" s="600"/>
      <c r="BP39" s="394"/>
      <c r="BQ39" s="394"/>
      <c r="BR39" s="394"/>
      <c r="BS39" s="394"/>
      <c r="BT39" s="394"/>
      <c r="BU39" s="394"/>
      <c r="BV39" s="394"/>
      <c r="BW39" s="394"/>
      <c r="BX39" s="394"/>
      <c r="BY39" s="394"/>
      <c r="BZ39" s="394"/>
      <c r="CA39" s="394"/>
      <c r="CB39" s="394"/>
      <c r="CC39" s="394"/>
      <c r="CD39" s="394"/>
      <c r="CE39" s="394"/>
      <c r="CF39" s="394"/>
      <c r="CG39" s="394"/>
      <c r="CH39" s="394"/>
      <c r="CI39" s="394"/>
      <c r="CJ39" s="600"/>
      <c r="CK39" s="394"/>
      <c r="CL39" s="394"/>
      <c r="CM39" s="394"/>
      <c r="CN39" s="394"/>
      <c r="CO39" s="394"/>
      <c r="CP39" s="394"/>
      <c r="CQ39" s="394"/>
      <c r="CR39" s="394"/>
      <c r="CS39" s="394"/>
      <c r="CT39" s="394"/>
      <c r="CU39" s="394"/>
      <c r="CV39" s="394"/>
      <c r="CW39" s="394"/>
      <c r="CX39" s="394"/>
      <c r="CY39" s="394"/>
      <c r="CZ39" s="394"/>
      <c r="DA39" s="394"/>
      <c r="DB39" s="394"/>
      <c r="DC39" s="394"/>
      <c r="DD39" s="394"/>
      <c r="DE39" s="394"/>
      <c r="DF39" s="394"/>
      <c r="DG39" s="394"/>
      <c r="DH39" s="394"/>
      <c r="DI39" s="394"/>
      <c r="DJ39" s="394"/>
      <c r="DK39" s="394"/>
      <c r="DL39" s="394"/>
      <c r="DM39" s="394"/>
      <c r="DN39" s="394"/>
      <c r="DO39" s="394"/>
      <c r="DP39" s="394"/>
      <c r="DQ39" s="394"/>
      <c r="DR39" s="394"/>
      <c r="DS39" s="394"/>
      <c r="DT39" s="394"/>
      <c r="DU39" s="394"/>
      <c r="DV39" s="394"/>
      <c r="DW39" s="394"/>
      <c r="DX39" s="394"/>
      <c r="DY39" s="394"/>
      <c r="DZ39" s="600"/>
      <c r="EA39" s="394"/>
      <c r="EB39" s="394"/>
      <c r="EC39" s="394"/>
      <c r="ED39" s="394"/>
      <c r="EE39" s="394"/>
      <c r="EF39" s="394"/>
      <c r="EG39" s="394"/>
      <c r="EH39" s="394"/>
      <c r="EI39" s="394"/>
      <c r="EJ39" s="394"/>
      <c r="EK39" s="394"/>
      <c r="EL39" s="394"/>
      <c r="EM39" s="394"/>
      <c r="EN39" s="394"/>
      <c r="EO39" s="394"/>
      <c r="EP39" s="394"/>
      <c r="EQ39" s="394"/>
      <c r="ER39" s="394"/>
      <c r="ES39" s="394"/>
      <c r="ET39" s="394"/>
      <c r="EU39" s="603"/>
      <c r="EV39" s="394"/>
      <c r="EW39" s="394"/>
      <c r="EX39" s="394"/>
      <c r="EY39" s="394"/>
      <c r="EZ39" s="394"/>
      <c r="FA39" s="394"/>
      <c r="FB39" s="394"/>
      <c r="FC39" s="394"/>
      <c r="FD39" s="394"/>
      <c r="FE39" s="394"/>
      <c r="FF39" s="394"/>
      <c r="FG39" s="394"/>
      <c r="FH39" s="394"/>
      <c r="FI39" s="394"/>
      <c r="FJ39" s="394"/>
      <c r="FK39" s="394"/>
      <c r="FL39" s="394"/>
      <c r="FM39" s="394"/>
      <c r="FN39" s="394"/>
      <c r="FO39" s="394"/>
      <c r="FP39" s="603"/>
      <c r="FQ39" s="394"/>
      <c r="FS39" s="441">
        <f>SUMPRODUCT(FS$5:FS$27,后果有效剂量!$I$5:$I$27)*后果有效剂量!$Q13+SUMPRODUCT(FT$5:FT$27,后果有效剂量!$I$5:$I$27)*后果有效剂量!$R13+SUMPRODUCT(FU$5:FU$27,后果有效剂量!$I$5:$I$27)*后果有效剂量!$S13+SUMPRODUCT(FV$5:FV$27,后果有效剂量!$I$5:$I$27)*后果有效剂量!$T13+SUMPRODUCT(FS$5:FS$27,后果有效剂量!$J$5:$J$27)*后果有效剂量!$Q13*后果有效剂量!$Q$3+SUMPRODUCT(FT$5:FT$27,后果有效剂量!$J$5:$J$27)*后果有效剂量!$R13*后果有效剂量!$R$3+SUMPRODUCT(FU$5:FU$27,后果有效剂量!$J$5:$J$27)*后果有效剂量!$S13*后果有效剂量!$S$3+SUMPRODUCT(FV$5:FV$27,后果有效剂量!$J$5:$J$27)*后果有效剂量!$T13*后果有效剂量!$T$3+SUMPRODUCT(FS$5:FS$27,后果有效剂量!$K$5:$K$27)*后果有效剂量!$Q13+SUMPRODUCT(FT$5:FT$27,后果有效剂量!$K$5:$K$27)*后果有效剂量!$R13+SUMPRODUCT(FU$5:FU$27,后果有效剂量!$K$5:$K$27)*后果有效剂量!$S13+SUMPRODUCT(FV$5:FV$27,后果有效剂量!$K$5:$K$27)*后果有效剂量!$T13</f>
        <v>0.000180207217422311</v>
      </c>
      <c r="FT39" s="453">
        <f>SUMPRODUCT(FS$5:FS$27,后果甲状腺剂量!$I$5:$I$27)*后果甲状腺剂量!$Q13+SUMPRODUCT(FT$5:FT$27,后果甲状腺剂量!$I$5:$I$27)*后果甲状腺剂量!$R13+SUMPRODUCT(FU$5:FU$27,后果甲状腺剂量!$I$5:$I$27)*后果甲状腺剂量!$S13+SUMPRODUCT(FV$5:FV$27,后果甲状腺剂量!$I$5:$I$27)*后果甲状腺剂量!$T13+SUMPRODUCT(FS$5:FS$27,后果甲状腺剂量!$J$5:$J$27)*后果甲状腺剂量!$Q13*后果甲状腺剂量!$Q$3+SUMPRODUCT(FT$5:FT$27,后果甲状腺剂量!$J$5:$J$27)*后果甲状腺剂量!$R13*后果甲状腺剂量!$R$3+SUMPRODUCT(FU$5:FU$27,后果甲状腺剂量!$J$5:$J$27)*后果甲状腺剂量!$S13*后果甲状腺剂量!$S$3+SUMPRODUCT(FV$5:FV$27,后果甲状腺剂量!$J$5:$J$27)*后果甲状腺剂量!$T13*后果甲状腺剂量!$T$3+SUMPRODUCT(FS$5:FS$27,后果甲状腺剂量!$K$5:$K$27)*后果甲状腺剂量!$Q13+SUMPRODUCT(FT$5:FT$27,后果甲状腺剂量!$K$5:$K$27)*后果甲状腺剂量!$R13+SUMPRODUCT(FU$5:FU$27,后果甲状腺剂量!$K$5:$K$27)*后果甲状腺剂量!$S13+SUMPRODUCT(FV$5:FV$27,后果甲状腺剂量!$K$5:$K$27)*后果甲状腺剂量!$T13</f>
        <v>0.00133466805666965</v>
      </c>
      <c r="FU39" s="454">
        <f t="shared" si="258"/>
        <v>0.180207217422311</v>
      </c>
      <c r="FV39" s="454">
        <f t="shared" si="259"/>
        <v>1.33466805666965</v>
      </c>
      <c r="FW39" s="436"/>
      <c r="FX39" s="436"/>
      <c r="GD39" s="440" t="str">
        <f>后果有效剂量!$P13</f>
        <v>7500m</v>
      </c>
      <c r="GE39" s="441">
        <f>SUMPRODUCT(GE$5:GE$27,后果有效剂量!$I$5:$I$27)*后果有效剂量!$Q13+SUMPRODUCT(GF$5:GF$27,后果有效剂量!$I$5:$I$27)*后果有效剂量!$R13+SUMPRODUCT(GG$5:GG$27,后果有效剂量!$I$5:$I$27)*后果有效剂量!$S13+(SUMPRODUCT(GH$5:GH$27,后果有效剂量!$I$5:$I$27)+SUMPRODUCT(GI$5:GI$27,后果有效剂量!$I$5:$I$27))*后果有效剂量!$T13+SUMPRODUCT(GJ$5:GJ$27,后果有效剂量!$I$5:$I$27)*后果有效剂量!$U13+SUMPRODUCT(GE$5:GE$27,后果有效剂量!$J$5:$J$27)*后果有效剂量!$Q13*后果有效剂量!$Q$3+SUMPRODUCT(GF$5:GF$27,后果有效剂量!$J$5:$J$27)*后果有效剂量!$R13*后果有效剂量!$R$3+SUMPRODUCT(GG$5:GG$27,后果有效剂量!$J$5:$J$27)*后果有效剂量!$S13*后果有效剂量!$S$3+(SUMPRODUCT(GH$5:GH$27,后果有效剂量!$J$5:$J$27)+SUMPRODUCT(GI$5:GI$27,后果有效剂量!$J$5:$J$27))*后果有效剂量!$T13*后果有效剂量!$T$3+SUMPRODUCT(GJ$5:GJ$27,后果有效剂量!$J$5:$J$27)*后果有效剂量!$U13*后果有效剂量!$U$3+SUMPRODUCT(GE$5:GE$27,后果有效剂量!$K$5:$K$27)*后果有效剂量!$Q13+SUMPRODUCT(GF$5:GF$27,后果有效剂量!$K$5:$K$27)*后果有效剂量!$R13+SUMPRODUCT(GG$5:GG$27,后果有效剂量!$K$5:$K$27)*后果有效剂量!$S13+(SUMPRODUCT(GH$5:GH$27,后果有效剂量!$K$5:$K$27)+SUMPRODUCT(GI$5:GI$27,后果有效剂量!$K$5:$K$27))*后果有效剂量!$T13+SUMPRODUCT(GJ$5:GJ$27,后果有效剂量!$K$5:$K$27)*后果有效剂量!$U13</f>
        <v>4.04510808112764e-5</v>
      </c>
      <c r="GF39" s="453">
        <f>SUMPRODUCT(GE$5:GE$27,后果甲状腺剂量!$I$5:$I$27)*后果甲状腺剂量!$Q13+SUMPRODUCT(GF$5:GF$27,后果甲状腺剂量!$I$5:$I$27)*后果甲状腺剂量!$R13+SUMPRODUCT(GG$5:GG$27,后果甲状腺剂量!$I$5:$I$27)*后果甲状腺剂量!$S13+(SUMPRODUCT(GH$5:GH$27,后果甲状腺剂量!$I$5:$I$27)+SUMPRODUCT(GI$5:GI$27,后果甲状腺剂量!$I$5:$I$27))*后果甲状腺剂量!$T13+SUMPRODUCT(GJ$5:GJ$27,后果甲状腺剂量!$I$5:$I$27)*后果甲状腺剂量!$U13+SUMPRODUCT(GE$5:GE$27,后果甲状腺剂量!$J$5:$J$27)*后果甲状腺剂量!$Q13*后果甲状腺剂量!$Q$3+SUMPRODUCT(GF$5:GF$27,后果甲状腺剂量!$J$5:$J$27)*后果甲状腺剂量!$R13*后果甲状腺剂量!$R$3+SUMPRODUCT(GG$5:GG$27,后果甲状腺剂量!$J$5:$J$27)*后果甲状腺剂量!$S13*后果甲状腺剂量!$S$3+(SUMPRODUCT(GH$5:GH$27,后果甲状腺剂量!$J$5:$J$27)+SUMPRODUCT(GI$5:GI$27,后果甲状腺剂量!$J$5:$J$27))*后果甲状腺剂量!$T13*后果甲状腺剂量!$T$3+SUMPRODUCT(GJ$5:GJ$27,后果甲状腺剂量!$J$5:$J$27)*后果甲状腺剂量!$U13*后果甲状腺剂量!$U$3+SUMPRODUCT(GE$5:GE$27,后果甲状腺剂量!$K$5:$K$27)*后果甲状腺剂量!$Q13+SUMPRODUCT(GF$5:GF$27,后果甲状腺剂量!$K$5:$K$27)*后果甲状腺剂量!$R13+SUMPRODUCT(GG$5:GG$27,后果甲状腺剂量!$K$5:$K$27)*后果甲状腺剂量!$S13+(SUMPRODUCT(GH$5:GH$27,后果甲状腺剂量!$K$5:$K$27)+SUMPRODUCT(GI$5:GI$27,后果甲状腺剂量!$K$5:$K$27))*后果甲状腺剂量!$T13+SUMPRODUCT(GJ$5:GJ$27,后果甲状腺剂量!$K$5:$K$27)*后果甲状腺剂量!$U13</f>
        <v>0.000226352267715351</v>
      </c>
      <c r="GG39" s="454">
        <f t="shared" si="260"/>
        <v>0.0404510808112764</v>
      </c>
      <c r="GH39" s="454">
        <f t="shared" si="261"/>
        <v>0.226352267715351</v>
      </c>
      <c r="GI39" s="436"/>
      <c r="GJ39" s="436"/>
    </row>
    <row r="40" spans="7:192">
      <c r="G40" s="440" t="str">
        <f>后果有效剂量!$P14</f>
        <v>15000m</v>
      </c>
      <c r="H40" s="441">
        <f ca="1">SUMPRODUCT(H$5:H$27,后果有效剂量!$I$5:$I$27)*后果有效剂量!$Q14+SUMPRODUCT(I$5:I$27,后果有效剂量!$I$5:$I$27)*后果有效剂量!$Q14+SUMPRODUCT(J$5:J$27,后果有效剂量!$I$5:$I$27)*后果有效剂量!$R14+SUMPRODUCT(K$5:K$27,后果有效剂量!$I$5:$I$27)*后果有效剂量!$S14+SUMPRODUCT(L$5:L$27,后果有效剂量!$I$5:$I$27)*后果有效剂量!$T14+SUMPRODUCT(M$5:M$27,后果有效剂量!$I$5:$I$27)*后果有效剂量!$U14+SUMPRODUCT(H$5:H$27,后果有效剂量!$J$5:$J$27)*后果有效剂量!$Q14*后果有效剂量!$Q$3+SUMPRODUCT(I$5:I$27,后果有效剂量!$J$5:$J$27)*后果有效剂量!$Q14*后果有效剂量!$Q$3+SUMPRODUCT(J$5:J$27,后果有效剂量!$J$5:$J$27)*后果有效剂量!$R14*后果有效剂量!$R$3+SUMPRODUCT(K$5:K$27,后果有效剂量!$J$5:$J$27)*后果有效剂量!$S14*后果有效剂量!$S$3+SUMPRODUCT(L$5:L$27,后果有效剂量!$J$5:$J$27)*后果有效剂量!$T14*后果有效剂量!$T$3+SUMPRODUCT(M$5:M$27,后果有效剂量!$J$5:$J$27)*后果有效剂量!$U14*后果有效剂量!$U$3+SUMPRODUCT(H$5:H$27,后果有效剂量!$K$5:$K$27)*后果有效剂量!$Q14+SUMPRODUCT(I$5:I$27,后果有效剂量!$K$5:$K$27)*后果有效剂量!$Q14+SUMPRODUCT(J$5:J$27,后果有效剂量!$K$5:$K$27)*后果有效剂量!$R14+SUMPRODUCT(K$5:K$27,后果有效剂量!$K$5:$K$27)*后果有效剂量!$S14+SUMPRODUCT(L$5:L$27,后果有效剂量!$K$5:$K$27)*后果有效剂量!$T14+SUMPRODUCT(M$5:M$27,后果有效剂量!$K$5:$K$27)*后果有效剂量!$U14</f>
        <v>0.000111275591262563</v>
      </c>
      <c r="I40" s="453">
        <f ca="1">SUMPRODUCT(H$5:H$27,后果甲状腺剂量!$I$5:$I$27)*后果甲状腺剂量!$Q14+SUMPRODUCT(I$5:I$27,后果甲状腺剂量!$I$5:$I$27)*后果甲状腺剂量!$Q14+SUMPRODUCT(J$5:J$27,后果甲状腺剂量!$I$5:$I$27)*后果甲状腺剂量!$R14+SUMPRODUCT(K$5:K$27,后果甲状腺剂量!$I$5:$I$27)*后果甲状腺剂量!$S14+SUMPRODUCT(L$5:L$27,后果甲状腺剂量!$I$5:$I$27)*后果甲状腺剂量!$T14+SUMPRODUCT(M$5:M$27,后果甲状腺剂量!$I$5:$I$27)*后果甲状腺剂量!$U14+SUMPRODUCT(H$5:H$27,后果甲状腺剂量!$J$5:$J$27)*后果甲状腺剂量!$Q14*后果甲状腺剂量!$Q$3+SUMPRODUCT(I$5:I$27,后果甲状腺剂量!$J$5:$J$27)*后果甲状腺剂量!$Q14*后果甲状腺剂量!$Q$3+SUMPRODUCT(J$5:J$27,后果甲状腺剂量!$J$5:$J$27)*后果甲状腺剂量!$R14*后果甲状腺剂量!$R$3+SUMPRODUCT(K$5:K$27,后果甲状腺剂量!$J$5:$J$27)*后果甲状腺剂量!$S14*后果甲状腺剂量!$S$3+SUMPRODUCT(L$5:L$27,后果甲状腺剂量!$J$5:$J$27)*后果甲状腺剂量!$T14*后果甲状腺剂量!$T$3+SUMPRODUCT(M$5:M$27,后果甲状腺剂量!$J$5:$J$27)*后果甲状腺剂量!$U14*后果甲状腺剂量!$U$3+SUMPRODUCT(H$5:H$27,后果甲状腺剂量!$K$5:$K$27)*后果甲状腺剂量!$Q14+SUMPRODUCT(I$5:I$27,后果甲状腺剂量!$K$5:$K$27)*后果甲状腺剂量!$Q14+SUMPRODUCT(J$5:J$27,后果甲状腺剂量!$K$5:$K$27)*后果甲状腺剂量!$R14+SUMPRODUCT(K$5:K$27,后果甲状腺剂量!$K$5:$K$27)*后果甲状腺剂量!$S14+SUMPRODUCT(L$5:L$27,后果甲状腺剂量!$K$5:$K$27)*后果甲状腺剂量!$T14+SUMPRODUCT(M$5:M$27,后果甲状腺剂量!$K$5:$K$27)*后果甲状腺剂量!$U14</f>
        <v>0.000496808260584162</v>
      </c>
      <c r="J40" s="454">
        <f ca="1" t="shared" si="254"/>
        <v>0.111275591262563</v>
      </c>
      <c r="K40" s="454">
        <f ca="1" t="shared" si="255"/>
        <v>0.496808260584162</v>
      </c>
      <c r="L40" s="436"/>
      <c r="M40" s="436"/>
      <c r="N40" s="455"/>
      <c r="O40" s="390"/>
      <c r="Q40" s="440" t="str">
        <f>后果有效剂量!$P14</f>
        <v>15000m</v>
      </c>
      <c r="R40" s="441">
        <f ca="1">SUMPRODUCT(R$5:R$27,后果有效剂量!$I$5:$I$27)*后果有效剂量!$Q14+SUMPRODUCT(S$5:S$27,后果有效剂量!$I$5:$I$27)*后果有效剂量!$Q14+SUMPRODUCT(T$5:T$27,后果有效剂量!$I$5:$I$27)*后果有效剂量!$R14+SUMPRODUCT(U$5:U$27,后果有效剂量!$I$5:$I$27)*后果有效剂量!$S14+SUMPRODUCT(V$5:V$27,后果有效剂量!$I$5:$I$27)*后果有效剂量!$T14+SUMPRODUCT(W$5:W$27,后果有效剂量!$I$5:$I$27)*后果有效剂量!$U14+SUMPRODUCT(R$5:R$27,后果有效剂量!$J$5:$J$27)*后果有效剂量!$Q14*后果有效剂量!$Q$3+SUMPRODUCT(S$5:S$27,后果有效剂量!$J$5:$J$27)*后果有效剂量!$Q14*后果有效剂量!$Q$3+SUMPRODUCT(T$5:T$27,后果有效剂量!$J$5:$J$27)*后果有效剂量!$R14*后果有效剂量!$R$3+SUMPRODUCT(U$5:U$27,后果有效剂量!$J$5:$J$27)*后果有效剂量!$S14*后果有效剂量!$S$3+SUMPRODUCT(V$5:V$27,后果有效剂量!$J$5:$J$27)*后果有效剂量!$T14*后果有效剂量!$T$3+SUMPRODUCT(W$5:W$27,后果有效剂量!$J$5:$J$27)*后果有效剂量!$U14*后果有效剂量!$U$3+SUMPRODUCT(R$5:R$27,后果有效剂量!$K$5:$K$27)*后果有效剂量!$Q14+SUMPRODUCT(S$5:S$27,后果有效剂量!$K$5:$K$27)*后果有效剂量!$Q14+SUMPRODUCT(T$5:T$27,后果有效剂量!$K$5:$K$27)*后果有效剂量!$R14+SUMPRODUCT(U$5:U$27,后果有效剂量!$K$5:$K$27)*后果有效剂量!$S14+SUMPRODUCT(V$5:V$27,后果有效剂量!$K$5:$K$27)*后果有效剂量!$T14+SUMPRODUCT(W$5:W$27,后果有效剂量!$K$5:$K$27)*后果有效剂量!$U14</f>
        <v>6.62267922376685e-5</v>
      </c>
      <c r="S40" s="453">
        <f ca="1">SUMPRODUCT(R$5:R$27,后果甲状腺剂量!$I$5:$I$27)*后果甲状腺剂量!$Q14+SUMPRODUCT(S$5:S$27,后果甲状腺剂量!$I$5:$I$27)*后果甲状腺剂量!$Q14+SUMPRODUCT(T$5:T$27,后果甲状腺剂量!$I$5:$I$27)*后果甲状腺剂量!$R14+SUMPRODUCT(U$5:U$27,后果甲状腺剂量!$I$5:$I$27)*后果甲状腺剂量!$S14+SUMPRODUCT(V$5:V$27,后果甲状腺剂量!$I$5:$I$27)*后果甲状腺剂量!$T14+SUMPRODUCT(W$5:W$27,后果甲状腺剂量!$I$5:$I$27)*后果甲状腺剂量!$U14+SUMPRODUCT(R$5:R$27,后果甲状腺剂量!$J$5:$J$27)*后果甲状腺剂量!$Q14*后果甲状腺剂量!$Q$3+SUMPRODUCT(S$5:S$27,后果甲状腺剂量!$J$5:$J$27)*后果甲状腺剂量!$Q14*后果甲状腺剂量!$Q$3+SUMPRODUCT(T$5:T$27,后果甲状腺剂量!$J$5:$J$27)*后果甲状腺剂量!$R14*后果甲状腺剂量!$R$3+SUMPRODUCT(U$5:U$27,后果甲状腺剂量!$J$5:$J$27)*后果甲状腺剂量!$S14*后果甲状腺剂量!$S$3+SUMPRODUCT(V$5:V$27,后果甲状腺剂量!$J$5:$J$27)*后果甲状腺剂量!$T14*后果甲状腺剂量!$T$3+SUMPRODUCT(W$5:W$27,后果甲状腺剂量!$J$5:$J$27)*后果甲状腺剂量!$U14*后果甲状腺剂量!$U$3+SUMPRODUCT(R$5:R$27,后果甲状腺剂量!$K$5:$K$27)*后果甲状腺剂量!$Q14+SUMPRODUCT(S$5:S$27,后果甲状腺剂量!$K$5:$K$27)*后果甲状腺剂量!$Q14+SUMPRODUCT(T$5:T$27,后果甲状腺剂量!$K$5:$K$27)*后果甲状腺剂量!$R14+SUMPRODUCT(U$5:U$27,后果甲状腺剂量!$K$5:$K$27)*后果甲状腺剂量!$S14+SUMPRODUCT(V$5:V$27,后果甲状腺剂量!$K$5:$K$27)*后果甲状腺剂量!$T14+SUMPRODUCT(W$5:W$27,后果甲状腺剂量!$K$5:$K$27)*后果甲状腺剂量!$U14</f>
        <v>0.000231109219738616</v>
      </c>
      <c r="T40" s="454">
        <f ca="1" t="shared" si="256"/>
        <v>0.0662267922376685</v>
      </c>
      <c r="U40" s="454">
        <f ca="1" t="shared" si="257"/>
        <v>0.231109219738616</v>
      </c>
      <c r="V40" s="436"/>
      <c r="W40" s="436"/>
      <c r="AN40" s="533"/>
      <c r="AO40" s="390"/>
      <c r="AP40" s="390"/>
      <c r="AQ40" s="390"/>
      <c r="AR40" s="390"/>
      <c r="AS40" s="572"/>
      <c r="AT40" s="390"/>
      <c r="AU40" s="390"/>
      <c r="AV40" s="394"/>
      <c r="AW40" s="394"/>
      <c r="AX40" s="394"/>
      <c r="AY40" s="394"/>
      <c r="AZ40" s="394"/>
      <c r="BA40" s="394"/>
      <c r="BB40" s="394"/>
      <c r="BC40" s="394"/>
      <c r="BD40" s="394"/>
      <c r="BE40" s="394"/>
      <c r="BF40" s="394"/>
      <c r="BG40" s="394"/>
      <c r="BH40" s="394"/>
      <c r="BI40" s="394"/>
      <c r="BJ40" s="394"/>
      <c r="BK40" s="394"/>
      <c r="BL40" s="394"/>
      <c r="BM40" s="394"/>
      <c r="BN40" s="394"/>
      <c r="BO40" s="600"/>
      <c r="BP40" s="394"/>
      <c r="BQ40" s="394"/>
      <c r="BR40" s="394"/>
      <c r="BS40" s="394"/>
      <c r="BT40" s="394"/>
      <c r="BU40" s="394"/>
      <c r="BV40" s="394"/>
      <c r="BW40" s="394"/>
      <c r="BX40" s="394"/>
      <c r="BY40" s="394"/>
      <c r="BZ40" s="394"/>
      <c r="CA40" s="394"/>
      <c r="CB40" s="394"/>
      <c r="CC40" s="394"/>
      <c r="CD40" s="394"/>
      <c r="CE40" s="394"/>
      <c r="CF40" s="394"/>
      <c r="CG40" s="394"/>
      <c r="CH40" s="394"/>
      <c r="CI40" s="394"/>
      <c r="CJ40" s="600"/>
      <c r="CK40" s="394"/>
      <c r="CL40" s="394"/>
      <c r="CM40" s="394"/>
      <c r="CN40" s="394"/>
      <c r="CO40" s="394"/>
      <c r="CP40" s="394"/>
      <c r="CQ40" s="394"/>
      <c r="CR40" s="394"/>
      <c r="CS40" s="394"/>
      <c r="CT40" s="394"/>
      <c r="CU40" s="394"/>
      <c r="CV40" s="394"/>
      <c r="CW40" s="394"/>
      <c r="CX40" s="394"/>
      <c r="CY40" s="394"/>
      <c r="CZ40" s="394"/>
      <c r="DA40" s="394"/>
      <c r="DB40" s="394"/>
      <c r="DC40" s="394"/>
      <c r="DD40" s="394"/>
      <c r="DE40" s="394"/>
      <c r="DF40" s="394"/>
      <c r="DG40" s="394"/>
      <c r="DH40" s="394"/>
      <c r="DI40" s="394"/>
      <c r="DJ40" s="394"/>
      <c r="DK40" s="394"/>
      <c r="DL40" s="394"/>
      <c r="DM40" s="394"/>
      <c r="DN40" s="394"/>
      <c r="DO40" s="394"/>
      <c r="DP40" s="394"/>
      <c r="DQ40" s="394"/>
      <c r="DR40" s="394"/>
      <c r="DS40" s="394"/>
      <c r="DT40" s="394"/>
      <c r="DU40" s="394"/>
      <c r="DV40" s="394"/>
      <c r="DW40" s="394"/>
      <c r="DX40" s="394"/>
      <c r="DY40" s="394"/>
      <c r="DZ40" s="600"/>
      <c r="EA40" s="394"/>
      <c r="EB40" s="394"/>
      <c r="EC40" s="394"/>
      <c r="ED40" s="394"/>
      <c r="EE40" s="394"/>
      <c r="EF40" s="394"/>
      <c r="EG40" s="394"/>
      <c r="EH40" s="394"/>
      <c r="EI40" s="394"/>
      <c r="EJ40" s="394"/>
      <c r="EK40" s="394"/>
      <c r="EL40" s="394"/>
      <c r="EM40" s="394"/>
      <c r="EN40" s="394"/>
      <c r="EO40" s="394"/>
      <c r="EP40" s="394"/>
      <c r="EQ40" s="394"/>
      <c r="ER40" s="394"/>
      <c r="ES40" s="394"/>
      <c r="ET40" s="394"/>
      <c r="EU40" s="603"/>
      <c r="EV40" s="394"/>
      <c r="EW40" s="394"/>
      <c r="EX40" s="394"/>
      <c r="EY40" s="394"/>
      <c r="EZ40" s="394"/>
      <c r="FA40" s="394"/>
      <c r="FB40" s="394"/>
      <c r="FC40" s="394"/>
      <c r="FD40" s="394"/>
      <c r="FE40" s="394"/>
      <c r="FF40" s="394"/>
      <c r="FG40" s="394"/>
      <c r="FH40" s="394"/>
      <c r="FI40" s="394"/>
      <c r="FJ40" s="394"/>
      <c r="FK40" s="394"/>
      <c r="FL40" s="394"/>
      <c r="FM40" s="394"/>
      <c r="FN40" s="394"/>
      <c r="FO40" s="394"/>
      <c r="FP40" s="603"/>
      <c r="FQ40" s="394"/>
      <c r="FS40" s="441">
        <f>SUMPRODUCT(FS$5:FS$27,后果有效剂量!$I$5:$I$27)*后果有效剂量!$Q14+SUMPRODUCT(FT$5:FT$27,后果有效剂量!$I$5:$I$27)*后果有效剂量!$R14+SUMPRODUCT(FU$5:FU$27,后果有效剂量!$I$5:$I$27)*后果有效剂量!$S14+SUMPRODUCT(FV$5:FV$27,后果有效剂量!$I$5:$I$27)*后果有效剂量!$T14+SUMPRODUCT(FS$5:FS$27,后果有效剂量!$J$5:$J$27)*后果有效剂量!$Q14*后果有效剂量!$Q$3+SUMPRODUCT(FT$5:FT$27,后果有效剂量!$J$5:$J$27)*后果有效剂量!$R14*后果有效剂量!$R$3+SUMPRODUCT(FU$5:FU$27,后果有效剂量!$J$5:$J$27)*后果有效剂量!$S14*后果有效剂量!$S$3+SUMPRODUCT(FV$5:FV$27,后果有效剂量!$J$5:$J$27)*后果有效剂量!$T14*后果有效剂量!$T$3+SUMPRODUCT(FS$5:FS$27,后果有效剂量!$K$5:$K$27)*后果有效剂量!$Q14+SUMPRODUCT(FT$5:FT$27,后果有效剂量!$K$5:$K$27)*后果有效剂量!$R14+SUMPRODUCT(FU$5:FU$27,后果有效剂量!$K$5:$K$27)*后果有效剂量!$S14+SUMPRODUCT(FV$5:FV$27,后果有效剂量!$K$5:$K$27)*后果有效剂量!$T14</f>
        <v>7.68902005784037e-5</v>
      </c>
      <c r="FT40" s="453">
        <f>SUMPRODUCT(FS$5:FS$27,后果甲状腺剂量!$I$5:$I$27)*后果甲状腺剂量!$Q14+SUMPRODUCT(FT$5:FT$27,后果甲状腺剂量!$I$5:$I$27)*后果甲状腺剂量!$R14+SUMPRODUCT(FU$5:FU$27,后果甲状腺剂量!$I$5:$I$27)*后果甲状腺剂量!$S14+SUMPRODUCT(FV$5:FV$27,后果甲状腺剂量!$I$5:$I$27)*后果甲状腺剂量!$T14+SUMPRODUCT(FS$5:FS$27,后果甲状腺剂量!$J$5:$J$27)*后果甲状腺剂量!$Q14*后果甲状腺剂量!$Q$3+SUMPRODUCT(FT$5:FT$27,后果甲状腺剂量!$J$5:$J$27)*后果甲状腺剂量!$R14*后果甲状腺剂量!$R$3+SUMPRODUCT(FU$5:FU$27,后果甲状腺剂量!$J$5:$J$27)*后果甲状腺剂量!$S14*后果甲状腺剂量!$S$3+SUMPRODUCT(FV$5:FV$27,后果甲状腺剂量!$J$5:$J$27)*后果甲状腺剂量!$T14*后果甲状腺剂量!$T$3+SUMPRODUCT(FS$5:FS$27,后果甲状腺剂量!$K$5:$K$27)*后果甲状腺剂量!$Q14+SUMPRODUCT(FT$5:FT$27,后果甲状腺剂量!$K$5:$K$27)*后果甲状腺剂量!$R14+SUMPRODUCT(FU$5:FU$27,后果甲状腺剂量!$K$5:$K$27)*后果甲状腺剂量!$S14+SUMPRODUCT(FV$5:FV$27,后果甲状腺剂量!$K$5:$K$27)*后果甲状腺剂量!$T14</f>
        <v>0.000561226102071427</v>
      </c>
      <c r="FU40" s="454">
        <f t="shared" si="258"/>
        <v>0.0768902005784037</v>
      </c>
      <c r="FV40" s="454">
        <f t="shared" si="259"/>
        <v>0.561226102071427</v>
      </c>
      <c r="FW40" s="436"/>
      <c r="FX40" s="436"/>
      <c r="GD40" s="440" t="str">
        <f>后果有效剂量!$P14</f>
        <v>15000m</v>
      </c>
      <c r="GE40" s="441">
        <f>SUMPRODUCT(GE$5:GE$27,后果有效剂量!$I$5:$I$27)*后果有效剂量!$Q14+SUMPRODUCT(GF$5:GF$27,后果有效剂量!$I$5:$I$27)*后果有效剂量!$R14+SUMPRODUCT(GG$5:GG$27,后果有效剂量!$I$5:$I$27)*后果有效剂量!$S14+(SUMPRODUCT(GH$5:GH$27,后果有效剂量!$I$5:$I$27)+SUMPRODUCT(GI$5:GI$27,后果有效剂量!$I$5:$I$27))*后果有效剂量!$T14+SUMPRODUCT(GJ$5:GJ$27,后果有效剂量!$I$5:$I$27)*后果有效剂量!$U14+SUMPRODUCT(GE$5:GE$27,后果有效剂量!$J$5:$J$27)*后果有效剂量!$Q14*后果有效剂量!$Q$3+SUMPRODUCT(GF$5:GF$27,后果有效剂量!$J$5:$J$27)*后果有效剂量!$R14*后果有效剂量!$R$3+SUMPRODUCT(GG$5:GG$27,后果有效剂量!$J$5:$J$27)*后果有效剂量!$S14*后果有效剂量!$S$3+(SUMPRODUCT(GH$5:GH$27,后果有效剂量!$J$5:$J$27)+SUMPRODUCT(GI$5:GI$27,后果有效剂量!$J$5:$J$27))*后果有效剂量!$T14*后果有效剂量!$T$3+SUMPRODUCT(GJ$5:GJ$27,后果有效剂量!$J$5:$J$27)*后果有效剂量!$U14*后果有效剂量!$U$3+SUMPRODUCT(GE$5:GE$27,后果有效剂量!$K$5:$K$27)*后果有效剂量!$Q14+SUMPRODUCT(GF$5:GF$27,后果有效剂量!$K$5:$K$27)*后果有效剂量!$R14+SUMPRODUCT(GG$5:GG$27,后果有效剂量!$K$5:$K$27)*后果有效剂量!$S14+(SUMPRODUCT(GH$5:GH$27,后果有效剂量!$K$5:$K$27)+SUMPRODUCT(GI$5:GI$27,后果有效剂量!$K$5:$K$27))*后果有效剂量!$T14+SUMPRODUCT(GJ$5:GJ$27,后果有效剂量!$K$5:$K$27)*后果有效剂量!$U14</f>
        <v>1.63999712876133e-5</v>
      </c>
      <c r="GF40" s="453">
        <f>SUMPRODUCT(GE$5:GE$27,后果甲状腺剂量!$I$5:$I$27)*后果甲状腺剂量!$Q14+SUMPRODUCT(GF$5:GF$27,后果甲状腺剂量!$I$5:$I$27)*后果甲状腺剂量!$R14+SUMPRODUCT(GG$5:GG$27,后果甲状腺剂量!$I$5:$I$27)*后果甲状腺剂量!$S14+(SUMPRODUCT(GH$5:GH$27,后果甲状腺剂量!$I$5:$I$27)+SUMPRODUCT(GI$5:GI$27,后果甲状腺剂量!$I$5:$I$27))*后果甲状腺剂量!$T14+SUMPRODUCT(GJ$5:GJ$27,后果甲状腺剂量!$I$5:$I$27)*后果甲状腺剂量!$U14+SUMPRODUCT(GE$5:GE$27,后果甲状腺剂量!$J$5:$J$27)*后果甲状腺剂量!$Q14*后果甲状腺剂量!$Q$3+SUMPRODUCT(GF$5:GF$27,后果甲状腺剂量!$J$5:$J$27)*后果甲状腺剂量!$R14*后果甲状腺剂量!$R$3+SUMPRODUCT(GG$5:GG$27,后果甲状腺剂量!$J$5:$J$27)*后果甲状腺剂量!$S14*后果甲状腺剂量!$S$3+(SUMPRODUCT(GH$5:GH$27,后果甲状腺剂量!$J$5:$J$27)+SUMPRODUCT(GI$5:GI$27,后果甲状腺剂量!$J$5:$J$27))*后果甲状腺剂量!$T14*后果甲状腺剂量!$T$3+SUMPRODUCT(GJ$5:GJ$27,后果甲状腺剂量!$J$5:$J$27)*后果甲状腺剂量!$U14*后果甲状腺剂量!$U$3+SUMPRODUCT(GE$5:GE$27,后果甲状腺剂量!$K$5:$K$27)*后果甲状腺剂量!$Q14+SUMPRODUCT(GF$5:GF$27,后果甲状腺剂量!$K$5:$K$27)*后果甲状腺剂量!$R14+SUMPRODUCT(GG$5:GG$27,后果甲状腺剂量!$K$5:$K$27)*后果甲状腺剂量!$S14+(SUMPRODUCT(GH$5:GH$27,后果甲状腺剂量!$K$5:$K$27)+SUMPRODUCT(GI$5:GI$27,后果甲状腺剂量!$K$5:$K$27))*后果甲状腺剂量!$T14+SUMPRODUCT(GJ$5:GJ$27,后果甲状腺剂量!$K$5:$K$27)*后果甲状腺剂量!$U14</f>
        <v>8.63559479091504e-5</v>
      </c>
      <c r="GG40" s="454">
        <f t="shared" si="260"/>
        <v>0.0163999712876133</v>
      </c>
      <c r="GH40" s="454">
        <f t="shared" si="261"/>
        <v>0.0863559479091504</v>
      </c>
      <c r="GI40" s="436"/>
      <c r="GJ40" s="436"/>
    </row>
    <row r="41" spans="7:192">
      <c r="G41" s="440" t="str">
        <f>后果有效剂量!$P15</f>
        <v>25000m</v>
      </c>
      <c r="H41" s="441">
        <f ca="1">SUMPRODUCT(H$5:H$27,后果有效剂量!$I$5:$I$27)*后果有效剂量!$Q15+SUMPRODUCT(I$5:I$27,后果有效剂量!$I$5:$I$27)*后果有效剂量!$Q15+SUMPRODUCT(J$5:J$27,后果有效剂量!$I$5:$I$27)*后果有效剂量!$R15+SUMPRODUCT(K$5:K$27,后果有效剂量!$I$5:$I$27)*后果有效剂量!$S15+SUMPRODUCT(L$5:L$27,后果有效剂量!$I$5:$I$27)*后果有效剂量!$T15+SUMPRODUCT(M$5:M$27,后果有效剂量!$I$5:$I$27)*后果有效剂量!$U15+SUMPRODUCT(H$5:H$27,后果有效剂量!$J$5:$J$27)*后果有效剂量!$Q15*后果有效剂量!$Q$3+SUMPRODUCT(I$5:I$27,后果有效剂量!$J$5:$J$27)*后果有效剂量!$Q15*后果有效剂量!$Q$3+SUMPRODUCT(J$5:J$27,后果有效剂量!$J$5:$J$27)*后果有效剂量!$R15*后果有效剂量!$R$3+SUMPRODUCT(K$5:K$27,后果有效剂量!$J$5:$J$27)*后果有效剂量!$S15*后果有效剂量!$S$3+SUMPRODUCT(L$5:L$27,后果有效剂量!$J$5:$J$27)*后果有效剂量!$T15*后果有效剂量!$T$3+SUMPRODUCT(M$5:M$27,后果有效剂量!$J$5:$J$27)*后果有效剂量!$U15*后果有效剂量!$U$3+SUMPRODUCT(H$5:H$27,后果有效剂量!$K$5:$K$27)*后果有效剂量!$Q15+SUMPRODUCT(I$5:I$27,后果有效剂量!$K$5:$K$27)*后果有效剂量!$Q15+SUMPRODUCT(J$5:J$27,后果有效剂量!$K$5:$K$27)*后果有效剂量!$R15+SUMPRODUCT(K$5:K$27,后果有效剂量!$K$5:$K$27)*后果有效剂量!$S15+SUMPRODUCT(L$5:L$27,后果有效剂量!$K$5:$K$27)*后果有效剂量!$T15+SUMPRODUCT(M$5:M$27,后果有效剂量!$K$5:$K$27)*后果有效剂量!$U15</f>
        <v>5.63080644604332e-6</v>
      </c>
      <c r="I41" s="453">
        <f ca="1">SUMPRODUCT(H$5:H$27,后果甲状腺剂量!$I$5:$I$27)*后果甲状腺剂量!$Q15+SUMPRODUCT(I$5:I$27,后果甲状腺剂量!$I$5:$I$27)*后果甲状腺剂量!$Q15+SUMPRODUCT(J$5:J$27,后果甲状腺剂量!$I$5:$I$27)*后果甲状腺剂量!$R15+SUMPRODUCT(K$5:K$27,后果甲状腺剂量!$I$5:$I$27)*后果甲状腺剂量!$S15+SUMPRODUCT(L$5:L$27,后果甲状腺剂量!$I$5:$I$27)*后果甲状腺剂量!$T15+SUMPRODUCT(M$5:M$27,后果甲状腺剂量!$I$5:$I$27)*后果甲状腺剂量!$U15+SUMPRODUCT(H$5:H$27,后果甲状腺剂量!$J$5:$J$27)*后果甲状腺剂量!$Q15*后果甲状腺剂量!$Q$3+SUMPRODUCT(I$5:I$27,后果甲状腺剂量!$J$5:$J$27)*后果甲状腺剂量!$Q15*后果甲状腺剂量!$Q$3+SUMPRODUCT(J$5:J$27,后果甲状腺剂量!$J$5:$J$27)*后果甲状腺剂量!$R15*后果甲状腺剂量!$R$3+SUMPRODUCT(K$5:K$27,后果甲状腺剂量!$J$5:$J$27)*后果甲状腺剂量!$S15*后果甲状腺剂量!$S$3+SUMPRODUCT(L$5:L$27,后果甲状腺剂量!$J$5:$J$27)*后果甲状腺剂量!$T15*后果甲状腺剂量!$T$3+SUMPRODUCT(M$5:M$27,后果甲状腺剂量!$J$5:$J$27)*后果甲状腺剂量!$U15*后果甲状腺剂量!$U$3+SUMPRODUCT(H$5:H$27,后果甲状腺剂量!$K$5:$K$27)*后果甲状腺剂量!$Q15+SUMPRODUCT(I$5:I$27,后果甲状腺剂量!$K$5:$K$27)*后果甲状腺剂量!$Q15+SUMPRODUCT(J$5:J$27,后果甲状腺剂量!$K$5:$K$27)*后果甲状腺剂量!$R15+SUMPRODUCT(K$5:K$27,后果甲状腺剂量!$K$5:$K$27)*后果甲状腺剂量!$S15+SUMPRODUCT(L$5:L$27,后果甲状腺剂量!$K$5:$K$27)*后果甲状腺剂量!$T15+SUMPRODUCT(M$5:M$27,后果甲状腺剂量!$K$5:$K$27)*后果甲状腺剂量!$U15</f>
        <v>0.000151958338725247</v>
      </c>
      <c r="J41" s="454">
        <f ca="1" t="shared" si="254"/>
        <v>0.00563080644604332</v>
      </c>
      <c r="K41" s="454">
        <f ca="1" t="shared" si="255"/>
        <v>0.151958338725247</v>
      </c>
      <c r="L41" s="436"/>
      <c r="M41" s="436"/>
      <c r="N41" s="455"/>
      <c r="O41" s="390"/>
      <c r="Q41" s="440" t="str">
        <f>后果有效剂量!$P15</f>
        <v>25000m</v>
      </c>
      <c r="R41" s="441">
        <f ca="1">SUMPRODUCT(R$5:R$27,后果有效剂量!$I$5:$I$27)*后果有效剂量!$Q15+SUMPRODUCT(S$5:S$27,后果有效剂量!$I$5:$I$27)*后果有效剂量!$Q15+SUMPRODUCT(T$5:T$27,后果有效剂量!$I$5:$I$27)*后果有效剂量!$R15+SUMPRODUCT(U$5:U$27,后果有效剂量!$I$5:$I$27)*后果有效剂量!$S15+SUMPRODUCT(V$5:V$27,后果有效剂量!$I$5:$I$27)*后果有效剂量!$T15+SUMPRODUCT(W$5:W$27,后果有效剂量!$I$5:$I$27)*后果有效剂量!$U15+SUMPRODUCT(R$5:R$27,后果有效剂量!$J$5:$J$27)*后果有效剂量!$Q15*后果有效剂量!$Q$3+SUMPRODUCT(S$5:S$27,后果有效剂量!$J$5:$J$27)*后果有效剂量!$Q15*后果有效剂量!$Q$3+SUMPRODUCT(T$5:T$27,后果有效剂量!$J$5:$J$27)*后果有效剂量!$R15*后果有效剂量!$R$3+SUMPRODUCT(U$5:U$27,后果有效剂量!$J$5:$J$27)*后果有效剂量!$S15*后果有效剂量!$S$3+SUMPRODUCT(V$5:V$27,后果有效剂量!$J$5:$J$27)*后果有效剂量!$T15*后果有效剂量!$T$3+SUMPRODUCT(W$5:W$27,后果有效剂量!$J$5:$J$27)*后果有效剂量!$U15*后果有效剂量!$U$3+SUMPRODUCT(R$5:R$27,后果有效剂量!$K$5:$K$27)*后果有效剂量!$Q15+SUMPRODUCT(S$5:S$27,后果有效剂量!$K$5:$K$27)*后果有效剂量!$Q15+SUMPRODUCT(T$5:T$27,后果有效剂量!$K$5:$K$27)*后果有效剂量!$R15+SUMPRODUCT(U$5:U$27,后果有效剂量!$K$5:$K$27)*后果有效剂量!$S15+SUMPRODUCT(V$5:V$27,后果有效剂量!$K$5:$K$27)*后果有效剂量!$T15+SUMPRODUCT(W$5:W$27,后果有效剂量!$K$5:$K$27)*后果有效剂量!$U15</f>
        <v>3.08301132415044e-6</v>
      </c>
      <c r="S41" s="453">
        <f ca="1">SUMPRODUCT(R$5:R$27,后果甲状腺剂量!$I$5:$I$27)*后果甲状腺剂量!$Q15+SUMPRODUCT(S$5:S$27,后果甲状腺剂量!$I$5:$I$27)*后果甲状腺剂量!$Q15+SUMPRODUCT(T$5:T$27,后果甲状腺剂量!$I$5:$I$27)*后果甲状腺剂量!$R15+SUMPRODUCT(U$5:U$27,后果甲状腺剂量!$I$5:$I$27)*后果甲状腺剂量!$S15+SUMPRODUCT(V$5:V$27,后果甲状腺剂量!$I$5:$I$27)*后果甲状腺剂量!$T15+SUMPRODUCT(W$5:W$27,后果甲状腺剂量!$I$5:$I$27)*后果甲状腺剂量!$U15+SUMPRODUCT(R$5:R$27,后果甲状腺剂量!$J$5:$J$27)*后果甲状腺剂量!$Q15*后果甲状腺剂量!$Q$3+SUMPRODUCT(S$5:S$27,后果甲状腺剂量!$J$5:$J$27)*后果甲状腺剂量!$Q15*后果甲状腺剂量!$Q$3+SUMPRODUCT(T$5:T$27,后果甲状腺剂量!$J$5:$J$27)*后果甲状腺剂量!$R15*后果甲状腺剂量!$R$3+SUMPRODUCT(U$5:U$27,后果甲状腺剂量!$J$5:$J$27)*后果甲状腺剂量!$S15*后果甲状腺剂量!$S$3+SUMPRODUCT(V$5:V$27,后果甲状腺剂量!$J$5:$J$27)*后果甲状腺剂量!$T15*后果甲状腺剂量!$T$3+SUMPRODUCT(W$5:W$27,后果甲状腺剂量!$J$5:$J$27)*后果甲状腺剂量!$U15*后果甲状腺剂量!$U$3+SUMPRODUCT(R$5:R$27,后果甲状腺剂量!$K$5:$K$27)*后果甲状腺剂量!$Q15+SUMPRODUCT(S$5:S$27,后果甲状腺剂量!$K$5:$K$27)*后果甲状腺剂量!$Q15+SUMPRODUCT(T$5:T$27,后果甲状腺剂量!$K$5:$K$27)*后果甲状腺剂量!$R15+SUMPRODUCT(U$5:U$27,后果甲状腺剂量!$K$5:$K$27)*后果甲状腺剂量!$S15+SUMPRODUCT(V$5:V$27,后果甲状腺剂量!$K$5:$K$27)*后果甲状腺剂量!$T15+SUMPRODUCT(W$5:W$27,后果甲状腺剂量!$K$5:$K$27)*后果甲状腺剂量!$U15</f>
        <v>6.72956297947256e-5</v>
      </c>
      <c r="T41" s="454">
        <f ca="1" t="shared" si="256"/>
        <v>0.00308301132415044</v>
      </c>
      <c r="U41" s="454">
        <f ca="1" t="shared" si="257"/>
        <v>0.0672956297947256</v>
      </c>
      <c r="V41" s="436"/>
      <c r="W41" s="436"/>
      <c r="AN41" s="533"/>
      <c r="AO41" s="390"/>
      <c r="AP41" s="390"/>
      <c r="AQ41" s="390"/>
      <c r="AR41" s="390"/>
      <c r="AS41" s="572"/>
      <c r="AT41" s="390"/>
      <c r="AU41" s="390"/>
      <c r="AV41" s="394"/>
      <c r="AW41" s="394"/>
      <c r="AX41" s="394"/>
      <c r="AY41" s="394"/>
      <c r="AZ41" s="394"/>
      <c r="BA41" s="394"/>
      <c r="BB41" s="394"/>
      <c r="BC41" s="394"/>
      <c r="BD41" s="394"/>
      <c r="BE41" s="394"/>
      <c r="BF41" s="394"/>
      <c r="BG41" s="394"/>
      <c r="BH41" s="394"/>
      <c r="BI41" s="394"/>
      <c r="BJ41" s="394"/>
      <c r="BK41" s="394"/>
      <c r="BL41" s="394"/>
      <c r="BM41" s="394"/>
      <c r="BN41" s="394"/>
      <c r="BO41" s="600"/>
      <c r="BP41" s="394"/>
      <c r="BQ41" s="394"/>
      <c r="BR41" s="394"/>
      <c r="BS41" s="394"/>
      <c r="BT41" s="394"/>
      <c r="BU41" s="394"/>
      <c r="BV41" s="394"/>
      <c r="BW41" s="394"/>
      <c r="BX41" s="394"/>
      <c r="BY41" s="394"/>
      <c r="BZ41" s="394"/>
      <c r="CA41" s="394"/>
      <c r="CB41" s="394"/>
      <c r="CC41" s="394"/>
      <c r="CD41" s="394"/>
      <c r="CE41" s="394"/>
      <c r="CF41" s="394"/>
      <c r="CG41" s="394"/>
      <c r="CH41" s="394"/>
      <c r="CI41" s="394"/>
      <c r="CJ41" s="600"/>
      <c r="CK41" s="394"/>
      <c r="CL41" s="394"/>
      <c r="CM41" s="394"/>
      <c r="CN41" s="394"/>
      <c r="CO41" s="394"/>
      <c r="CP41" s="394"/>
      <c r="CQ41" s="394"/>
      <c r="CR41" s="394"/>
      <c r="CS41" s="394"/>
      <c r="CT41" s="394"/>
      <c r="CU41" s="394"/>
      <c r="CV41" s="394"/>
      <c r="CW41" s="394"/>
      <c r="CX41" s="394"/>
      <c r="CY41" s="394"/>
      <c r="CZ41" s="394"/>
      <c r="DA41" s="394"/>
      <c r="DB41" s="394"/>
      <c r="DC41" s="394"/>
      <c r="DD41" s="394"/>
      <c r="DE41" s="394"/>
      <c r="DF41" s="394"/>
      <c r="DG41" s="394"/>
      <c r="DH41" s="394"/>
      <c r="DI41" s="394"/>
      <c r="DJ41" s="394"/>
      <c r="DK41" s="394"/>
      <c r="DL41" s="394"/>
      <c r="DM41" s="394"/>
      <c r="DN41" s="394"/>
      <c r="DO41" s="394"/>
      <c r="DP41" s="394"/>
      <c r="DQ41" s="394"/>
      <c r="DR41" s="394"/>
      <c r="DS41" s="394"/>
      <c r="DT41" s="394"/>
      <c r="DU41" s="394"/>
      <c r="DV41" s="394"/>
      <c r="DW41" s="394"/>
      <c r="DX41" s="394"/>
      <c r="DY41" s="394"/>
      <c r="DZ41" s="600"/>
      <c r="EA41" s="394"/>
      <c r="EB41" s="394"/>
      <c r="EC41" s="394"/>
      <c r="ED41" s="394"/>
      <c r="EE41" s="394"/>
      <c r="EF41" s="394"/>
      <c r="EG41" s="394"/>
      <c r="EH41" s="394"/>
      <c r="EI41" s="394"/>
      <c r="EJ41" s="394"/>
      <c r="EK41" s="394"/>
      <c r="EL41" s="394"/>
      <c r="EM41" s="394"/>
      <c r="EN41" s="394"/>
      <c r="EO41" s="394"/>
      <c r="EP41" s="394"/>
      <c r="EQ41" s="394"/>
      <c r="ER41" s="394"/>
      <c r="ES41" s="394"/>
      <c r="ET41" s="394"/>
      <c r="EU41" s="603"/>
      <c r="EV41" s="394"/>
      <c r="EW41" s="394"/>
      <c r="EX41" s="394"/>
      <c r="EY41" s="394"/>
      <c r="EZ41" s="394"/>
      <c r="FA41" s="394"/>
      <c r="FB41" s="394"/>
      <c r="FC41" s="394"/>
      <c r="FD41" s="394"/>
      <c r="FE41" s="394"/>
      <c r="FF41" s="394"/>
      <c r="FG41" s="394"/>
      <c r="FH41" s="394"/>
      <c r="FI41" s="394"/>
      <c r="FJ41" s="394"/>
      <c r="FK41" s="394"/>
      <c r="FL41" s="394"/>
      <c r="FM41" s="394"/>
      <c r="FN41" s="394"/>
      <c r="FO41" s="394"/>
      <c r="FP41" s="603"/>
      <c r="FQ41" s="394"/>
      <c r="FS41" s="441">
        <f>SUMPRODUCT(FS$5:FS$27,后果有效剂量!$I$5:$I$27)*后果有效剂量!$Q15+SUMPRODUCT(FT$5:FT$27,后果有效剂量!$I$5:$I$27)*后果有效剂量!$R15+SUMPRODUCT(FU$5:FU$27,后果有效剂量!$I$5:$I$27)*后果有效剂量!$S15+SUMPRODUCT(FV$5:FV$27,后果有效剂量!$I$5:$I$27)*后果有效剂量!$T15+SUMPRODUCT(FS$5:FS$27,后果有效剂量!$J$5:$J$27)*后果有效剂量!$Q15*后果有效剂量!$Q$3+SUMPRODUCT(FT$5:FT$27,后果有效剂量!$J$5:$J$27)*后果有效剂量!$R15*后果有效剂量!$R$3+SUMPRODUCT(FU$5:FU$27,后果有效剂量!$J$5:$J$27)*后果有效剂量!$S15*后果有效剂量!$S$3+SUMPRODUCT(FV$5:FV$27,后果有效剂量!$J$5:$J$27)*后果有效剂量!$T15*后果有效剂量!$T$3+SUMPRODUCT(FS$5:FS$27,后果有效剂量!$K$5:$K$27)*后果有效剂量!$Q15+SUMPRODUCT(FT$5:FT$27,后果有效剂量!$K$5:$K$27)*后果有效剂量!$R15+SUMPRODUCT(FU$5:FU$27,后果有效剂量!$K$5:$K$27)*后果有效剂量!$S15+SUMPRODUCT(FV$5:FV$27,后果有效剂量!$K$5:$K$27)*后果有效剂量!$T15</f>
        <v>3.76943273964564e-6</v>
      </c>
      <c r="FT41" s="453">
        <f>SUMPRODUCT(FS$5:FS$27,后果甲状腺剂量!$I$5:$I$27)*后果甲状腺剂量!$Q15+SUMPRODUCT(FT$5:FT$27,后果甲状腺剂量!$I$5:$I$27)*后果甲状腺剂量!$R15+SUMPRODUCT(FU$5:FU$27,后果甲状腺剂量!$I$5:$I$27)*后果甲状腺剂量!$S15+SUMPRODUCT(FV$5:FV$27,后果甲状腺剂量!$I$5:$I$27)*后果甲状腺剂量!$T15+SUMPRODUCT(FS$5:FS$27,后果甲状腺剂量!$J$5:$J$27)*后果甲状腺剂量!$Q15*后果甲状腺剂量!$Q$3+SUMPRODUCT(FT$5:FT$27,后果甲状腺剂量!$J$5:$J$27)*后果甲状腺剂量!$R15*后果甲状腺剂量!$R$3+SUMPRODUCT(FU$5:FU$27,后果甲状腺剂量!$J$5:$J$27)*后果甲状腺剂量!$S15*后果甲状腺剂量!$S$3+SUMPRODUCT(FV$5:FV$27,后果甲状腺剂量!$J$5:$J$27)*后果甲状腺剂量!$T15*后果甲状腺剂量!$T$3+SUMPRODUCT(FS$5:FS$27,后果甲状腺剂量!$K$5:$K$27)*后果甲状腺剂量!$Q15+SUMPRODUCT(FT$5:FT$27,后果甲状腺剂量!$K$5:$K$27)*后果甲状腺剂量!$R15+SUMPRODUCT(FU$5:FU$27,后果甲状腺剂量!$K$5:$K$27)*后果甲状腺剂量!$S15+SUMPRODUCT(FV$5:FV$27,后果甲状腺剂量!$K$5:$K$27)*后果甲状腺剂量!$T15</f>
        <v>0.000171617689718182</v>
      </c>
      <c r="FU41" s="454">
        <f t="shared" si="258"/>
        <v>0.00376943273964564</v>
      </c>
      <c r="FV41" s="454">
        <f t="shared" si="259"/>
        <v>0.171617689718182</v>
      </c>
      <c r="FW41" s="436"/>
      <c r="FX41" s="436"/>
      <c r="GD41" s="440" t="str">
        <f>后果有效剂量!$P15</f>
        <v>25000m</v>
      </c>
      <c r="GE41" s="441">
        <f>SUMPRODUCT(GE$5:GE$27,后果有效剂量!$I$5:$I$27)*后果有效剂量!$Q15+SUMPRODUCT(GF$5:GF$27,后果有效剂量!$I$5:$I$27)*后果有效剂量!$R15+SUMPRODUCT(GG$5:GG$27,后果有效剂量!$I$5:$I$27)*后果有效剂量!$S15+(SUMPRODUCT(GH$5:GH$27,后果有效剂量!$I$5:$I$27)+SUMPRODUCT(GI$5:GI$27,后果有效剂量!$I$5:$I$27))*后果有效剂量!$T15+SUMPRODUCT(GJ$5:GJ$27,后果有效剂量!$I$5:$I$27)*后果有效剂量!$U15+SUMPRODUCT(GE$5:GE$27,后果有效剂量!$J$5:$J$27)*后果有效剂量!$Q15*后果有效剂量!$Q$3+SUMPRODUCT(GF$5:GF$27,后果有效剂量!$J$5:$J$27)*后果有效剂量!$R15*后果有效剂量!$R$3+SUMPRODUCT(GG$5:GG$27,后果有效剂量!$J$5:$J$27)*后果有效剂量!$S15*后果有效剂量!$S$3+(SUMPRODUCT(GH$5:GH$27,后果有效剂量!$J$5:$J$27)+SUMPRODUCT(GI$5:GI$27,后果有效剂量!$J$5:$J$27))*后果有效剂量!$T15*后果有效剂量!$T$3+SUMPRODUCT(GJ$5:GJ$27,后果有效剂量!$J$5:$J$27)*后果有效剂量!$U15*后果有效剂量!$U$3+SUMPRODUCT(GE$5:GE$27,后果有效剂量!$K$5:$K$27)*后果有效剂量!$Q15+SUMPRODUCT(GF$5:GF$27,后果有效剂量!$K$5:$K$27)*后果有效剂量!$R15+SUMPRODUCT(GG$5:GG$27,后果有效剂量!$K$5:$K$27)*后果有效剂量!$S15+(SUMPRODUCT(GH$5:GH$27,后果有效剂量!$K$5:$K$27)+SUMPRODUCT(GI$5:GI$27,后果有效剂量!$K$5:$K$27))*后果有效剂量!$T15+SUMPRODUCT(GJ$5:GJ$27,后果有效剂量!$K$5:$K$27)*后果有效剂量!$U15</f>
        <v>8.72148870971164e-7</v>
      </c>
      <c r="GF41" s="453">
        <f>SUMPRODUCT(GE$5:GE$27,后果甲状腺剂量!$I$5:$I$27)*后果甲状腺剂量!$Q15+SUMPRODUCT(GF$5:GF$27,后果甲状腺剂量!$I$5:$I$27)*后果甲状腺剂量!$R15+SUMPRODUCT(GG$5:GG$27,后果甲状腺剂量!$I$5:$I$27)*后果甲状腺剂量!$S15+(SUMPRODUCT(GH$5:GH$27,后果甲状腺剂量!$I$5:$I$27)+SUMPRODUCT(GI$5:GI$27,后果甲状腺剂量!$I$5:$I$27))*后果甲状腺剂量!$T15+SUMPRODUCT(GJ$5:GJ$27,后果甲状腺剂量!$I$5:$I$27)*后果甲状腺剂量!$U15+SUMPRODUCT(GE$5:GE$27,后果甲状腺剂量!$J$5:$J$27)*后果甲状腺剂量!$Q15*后果甲状腺剂量!$Q$3+SUMPRODUCT(GF$5:GF$27,后果甲状腺剂量!$J$5:$J$27)*后果甲状腺剂量!$R15*后果甲状腺剂量!$R$3+SUMPRODUCT(GG$5:GG$27,后果甲状腺剂量!$J$5:$J$27)*后果甲状腺剂量!$S15*后果甲状腺剂量!$S$3+(SUMPRODUCT(GH$5:GH$27,后果甲状腺剂量!$J$5:$J$27)+SUMPRODUCT(GI$5:GI$27,后果甲状腺剂量!$J$5:$J$27))*后果甲状腺剂量!$T15*后果甲状腺剂量!$T$3+SUMPRODUCT(GJ$5:GJ$27,后果甲状腺剂量!$J$5:$J$27)*后果甲状腺剂量!$U15*后果甲状腺剂量!$U$3+SUMPRODUCT(GE$5:GE$27,后果甲状腺剂量!$K$5:$K$27)*后果甲状腺剂量!$Q15+SUMPRODUCT(GF$5:GF$27,后果甲状腺剂量!$K$5:$K$27)*后果甲状腺剂量!$R15+SUMPRODUCT(GG$5:GG$27,后果甲状腺剂量!$K$5:$K$27)*后果甲状腺剂量!$S15+(SUMPRODUCT(GH$5:GH$27,后果甲状腺剂量!$K$5:$K$27)+SUMPRODUCT(GI$5:GI$27,后果甲状腺剂量!$K$5:$K$27))*后果甲状腺剂量!$T15+SUMPRODUCT(GJ$5:GJ$27,后果甲状腺剂量!$K$5:$K$27)*后果甲状腺剂量!$U15</f>
        <v>2.83339292015822e-5</v>
      </c>
      <c r="GG41" s="454">
        <f t="shared" si="260"/>
        <v>0.000872148870971164</v>
      </c>
      <c r="GH41" s="454">
        <f t="shared" si="261"/>
        <v>0.0283339292015822</v>
      </c>
      <c r="GI41" s="436"/>
      <c r="GJ41" s="436"/>
    </row>
    <row r="42" spans="7:192">
      <c r="G42" s="440" t="str">
        <f>后果有效剂量!$P16</f>
        <v>35000m</v>
      </c>
      <c r="H42" s="441">
        <f ca="1">SUMPRODUCT(H$5:H$27,后果有效剂量!$I$5:$I$27)*后果有效剂量!$Q16+SUMPRODUCT(I$5:I$27,后果有效剂量!$I$5:$I$27)*后果有效剂量!$Q16+SUMPRODUCT(J$5:J$27,后果有效剂量!$I$5:$I$27)*后果有效剂量!$R16+SUMPRODUCT(K$5:K$27,后果有效剂量!$I$5:$I$27)*后果有效剂量!$S16+SUMPRODUCT(L$5:L$27,后果有效剂量!$I$5:$I$27)*后果有效剂量!$T16+SUMPRODUCT(M$5:M$27,后果有效剂量!$I$5:$I$27)*后果有效剂量!$U16+SUMPRODUCT(H$5:H$27,后果有效剂量!$J$5:$J$27)*后果有效剂量!$Q16*后果有效剂量!$Q$3+SUMPRODUCT(I$5:I$27,后果有效剂量!$J$5:$J$27)*后果有效剂量!$Q16*后果有效剂量!$Q$3+SUMPRODUCT(J$5:J$27,后果有效剂量!$J$5:$J$27)*后果有效剂量!$R16*后果有效剂量!$R$3+SUMPRODUCT(K$5:K$27,后果有效剂量!$J$5:$J$27)*后果有效剂量!$S16*后果有效剂量!$S$3+SUMPRODUCT(L$5:L$27,后果有效剂量!$J$5:$J$27)*后果有效剂量!$T16*后果有效剂量!$T$3+SUMPRODUCT(M$5:M$27,后果有效剂量!$J$5:$J$27)*后果有效剂量!$U16*后果有效剂量!$U$3+SUMPRODUCT(H$5:H$27,后果有效剂量!$K$5:$K$27)*后果有效剂量!$Q16+SUMPRODUCT(I$5:I$27,后果有效剂量!$K$5:$K$27)*后果有效剂量!$Q16+SUMPRODUCT(J$5:J$27,后果有效剂量!$K$5:$K$27)*后果有效剂量!$R16+SUMPRODUCT(K$5:K$27,后果有效剂量!$K$5:$K$27)*后果有效剂量!$S16+SUMPRODUCT(L$5:L$27,后果有效剂量!$K$5:$K$27)*后果有效剂量!$T16+SUMPRODUCT(M$5:M$27,后果有效剂量!$K$5:$K$27)*后果有效剂量!$U16</f>
        <v>3.18766705682169e-6</v>
      </c>
      <c r="I42" s="453">
        <f ca="1">SUMPRODUCT(H$5:H$27,后果甲状腺剂量!$I$5:$I$27)*后果甲状腺剂量!$Q16+SUMPRODUCT(I$5:I$27,后果甲状腺剂量!$I$5:$I$27)*后果甲状腺剂量!$Q16+SUMPRODUCT(J$5:J$27,后果甲状腺剂量!$I$5:$I$27)*后果甲状腺剂量!$R16+SUMPRODUCT(K$5:K$27,后果甲状腺剂量!$I$5:$I$27)*后果甲状腺剂量!$S16+SUMPRODUCT(L$5:L$27,后果甲状腺剂量!$I$5:$I$27)*后果甲状腺剂量!$T16+SUMPRODUCT(M$5:M$27,后果甲状腺剂量!$I$5:$I$27)*后果甲状腺剂量!$U16+SUMPRODUCT(H$5:H$27,后果甲状腺剂量!$J$5:$J$27)*后果甲状腺剂量!$Q16*后果甲状腺剂量!$Q$3+SUMPRODUCT(I$5:I$27,后果甲状腺剂量!$J$5:$J$27)*后果甲状腺剂量!$Q16*后果甲状腺剂量!$Q$3+SUMPRODUCT(J$5:J$27,后果甲状腺剂量!$J$5:$J$27)*后果甲状腺剂量!$R16*后果甲状腺剂量!$R$3+SUMPRODUCT(K$5:K$27,后果甲状腺剂量!$J$5:$J$27)*后果甲状腺剂量!$S16*后果甲状腺剂量!$S$3+SUMPRODUCT(L$5:L$27,后果甲状腺剂量!$J$5:$J$27)*后果甲状腺剂量!$T16*后果甲状腺剂量!$T$3+SUMPRODUCT(M$5:M$27,后果甲状腺剂量!$J$5:$J$27)*后果甲状腺剂量!$U16*后果甲状腺剂量!$U$3+SUMPRODUCT(H$5:H$27,后果甲状腺剂量!$K$5:$K$27)*后果甲状腺剂量!$Q16+SUMPRODUCT(I$5:I$27,后果甲状腺剂量!$K$5:$K$27)*后果甲状腺剂量!$Q16+SUMPRODUCT(J$5:J$27,后果甲状腺剂量!$K$5:$K$27)*后果甲状腺剂量!$R16+SUMPRODUCT(K$5:K$27,后果甲状腺剂量!$K$5:$K$27)*后果甲状腺剂量!$S16+SUMPRODUCT(L$5:L$27,后果甲状腺剂量!$K$5:$K$27)*后果甲状腺剂量!$T16+SUMPRODUCT(M$5:M$27,后果甲状腺剂量!$K$5:$K$27)*后果甲状腺剂量!$U16</f>
        <v>7.77147763807824e-5</v>
      </c>
      <c r="J42" s="454">
        <f ca="1" t="shared" si="254"/>
        <v>0.00318766705682169</v>
      </c>
      <c r="K42" s="454">
        <f ca="1" t="shared" si="255"/>
        <v>0.0777147763807824</v>
      </c>
      <c r="L42" s="436"/>
      <c r="M42" s="436"/>
      <c r="N42" s="455"/>
      <c r="O42" s="390"/>
      <c r="Q42" s="440" t="str">
        <f>后果有效剂量!$P16</f>
        <v>35000m</v>
      </c>
      <c r="R42" s="441">
        <f ca="1">SUMPRODUCT(R$5:R$27,后果有效剂量!$I$5:$I$27)*后果有效剂量!$Q16+SUMPRODUCT(S$5:S$27,后果有效剂量!$I$5:$I$27)*后果有效剂量!$Q16+SUMPRODUCT(T$5:T$27,后果有效剂量!$I$5:$I$27)*后果有效剂量!$R16+SUMPRODUCT(U$5:U$27,后果有效剂量!$I$5:$I$27)*后果有效剂量!$S16+SUMPRODUCT(V$5:V$27,后果有效剂量!$I$5:$I$27)*后果有效剂量!$T16+SUMPRODUCT(W$5:W$27,后果有效剂量!$I$5:$I$27)*后果有效剂量!$U16+SUMPRODUCT(R$5:R$27,后果有效剂量!$J$5:$J$27)*后果有效剂量!$Q16*后果有效剂量!$Q$3+SUMPRODUCT(S$5:S$27,后果有效剂量!$J$5:$J$27)*后果有效剂量!$Q16*后果有效剂量!$Q$3+SUMPRODUCT(T$5:T$27,后果有效剂量!$J$5:$J$27)*后果有效剂量!$R16*后果有效剂量!$R$3+SUMPRODUCT(U$5:U$27,后果有效剂量!$J$5:$J$27)*后果有效剂量!$S16*后果有效剂量!$S$3+SUMPRODUCT(V$5:V$27,后果有效剂量!$J$5:$J$27)*后果有效剂量!$T16*后果有效剂量!$T$3+SUMPRODUCT(W$5:W$27,后果有效剂量!$J$5:$J$27)*后果有效剂量!$U16*后果有效剂量!$U$3+SUMPRODUCT(R$5:R$27,后果有效剂量!$K$5:$K$27)*后果有效剂量!$Q16+SUMPRODUCT(S$5:S$27,后果有效剂量!$K$5:$K$27)*后果有效剂量!$Q16+SUMPRODUCT(T$5:T$27,后果有效剂量!$K$5:$K$27)*后果有效剂量!$R16+SUMPRODUCT(U$5:U$27,后果有效剂量!$K$5:$K$27)*后果有效剂量!$S16+SUMPRODUCT(V$5:V$27,后果有效剂量!$K$5:$K$27)*后果有效剂量!$T16+SUMPRODUCT(W$5:W$27,后果有效剂量!$K$5:$K$27)*后果有效剂量!$U16</f>
        <v>1.72260450507861e-6</v>
      </c>
      <c r="S42" s="453">
        <f ca="1">SUMPRODUCT(R$5:R$27,后果甲状腺剂量!$I$5:$I$27)*后果甲状腺剂量!$Q16+SUMPRODUCT(S$5:S$27,后果甲状腺剂量!$I$5:$I$27)*后果甲状腺剂量!$Q16+SUMPRODUCT(T$5:T$27,后果甲状腺剂量!$I$5:$I$27)*后果甲状腺剂量!$R16+SUMPRODUCT(U$5:U$27,后果甲状腺剂量!$I$5:$I$27)*后果甲状腺剂量!$S16+SUMPRODUCT(V$5:V$27,后果甲状腺剂量!$I$5:$I$27)*后果甲状腺剂量!$T16+SUMPRODUCT(W$5:W$27,后果甲状腺剂量!$I$5:$I$27)*后果甲状腺剂量!$U16+SUMPRODUCT(R$5:R$27,后果甲状腺剂量!$J$5:$J$27)*后果甲状腺剂量!$Q16*后果甲状腺剂量!$Q$3+SUMPRODUCT(S$5:S$27,后果甲状腺剂量!$J$5:$J$27)*后果甲状腺剂量!$Q16*后果甲状腺剂量!$Q$3+SUMPRODUCT(T$5:T$27,后果甲状腺剂量!$J$5:$J$27)*后果甲状腺剂量!$R16*后果甲状腺剂量!$R$3+SUMPRODUCT(U$5:U$27,后果甲状腺剂量!$J$5:$J$27)*后果甲状腺剂量!$S16*后果甲状腺剂量!$S$3+SUMPRODUCT(V$5:V$27,后果甲状腺剂量!$J$5:$J$27)*后果甲状腺剂量!$T16*后果甲状腺剂量!$T$3+SUMPRODUCT(W$5:W$27,后果甲状腺剂量!$J$5:$J$27)*后果甲状腺剂量!$U16*后果甲状腺剂量!$U$3+SUMPRODUCT(R$5:R$27,后果甲状腺剂量!$K$5:$K$27)*后果甲状腺剂量!$Q16+SUMPRODUCT(S$5:S$27,后果甲状腺剂量!$K$5:$K$27)*后果甲状腺剂量!$Q16+SUMPRODUCT(T$5:T$27,后果甲状腺剂量!$K$5:$K$27)*后果甲状腺剂量!$R16+SUMPRODUCT(U$5:U$27,后果甲状腺剂量!$K$5:$K$27)*后果甲状腺剂量!$S16+SUMPRODUCT(V$5:V$27,后果甲状腺剂量!$K$5:$K$27)*后果甲状腺剂量!$T16+SUMPRODUCT(W$5:W$27,后果甲状腺剂量!$K$5:$K$27)*后果甲状腺剂量!$U16</f>
        <v>3.38063933489212e-5</v>
      </c>
      <c r="T42" s="454">
        <f ca="1" t="shared" si="256"/>
        <v>0.00172260450507861</v>
      </c>
      <c r="U42" s="454">
        <f ca="1" t="shared" si="257"/>
        <v>0.0338063933489212</v>
      </c>
      <c r="V42" s="436"/>
      <c r="W42" s="436"/>
      <c r="AN42" s="533"/>
      <c r="AO42" s="390"/>
      <c r="AP42" s="390"/>
      <c r="AQ42" s="390"/>
      <c r="AR42" s="390"/>
      <c r="AS42" s="572"/>
      <c r="AT42" s="390"/>
      <c r="AU42" s="390"/>
      <c r="AV42" s="394"/>
      <c r="AW42" s="394"/>
      <c r="AX42" s="394"/>
      <c r="AY42" s="394"/>
      <c r="AZ42" s="394"/>
      <c r="BA42" s="394"/>
      <c r="BB42" s="394"/>
      <c r="BC42" s="394"/>
      <c r="BD42" s="394"/>
      <c r="BE42" s="394"/>
      <c r="BF42" s="394"/>
      <c r="BG42" s="394"/>
      <c r="BH42" s="394"/>
      <c r="BI42" s="394"/>
      <c r="BJ42" s="394"/>
      <c r="BK42" s="394"/>
      <c r="BL42" s="394"/>
      <c r="BM42" s="394"/>
      <c r="BN42" s="394"/>
      <c r="BO42" s="600"/>
      <c r="BP42" s="394"/>
      <c r="BQ42" s="394"/>
      <c r="BR42" s="394"/>
      <c r="BS42" s="394"/>
      <c r="BT42" s="394"/>
      <c r="BU42" s="394"/>
      <c r="BV42" s="394"/>
      <c r="BW42" s="394"/>
      <c r="BX42" s="394"/>
      <c r="BY42" s="394"/>
      <c r="BZ42" s="394"/>
      <c r="CA42" s="394"/>
      <c r="CB42" s="394"/>
      <c r="CC42" s="394"/>
      <c r="CD42" s="394"/>
      <c r="CE42" s="394"/>
      <c r="CF42" s="394"/>
      <c r="CG42" s="394"/>
      <c r="CH42" s="394"/>
      <c r="CI42" s="394"/>
      <c r="CJ42" s="600"/>
      <c r="CK42" s="394"/>
      <c r="CL42" s="394"/>
      <c r="CM42" s="394"/>
      <c r="CN42" s="394"/>
      <c r="CO42" s="394"/>
      <c r="CP42" s="394"/>
      <c r="CQ42" s="394"/>
      <c r="CR42" s="394"/>
      <c r="CS42" s="394"/>
      <c r="CT42" s="394"/>
      <c r="CU42" s="394"/>
      <c r="CV42" s="394"/>
      <c r="CW42" s="394"/>
      <c r="CX42" s="394"/>
      <c r="CY42" s="394"/>
      <c r="CZ42" s="394"/>
      <c r="DA42" s="394"/>
      <c r="DB42" s="394"/>
      <c r="DC42" s="394"/>
      <c r="DD42" s="394"/>
      <c r="DE42" s="394"/>
      <c r="DF42" s="394"/>
      <c r="DG42" s="394"/>
      <c r="DH42" s="394"/>
      <c r="DI42" s="394"/>
      <c r="DJ42" s="394"/>
      <c r="DK42" s="394"/>
      <c r="DL42" s="394"/>
      <c r="DM42" s="394"/>
      <c r="DN42" s="394"/>
      <c r="DO42" s="394"/>
      <c r="DP42" s="394"/>
      <c r="DQ42" s="394"/>
      <c r="DR42" s="394"/>
      <c r="DS42" s="394"/>
      <c r="DT42" s="394"/>
      <c r="DU42" s="394"/>
      <c r="DV42" s="394"/>
      <c r="DW42" s="394"/>
      <c r="DX42" s="394"/>
      <c r="DY42" s="394"/>
      <c r="DZ42" s="600"/>
      <c r="EA42" s="394"/>
      <c r="EB42" s="394"/>
      <c r="EC42" s="394"/>
      <c r="ED42" s="394"/>
      <c r="EE42" s="394"/>
      <c r="EF42" s="394"/>
      <c r="EG42" s="394"/>
      <c r="EH42" s="394"/>
      <c r="EI42" s="394"/>
      <c r="EJ42" s="394"/>
      <c r="EK42" s="394"/>
      <c r="EL42" s="394"/>
      <c r="EM42" s="394"/>
      <c r="EN42" s="394"/>
      <c r="EO42" s="394"/>
      <c r="EP42" s="394"/>
      <c r="EQ42" s="394"/>
      <c r="ER42" s="394"/>
      <c r="ES42" s="394"/>
      <c r="ET42" s="394"/>
      <c r="EU42" s="603"/>
      <c r="EV42" s="394"/>
      <c r="EW42" s="394"/>
      <c r="EX42" s="394"/>
      <c r="EY42" s="394"/>
      <c r="EZ42" s="394"/>
      <c r="FA42" s="394"/>
      <c r="FB42" s="394"/>
      <c r="FC42" s="394"/>
      <c r="FD42" s="394"/>
      <c r="FE42" s="394"/>
      <c r="FF42" s="394"/>
      <c r="FG42" s="394"/>
      <c r="FH42" s="394"/>
      <c r="FI42" s="394"/>
      <c r="FJ42" s="394"/>
      <c r="FK42" s="394"/>
      <c r="FL42" s="394"/>
      <c r="FM42" s="394"/>
      <c r="FN42" s="394"/>
      <c r="FO42" s="394"/>
      <c r="FP42" s="603"/>
      <c r="FQ42" s="394"/>
      <c r="FS42" s="441">
        <f>SUMPRODUCT(FS$5:FS$27,后果有效剂量!$I$5:$I$27)*后果有效剂量!$Q16+SUMPRODUCT(FT$5:FT$27,后果有效剂量!$I$5:$I$27)*后果有效剂量!$R16+SUMPRODUCT(FU$5:FU$27,后果有效剂量!$I$5:$I$27)*后果有效剂量!$S16+SUMPRODUCT(FV$5:FV$27,后果有效剂量!$I$5:$I$27)*后果有效剂量!$T16+SUMPRODUCT(FS$5:FS$27,后果有效剂量!$J$5:$J$27)*后果有效剂量!$Q16*后果有效剂量!$Q$3+SUMPRODUCT(FT$5:FT$27,后果有效剂量!$J$5:$J$27)*后果有效剂量!$R16*后果有效剂量!$R$3+SUMPRODUCT(FU$5:FU$27,后果有效剂量!$J$5:$J$27)*后果有效剂量!$S16*后果有效剂量!$S$3+SUMPRODUCT(FV$5:FV$27,后果有效剂量!$J$5:$J$27)*后果有效剂量!$T16*后果有效剂量!$T$3+SUMPRODUCT(FS$5:FS$27,后果有效剂量!$K$5:$K$27)*后果有效剂量!$Q16+SUMPRODUCT(FT$5:FT$27,后果有效剂量!$K$5:$K$27)*后果有效剂量!$R16+SUMPRODUCT(FU$5:FU$27,后果有效剂量!$K$5:$K$27)*后果有效剂量!$S16+SUMPRODUCT(FV$5:FV$27,后果有效剂量!$K$5:$K$27)*后果有效剂量!$T16</f>
        <v>2.12917624572601e-6</v>
      </c>
      <c r="FT42" s="453">
        <f>SUMPRODUCT(FS$5:FS$27,后果甲状腺剂量!$I$5:$I$27)*后果甲状腺剂量!$Q16+SUMPRODUCT(FT$5:FT$27,后果甲状腺剂量!$I$5:$I$27)*后果甲状腺剂量!$R16+SUMPRODUCT(FU$5:FU$27,后果甲状腺剂量!$I$5:$I$27)*后果甲状腺剂量!$S16+SUMPRODUCT(FV$5:FV$27,后果甲状腺剂量!$I$5:$I$27)*后果甲状腺剂量!$T16+SUMPRODUCT(FS$5:FS$27,后果甲状腺剂量!$J$5:$J$27)*后果甲状腺剂量!$Q16*后果甲状腺剂量!$Q$3+SUMPRODUCT(FT$5:FT$27,后果甲状腺剂量!$J$5:$J$27)*后果甲状腺剂量!$R16*后果甲状腺剂量!$R$3+SUMPRODUCT(FU$5:FU$27,后果甲状腺剂量!$J$5:$J$27)*后果甲状腺剂量!$S16*后果甲状腺剂量!$S$3+SUMPRODUCT(FV$5:FV$27,后果甲状腺剂量!$J$5:$J$27)*后果甲状腺剂量!$T16*后果甲状腺剂量!$T$3+SUMPRODUCT(FS$5:FS$27,后果甲状腺剂量!$K$5:$K$27)*后果甲状腺剂量!$Q16+SUMPRODUCT(FT$5:FT$27,后果甲状腺剂量!$K$5:$K$27)*后果甲状腺剂量!$R16+SUMPRODUCT(FU$5:FU$27,后果甲状腺剂量!$K$5:$K$27)*后果甲状腺剂量!$S16+SUMPRODUCT(FV$5:FV$27,后果甲状腺剂量!$K$5:$K$27)*后果甲状腺剂量!$T16</f>
        <v>8.77501626392143e-5</v>
      </c>
      <c r="FU42" s="454">
        <f t="shared" si="258"/>
        <v>0.00212917624572601</v>
      </c>
      <c r="FV42" s="454">
        <f t="shared" si="259"/>
        <v>0.0877501626392143</v>
      </c>
      <c r="FW42" s="436"/>
      <c r="FX42" s="436"/>
      <c r="GD42" s="440" t="str">
        <f>后果有效剂量!$P16</f>
        <v>35000m</v>
      </c>
      <c r="GE42" s="441">
        <f>SUMPRODUCT(GE$5:GE$27,后果有效剂量!$I$5:$I$27)*后果有效剂量!$Q16+SUMPRODUCT(GF$5:GF$27,后果有效剂量!$I$5:$I$27)*后果有效剂量!$R16+SUMPRODUCT(GG$5:GG$27,后果有效剂量!$I$5:$I$27)*后果有效剂量!$S16+(SUMPRODUCT(GH$5:GH$27,后果有效剂量!$I$5:$I$27)+SUMPRODUCT(GI$5:GI$27,后果有效剂量!$I$5:$I$27))*后果有效剂量!$T16+SUMPRODUCT(GJ$5:GJ$27,后果有效剂量!$I$5:$I$27)*后果有效剂量!$U16+SUMPRODUCT(GE$5:GE$27,后果有效剂量!$J$5:$J$27)*后果有效剂量!$Q16*后果有效剂量!$Q$3+SUMPRODUCT(GF$5:GF$27,后果有效剂量!$J$5:$J$27)*后果有效剂量!$R16*后果有效剂量!$R$3+SUMPRODUCT(GG$5:GG$27,后果有效剂量!$J$5:$J$27)*后果有效剂量!$S16*后果有效剂量!$S$3+(SUMPRODUCT(GH$5:GH$27,后果有效剂量!$J$5:$J$27)+SUMPRODUCT(GI$5:GI$27,后果有效剂量!$J$5:$J$27))*后果有效剂量!$T16*后果有效剂量!$T$3+SUMPRODUCT(GJ$5:GJ$27,后果有效剂量!$J$5:$J$27)*后果有效剂量!$U16*后果有效剂量!$U$3+SUMPRODUCT(GE$5:GE$27,后果有效剂量!$K$5:$K$27)*后果有效剂量!$Q16+SUMPRODUCT(GF$5:GF$27,后果有效剂量!$K$5:$K$27)*后果有效剂量!$R16+SUMPRODUCT(GG$5:GG$27,后果有效剂量!$K$5:$K$27)*后果有效剂量!$S16+(SUMPRODUCT(GH$5:GH$27,后果有效剂量!$K$5:$K$27)+SUMPRODUCT(GI$5:GI$27,后果有效剂量!$K$5:$K$27))*后果有效剂量!$T16+SUMPRODUCT(GJ$5:GJ$27,后果有效剂量!$K$5:$K$27)*后果有效剂量!$U16</f>
        <v>4.96553112111478e-7</v>
      </c>
      <c r="GF42" s="453">
        <f>SUMPRODUCT(GE$5:GE$27,后果甲状腺剂量!$I$5:$I$27)*后果甲状腺剂量!$Q16+SUMPRODUCT(GF$5:GF$27,后果甲状腺剂量!$I$5:$I$27)*后果甲状腺剂量!$R16+SUMPRODUCT(GG$5:GG$27,后果甲状腺剂量!$I$5:$I$27)*后果甲状腺剂量!$S16+(SUMPRODUCT(GH$5:GH$27,后果甲状腺剂量!$I$5:$I$27)+SUMPRODUCT(GI$5:GI$27,后果甲状腺剂量!$I$5:$I$27))*后果甲状腺剂量!$T16+SUMPRODUCT(GJ$5:GJ$27,后果甲状腺剂量!$I$5:$I$27)*后果甲状腺剂量!$U16+SUMPRODUCT(GE$5:GE$27,后果甲状腺剂量!$J$5:$J$27)*后果甲状腺剂量!$Q16*后果甲状腺剂量!$Q$3+SUMPRODUCT(GF$5:GF$27,后果甲状腺剂量!$J$5:$J$27)*后果甲状腺剂量!$R16*后果甲状腺剂量!$R$3+SUMPRODUCT(GG$5:GG$27,后果甲状腺剂量!$J$5:$J$27)*后果甲状腺剂量!$S16*后果甲状腺剂量!$S$3+(SUMPRODUCT(GH$5:GH$27,后果甲状腺剂量!$J$5:$J$27)+SUMPRODUCT(GI$5:GI$27,后果甲状腺剂量!$J$5:$J$27))*后果甲状腺剂量!$T16*后果甲状腺剂量!$T$3+SUMPRODUCT(GJ$5:GJ$27,后果甲状腺剂量!$J$5:$J$27)*后果甲状腺剂量!$U16*后果甲状腺剂量!$U$3+SUMPRODUCT(GE$5:GE$27,后果甲状腺剂量!$K$5:$K$27)*后果甲状腺剂量!$Q16+SUMPRODUCT(GF$5:GF$27,后果甲状腺剂量!$K$5:$K$27)*后果甲状腺剂量!$R16+SUMPRODUCT(GG$5:GG$27,后果甲状腺剂量!$K$5:$K$27)*后果甲状腺剂量!$S16+(SUMPRODUCT(GH$5:GH$27,后果甲状腺剂量!$K$5:$K$27)+SUMPRODUCT(GI$5:GI$27,后果甲状腺剂量!$K$5:$K$27))*后果甲状腺剂量!$T16+SUMPRODUCT(GJ$5:GJ$27,后果甲状腺剂量!$K$5:$K$27)*后果甲状腺剂量!$U16</f>
        <v>1.4854301916215e-5</v>
      </c>
      <c r="GG42" s="454">
        <f t="shared" si="260"/>
        <v>0.000496553112111478</v>
      </c>
      <c r="GH42" s="454">
        <f t="shared" si="261"/>
        <v>0.014854301916215</v>
      </c>
      <c r="GI42" s="436"/>
      <c r="GJ42" s="436"/>
    </row>
    <row r="43" spans="7:192">
      <c r="G43" s="440" t="str">
        <f>后果有效剂量!$P17</f>
        <v>45000m</v>
      </c>
      <c r="H43" s="441">
        <f ca="1">SUMPRODUCT(H$5:H$27,后果有效剂量!$I$5:$I$27)*后果有效剂量!$Q17+SUMPRODUCT(I$5:I$27,后果有效剂量!$I$5:$I$27)*后果有效剂量!$Q17+SUMPRODUCT(J$5:J$27,后果有效剂量!$I$5:$I$27)*后果有效剂量!$R17+SUMPRODUCT(K$5:K$27,后果有效剂量!$I$5:$I$27)*后果有效剂量!$S17+SUMPRODUCT(L$5:L$27,后果有效剂量!$I$5:$I$27)*后果有效剂量!$T17+SUMPRODUCT(M$5:M$27,后果有效剂量!$I$5:$I$27)*后果有效剂量!$U17+SUMPRODUCT(H$5:H$27,后果有效剂量!$J$5:$J$27)*后果有效剂量!$Q17*后果有效剂量!$Q$3+SUMPRODUCT(I$5:I$27,后果有效剂量!$J$5:$J$27)*后果有效剂量!$Q17*后果有效剂量!$Q$3+SUMPRODUCT(J$5:J$27,后果有效剂量!$J$5:$J$27)*后果有效剂量!$R17*后果有效剂量!$R$3+SUMPRODUCT(K$5:K$27,后果有效剂量!$J$5:$J$27)*后果有效剂量!$S17*后果有效剂量!$S$3+SUMPRODUCT(L$5:L$27,后果有效剂量!$J$5:$J$27)*后果有效剂量!$T17*后果有效剂量!$T$3+SUMPRODUCT(M$5:M$27,后果有效剂量!$J$5:$J$27)*后果有效剂量!$U17*后果有效剂量!$U$3+SUMPRODUCT(H$5:H$27,后果有效剂量!$K$5:$K$27)*后果有效剂量!$Q17+SUMPRODUCT(I$5:I$27,后果有效剂量!$K$5:$K$27)*后果有效剂量!$Q17+SUMPRODUCT(J$5:J$27,后果有效剂量!$K$5:$K$27)*后果有效剂量!$R17+SUMPRODUCT(K$5:K$27,后果有效剂量!$K$5:$K$27)*后果有效剂量!$S17+SUMPRODUCT(L$5:L$27,后果有效剂量!$K$5:$K$27)*后果有效剂量!$T17+SUMPRODUCT(M$5:M$27,后果有效剂量!$K$5:$K$27)*后果有效剂量!$U17</f>
        <v>2.58936685287972e-6</v>
      </c>
      <c r="I43" s="453">
        <f ca="1">SUMPRODUCT(H$5:H$27,后果甲状腺剂量!$I$5:$I$27)*后果甲状腺剂量!$Q17+SUMPRODUCT(I$5:I$27,后果甲状腺剂量!$I$5:$I$27)*后果甲状腺剂量!$Q17+SUMPRODUCT(J$5:J$27,后果甲状腺剂量!$I$5:$I$27)*后果甲状腺剂量!$R17+SUMPRODUCT(K$5:K$27,后果甲状腺剂量!$I$5:$I$27)*后果甲状腺剂量!$S17+SUMPRODUCT(L$5:L$27,后果甲状腺剂量!$I$5:$I$27)*后果甲状腺剂量!$T17+SUMPRODUCT(M$5:M$27,后果甲状腺剂量!$I$5:$I$27)*后果甲状腺剂量!$U17+SUMPRODUCT(H$5:H$27,后果甲状腺剂量!$J$5:$J$27)*后果甲状腺剂量!$Q17*后果甲状腺剂量!$Q$3+SUMPRODUCT(I$5:I$27,后果甲状腺剂量!$J$5:$J$27)*后果甲状腺剂量!$Q17*后果甲状腺剂量!$Q$3+SUMPRODUCT(J$5:J$27,后果甲状腺剂量!$J$5:$J$27)*后果甲状腺剂量!$R17*后果甲状腺剂量!$R$3+SUMPRODUCT(K$5:K$27,后果甲状腺剂量!$J$5:$J$27)*后果甲状腺剂量!$S17*后果甲状腺剂量!$S$3+SUMPRODUCT(L$5:L$27,后果甲状腺剂量!$J$5:$J$27)*后果甲状腺剂量!$T17*后果甲状腺剂量!$T$3+SUMPRODUCT(M$5:M$27,后果甲状腺剂量!$J$5:$J$27)*后果甲状腺剂量!$U17*后果甲状腺剂量!$U$3+SUMPRODUCT(H$5:H$27,后果甲状腺剂量!$K$5:$K$27)*后果甲状腺剂量!$Q17+SUMPRODUCT(I$5:I$27,后果甲状腺剂量!$K$5:$K$27)*后果甲状腺剂量!$Q17+SUMPRODUCT(J$5:J$27,后果甲状腺剂量!$K$5:$K$27)*后果甲状腺剂量!$R17+SUMPRODUCT(K$5:K$27,后果甲状腺剂量!$K$5:$K$27)*后果甲状腺剂量!$S17+SUMPRODUCT(L$5:L$27,后果甲状腺剂量!$K$5:$K$27)*后果甲状腺剂量!$T17+SUMPRODUCT(M$5:M$27,后果甲状腺剂量!$K$5:$K$27)*后果甲状腺剂量!$U17</f>
        <v>6.41391029302449e-5</v>
      </c>
      <c r="J43" s="454">
        <f ca="1" t="shared" si="254"/>
        <v>0.00258936685287972</v>
      </c>
      <c r="K43" s="454">
        <f ca="1" t="shared" si="255"/>
        <v>0.0641391029302449</v>
      </c>
      <c r="L43" s="436"/>
      <c r="M43" s="436"/>
      <c r="N43" s="455"/>
      <c r="O43" s="390"/>
      <c r="Q43" s="440" t="str">
        <f>后果有效剂量!$P17</f>
        <v>45000m</v>
      </c>
      <c r="R43" s="441">
        <f ca="1">SUMPRODUCT(R$5:R$27,后果有效剂量!$I$5:$I$27)*后果有效剂量!$Q17+SUMPRODUCT(S$5:S$27,后果有效剂量!$I$5:$I$27)*后果有效剂量!$Q17+SUMPRODUCT(T$5:T$27,后果有效剂量!$I$5:$I$27)*后果有效剂量!$R17+SUMPRODUCT(U$5:U$27,后果有效剂量!$I$5:$I$27)*后果有效剂量!$S17+SUMPRODUCT(V$5:V$27,后果有效剂量!$I$5:$I$27)*后果有效剂量!$T17+SUMPRODUCT(W$5:W$27,后果有效剂量!$I$5:$I$27)*后果有效剂量!$U17+SUMPRODUCT(R$5:R$27,后果有效剂量!$J$5:$J$27)*后果有效剂量!$Q17*后果有效剂量!$Q$3+SUMPRODUCT(S$5:S$27,后果有效剂量!$J$5:$J$27)*后果有效剂量!$Q17*后果有效剂量!$Q$3+SUMPRODUCT(T$5:T$27,后果有效剂量!$J$5:$J$27)*后果有效剂量!$R17*后果有效剂量!$R$3+SUMPRODUCT(U$5:U$27,后果有效剂量!$J$5:$J$27)*后果有效剂量!$S17*后果有效剂量!$S$3+SUMPRODUCT(V$5:V$27,后果有效剂量!$J$5:$J$27)*后果有效剂量!$T17*后果有效剂量!$T$3+SUMPRODUCT(W$5:W$27,后果有效剂量!$J$5:$J$27)*后果有效剂量!$U17*后果有效剂量!$U$3+SUMPRODUCT(R$5:R$27,后果有效剂量!$K$5:$K$27)*后果有效剂量!$Q17+SUMPRODUCT(S$5:S$27,后果有效剂量!$K$5:$K$27)*后果有效剂量!$Q17+SUMPRODUCT(T$5:T$27,后果有效剂量!$K$5:$K$27)*后果有效剂量!$R17+SUMPRODUCT(U$5:U$27,后果有效剂量!$K$5:$K$27)*后果有效剂量!$S17+SUMPRODUCT(V$5:V$27,后果有效剂量!$K$5:$K$27)*后果有效剂量!$T17+SUMPRODUCT(W$5:W$27,后果有效剂量!$K$5:$K$27)*后果有效剂量!$U17</f>
        <v>1.46693067294191e-6</v>
      </c>
      <c r="S43" s="453">
        <f ca="1">SUMPRODUCT(R$5:R$27,后果甲状腺剂量!$I$5:$I$27)*后果甲状腺剂量!$Q17+SUMPRODUCT(S$5:S$27,后果甲状腺剂量!$I$5:$I$27)*后果甲状腺剂量!$Q17+SUMPRODUCT(T$5:T$27,后果甲状腺剂量!$I$5:$I$27)*后果甲状腺剂量!$R17+SUMPRODUCT(U$5:U$27,后果甲状腺剂量!$I$5:$I$27)*后果甲状腺剂量!$S17+SUMPRODUCT(V$5:V$27,后果甲状腺剂量!$I$5:$I$27)*后果甲状腺剂量!$T17+SUMPRODUCT(W$5:W$27,后果甲状腺剂量!$I$5:$I$27)*后果甲状腺剂量!$U17+SUMPRODUCT(R$5:R$27,后果甲状腺剂量!$J$5:$J$27)*后果甲状腺剂量!$Q17*后果甲状腺剂量!$Q$3+SUMPRODUCT(S$5:S$27,后果甲状腺剂量!$J$5:$J$27)*后果甲状腺剂量!$Q17*后果甲状腺剂量!$Q$3+SUMPRODUCT(T$5:T$27,后果甲状腺剂量!$J$5:$J$27)*后果甲状腺剂量!$R17*后果甲状腺剂量!$R$3+SUMPRODUCT(U$5:U$27,后果甲状腺剂量!$J$5:$J$27)*后果甲状腺剂量!$S17*后果甲状腺剂量!$S$3+SUMPRODUCT(V$5:V$27,后果甲状腺剂量!$J$5:$J$27)*后果甲状腺剂量!$T17*后果甲状腺剂量!$T$3+SUMPRODUCT(W$5:W$27,后果甲状腺剂量!$J$5:$J$27)*后果甲状腺剂量!$U17*后果甲状腺剂量!$U$3+SUMPRODUCT(R$5:R$27,后果甲状腺剂量!$K$5:$K$27)*后果甲状腺剂量!$Q17+SUMPRODUCT(S$5:S$27,后果甲状腺剂量!$K$5:$K$27)*后果甲状腺剂量!$Q17+SUMPRODUCT(T$5:T$27,后果甲状腺剂量!$K$5:$K$27)*后果甲状腺剂量!$R17+SUMPRODUCT(U$5:U$27,后果甲状腺剂量!$K$5:$K$27)*后果甲状腺剂量!$S17+SUMPRODUCT(V$5:V$27,后果甲状腺剂量!$K$5:$K$27)*后果甲状腺剂量!$T17+SUMPRODUCT(W$5:W$27,后果甲状腺剂量!$K$5:$K$27)*后果甲状腺剂量!$U17</f>
        <v>2.89168276914625e-5</v>
      </c>
      <c r="T43" s="454">
        <f ca="1" t="shared" si="256"/>
        <v>0.00146693067294191</v>
      </c>
      <c r="U43" s="454">
        <f ca="1" t="shared" si="257"/>
        <v>0.0289168276914625</v>
      </c>
      <c r="V43" s="436"/>
      <c r="W43" s="436"/>
      <c r="AN43" s="533"/>
      <c r="AO43" s="390"/>
      <c r="AP43" s="390"/>
      <c r="AQ43" s="390"/>
      <c r="AR43" s="390"/>
      <c r="AS43" s="572"/>
      <c r="AT43" s="390"/>
      <c r="AU43" s="390"/>
      <c r="AV43" s="394"/>
      <c r="AW43" s="394"/>
      <c r="AX43" s="394"/>
      <c r="AY43" s="394"/>
      <c r="AZ43" s="394"/>
      <c r="BA43" s="394"/>
      <c r="BB43" s="394"/>
      <c r="BC43" s="394"/>
      <c r="BD43" s="394"/>
      <c r="BE43" s="394"/>
      <c r="BF43" s="394"/>
      <c r="BG43" s="394"/>
      <c r="BH43" s="394"/>
      <c r="BI43" s="394"/>
      <c r="BJ43" s="394"/>
      <c r="BK43" s="394"/>
      <c r="BL43" s="394"/>
      <c r="BM43" s="394"/>
      <c r="BN43" s="394"/>
      <c r="BO43" s="600"/>
      <c r="BP43" s="394"/>
      <c r="BQ43" s="394"/>
      <c r="BR43" s="394"/>
      <c r="BS43" s="394"/>
      <c r="BT43" s="394"/>
      <c r="BU43" s="394"/>
      <c r="BV43" s="394"/>
      <c r="BW43" s="394"/>
      <c r="BX43" s="394"/>
      <c r="BY43" s="394"/>
      <c r="BZ43" s="394"/>
      <c r="CA43" s="394"/>
      <c r="CB43" s="394"/>
      <c r="CC43" s="394"/>
      <c r="CD43" s="394"/>
      <c r="CE43" s="394"/>
      <c r="CF43" s="394"/>
      <c r="CG43" s="394"/>
      <c r="CH43" s="394"/>
      <c r="CI43" s="394"/>
      <c r="CJ43" s="600"/>
      <c r="CK43" s="394"/>
      <c r="CL43" s="394"/>
      <c r="CM43" s="394"/>
      <c r="CN43" s="394"/>
      <c r="CO43" s="394"/>
      <c r="CP43" s="394"/>
      <c r="CQ43" s="394"/>
      <c r="CR43" s="394"/>
      <c r="CS43" s="394"/>
      <c r="CT43" s="394"/>
      <c r="CU43" s="394"/>
      <c r="CV43" s="394"/>
      <c r="CW43" s="394"/>
      <c r="CX43" s="394"/>
      <c r="CY43" s="394"/>
      <c r="CZ43" s="394"/>
      <c r="DA43" s="394"/>
      <c r="DB43" s="394"/>
      <c r="DC43" s="394"/>
      <c r="DD43" s="394"/>
      <c r="DE43" s="394"/>
      <c r="DF43" s="394"/>
      <c r="DG43" s="394"/>
      <c r="DH43" s="394"/>
      <c r="DI43" s="394"/>
      <c r="DJ43" s="394"/>
      <c r="DK43" s="394"/>
      <c r="DL43" s="394"/>
      <c r="DM43" s="394"/>
      <c r="DN43" s="394"/>
      <c r="DO43" s="394"/>
      <c r="DP43" s="394"/>
      <c r="DQ43" s="394"/>
      <c r="DR43" s="394"/>
      <c r="DS43" s="394"/>
      <c r="DT43" s="394"/>
      <c r="DU43" s="394"/>
      <c r="DV43" s="394"/>
      <c r="DW43" s="394"/>
      <c r="DX43" s="394"/>
      <c r="DY43" s="394"/>
      <c r="DZ43" s="600"/>
      <c r="EA43" s="394"/>
      <c r="EB43" s="394"/>
      <c r="EC43" s="394"/>
      <c r="ED43" s="394"/>
      <c r="EE43" s="394"/>
      <c r="EF43" s="394"/>
      <c r="EG43" s="394"/>
      <c r="EH43" s="394"/>
      <c r="EI43" s="394"/>
      <c r="EJ43" s="394"/>
      <c r="EK43" s="394"/>
      <c r="EL43" s="394"/>
      <c r="EM43" s="394"/>
      <c r="EN43" s="394"/>
      <c r="EO43" s="394"/>
      <c r="EP43" s="394"/>
      <c r="EQ43" s="394"/>
      <c r="ER43" s="394"/>
      <c r="ES43" s="394"/>
      <c r="ET43" s="394"/>
      <c r="EU43" s="603"/>
      <c r="EV43" s="394"/>
      <c r="EW43" s="394"/>
      <c r="EX43" s="394"/>
      <c r="EY43" s="394"/>
      <c r="EZ43" s="394"/>
      <c r="FA43" s="394"/>
      <c r="FB43" s="394"/>
      <c r="FC43" s="394"/>
      <c r="FD43" s="394"/>
      <c r="FE43" s="394"/>
      <c r="FF43" s="394"/>
      <c r="FG43" s="394"/>
      <c r="FH43" s="394"/>
      <c r="FI43" s="394"/>
      <c r="FJ43" s="394"/>
      <c r="FK43" s="394"/>
      <c r="FL43" s="394"/>
      <c r="FM43" s="394"/>
      <c r="FN43" s="394"/>
      <c r="FO43" s="394"/>
      <c r="FP43" s="603"/>
      <c r="FQ43" s="394"/>
      <c r="FS43" s="441">
        <f>SUMPRODUCT(FS$5:FS$27,后果有效剂量!$I$5:$I$27)*后果有效剂量!$Q17+SUMPRODUCT(FT$5:FT$27,后果有效剂量!$I$5:$I$27)*后果有效剂量!$R17+SUMPRODUCT(FU$5:FU$27,后果有效剂量!$I$5:$I$27)*后果有效剂量!$S17+SUMPRODUCT(FV$5:FV$27,后果有效剂量!$I$5:$I$27)*后果有效剂量!$T17+SUMPRODUCT(FS$5:FS$27,后果有效剂量!$J$5:$J$27)*后果有效剂量!$Q17*后果有效剂量!$Q$3+SUMPRODUCT(FT$5:FT$27,后果有效剂量!$J$5:$J$27)*后果有效剂量!$R17*后果有效剂量!$R$3+SUMPRODUCT(FU$5:FU$27,后果有效剂量!$J$5:$J$27)*后果有效剂量!$S17*后果有效剂量!$S$3+SUMPRODUCT(FV$5:FV$27,后果有效剂量!$J$5:$J$27)*后果有效剂量!$T17*后果有效剂量!$T$3+SUMPRODUCT(FS$5:FS$27,后果有效剂量!$K$5:$K$27)*后果有效剂量!$Q17+SUMPRODUCT(FT$5:FT$27,后果有效剂量!$K$5:$K$27)*后果有效剂量!$R17+SUMPRODUCT(FU$5:FU$27,后果有效剂量!$K$5:$K$27)*后果有效剂量!$S17+SUMPRODUCT(FV$5:FV$27,后果有效剂量!$K$5:$K$27)*后果有效剂量!$T17</f>
        <v>1.74867432338742e-6</v>
      </c>
      <c r="FT43" s="453">
        <f>SUMPRODUCT(FS$5:FS$27,后果甲状腺剂量!$I$5:$I$27)*后果甲状腺剂量!$Q17+SUMPRODUCT(FT$5:FT$27,后果甲状腺剂量!$I$5:$I$27)*后果甲状腺剂量!$R17+SUMPRODUCT(FU$5:FU$27,后果甲状腺剂量!$I$5:$I$27)*后果甲状腺剂量!$S17+SUMPRODUCT(FV$5:FV$27,后果甲状腺剂量!$I$5:$I$27)*后果甲状腺剂量!$T17+SUMPRODUCT(FS$5:FS$27,后果甲状腺剂量!$J$5:$J$27)*后果甲状腺剂量!$Q17*后果甲状腺剂量!$Q$3+SUMPRODUCT(FT$5:FT$27,后果甲状腺剂量!$J$5:$J$27)*后果甲状腺剂量!$R17*后果甲状腺剂量!$R$3+SUMPRODUCT(FU$5:FU$27,后果甲状腺剂量!$J$5:$J$27)*后果甲状腺剂量!$S17*后果甲状腺剂量!$S$3+SUMPRODUCT(FV$5:FV$27,后果甲状腺剂量!$J$5:$J$27)*后果甲状腺剂量!$T17*后果甲状腺剂量!$T$3+SUMPRODUCT(FS$5:FS$27,后果甲状腺剂量!$K$5:$K$27)*后果甲状腺剂量!$Q17+SUMPRODUCT(FT$5:FT$27,后果甲状腺剂量!$K$5:$K$27)*后果甲状腺剂量!$R17+SUMPRODUCT(FU$5:FU$27,后果甲状腺剂量!$K$5:$K$27)*后果甲状腺剂量!$S17+SUMPRODUCT(FV$5:FV$27,后果甲状腺剂量!$K$5:$K$27)*后果甲状腺剂量!$T17</f>
        <v>7.24295071120302e-5</v>
      </c>
      <c r="FU43" s="454">
        <f t="shared" si="258"/>
        <v>0.00174867432338742</v>
      </c>
      <c r="FV43" s="454">
        <f t="shared" si="259"/>
        <v>0.0724295071120302</v>
      </c>
      <c r="FW43" s="436"/>
      <c r="FX43" s="436"/>
      <c r="GD43" s="440" t="str">
        <f>后果有效剂量!$P17</f>
        <v>45000m</v>
      </c>
      <c r="GE43" s="441">
        <f>SUMPRODUCT(GE$5:GE$27,后果有效剂量!$I$5:$I$27)*后果有效剂量!$Q17+SUMPRODUCT(GF$5:GF$27,后果有效剂量!$I$5:$I$27)*后果有效剂量!$R17+SUMPRODUCT(GG$5:GG$27,后果有效剂量!$I$5:$I$27)*后果有效剂量!$S17+(SUMPRODUCT(GH$5:GH$27,后果有效剂量!$I$5:$I$27)+SUMPRODUCT(GI$5:GI$27,后果有效剂量!$I$5:$I$27))*后果有效剂量!$T17+SUMPRODUCT(GJ$5:GJ$27,后果有效剂量!$I$5:$I$27)*后果有效剂量!$U17+SUMPRODUCT(GE$5:GE$27,后果有效剂量!$J$5:$J$27)*后果有效剂量!$Q17*后果有效剂量!$Q$3+SUMPRODUCT(GF$5:GF$27,后果有效剂量!$J$5:$J$27)*后果有效剂量!$R17*后果有效剂量!$R$3+SUMPRODUCT(GG$5:GG$27,后果有效剂量!$J$5:$J$27)*后果有效剂量!$S17*后果有效剂量!$S$3+(SUMPRODUCT(GH$5:GH$27,后果有效剂量!$J$5:$J$27)+SUMPRODUCT(GI$5:GI$27,后果有效剂量!$J$5:$J$27))*后果有效剂量!$T17*后果有效剂量!$T$3+SUMPRODUCT(GJ$5:GJ$27,后果有效剂量!$J$5:$J$27)*后果有效剂量!$U17*后果有效剂量!$U$3+SUMPRODUCT(GE$5:GE$27,后果有效剂量!$K$5:$K$27)*后果有效剂量!$Q17+SUMPRODUCT(GF$5:GF$27,后果有效剂量!$K$5:$K$27)*后果有效剂量!$R17+SUMPRODUCT(GG$5:GG$27,后果有效剂量!$K$5:$K$27)*后果有效剂量!$S17+(SUMPRODUCT(GH$5:GH$27,后果有效剂量!$K$5:$K$27)+SUMPRODUCT(GI$5:GI$27,后果有效剂量!$K$5:$K$27))*后果有效剂量!$T17+SUMPRODUCT(GJ$5:GJ$27,后果有效剂量!$K$5:$K$27)*后果有效剂量!$U17</f>
        <v>3.93766856413307e-7</v>
      </c>
      <c r="GF43" s="453">
        <f>SUMPRODUCT(GE$5:GE$27,后果甲状腺剂量!$I$5:$I$27)*后果甲状腺剂量!$Q17+SUMPRODUCT(GF$5:GF$27,后果甲状腺剂量!$I$5:$I$27)*后果甲状腺剂量!$R17+SUMPRODUCT(GG$5:GG$27,后果甲状腺剂量!$I$5:$I$27)*后果甲状腺剂量!$S17+(SUMPRODUCT(GH$5:GH$27,后果甲状腺剂量!$I$5:$I$27)+SUMPRODUCT(GI$5:GI$27,后果甲状腺剂量!$I$5:$I$27))*后果甲状腺剂量!$T17+SUMPRODUCT(GJ$5:GJ$27,后果甲状腺剂量!$I$5:$I$27)*后果甲状腺剂量!$U17+SUMPRODUCT(GE$5:GE$27,后果甲状腺剂量!$J$5:$J$27)*后果甲状腺剂量!$Q17*后果甲状腺剂量!$Q$3+SUMPRODUCT(GF$5:GF$27,后果甲状腺剂量!$J$5:$J$27)*后果甲状腺剂量!$R17*后果甲状腺剂量!$R$3+SUMPRODUCT(GG$5:GG$27,后果甲状腺剂量!$J$5:$J$27)*后果甲状腺剂量!$S17*后果甲状腺剂量!$S$3+(SUMPRODUCT(GH$5:GH$27,后果甲状腺剂量!$J$5:$J$27)+SUMPRODUCT(GI$5:GI$27,后果甲状腺剂量!$J$5:$J$27))*后果甲状腺剂量!$T17*后果甲状腺剂量!$T$3+SUMPRODUCT(GJ$5:GJ$27,后果甲状腺剂量!$J$5:$J$27)*后果甲状腺剂量!$U17*后果甲状腺剂量!$U$3+SUMPRODUCT(GE$5:GE$27,后果甲状腺剂量!$K$5:$K$27)*后果甲状腺剂量!$Q17+SUMPRODUCT(GF$5:GF$27,后果甲状腺剂量!$K$5:$K$27)*后果甲状腺剂量!$R17+SUMPRODUCT(GG$5:GG$27,后果甲状腺剂量!$K$5:$K$27)*后果甲状腺剂量!$S17+(SUMPRODUCT(GH$5:GH$27,后果甲状腺剂量!$K$5:$K$27)+SUMPRODUCT(GI$5:GI$27,后果甲状腺剂量!$K$5:$K$27))*后果甲状腺剂量!$T17+SUMPRODUCT(GJ$5:GJ$27,后果甲状腺剂量!$K$5:$K$27)*后果甲状腺剂量!$U17</f>
        <v>1.1660702699186e-5</v>
      </c>
      <c r="GG43" s="454">
        <f t="shared" si="260"/>
        <v>0.000393766856413307</v>
      </c>
      <c r="GH43" s="454">
        <f t="shared" si="261"/>
        <v>0.011660702699186</v>
      </c>
      <c r="GI43" s="436"/>
      <c r="GJ43" s="436"/>
    </row>
    <row r="44" spans="7:192">
      <c r="G44" s="440" t="str">
        <f>后果有效剂量!$P18</f>
        <v>55000m</v>
      </c>
      <c r="H44" s="441">
        <f ca="1">SUMPRODUCT(H$5:H$27,后果有效剂量!$I$5:$I$27)*后果有效剂量!$Q18+SUMPRODUCT(I$5:I$27,后果有效剂量!$I$5:$I$27)*后果有效剂量!$Q18+SUMPRODUCT(J$5:J$27,后果有效剂量!$I$5:$I$27)*后果有效剂量!$R18+SUMPRODUCT(K$5:K$27,后果有效剂量!$I$5:$I$27)*后果有效剂量!$S18+SUMPRODUCT(L$5:L$27,后果有效剂量!$I$5:$I$27)*后果有效剂量!$T18+SUMPRODUCT(M$5:M$27,后果有效剂量!$I$5:$I$27)*后果有效剂量!$U18+SUMPRODUCT(H$5:H$27,后果有效剂量!$J$5:$J$27)*后果有效剂量!$Q18*后果有效剂量!$Q$3+SUMPRODUCT(I$5:I$27,后果有效剂量!$J$5:$J$27)*后果有效剂量!$Q18*后果有效剂量!$Q$3+SUMPRODUCT(J$5:J$27,后果有效剂量!$J$5:$J$27)*后果有效剂量!$R18*后果有效剂量!$R$3+SUMPRODUCT(K$5:K$27,后果有效剂量!$J$5:$J$27)*后果有效剂量!$S18*后果有效剂量!$S$3+SUMPRODUCT(L$5:L$27,后果有效剂量!$J$5:$J$27)*后果有效剂量!$T18*后果有效剂量!$T$3+SUMPRODUCT(M$5:M$27,后果有效剂量!$J$5:$J$27)*后果有效剂量!$U18*后果有效剂量!$U$3+SUMPRODUCT(H$5:H$27,后果有效剂量!$K$5:$K$27)*后果有效剂量!$Q18+SUMPRODUCT(I$5:I$27,后果有效剂量!$K$5:$K$27)*后果有效剂量!$Q18+SUMPRODUCT(J$5:J$27,后果有效剂量!$K$5:$K$27)*后果有效剂量!$R18+SUMPRODUCT(K$5:K$27,后果有效剂量!$K$5:$K$27)*后果有效剂量!$S18+SUMPRODUCT(L$5:L$27,后果有效剂量!$K$5:$K$27)*后果有效剂量!$T18+SUMPRODUCT(M$5:M$27,后果有效剂量!$K$5:$K$27)*后果有效剂量!$U18</f>
        <v>1.2340249944218e-5</v>
      </c>
      <c r="I44" s="453">
        <f ca="1">SUMPRODUCT(H$5:H$27,后果甲状腺剂量!$I$5:$I$27)*后果甲状腺剂量!$Q18+SUMPRODUCT(I$5:I$27,后果甲状腺剂量!$I$5:$I$27)*后果甲状腺剂量!$Q18+SUMPRODUCT(J$5:J$27,后果甲状腺剂量!$I$5:$I$27)*后果甲状腺剂量!$R18+SUMPRODUCT(K$5:K$27,后果甲状腺剂量!$I$5:$I$27)*后果甲状腺剂量!$S18+SUMPRODUCT(L$5:L$27,后果甲状腺剂量!$I$5:$I$27)*后果甲状腺剂量!$T18+SUMPRODUCT(M$5:M$27,后果甲状腺剂量!$I$5:$I$27)*后果甲状腺剂量!$U18+SUMPRODUCT(H$5:H$27,后果甲状腺剂量!$J$5:$J$27)*后果甲状腺剂量!$Q18*后果甲状腺剂量!$Q$3+SUMPRODUCT(I$5:I$27,后果甲状腺剂量!$J$5:$J$27)*后果甲状腺剂量!$Q18*后果甲状腺剂量!$Q$3+SUMPRODUCT(J$5:J$27,后果甲状腺剂量!$J$5:$J$27)*后果甲状腺剂量!$R18*后果甲状腺剂量!$R$3+SUMPRODUCT(K$5:K$27,后果甲状腺剂量!$J$5:$J$27)*后果甲状腺剂量!$S18*后果甲状腺剂量!$S$3+SUMPRODUCT(L$5:L$27,后果甲状腺剂量!$J$5:$J$27)*后果甲状腺剂量!$T18*后果甲状腺剂量!$T$3+SUMPRODUCT(M$5:M$27,后果甲状腺剂量!$J$5:$J$27)*后果甲状腺剂量!$U18*后果甲状腺剂量!$U$3+SUMPRODUCT(H$5:H$27,后果甲状腺剂量!$K$5:$K$27)*后果甲状腺剂量!$Q18+SUMPRODUCT(I$5:I$27,后果甲状腺剂量!$K$5:$K$27)*后果甲状腺剂量!$Q18+SUMPRODUCT(J$5:J$27,后果甲状腺剂量!$K$5:$K$27)*后果甲状腺剂量!$R18+SUMPRODUCT(K$5:K$27,后果甲状腺剂量!$K$5:$K$27)*后果甲状腺剂量!$S18+SUMPRODUCT(L$5:L$27,后果甲状腺剂量!$K$5:$K$27)*后果甲状腺剂量!$T18+SUMPRODUCT(M$5:M$27,后果甲状腺剂量!$K$5:$K$27)*后果甲状腺剂量!$U18</f>
        <v>5.50987561551291e-5</v>
      </c>
      <c r="J44" s="454">
        <f ca="1" t="shared" si="254"/>
        <v>0.012340249944218</v>
      </c>
      <c r="K44" s="454">
        <f ca="1" t="shared" si="255"/>
        <v>0.0550987561551291</v>
      </c>
      <c r="L44" s="436"/>
      <c r="M44" s="436"/>
      <c r="N44" s="455"/>
      <c r="O44" s="390"/>
      <c r="Q44" s="440" t="str">
        <f>后果有效剂量!$P18</f>
        <v>55000m</v>
      </c>
      <c r="R44" s="441">
        <f ca="1">SUMPRODUCT(R$5:R$27,后果有效剂量!$I$5:$I$27)*后果有效剂量!$Q18+SUMPRODUCT(S$5:S$27,后果有效剂量!$I$5:$I$27)*后果有效剂量!$Q18+SUMPRODUCT(T$5:T$27,后果有效剂量!$I$5:$I$27)*后果有效剂量!$R18+SUMPRODUCT(U$5:U$27,后果有效剂量!$I$5:$I$27)*后果有效剂量!$S18+SUMPRODUCT(V$5:V$27,后果有效剂量!$I$5:$I$27)*后果有效剂量!$T18+SUMPRODUCT(W$5:W$27,后果有效剂量!$I$5:$I$27)*后果有效剂量!$U18+SUMPRODUCT(R$5:R$27,后果有效剂量!$J$5:$J$27)*后果有效剂量!$Q18*后果有效剂量!$Q$3+SUMPRODUCT(S$5:S$27,后果有效剂量!$J$5:$J$27)*后果有效剂量!$Q18*后果有效剂量!$Q$3+SUMPRODUCT(T$5:T$27,后果有效剂量!$J$5:$J$27)*后果有效剂量!$R18*后果有效剂量!$R$3+SUMPRODUCT(U$5:U$27,后果有效剂量!$J$5:$J$27)*后果有效剂量!$S18*后果有效剂量!$S$3+SUMPRODUCT(V$5:V$27,后果有效剂量!$J$5:$J$27)*后果有效剂量!$T18*后果有效剂量!$T$3+SUMPRODUCT(W$5:W$27,后果有效剂量!$J$5:$J$27)*后果有效剂量!$U18*后果有效剂量!$U$3+SUMPRODUCT(R$5:R$27,后果有效剂量!$K$5:$K$27)*后果有效剂量!$Q18+SUMPRODUCT(S$5:S$27,后果有效剂量!$K$5:$K$27)*后果有效剂量!$Q18+SUMPRODUCT(T$5:T$27,后果有效剂量!$K$5:$K$27)*后果有效剂量!$R18+SUMPRODUCT(U$5:U$27,后果有效剂量!$K$5:$K$27)*后果有效剂量!$S18+SUMPRODUCT(V$5:V$27,后果有效剂量!$K$5:$K$27)*后果有效剂量!$T18+SUMPRODUCT(W$5:W$27,后果有效剂量!$K$5:$K$27)*后果有效剂量!$U18</f>
        <v>7.32310305638773e-6</v>
      </c>
      <c r="S44" s="453">
        <f ca="1">SUMPRODUCT(R$5:R$27,后果甲状腺剂量!$I$5:$I$27)*后果甲状腺剂量!$Q18+SUMPRODUCT(S$5:S$27,后果甲状腺剂量!$I$5:$I$27)*后果甲状腺剂量!$Q18+SUMPRODUCT(T$5:T$27,后果甲状腺剂量!$I$5:$I$27)*后果甲状腺剂量!$R18+SUMPRODUCT(U$5:U$27,后果甲状腺剂量!$I$5:$I$27)*后果甲状腺剂量!$S18+SUMPRODUCT(V$5:V$27,后果甲状腺剂量!$I$5:$I$27)*后果甲状腺剂量!$T18+SUMPRODUCT(W$5:W$27,后果甲状腺剂量!$I$5:$I$27)*后果甲状腺剂量!$U18+SUMPRODUCT(R$5:R$27,后果甲状腺剂量!$J$5:$J$27)*后果甲状腺剂量!$Q18*后果甲状腺剂量!$Q$3+SUMPRODUCT(S$5:S$27,后果甲状腺剂量!$J$5:$J$27)*后果甲状腺剂量!$Q18*后果甲状腺剂量!$Q$3+SUMPRODUCT(T$5:T$27,后果甲状腺剂量!$J$5:$J$27)*后果甲状腺剂量!$R18*后果甲状腺剂量!$R$3+SUMPRODUCT(U$5:U$27,后果甲状腺剂量!$J$5:$J$27)*后果甲状腺剂量!$S18*后果甲状腺剂量!$S$3+SUMPRODUCT(V$5:V$27,后果甲状腺剂量!$J$5:$J$27)*后果甲状腺剂量!$T18*后果甲状腺剂量!$T$3+SUMPRODUCT(W$5:W$27,后果甲状腺剂量!$J$5:$J$27)*后果甲状腺剂量!$U18*后果甲状腺剂量!$U$3+SUMPRODUCT(R$5:R$27,后果甲状腺剂量!$K$5:$K$27)*后果甲状腺剂量!$Q18+SUMPRODUCT(S$5:S$27,后果甲状腺剂量!$K$5:$K$27)*后果甲状腺剂量!$Q18+SUMPRODUCT(T$5:T$27,后果甲状腺剂量!$K$5:$K$27)*后果甲状腺剂量!$R18+SUMPRODUCT(U$5:U$27,后果甲状腺剂量!$K$5:$K$27)*后果甲状腺剂量!$S18+SUMPRODUCT(V$5:V$27,后果甲状腺剂量!$K$5:$K$27)*后果甲状腺剂量!$T18+SUMPRODUCT(W$5:W$27,后果甲状腺剂量!$K$5:$K$27)*后果甲状腺剂量!$U18</f>
        <v>2.55606121504011e-5</v>
      </c>
      <c r="T44" s="454">
        <f ca="1" t="shared" si="256"/>
        <v>0.00732310305638773</v>
      </c>
      <c r="U44" s="454">
        <f ca="1" t="shared" si="257"/>
        <v>0.0255606121504011</v>
      </c>
      <c r="V44" s="436"/>
      <c r="W44" s="436"/>
      <c r="AN44" s="533"/>
      <c r="AO44" s="390"/>
      <c r="AP44" s="390"/>
      <c r="AQ44" s="390"/>
      <c r="AR44" s="390"/>
      <c r="AS44" s="572"/>
      <c r="AT44" s="390"/>
      <c r="AU44" s="390"/>
      <c r="AV44" s="394"/>
      <c r="AW44" s="394"/>
      <c r="AX44" s="394"/>
      <c r="AY44" s="394"/>
      <c r="AZ44" s="394"/>
      <c r="BA44" s="394"/>
      <c r="BB44" s="394"/>
      <c r="BC44" s="394"/>
      <c r="BD44" s="394"/>
      <c r="BE44" s="394"/>
      <c r="BF44" s="394"/>
      <c r="BG44" s="394"/>
      <c r="BH44" s="394"/>
      <c r="BI44" s="394"/>
      <c r="BJ44" s="394"/>
      <c r="BK44" s="394"/>
      <c r="BL44" s="394"/>
      <c r="BM44" s="394"/>
      <c r="BN44" s="394"/>
      <c r="BO44" s="600"/>
      <c r="BP44" s="394"/>
      <c r="BQ44" s="394"/>
      <c r="BR44" s="394"/>
      <c r="BS44" s="394"/>
      <c r="BT44" s="394"/>
      <c r="BU44" s="394"/>
      <c r="BV44" s="394"/>
      <c r="BW44" s="394"/>
      <c r="BX44" s="394"/>
      <c r="BY44" s="394"/>
      <c r="BZ44" s="394"/>
      <c r="CA44" s="394"/>
      <c r="CB44" s="394"/>
      <c r="CC44" s="394"/>
      <c r="CD44" s="394"/>
      <c r="CE44" s="394"/>
      <c r="CF44" s="394"/>
      <c r="CG44" s="394"/>
      <c r="CH44" s="394"/>
      <c r="CI44" s="394"/>
      <c r="CJ44" s="600"/>
      <c r="CK44" s="394"/>
      <c r="CL44" s="394"/>
      <c r="CM44" s="394"/>
      <c r="CN44" s="394"/>
      <c r="CO44" s="394"/>
      <c r="CP44" s="394"/>
      <c r="CQ44" s="394"/>
      <c r="CR44" s="394"/>
      <c r="CS44" s="394"/>
      <c r="CT44" s="394"/>
      <c r="CU44" s="394"/>
      <c r="CV44" s="394"/>
      <c r="CW44" s="394"/>
      <c r="CX44" s="394"/>
      <c r="CY44" s="394"/>
      <c r="CZ44" s="394"/>
      <c r="DA44" s="394"/>
      <c r="DB44" s="394"/>
      <c r="DC44" s="394"/>
      <c r="DD44" s="394"/>
      <c r="DE44" s="394"/>
      <c r="DF44" s="394"/>
      <c r="DG44" s="394"/>
      <c r="DH44" s="394"/>
      <c r="DI44" s="394"/>
      <c r="DJ44" s="394"/>
      <c r="DK44" s="394"/>
      <c r="DL44" s="394"/>
      <c r="DM44" s="394"/>
      <c r="DN44" s="394"/>
      <c r="DO44" s="394"/>
      <c r="DP44" s="394"/>
      <c r="DQ44" s="394"/>
      <c r="DR44" s="394"/>
      <c r="DS44" s="394"/>
      <c r="DT44" s="394"/>
      <c r="DU44" s="394"/>
      <c r="DV44" s="394"/>
      <c r="DW44" s="394"/>
      <c r="DX44" s="394"/>
      <c r="DY44" s="394"/>
      <c r="DZ44" s="600"/>
      <c r="EA44" s="394"/>
      <c r="EB44" s="394"/>
      <c r="EC44" s="394"/>
      <c r="ED44" s="394"/>
      <c r="EE44" s="394"/>
      <c r="EF44" s="394"/>
      <c r="EG44" s="394"/>
      <c r="EH44" s="394"/>
      <c r="EI44" s="394"/>
      <c r="EJ44" s="394"/>
      <c r="EK44" s="394"/>
      <c r="EL44" s="394"/>
      <c r="EM44" s="394"/>
      <c r="EN44" s="394"/>
      <c r="EO44" s="394"/>
      <c r="EP44" s="394"/>
      <c r="EQ44" s="394"/>
      <c r="ER44" s="394"/>
      <c r="ES44" s="394"/>
      <c r="ET44" s="394"/>
      <c r="EU44" s="603"/>
      <c r="EV44" s="394"/>
      <c r="EW44" s="394"/>
      <c r="EX44" s="394"/>
      <c r="EY44" s="394"/>
      <c r="EZ44" s="394"/>
      <c r="FA44" s="394"/>
      <c r="FB44" s="394"/>
      <c r="FC44" s="394"/>
      <c r="FD44" s="394"/>
      <c r="FE44" s="394"/>
      <c r="FF44" s="394"/>
      <c r="FG44" s="394"/>
      <c r="FH44" s="394"/>
      <c r="FI44" s="394"/>
      <c r="FJ44" s="394"/>
      <c r="FK44" s="394"/>
      <c r="FL44" s="394"/>
      <c r="FM44" s="394"/>
      <c r="FN44" s="394"/>
      <c r="FO44" s="394"/>
      <c r="FP44" s="603"/>
      <c r="FQ44" s="394"/>
      <c r="FS44" s="441">
        <f>SUMPRODUCT(FS$5:FS$27,后果有效剂量!$I$5:$I$27)*后果有效剂量!$Q18+SUMPRODUCT(FT$5:FT$27,后果有效剂量!$I$5:$I$27)*后果有效剂量!$R18+SUMPRODUCT(FU$5:FU$27,后果有效剂量!$I$5:$I$27)*后果有效剂量!$S18+SUMPRODUCT(FV$5:FV$27,后果有效剂量!$I$5:$I$27)*后果有效剂量!$T18+SUMPRODUCT(FS$5:FS$27,后果有效剂量!$J$5:$J$27)*后果有效剂量!$Q18*后果有效剂量!$Q$3+SUMPRODUCT(FT$5:FT$27,后果有效剂量!$J$5:$J$27)*后果有效剂量!$R18*后果有效剂量!$R$3+SUMPRODUCT(FU$5:FU$27,后果有效剂量!$J$5:$J$27)*后果有效剂量!$S18*后果有效剂量!$S$3+SUMPRODUCT(FV$5:FV$27,后果有效剂量!$J$5:$J$27)*后果有效剂量!$T18*后果有效剂量!$T$3+SUMPRODUCT(FS$5:FS$27,后果有效剂量!$K$5:$K$27)*后果有效剂量!$Q18+SUMPRODUCT(FT$5:FT$27,后果有效剂量!$K$5:$K$27)*后果有效剂量!$R18+SUMPRODUCT(FU$5:FU$27,后果有效剂量!$K$5:$K$27)*后果有效剂量!$S18+SUMPRODUCT(FV$5:FV$27,后果有效剂量!$K$5:$K$27)*后果有效剂量!$T18</f>
        <v>8.5192424254057e-6</v>
      </c>
      <c r="FT44" s="453">
        <f>SUMPRODUCT(FS$5:FS$27,后果甲状腺剂量!$I$5:$I$27)*后果甲状腺剂量!$Q18+SUMPRODUCT(FT$5:FT$27,后果甲状腺剂量!$I$5:$I$27)*后果甲状腺剂量!$R18+SUMPRODUCT(FU$5:FU$27,后果甲状腺剂量!$I$5:$I$27)*后果甲状腺剂量!$S18+SUMPRODUCT(FV$5:FV$27,后果甲状腺剂量!$I$5:$I$27)*后果甲状腺剂量!$T18+SUMPRODUCT(FS$5:FS$27,后果甲状腺剂量!$J$5:$J$27)*后果甲状腺剂量!$Q18*后果甲状腺剂量!$Q$3+SUMPRODUCT(FT$5:FT$27,后果甲状腺剂量!$J$5:$J$27)*后果甲状腺剂量!$R18*后果甲状腺剂量!$R$3+SUMPRODUCT(FU$5:FU$27,后果甲状腺剂量!$J$5:$J$27)*后果甲状腺剂量!$S18*后果甲状腺剂量!$S$3+SUMPRODUCT(FV$5:FV$27,后果甲状腺剂量!$J$5:$J$27)*后果甲状腺剂量!$T18*后果甲状腺剂量!$T$3+SUMPRODUCT(FS$5:FS$27,后果甲状腺剂量!$K$5:$K$27)*后果甲状腺剂量!$Q18+SUMPRODUCT(FT$5:FT$27,后果甲状腺剂量!$K$5:$K$27)*后果甲状腺剂量!$R18+SUMPRODUCT(FU$5:FU$27,后果甲状腺剂量!$K$5:$K$27)*后果甲状腺剂量!$S18+SUMPRODUCT(FV$5:FV$27,后果甲状腺剂量!$K$5:$K$27)*后果甲状腺剂量!$T18</f>
        <v>6.22166730994561e-5</v>
      </c>
      <c r="FU44" s="454">
        <f t="shared" si="258"/>
        <v>0.0085192424254057</v>
      </c>
      <c r="FV44" s="454">
        <f t="shared" si="259"/>
        <v>0.0622166730994561</v>
      </c>
      <c r="FW44" s="436"/>
      <c r="FX44" s="436"/>
      <c r="GD44" s="440" t="str">
        <f>后果有效剂量!$P18</f>
        <v>55000m</v>
      </c>
      <c r="GE44" s="441">
        <f>SUMPRODUCT(GE$5:GE$27,后果有效剂量!$I$5:$I$27)*后果有效剂量!$Q18+SUMPRODUCT(GF$5:GF$27,后果有效剂量!$I$5:$I$27)*后果有效剂量!$R18+SUMPRODUCT(GG$5:GG$27,后果有效剂量!$I$5:$I$27)*后果有效剂量!$S18+(SUMPRODUCT(GH$5:GH$27,后果有效剂量!$I$5:$I$27)+SUMPRODUCT(GI$5:GI$27,后果有效剂量!$I$5:$I$27))*后果有效剂量!$T18+SUMPRODUCT(GJ$5:GJ$27,后果有效剂量!$I$5:$I$27)*后果有效剂量!$U18+SUMPRODUCT(GE$5:GE$27,后果有效剂量!$J$5:$J$27)*后果有效剂量!$Q18*后果有效剂量!$Q$3+SUMPRODUCT(GF$5:GF$27,后果有效剂量!$J$5:$J$27)*后果有效剂量!$R18*后果有效剂量!$R$3+SUMPRODUCT(GG$5:GG$27,后果有效剂量!$J$5:$J$27)*后果有效剂量!$S18*后果有效剂量!$S$3+(SUMPRODUCT(GH$5:GH$27,后果有效剂量!$J$5:$J$27)+SUMPRODUCT(GI$5:GI$27,后果有效剂量!$J$5:$J$27))*后果有效剂量!$T18*后果有效剂量!$T$3+SUMPRODUCT(GJ$5:GJ$27,后果有效剂量!$J$5:$J$27)*后果有效剂量!$U18*后果有效剂量!$U$3+SUMPRODUCT(GE$5:GE$27,后果有效剂量!$K$5:$K$27)*后果有效剂量!$Q18+SUMPRODUCT(GF$5:GF$27,后果有效剂量!$K$5:$K$27)*后果有效剂量!$R18+SUMPRODUCT(GG$5:GG$27,后果有效剂量!$K$5:$K$27)*后果有效剂量!$S18+(SUMPRODUCT(GH$5:GH$27,后果有效剂量!$K$5:$K$27)+SUMPRODUCT(GI$5:GI$27,后果有效剂量!$K$5:$K$27))*后果有效剂量!$T18+SUMPRODUCT(GJ$5:GJ$27,后果有效剂量!$K$5:$K$27)*后果有效剂量!$U18</f>
        <v>1.82108446416472e-6</v>
      </c>
      <c r="GF44" s="453">
        <f>SUMPRODUCT(GE$5:GE$27,后果甲状腺剂量!$I$5:$I$27)*后果甲状腺剂量!$Q18+SUMPRODUCT(GF$5:GF$27,后果甲状腺剂量!$I$5:$I$27)*后果甲状腺剂量!$R18+SUMPRODUCT(GG$5:GG$27,后果甲状腺剂量!$I$5:$I$27)*后果甲状腺剂量!$S18+(SUMPRODUCT(GH$5:GH$27,后果甲状腺剂量!$I$5:$I$27)+SUMPRODUCT(GI$5:GI$27,后果甲状腺剂量!$I$5:$I$27))*后果甲状腺剂量!$T18+SUMPRODUCT(GJ$5:GJ$27,后果甲状腺剂量!$I$5:$I$27)*后果甲状腺剂量!$U18+SUMPRODUCT(GE$5:GE$27,后果甲状腺剂量!$J$5:$J$27)*后果甲状腺剂量!$Q18*后果甲状腺剂量!$Q$3+SUMPRODUCT(GF$5:GF$27,后果甲状腺剂量!$J$5:$J$27)*后果甲状腺剂量!$R18*后果甲状腺剂量!$R$3+SUMPRODUCT(GG$5:GG$27,后果甲状腺剂量!$J$5:$J$27)*后果甲状腺剂量!$S18*后果甲状腺剂量!$S$3+(SUMPRODUCT(GH$5:GH$27,后果甲状腺剂量!$J$5:$J$27)+SUMPRODUCT(GI$5:GI$27,后果甲状腺剂量!$J$5:$J$27))*后果甲状腺剂量!$T18*后果甲状腺剂量!$T$3+SUMPRODUCT(GJ$5:GJ$27,后果甲状腺剂量!$J$5:$J$27)*后果甲状腺剂量!$U18*后果甲状腺剂量!$U$3+SUMPRODUCT(GE$5:GE$27,后果甲状腺剂量!$K$5:$K$27)*后果甲状腺剂量!$Q18+SUMPRODUCT(GF$5:GF$27,后果甲状腺剂量!$K$5:$K$27)*后果甲状腺剂量!$R18+SUMPRODUCT(GG$5:GG$27,后果甲状腺剂量!$K$5:$K$27)*后果甲状腺剂量!$S18+(SUMPRODUCT(GH$5:GH$27,后果甲状腺剂量!$K$5:$K$27)+SUMPRODUCT(GI$5:GI$27,后果甲状腺剂量!$K$5:$K$27))*后果甲状腺剂量!$T18+SUMPRODUCT(GJ$5:GJ$27,后果甲状腺剂量!$K$5:$K$27)*后果甲状腺剂量!$U18</f>
        <v>9.61449584292275e-6</v>
      </c>
      <c r="GG44" s="454">
        <f t="shared" si="260"/>
        <v>0.00182108446416472</v>
      </c>
      <c r="GH44" s="454">
        <f t="shared" si="261"/>
        <v>0.00961449584292275</v>
      </c>
      <c r="GI44" s="436"/>
      <c r="GJ44" s="436"/>
    </row>
    <row r="45" spans="7:192">
      <c r="G45" s="440" t="str">
        <f>后果有效剂量!$P19</f>
        <v>65000m</v>
      </c>
      <c r="H45" s="441">
        <f ca="1">SUMPRODUCT(H$5:H$27,后果有效剂量!$I$5:$I$27)*后果有效剂量!$Q19+SUMPRODUCT(I$5:I$27,后果有效剂量!$I$5:$I$27)*后果有效剂量!$Q19+SUMPRODUCT(J$5:J$27,后果有效剂量!$I$5:$I$27)*后果有效剂量!$R19+SUMPRODUCT(K$5:K$27,后果有效剂量!$I$5:$I$27)*后果有效剂量!$S19+SUMPRODUCT(L$5:L$27,后果有效剂量!$I$5:$I$27)*后果有效剂量!$T19+SUMPRODUCT(M$5:M$27,后果有效剂量!$I$5:$I$27)*后果有效剂量!$U19+SUMPRODUCT(H$5:H$27,后果有效剂量!$J$5:$J$27)*后果有效剂量!$Q19*后果有效剂量!$Q$3+SUMPRODUCT(I$5:I$27,后果有效剂量!$J$5:$J$27)*后果有效剂量!$Q19*后果有效剂量!$Q$3+SUMPRODUCT(J$5:J$27,后果有效剂量!$J$5:$J$27)*后果有效剂量!$R19*后果有效剂量!$R$3+SUMPRODUCT(K$5:K$27,后果有效剂量!$J$5:$J$27)*后果有效剂量!$S19*后果有效剂量!$S$3+SUMPRODUCT(L$5:L$27,后果有效剂量!$J$5:$J$27)*后果有效剂量!$T19*后果有效剂量!$T$3+SUMPRODUCT(M$5:M$27,后果有效剂量!$J$5:$J$27)*后果有效剂量!$U19*后果有效剂量!$U$3+SUMPRODUCT(H$5:H$27,后果有效剂量!$K$5:$K$27)*后果有效剂量!$Q19+SUMPRODUCT(I$5:I$27,后果有效剂量!$K$5:$K$27)*后果有效剂量!$Q19+SUMPRODUCT(J$5:J$27,后果有效剂量!$K$5:$K$27)*后果有效剂量!$R19+SUMPRODUCT(K$5:K$27,后果有效剂量!$K$5:$K$27)*后果有效剂量!$S19+SUMPRODUCT(L$5:L$27,后果有效剂量!$K$5:$K$27)*后果有效剂量!$T19+SUMPRODUCT(M$5:M$27,后果有效剂量!$K$5:$K$27)*后果有效剂量!$U19</f>
        <v>1.08962310832346e-5</v>
      </c>
      <c r="I45" s="453">
        <f ca="1">SUMPRODUCT(H$5:H$27,后果甲状腺剂量!$I$5:$I$27)*后果甲状腺剂量!$Q19+SUMPRODUCT(I$5:I$27,后果甲状腺剂量!$I$5:$I$27)*后果甲状腺剂量!$Q19+SUMPRODUCT(J$5:J$27,后果甲状腺剂量!$I$5:$I$27)*后果甲状腺剂量!$R19+SUMPRODUCT(K$5:K$27,后果甲状腺剂量!$I$5:$I$27)*后果甲状腺剂量!$S19+SUMPRODUCT(L$5:L$27,后果甲状腺剂量!$I$5:$I$27)*后果甲状腺剂量!$T19+SUMPRODUCT(M$5:M$27,后果甲状腺剂量!$I$5:$I$27)*后果甲状腺剂量!$U19+SUMPRODUCT(H$5:H$27,后果甲状腺剂量!$J$5:$J$27)*后果甲状腺剂量!$Q19*后果甲状腺剂量!$Q$3+SUMPRODUCT(I$5:I$27,后果甲状腺剂量!$J$5:$J$27)*后果甲状腺剂量!$Q19*后果甲状腺剂量!$Q$3+SUMPRODUCT(J$5:J$27,后果甲状腺剂量!$J$5:$J$27)*后果甲状腺剂量!$R19*后果甲状腺剂量!$R$3+SUMPRODUCT(K$5:K$27,后果甲状腺剂量!$J$5:$J$27)*后果甲状腺剂量!$S19*后果甲状腺剂量!$S$3+SUMPRODUCT(L$5:L$27,后果甲状腺剂量!$J$5:$J$27)*后果甲状腺剂量!$T19*后果甲状腺剂量!$T$3+SUMPRODUCT(M$5:M$27,后果甲状腺剂量!$J$5:$J$27)*后果甲状腺剂量!$U19*后果甲状腺剂量!$U$3+SUMPRODUCT(H$5:H$27,后果甲状腺剂量!$K$5:$K$27)*后果甲状腺剂量!$Q19+SUMPRODUCT(I$5:I$27,后果甲状腺剂量!$K$5:$K$27)*后果甲状腺剂量!$Q19+SUMPRODUCT(J$5:J$27,后果甲状腺剂量!$K$5:$K$27)*后果甲状腺剂量!$R19+SUMPRODUCT(K$5:K$27,后果甲状腺剂量!$K$5:$K$27)*后果甲状腺剂量!$S19+SUMPRODUCT(L$5:L$27,后果甲状腺剂量!$K$5:$K$27)*后果甲状腺剂量!$T19+SUMPRODUCT(M$5:M$27,后果甲状腺剂量!$K$5:$K$27)*后果甲状腺剂量!$U19</f>
        <v>4.8581222465662e-5</v>
      </c>
      <c r="J45" s="454">
        <f ca="1" t="shared" si="254"/>
        <v>0.0108962310832346</v>
      </c>
      <c r="K45" s="454">
        <f ca="1" t="shared" si="255"/>
        <v>0.048581222465662</v>
      </c>
      <c r="L45" s="436"/>
      <c r="M45" s="436"/>
      <c r="N45" s="455"/>
      <c r="O45" s="390"/>
      <c r="Q45" s="440" t="str">
        <f>后果有效剂量!$P19</f>
        <v>65000m</v>
      </c>
      <c r="R45" s="441">
        <f ca="1">SUMPRODUCT(R$5:R$27,后果有效剂量!$I$5:$I$27)*后果有效剂量!$Q19+SUMPRODUCT(S$5:S$27,后果有效剂量!$I$5:$I$27)*后果有效剂量!$Q19+SUMPRODUCT(T$5:T$27,后果有效剂量!$I$5:$I$27)*后果有效剂量!$R19+SUMPRODUCT(U$5:U$27,后果有效剂量!$I$5:$I$27)*后果有效剂量!$S19+SUMPRODUCT(V$5:V$27,后果有效剂量!$I$5:$I$27)*后果有效剂量!$T19+SUMPRODUCT(W$5:W$27,后果有效剂量!$I$5:$I$27)*后果有效剂量!$U19+SUMPRODUCT(R$5:R$27,后果有效剂量!$J$5:$J$27)*后果有效剂量!$Q19*后果有效剂量!$Q$3+SUMPRODUCT(S$5:S$27,后果有效剂量!$J$5:$J$27)*后果有效剂量!$Q19*后果有效剂量!$Q$3+SUMPRODUCT(T$5:T$27,后果有效剂量!$J$5:$J$27)*后果有效剂量!$R19*后果有效剂量!$R$3+SUMPRODUCT(U$5:U$27,后果有效剂量!$J$5:$J$27)*后果有效剂量!$S19*后果有效剂量!$S$3+SUMPRODUCT(V$5:V$27,后果有效剂量!$J$5:$J$27)*后果有效剂量!$T19*后果有效剂量!$T$3+SUMPRODUCT(W$5:W$27,后果有效剂量!$J$5:$J$27)*后果有效剂量!$U19*后果有效剂量!$U$3+SUMPRODUCT(R$5:R$27,后果有效剂量!$K$5:$K$27)*后果有效剂量!$Q19+SUMPRODUCT(S$5:S$27,后果有效剂量!$K$5:$K$27)*后果有效剂量!$Q19+SUMPRODUCT(T$5:T$27,后果有效剂量!$K$5:$K$27)*后果有效剂量!$R19+SUMPRODUCT(U$5:U$27,后果有效剂量!$K$5:$K$27)*后果有效剂量!$S19+SUMPRODUCT(V$5:V$27,后果有效剂量!$K$5:$K$27)*后果有效剂量!$T19+SUMPRODUCT(W$5:W$27,后果有效剂量!$K$5:$K$27)*后果有效剂量!$U19</f>
        <v>6.61705983465546e-6</v>
      </c>
      <c r="S45" s="453">
        <f ca="1">SUMPRODUCT(R$5:R$27,后果甲状腺剂量!$I$5:$I$27)*后果甲状腺剂量!$Q19+SUMPRODUCT(S$5:S$27,后果甲状腺剂量!$I$5:$I$27)*后果甲状腺剂量!$Q19+SUMPRODUCT(T$5:T$27,后果甲状腺剂量!$I$5:$I$27)*后果甲状腺剂量!$R19+SUMPRODUCT(U$5:U$27,后果甲状腺剂量!$I$5:$I$27)*后果甲状腺剂量!$S19+SUMPRODUCT(V$5:V$27,后果甲状腺剂量!$I$5:$I$27)*后果甲状腺剂量!$T19+SUMPRODUCT(W$5:W$27,后果甲状腺剂量!$I$5:$I$27)*后果甲状腺剂量!$U19+SUMPRODUCT(R$5:R$27,后果甲状腺剂量!$J$5:$J$27)*后果甲状腺剂量!$Q19*后果甲状腺剂量!$Q$3+SUMPRODUCT(S$5:S$27,后果甲状腺剂量!$J$5:$J$27)*后果甲状腺剂量!$Q19*后果甲状腺剂量!$Q$3+SUMPRODUCT(T$5:T$27,后果甲状腺剂量!$J$5:$J$27)*后果甲状腺剂量!$R19*后果甲状腺剂量!$R$3+SUMPRODUCT(U$5:U$27,后果甲状腺剂量!$J$5:$J$27)*后果甲状腺剂量!$S19*后果甲状腺剂量!$S$3+SUMPRODUCT(V$5:V$27,后果甲状腺剂量!$J$5:$J$27)*后果甲状腺剂量!$T19*后果甲状腺剂量!$T$3+SUMPRODUCT(W$5:W$27,后果甲状腺剂量!$J$5:$J$27)*后果甲状腺剂量!$U19*后果甲状腺剂量!$U$3+SUMPRODUCT(R$5:R$27,后果甲状腺剂量!$K$5:$K$27)*后果甲状腺剂量!$Q19+SUMPRODUCT(S$5:S$27,后果甲状腺剂量!$K$5:$K$27)*后果甲状腺剂量!$Q19+SUMPRODUCT(T$5:T$27,后果甲状腺剂量!$K$5:$K$27)*后果甲状腺剂量!$R19+SUMPRODUCT(U$5:U$27,后果甲状腺剂量!$K$5:$K$27)*后果甲状腺剂量!$S19+SUMPRODUCT(V$5:V$27,后果甲状腺剂量!$K$5:$K$27)*后果甲状腺剂量!$T19+SUMPRODUCT(W$5:W$27,后果甲状腺剂量!$K$5:$K$27)*后果甲状腺剂量!$U19</f>
        <v>2.30564406812995e-5</v>
      </c>
      <c r="T45" s="454">
        <f ca="1" t="shared" si="256"/>
        <v>0.00661705983465547</v>
      </c>
      <c r="U45" s="454">
        <f ca="1" t="shared" si="257"/>
        <v>0.0230564406812995</v>
      </c>
      <c r="V45" s="436"/>
      <c r="W45" s="436"/>
      <c r="AN45" s="533"/>
      <c r="AO45" s="390"/>
      <c r="AP45" s="390"/>
      <c r="AQ45" s="390"/>
      <c r="AR45" s="390"/>
      <c r="AS45" s="572"/>
      <c r="AT45" s="390"/>
      <c r="AU45" s="390"/>
      <c r="AV45" s="394"/>
      <c r="AW45" s="394"/>
      <c r="AX45" s="394"/>
      <c r="AY45" s="394"/>
      <c r="AZ45" s="394"/>
      <c r="BA45" s="394"/>
      <c r="BB45" s="394"/>
      <c r="BC45" s="394"/>
      <c r="BD45" s="394"/>
      <c r="BE45" s="394"/>
      <c r="BF45" s="394"/>
      <c r="BG45" s="394"/>
      <c r="BH45" s="394"/>
      <c r="BI45" s="394"/>
      <c r="BJ45" s="394"/>
      <c r="BK45" s="394"/>
      <c r="BL45" s="394"/>
      <c r="BM45" s="394"/>
      <c r="BN45" s="394"/>
      <c r="BO45" s="600"/>
      <c r="BP45" s="394"/>
      <c r="BQ45" s="394"/>
      <c r="BR45" s="394"/>
      <c r="BS45" s="394"/>
      <c r="BT45" s="394"/>
      <c r="BU45" s="394"/>
      <c r="BV45" s="394"/>
      <c r="BW45" s="394"/>
      <c r="BX45" s="394"/>
      <c r="BY45" s="394"/>
      <c r="BZ45" s="394"/>
      <c r="CA45" s="394"/>
      <c r="CB45" s="394"/>
      <c r="CC45" s="394"/>
      <c r="CD45" s="394"/>
      <c r="CE45" s="394"/>
      <c r="CF45" s="394"/>
      <c r="CG45" s="394"/>
      <c r="CH45" s="394"/>
      <c r="CI45" s="394"/>
      <c r="CJ45" s="600"/>
      <c r="CK45" s="394"/>
      <c r="CL45" s="394"/>
      <c r="CM45" s="394"/>
      <c r="CN45" s="394"/>
      <c r="CO45" s="394"/>
      <c r="CP45" s="394"/>
      <c r="CQ45" s="394"/>
      <c r="CR45" s="394"/>
      <c r="CS45" s="394"/>
      <c r="CT45" s="394"/>
      <c r="CU45" s="394"/>
      <c r="CV45" s="394"/>
      <c r="CW45" s="394"/>
      <c r="CX45" s="394"/>
      <c r="CY45" s="394"/>
      <c r="CZ45" s="394"/>
      <c r="DA45" s="394"/>
      <c r="DB45" s="394"/>
      <c r="DC45" s="394"/>
      <c r="DD45" s="394"/>
      <c r="DE45" s="394"/>
      <c r="DF45" s="394"/>
      <c r="DG45" s="394"/>
      <c r="DH45" s="394"/>
      <c r="DI45" s="394"/>
      <c r="DJ45" s="394"/>
      <c r="DK45" s="394"/>
      <c r="DL45" s="394"/>
      <c r="DM45" s="394"/>
      <c r="DN45" s="394"/>
      <c r="DO45" s="394"/>
      <c r="DP45" s="394"/>
      <c r="DQ45" s="394"/>
      <c r="DR45" s="394"/>
      <c r="DS45" s="394"/>
      <c r="DT45" s="394"/>
      <c r="DU45" s="394"/>
      <c r="DV45" s="394"/>
      <c r="DW45" s="394"/>
      <c r="DX45" s="394"/>
      <c r="DY45" s="394"/>
      <c r="DZ45" s="600"/>
      <c r="EA45" s="394"/>
      <c r="EB45" s="394"/>
      <c r="EC45" s="394"/>
      <c r="ED45" s="394"/>
      <c r="EE45" s="394"/>
      <c r="EF45" s="394"/>
      <c r="EG45" s="394"/>
      <c r="EH45" s="394"/>
      <c r="EI45" s="394"/>
      <c r="EJ45" s="394"/>
      <c r="EK45" s="394"/>
      <c r="EL45" s="394"/>
      <c r="EM45" s="394"/>
      <c r="EN45" s="394"/>
      <c r="EO45" s="394"/>
      <c r="EP45" s="394"/>
      <c r="EQ45" s="394"/>
      <c r="ER45" s="394"/>
      <c r="ES45" s="394"/>
      <c r="ET45" s="394"/>
      <c r="EU45" s="603"/>
      <c r="EV45" s="394"/>
      <c r="EW45" s="394"/>
      <c r="EX45" s="394"/>
      <c r="EY45" s="394"/>
      <c r="EZ45" s="394"/>
      <c r="FA45" s="394"/>
      <c r="FB45" s="394"/>
      <c r="FC45" s="394"/>
      <c r="FD45" s="394"/>
      <c r="FE45" s="394"/>
      <c r="FF45" s="394"/>
      <c r="FG45" s="394"/>
      <c r="FH45" s="394"/>
      <c r="FI45" s="394"/>
      <c r="FJ45" s="394"/>
      <c r="FK45" s="394"/>
      <c r="FL45" s="394"/>
      <c r="FM45" s="394"/>
      <c r="FN45" s="394"/>
      <c r="FO45" s="394"/>
      <c r="FP45" s="603"/>
      <c r="FQ45" s="394"/>
      <c r="FS45" s="441">
        <f>SUMPRODUCT(FS$5:FS$27,后果有效剂量!$I$5:$I$27)*后果有效剂量!$Q19+SUMPRODUCT(FT$5:FT$27,后果有效剂量!$I$5:$I$27)*后果有效剂量!$R19+SUMPRODUCT(FU$5:FU$27,后果有效剂量!$I$5:$I$27)*后果有效剂量!$S19+SUMPRODUCT(FV$5:FV$27,后果有效剂量!$I$5:$I$27)*后果有效剂量!$T19+SUMPRODUCT(FS$5:FS$27,后果有效剂量!$J$5:$J$27)*后果有效剂量!$Q19*后果有效剂量!$Q$3+SUMPRODUCT(FT$5:FT$27,后果有效剂量!$J$5:$J$27)*后果有效剂量!$R19*后果有效剂量!$R$3+SUMPRODUCT(FU$5:FU$27,后果有效剂量!$J$5:$J$27)*后果有效剂量!$S19*后果有效剂量!$S$3+SUMPRODUCT(FV$5:FV$27,后果有效剂量!$J$5:$J$27)*后果有效剂量!$T19*后果有效剂量!$T$3+SUMPRODUCT(FS$5:FS$27,后果有效剂量!$K$5:$K$27)*后果有效剂量!$Q19+SUMPRODUCT(FT$5:FT$27,后果有效剂量!$K$5:$K$27)*后果有效剂量!$R19+SUMPRODUCT(FU$5:FU$27,后果有效剂量!$K$5:$K$27)*后果有效剂量!$S19+SUMPRODUCT(FV$5:FV$27,后果有效剂量!$K$5:$K$27)*后果有效剂量!$T19</f>
        <v>7.54848529694084e-6</v>
      </c>
      <c r="FT45" s="453">
        <f>SUMPRODUCT(FS$5:FS$27,后果甲状腺剂量!$I$5:$I$27)*后果甲状腺剂量!$Q19+SUMPRODUCT(FT$5:FT$27,后果甲状腺剂量!$I$5:$I$27)*后果甲状腺剂量!$R19+SUMPRODUCT(FU$5:FU$27,后果甲状腺剂量!$I$5:$I$27)*后果甲状腺剂量!$S19+SUMPRODUCT(FV$5:FV$27,后果甲状腺剂量!$I$5:$I$27)*后果甲状腺剂量!$T19+SUMPRODUCT(FS$5:FS$27,后果甲状腺剂量!$J$5:$J$27)*后果甲状腺剂量!$Q19*后果甲状腺剂量!$Q$3+SUMPRODUCT(FT$5:FT$27,后果甲状腺剂量!$J$5:$J$27)*后果甲状腺剂量!$R19*后果甲状腺剂量!$R$3+SUMPRODUCT(FU$5:FU$27,后果甲状腺剂量!$J$5:$J$27)*后果甲状腺剂量!$S19*后果甲状腺剂量!$S$3+SUMPRODUCT(FV$5:FV$27,后果甲状腺剂量!$J$5:$J$27)*后果甲状腺剂量!$T19*后果甲状腺剂量!$T$3+SUMPRODUCT(FS$5:FS$27,后果甲状腺剂量!$K$5:$K$27)*后果甲状腺剂量!$Q19+SUMPRODUCT(FT$5:FT$27,后果甲状腺剂量!$K$5:$K$27)*后果甲状腺剂量!$R19+SUMPRODUCT(FU$5:FU$27,后果甲状腺剂量!$K$5:$K$27)*后果甲状腺剂量!$S19+SUMPRODUCT(FV$5:FV$27,后果甲状腺剂量!$K$5:$K$27)*后果甲状腺剂量!$T19</f>
        <v>5.48446351036151e-5</v>
      </c>
      <c r="FU45" s="454">
        <f t="shared" si="258"/>
        <v>0.00754848529694084</v>
      </c>
      <c r="FV45" s="454">
        <f t="shared" si="259"/>
        <v>0.0548446351036151</v>
      </c>
      <c r="FW45" s="436"/>
      <c r="FX45" s="436"/>
      <c r="GD45" s="440" t="str">
        <f>后果有效剂量!$P19</f>
        <v>65000m</v>
      </c>
      <c r="GE45" s="441">
        <f>SUMPRODUCT(GE$5:GE$27,后果有效剂量!$I$5:$I$27)*后果有效剂量!$Q19+SUMPRODUCT(GF$5:GF$27,后果有效剂量!$I$5:$I$27)*后果有效剂量!$R19+SUMPRODUCT(GG$5:GG$27,后果有效剂量!$I$5:$I$27)*后果有效剂量!$S19+(SUMPRODUCT(GH$5:GH$27,后果有效剂量!$I$5:$I$27)+SUMPRODUCT(GI$5:GI$27,后果有效剂量!$I$5:$I$27))*后果有效剂量!$T19+SUMPRODUCT(GJ$5:GJ$27,后果有效剂量!$I$5:$I$27)*后果有效剂量!$U19+SUMPRODUCT(GE$5:GE$27,后果有效剂量!$J$5:$J$27)*后果有效剂量!$Q19*后果有效剂量!$Q$3+SUMPRODUCT(GF$5:GF$27,后果有效剂量!$J$5:$J$27)*后果有效剂量!$R19*后果有效剂量!$R$3+SUMPRODUCT(GG$5:GG$27,后果有效剂量!$J$5:$J$27)*后果有效剂量!$S19*后果有效剂量!$S$3+(SUMPRODUCT(GH$5:GH$27,后果有效剂量!$J$5:$J$27)+SUMPRODUCT(GI$5:GI$27,后果有效剂量!$J$5:$J$27))*后果有效剂量!$T19*后果有效剂量!$T$3+SUMPRODUCT(GJ$5:GJ$27,后果有效剂量!$J$5:$J$27)*后果有效剂量!$U19*后果有效剂量!$U$3+SUMPRODUCT(GE$5:GE$27,后果有效剂量!$K$5:$K$27)*后果有效剂量!$Q19+SUMPRODUCT(GF$5:GF$27,后果有效剂量!$K$5:$K$27)*后果有效剂量!$R19+SUMPRODUCT(GG$5:GG$27,后果有效剂量!$K$5:$K$27)*后果有效剂量!$S19+(SUMPRODUCT(GH$5:GH$27,后果有效剂量!$K$5:$K$27)+SUMPRODUCT(GI$5:GI$27,后果有效剂量!$K$5:$K$27))*后果有效剂量!$T19+SUMPRODUCT(GJ$5:GJ$27,后果有效剂量!$K$5:$K$27)*后果有效剂量!$U19</f>
        <v>1.58742003517474e-6</v>
      </c>
      <c r="GF45" s="453">
        <f>SUMPRODUCT(GE$5:GE$27,后果甲状腺剂量!$I$5:$I$27)*后果甲状腺剂量!$Q19+SUMPRODUCT(GF$5:GF$27,后果甲状腺剂量!$I$5:$I$27)*后果甲状腺剂量!$R19+SUMPRODUCT(GG$5:GG$27,后果甲状腺剂量!$I$5:$I$27)*后果甲状腺剂量!$S19+(SUMPRODUCT(GH$5:GH$27,后果甲状腺剂量!$I$5:$I$27)+SUMPRODUCT(GI$5:GI$27,后果甲状腺剂量!$I$5:$I$27))*后果甲状腺剂量!$T19+SUMPRODUCT(GJ$5:GJ$27,后果甲状腺剂量!$I$5:$I$27)*后果甲状腺剂量!$U19+SUMPRODUCT(GE$5:GE$27,后果甲状腺剂量!$J$5:$J$27)*后果甲状腺剂量!$Q19*后果甲状腺剂量!$Q$3+SUMPRODUCT(GF$5:GF$27,后果甲状腺剂量!$J$5:$J$27)*后果甲状腺剂量!$R19*后果甲状腺剂量!$R$3+SUMPRODUCT(GG$5:GG$27,后果甲状腺剂量!$J$5:$J$27)*后果甲状腺剂量!$S19*后果甲状腺剂量!$S$3+(SUMPRODUCT(GH$5:GH$27,后果甲状腺剂量!$J$5:$J$27)+SUMPRODUCT(GI$5:GI$27,后果甲状腺剂量!$J$5:$J$27))*后果甲状腺剂量!$T19*后果甲状腺剂量!$T$3+SUMPRODUCT(GJ$5:GJ$27,后果甲状腺剂量!$J$5:$J$27)*后果甲状腺剂量!$U19*后果甲状腺剂量!$U$3+SUMPRODUCT(GE$5:GE$27,后果甲状腺剂量!$K$5:$K$27)*后果甲状腺剂量!$Q19+SUMPRODUCT(GF$5:GF$27,后果甲状腺剂量!$K$5:$K$27)*后果甲状腺剂量!$R19+SUMPRODUCT(GG$5:GG$27,后果甲状腺剂量!$K$5:$K$27)*后果甲状腺剂量!$S19+(SUMPRODUCT(GH$5:GH$27,后果甲状腺剂量!$K$5:$K$27)+SUMPRODUCT(GI$5:GI$27,后果甲状腺剂量!$K$5:$K$27))*后果甲状腺剂量!$T19+SUMPRODUCT(GJ$5:GJ$27,后果甲状腺剂量!$K$5:$K$27)*后果甲状腺剂量!$U19</f>
        <v>8.19467203079159e-6</v>
      </c>
      <c r="GG45" s="454">
        <f t="shared" si="260"/>
        <v>0.00158742003517474</v>
      </c>
      <c r="GH45" s="454">
        <f t="shared" si="261"/>
        <v>0.00819467203079159</v>
      </c>
      <c r="GI45" s="436"/>
      <c r="GJ45" s="436"/>
    </row>
    <row r="46" spans="7:192">
      <c r="G46" s="440" t="str">
        <f>后果有效剂量!$P20</f>
        <v>75000m</v>
      </c>
      <c r="H46" s="441">
        <f ca="1">SUMPRODUCT(H$5:H$27,后果有效剂量!$I$5:$I$27)*后果有效剂量!$Q20+SUMPRODUCT(I$5:I$27,后果有效剂量!$I$5:$I$27)*后果有效剂量!$Q20+SUMPRODUCT(J$5:J$27,后果有效剂量!$I$5:$I$27)*后果有效剂量!$R20+SUMPRODUCT(K$5:K$27,后果有效剂量!$I$5:$I$27)*后果有效剂量!$S20+SUMPRODUCT(L$5:L$27,后果有效剂量!$I$5:$I$27)*后果有效剂量!$T20+SUMPRODUCT(M$5:M$27,后果有效剂量!$I$5:$I$27)*后果有效剂量!$U20+SUMPRODUCT(H$5:H$27,后果有效剂量!$J$5:$J$27)*后果有效剂量!$Q20*后果有效剂量!$Q$3+SUMPRODUCT(I$5:I$27,后果有效剂量!$J$5:$J$27)*后果有效剂量!$Q20*后果有效剂量!$Q$3+SUMPRODUCT(J$5:J$27,后果有效剂量!$J$5:$J$27)*后果有效剂量!$R20*后果有效剂量!$R$3+SUMPRODUCT(K$5:K$27,后果有效剂量!$J$5:$J$27)*后果有效剂量!$S20*后果有效剂量!$S$3+SUMPRODUCT(L$5:L$27,后果有效剂量!$J$5:$J$27)*后果有效剂量!$T20*后果有效剂量!$T$3+SUMPRODUCT(M$5:M$27,后果有效剂量!$J$5:$J$27)*后果有效剂量!$U20*后果有效剂量!$U$3+SUMPRODUCT(H$5:H$27,后果有效剂量!$K$5:$K$27)*后果有效剂量!$Q20+SUMPRODUCT(I$5:I$27,后果有效剂量!$K$5:$K$27)*后果有效剂量!$Q20+SUMPRODUCT(J$5:J$27,后果有效剂量!$K$5:$K$27)*后果有效剂量!$R20+SUMPRODUCT(K$5:K$27,后果有效剂量!$K$5:$K$27)*后果有效剂量!$S20+SUMPRODUCT(L$5:L$27,后果有效剂量!$K$5:$K$27)*后果有效剂量!$T20+SUMPRODUCT(M$5:M$27,后果有效剂量!$K$5:$K$27)*后果有效剂量!$U20</f>
        <v>9.7966423308344e-6</v>
      </c>
      <c r="I46" s="453">
        <f ca="1">SUMPRODUCT(H$5:H$27,后果甲状腺剂量!$I$5:$I$27)*后果甲状腺剂量!$Q20+SUMPRODUCT(I$5:I$27,后果甲状腺剂量!$I$5:$I$27)*后果甲状腺剂量!$Q20+SUMPRODUCT(J$5:J$27,后果甲状腺剂量!$I$5:$I$27)*后果甲状腺剂量!$R20+SUMPRODUCT(K$5:K$27,后果甲状腺剂量!$I$5:$I$27)*后果甲状腺剂量!$S20+SUMPRODUCT(L$5:L$27,后果甲状腺剂量!$I$5:$I$27)*后果甲状腺剂量!$T20+SUMPRODUCT(M$5:M$27,后果甲状腺剂量!$I$5:$I$27)*后果甲状腺剂量!$U20+SUMPRODUCT(H$5:H$27,后果甲状腺剂量!$J$5:$J$27)*后果甲状腺剂量!$Q20*后果甲状腺剂量!$Q$3+SUMPRODUCT(I$5:I$27,后果甲状腺剂量!$J$5:$J$27)*后果甲状腺剂量!$Q20*后果甲状腺剂量!$Q$3+SUMPRODUCT(J$5:J$27,后果甲状腺剂量!$J$5:$J$27)*后果甲状腺剂量!$R20*后果甲状腺剂量!$R$3+SUMPRODUCT(K$5:K$27,后果甲状腺剂量!$J$5:$J$27)*后果甲状腺剂量!$S20*后果甲状腺剂量!$S$3+SUMPRODUCT(L$5:L$27,后果甲状腺剂量!$J$5:$J$27)*后果甲状腺剂量!$T20*后果甲状腺剂量!$T$3+SUMPRODUCT(M$5:M$27,后果甲状腺剂量!$J$5:$J$27)*后果甲状腺剂量!$U20*后果甲状腺剂量!$U$3+SUMPRODUCT(H$5:H$27,后果甲状腺剂量!$K$5:$K$27)*后果甲状腺剂量!$Q20+SUMPRODUCT(I$5:I$27,后果甲状腺剂量!$K$5:$K$27)*后果甲状腺剂量!$Q20+SUMPRODUCT(J$5:J$27,后果甲状腺剂量!$K$5:$K$27)*后果甲状腺剂量!$R20+SUMPRODUCT(K$5:K$27,后果甲状腺剂量!$K$5:$K$27)*后果甲状腺剂量!$S20+SUMPRODUCT(L$5:L$27,后果甲状腺剂量!$K$5:$K$27)*后果甲状腺剂量!$T20+SUMPRODUCT(M$5:M$27,后果甲状腺剂量!$K$5:$K$27)*后果甲状腺剂量!$U20</f>
        <v>4.36248000060105e-5</v>
      </c>
      <c r="J46" s="454">
        <f ca="1" t="shared" si="254"/>
        <v>0.0097966423308344</v>
      </c>
      <c r="K46" s="454">
        <f ca="1" t="shared" si="255"/>
        <v>0.0436248000060105</v>
      </c>
      <c r="L46" s="436"/>
      <c r="M46" s="436"/>
      <c r="N46" s="455"/>
      <c r="O46" s="390"/>
      <c r="Q46" s="440" t="str">
        <f>后果有效剂量!$P20</f>
        <v>75000m</v>
      </c>
      <c r="R46" s="441">
        <f ca="1">SUMPRODUCT(R$5:R$27,后果有效剂量!$I$5:$I$27)*后果有效剂量!$Q20+SUMPRODUCT(S$5:S$27,后果有效剂量!$I$5:$I$27)*后果有效剂量!$Q20+SUMPRODUCT(T$5:T$27,后果有效剂量!$I$5:$I$27)*后果有效剂量!$R20+SUMPRODUCT(U$5:U$27,后果有效剂量!$I$5:$I$27)*后果有效剂量!$S20+SUMPRODUCT(V$5:V$27,后果有效剂量!$I$5:$I$27)*后果有效剂量!$T20+SUMPRODUCT(W$5:W$27,后果有效剂量!$I$5:$I$27)*后果有效剂量!$U20+SUMPRODUCT(R$5:R$27,后果有效剂量!$J$5:$J$27)*后果有效剂量!$Q20*后果有效剂量!$Q$3+SUMPRODUCT(S$5:S$27,后果有效剂量!$J$5:$J$27)*后果有效剂量!$Q20*后果有效剂量!$Q$3+SUMPRODUCT(T$5:T$27,后果有效剂量!$J$5:$J$27)*后果有效剂量!$R20*后果有效剂量!$R$3+SUMPRODUCT(U$5:U$27,后果有效剂量!$J$5:$J$27)*后果有效剂量!$S20*后果有效剂量!$S$3+SUMPRODUCT(V$5:V$27,后果有效剂量!$J$5:$J$27)*后果有效剂量!$T20*后果有效剂量!$T$3+SUMPRODUCT(W$5:W$27,后果有效剂量!$J$5:$J$27)*后果有效剂量!$U20*后果有效剂量!$U$3+SUMPRODUCT(R$5:R$27,后果有效剂量!$K$5:$K$27)*后果有效剂量!$Q20+SUMPRODUCT(S$5:S$27,后果有效剂量!$K$5:$K$27)*后果有效剂量!$Q20+SUMPRODUCT(T$5:T$27,后果有效剂量!$K$5:$K$27)*后果有效剂量!$R20+SUMPRODUCT(U$5:U$27,后果有效剂量!$K$5:$K$27)*后果有效剂量!$S20+SUMPRODUCT(V$5:V$27,后果有效剂量!$K$5:$K$27)*后果有效剂量!$T20+SUMPRODUCT(W$5:W$27,后果有效剂量!$K$5:$K$27)*后果有效剂量!$U20</f>
        <v>6.05353961586246e-6</v>
      </c>
      <c r="S46" s="453">
        <f ca="1">SUMPRODUCT(R$5:R$27,后果甲状腺剂量!$I$5:$I$27)*后果甲状腺剂量!$Q20+SUMPRODUCT(S$5:S$27,后果甲状腺剂量!$I$5:$I$27)*后果甲状腺剂量!$Q20+SUMPRODUCT(T$5:T$27,后果甲状腺剂量!$I$5:$I$27)*后果甲状腺剂量!$R20+SUMPRODUCT(U$5:U$27,后果甲状腺剂量!$I$5:$I$27)*后果甲状腺剂量!$S20+SUMPRODUCT(V$5:V$27,后果甲状腺剂量!$I$5:$I$27)*后果甲状腺剂量!$T20+SUMPRODUCT(W$5:W$27,后果甲状腺剂量!$I$5:$I$27)*后果甲状腺剂量!$U20+SUMPRODUCT(R$5:R$27,后果甲状腺剂量!$J$5:$J$27)*后果甲状腺剂量!$Q20*后果甲状腺剂量!$Q$3+SUMPRODUCT(S$5:S$27,后果甲状腺剂量!$J$5:$J$27)*后果甲状腺剂量!$Q20*后果甲状腺剂量!$Q$3+SUMPRODUCT(T$5:T$27,后果甲状腺剂量!$J$5:$J$27)*后果甲状腺剂量!$R20*后果甲状腺剂量!$R$3+SUMPRODUCT(U$5:U$27,后果甲状腺剂量!$J$5:$J$27)*后果甲状腺剂量!$S20*后果甲状腺剂量!$S$3+SUMPRODUCT(V$5:V$27,后果甲状腺剂量!$J$5:$J$27)*后果甲状腺剂量!$T20*后果甲状腺剂量!$T$3+SUMPRODUCT(W$5:W$27,后果甲状腺剂量!$J$5:$J$27)*后果甲状腺剂量!$U20*后果甲状腺剂量!$U$3+SUMPRODUCT(R$5:R$27,后果甲状腺剂量!$K$5:$K$27)*后果甲状腺剂量!$Q20+SUMPRODUCT(S$5:S$27,后果甲状腺剂量!$K$5:$K$27)*后果甲状腺剂量!$Q20+SUMPRODUCT(T$5:T$27,后果甲状腺剂量!$K$5:$K$27)*后果甲状腺剂量!$R20+SUMPRODUCT(U$5:U$27,后果甲状腺剂量!$K$5:$K$27)*后果甲状腺剂量!$S20+SUMPRODUCT(V$5:V$27,后果甲状腺剂量!$K$5:$K$27)*后果甲状腺剂量!$T20+SUMPRODUCT(W$5:W$27,后果甲状腺剂量!$K$5:$K$27)*后果甲状腺剂量!$U20</f>
        <v>2.10658500563771e-5</v>
      </c>
      <c r="T46" s="454">
        <f ca="1" t="shared" si="256"/>
        <v>0.00605353961586246</v>
      </c>
      <c r="U46" s="454">
        <f ca="1" t="shared" si="257"/>
        <v>0.0210658500563771</v>
      </c>
      <c r="V46" s="436"/>
      <c r="W46" s="436"/>
      <c r="AN46" s="533"/>
      <c r="AO46" s="390"/>
      <c r="AP46" s="390"/>
      <c r="AQ46" s="390"/>
      <c r="AR46" s="390"/>
      <c r="AS46" s="572"/>
      <c r="AT46" s="390"/>
      <c r="AU46" s="390"/>
      <c r="AV46" s="394"/>
      <c r="AW46" s="394"/>
      <c r="AX46" s="394"/>
      <c r="AY46" s="394"/>
      <c r="AZ46" s="394"/>
      <c r="BA46" s="394"/>
      <c r="BB46" s="394"/>
      <c r="BC46" s="394"/>
      <c r="BD46" s="394"/>
      <c r="BE46" s="394"/>
      <c r="BF46" s="394"/>
      <c r="BG46" s="394"/>
      <c r="BH46" s="394"/>
      <c r="BI46" s="394"/>
      <c r="BJ46" s="394"/>
      <c r="BK46" s="394"/>
      <c r="BL46" s="394"/>
      <c r="BM46" s="394"/>
      <c r="BN46" s="394"/>
      <c r="BO46" s="600"/>
      <c r="BP46" s="394"/>
      <c r="BQ46" s="394"/>
      <c r="BR46" s="394"/>
      <c r="BS46" s="394"/>
      <c r="BT46" s="394"/>
      <c r="BU46" s="394"/>
      <c r="BV46" s="394"/>
      <c r="BW46" s="394"/>
      <c r="BX46" s="394"/>
      <c r="BY46" s="394"/>
      <c r="BZ46" s="394"/>
      <c r="CA46" s="394"/>
      <c r="CB46" s="394"/>
      <c r="CC46" s="394"/>
      <c r="CD46" s="394"/>
      <c r="CE46" s="394"/>
      <c r="CF46" s="394"/>
      <c r="CG46" s="394"/>
      <c r="CH46" s="394"/>
      <c r="CI46" s="394"/>
      <c r="CJ46" s="600"/>
      <c r="CK46" s="394"/>
      <c r="CL46" s="394"/>
      <c r="CM46" s="394"/>
      <c r="CN46" s="394"/>
      <c r="CO46" s="394"/>
      <c r="CP46" s="394"/>
      <c r="CQ46" s="394"/>
      <c r="CR46" s="394"/>
      <c r="CS46" s="394"/>
      <c r="CT46" s="394"/>
      <c r="CU46" s="394"/>
      <c r="CV46" s="394"/>
      <c r="CW46" s="394"/>
      <c r="CX46" s="394"/>
      <c r="CY46" s="394"/>
      <c r="CZ46" s="394"/>
      <c r="DA46" s="394"/>
      <c r="DB46" s="394"/>
      <c r="DC46" s="394"/>
      <c r="DD46" s="394"/>
      <c r="DE46" s="394"/>
      <c r="DF46" s="394"/>
      <c r="DG46" s="394"/>
      <c r="DH46" s="394"/>
      <c r="DI46" s="394"/>
      <c r="DJ46" s="394"/>
      <c r="DK46" s="394"/>
      <c r="DL46" s="394"/>
      <c r="DM46" s="394"/>
      <c r="DN46" s="394"/>
      <c r="DO46" s="394"/>
      <c r="DP46" s="394"/>
      <c r="DQ46" s="394"/>
      <c r="DR46" s="394"/>
      <c r="DS46" s="394"/>
      <c r="DT46" s="394"/>
      <c r="DU46" s="394"/>
      <c r="DV46" s="394"/>
      <c r="DW46" s="394"/>
      <c r="DX46" s="394"/>
      <c r="DY46" s="394"/>
      <c r="DZ46" s="600"/>
      <c r="EA46" s="394"/>
      <c r="EB46" s="394"/>
      <c r="EC46" s="394"/>
      <c r="ED46" s="394"/>
      <c r="EE46" s="394"/>
      <c r="EF46" s="394"/>
      <c r="EG46" s="394"/>
      <c r="EH46" s="394"/>
      <c r="EI46" s="394"/>
      <c r="EJ46" s="394"/>
      <c r="EK46" s="394"/>
      <c r="EL46" s="394"/>
      <c r="EM46" s="394"/>
      <c r="EN46" s="394"/>
      <c r="EO46" s="394"/>
      <c r="EP46" s="394"/>
      <c r="EQ46" s="394"/>
      <c r="ER46" s="394"/>
      <c r="ES46" s="394"/>
      <c r="ET46" s="394"/>
      <c r="EU46" s="603"/>
      <c r="EV46" s="394"/>
      <c r="EW46" s="394"/>
      <c r="EX46" s="394"/>
      <c r="EY46" s="394"/>
      <c r="EZ46" s="394"/>
      <c r="FA46" s="394"/>
      <c r="FB46" s="394"/>
      <c r="FC46" s="394"/>
      <c r="FD46" s="394"/>
      <c r="FE46" s="394"/>
      <c r="FF46" s="394"/>
      <c r="FG46" s="394"/>
      <c r="FH46" s="394"/>
      <c r="FI46" s="394"/>
      <c r="FJ46" s="394"/>
      <c r="FK46" s="394"/>
      <c r="FL46" s="394"/>
      <c r="FM46" s="394"/>
      <c r="FN46" s="394"/>
      <c r="FO46" s="394"/>
      <c r="FP46" s="603"/>
      <c r="FQ46" s="394"/>
      <c r="FS46" s="441">
        <f>SUMPRODUCT(FS$5:FS$27,后果有效剂量!$I$5:$I$27)*后果有效剂量!$Q20+SUMPRODUCT(FT$5:FT$27,后果有效剂量!$I$5:$I$27)*后果有效剂量!$R20+SUMPRODUCT(FU$5:FU$27,后果有效剂量!$I$5:$I$27)*后果有效剂量!$S20+SUMPRODUCT(FV$5:FV$27,后果有效剂量!$I$5:$I$27)*后果有效剂量!$T20+SUMPRODUCT(FS$5:FS$27,后果有效剂量!$J$5:$J$27)*后果有效剂量!$Q20*后果有效剂量!$Q$3+SUMPRODUCT(FT$5:FT$27,后果有效剂量!$J$5:$J$27)*后果有效剂量!$R20*后果有效剂量!$R$3+SUMPRODUCT(FU$5:FU$27,后果有效剂量!$J$5:$J$27)*后果有效剂量!$S20*后果有效剂量!$S$3+SUMPRODUCT(FV$5:FV$27,后果有效剂量!$J$5:$J$27)*后果有效剂量!$T20*后果有效剂量!$T$3+SUMPRODUCT(FS$5:FS$27,后果有效剂量!$K$5:$K$27)*后果有效剂量!$Q20+SUMPRODUCT(FT$5:FT$27,后果有效剂量!$K$5:$K$27)*后果有效剂量!$R20+SUMPRODUCT(FU$5:FU$27,后果有效剂量!$K$5:$K$27)*后果有效剂量!$S20+SUMPRODUCT(FV$5:FV$27,后果有效剂量!$K$5:$K$27)*后果有效剂量!$T20</f>
        <v>6.80535169215879e-6</v>
      </c>
      <c r="FT46" s="453">
        <f>SUMPRODUCT(FS$5:FS$27,后果甲状腺剂量!$I$5:$I$27)*后果甲状腺剂量!$Q20+SUMPRODUCT(FT$5:FT$27,后果甲状腺剂量!$I$5:$I$27)*后果甲状腺剂量!$R20+SUMPRODUCT(FU$5:FU$27,后果甲状腺剂量!$I$5:$I$27)*后果甲状腺剂量!$S20+SUMPRODUCT(FV$5:FV$27,后果甲状腺剂量!$I$5:$I$27)*后果甲状腺剂量!$T20+SUMPRODUCT(FS$5:FS$27,后果甲状腺剂量!$J$5:$J$27)*后果甲状腺剂量!$Q20*后果甲状腺剂量!$Q$3+SUMPRODUCT(FT$5:FT$27,后果甲状腺剂量!$J$5:$J$27)*后果甲状腺剂量!$R20*后果甲状腺剂量!$R$3+SUMPRODUCT(FU$5:FU$27,后果甲状腺剂量!$J$5:$J$27)*后果甲状腺剂量!$S20*后果甲状腺剂量!$S$3+SUMPRODUCT(FV$5:FV$27,后果甲状腺剂量!$J$5:$J$27)*后果甲状腺剂量!$T20*后果甲状腺剂量!$T$3+SUMPRODUCT(FS$5:FS$27,后果甲状腺剂量!$K$5:$K$27)*后果甲状腺剂量!$Q20+SUMPRODUCT(FT$5:FT$27,后果甲状腺剂量!$K$5:$K$27)*后果甲状腺剂量!$R20+SUMPRODUCT(FU$5:FU$27,后果甲状腺剂量!$K$5:$K$27)*后果甲状腺剂量!$S20+SUMPRODUCT(FV$5:FV$27,后果甲状腺剂量!$K$5:$K$27)*后果甲状腺剂量!$T20</f>
        <v>4.92490927057719e-5</v>
      </c>
      <c r="FU46" s="454">
        <f t="shared" si="258"/>
        <v>0.00680535169215879</v>
      </c>
      <c r="FV46" s="454">
        <f t="shared" si="259"/>
        <v>0.0492490927057719</v>
      </c>
      <c r="FW46" s="436"/>
      <c r="FX46" s="436"/>
      <c r="GD46" s="440" t="str">
        <f>后果有效剂量!$P20</f>
        <v>75000m</v>
      </c>
      <c r="GE46" s="441">
        <f>SUMPRODUCT(GE$5:GE$27,后果有效剂量!$I$5:$I$27)*后果有效剂量!$Q20+SUMPRODUCT(GF$5:GF$27,后果有效剂量!$I$5:$I$27)*后果有效剂量!$R20+SUMPRODUCT(GG$5:GG$27,后果有效剂量!$I$5:$I$27)*后果有效剂量!$S20+(SUMPRODUCT(GH$5:GH$27,后果有效剂量!$I$5:$I$27)+SUMPRODUCT(GI$5:GI$27,后果有效剂量!$I$5:$I$27))*后果有效剂量!$T20+SUMPRODUCT(GJ$5:GJ$27,后果有效剂量!$I$5:$I$27)*后果有效剂量!$U20+SUMPRODUCT(GE$5:GE$27,后果有效剂量!$J$5:$J$27)*后果有效剂量!$Q20*后果有效剂量!$Q$3+SUMPRODUCT(GF$5:GF$27,后果有效剂量!$J$5:$J$27)*后果有效剂量!$R20*后果有效剂量!$R$3+SUMPRODUCT(GG$5:GG$27,后果有效剂量!$J$5:$J$27)*后果有效剂量!$S20*后果有效剂量!$S$3+(SUMPRODUCT(GH$5:GH$27,后果有效剂量!$J$5:$J$27)+SUMPRODUCT(GI$5:GI$27,后果有效剂量!$J$5:$J$27))*后果有效剂量!$T20*后果有效剂量!$T$3+SUMPRODUCT(GJ$5:GJ$27,后果有效剂量!$J$5:$J$27)*后果有效剂量!$U20*后果有效剂量!$U$3+SUMPRODUCT(GE$5:GE$27,后果有效剂量!$K$5:$K$27)*后果有效剂量!$Q20+SUMPRODUCT(GF$5:GF$27,后果有效剂量!$K$5:$K$27)*后果有效剂量!$R20+SUMPRODUCT(GG$5:GG$27,后果有效剂量!$K$5:$K$27)*后果有效剂量!$S20+(SUMPRODUCT(GH$5:GH$27,后果有效剂量!$K$5:$K$27)+SUMPRODUCT(GI$5:GI$27,后果有效剂量!$K$5:$K$27))*后果有效剂量!$T20+SUMPRODUCT(GJ$5:GJ$27,后果有效剂量!$K$5:$K$27)*后果有效剂量!$U20</f>
        <v>1.41335291296165e-6</v>
      </c>
      <c r="GF46" s="453">
        <f>SUMPRODUCT(GE$5:GE$27,后果甲状腺剂量!$I$5:$I$27)*后果甲状腺剂量!$Q20+SUMPRODUCT(GF$5:GF$27,后果甲状腺剂量!$I$5:$I$27)*后果甲状腺剂量!$R20+SUMPRODUCT(GG$5:GG$27,后果甲状腺剂量!$I$5:$I$27)*后果甲状腺剂量!$S20+(SUMPRODUCT(GH$5:GH$27,后果甲状腺剂量!$I$5:$I$27)+SUMPRODUCT(GI$5:GI$27,后果甲状腺剂量!$I$5:$I$27))*后果甲状腺剂量!$T20+SUMPRODUCT(GJ$5:GJ$27,后果甲状腺剂量!$I$5:$I$27)*后果甲状腺剂量!$U20+SUMPRODUCT(GE$5:GE$27,后果甲状腺剂量!$J$5:$J$27)*后果甲状腺剂量!$Q20*后果甲状腺剂量!$Q$3+SUMPRODUCT(GF$5:GF$27,后果甲状腺剂量!$J$5:$J$27)*后果甲状腺剂量!$R20*后果甲状腺剂量!$R$3+SUMPRODUCT(GG$5:GG$27,后果甲状腺剂量!$J$5:$J$27)*后果甲状腺剂量!$S20*后果甲状腺剂量!$S$3+(SUMPRODUCT(GH$5:GH$27,后果甲状腺剂量!$J$5:$J$27)+SUMPRODUCT(GI$5:GI$27,后果甲状腺剂量!$J$5:$J$27))*后果甲状腺剂量!$T20*后果甲状腺剂量!$T$3+SUMPRODUCT(GJ$5:GJ$27,后果甲状腺剂量!$J$5:$J$27)*后果甲状腺剂量!$U20*后果甲状腺剂量!$U$3+SUMPRODUCT(GE$5:GE$27,后果甲状腺剂量!$K$5:$K$27)*后果甲状腺剂量!$Q20+SUMPRODUCT(GF$5:GF$27,后果甲状腺剂量!$K$5:$K$27)*后果甲状腺剂量!$R20+SUMPRODUCT(GG$5:GG$27,后果甲状腺剂量!$K$5:$K$27)*后果甲状腺剂量!$S20+(SUMPRODUCT(GH$5:GH$27,后果甲状腺剂量!$K$5:$K$27)+SUMPRODUCT(GI$5:GI$27,后果甲状腺剂量!$K$5:$K$27))*后果甲状腺剂量!$T20+SUMPRODUCT(GJ$5:GJ$27,后果甲状腺剂量!$K$5:$K$27)*后果甲状腺剂量!$U20</f>
        <v>7.16623588196207e-6</v>
      </c>
      <c r="GG46" s="454">
        <f t="shared" si="260"/>
        <v>0.00141335291296165</v>
      </c>
      <c r="GH46" s="454">
        <f t="shared" si="261"/>
        <v>0.00716623588196207</v>
      </c>
      <c r="GI46" s="436"/>
      <c r="GJ46" s="436"/>
    </row>
    <row r="47" spans="7:192">
      <c r="G47" s="440">
        <f>后果有效剂量!$P21</f>
        <v>0</v>
      </c>
      <c r="H47" s="441">
        <f ca="1">SUMPRODUCT(H$5:H$27,后果有效剂量!$I$5:$I$27)*后果有效剂量!$Q21+SUMPRODUCT(I$5:I$27,后果有效剂量!$I$5:$I$27)*后果有效剂量!$Q21+SUMPRODUCT(J$5:J$27,后果有效剂量!$I$5:$I$27)*后果有效剂量!$R21+SUMPRODUCT(K$5:K$27,后果有效剂量!$I$5:$I$27)*后果有效剂量!$S21+SUMPRODUCT(L$5:L$27,后果有效剂量!$I$5:$I$27)*后果有效剂量!$T21+SUMPRODUCT(M$5:M$27,后果有效剂量!$I$5:$I$27)*后果有效剂量!$U21+SUMPRODUCT(H$5:H$27,后果有效剂量!$J$5:$J$27)*后果有效剂量!$Q21*后果有效剂量!$Q$3+SUMPRODUCT(I$5:I$27,后果有效剂量!$J$5:$J$27)*后果有效剂量!$Q21*后果有效剂量!$Q$3+SUMPRODUCT(J$5:J$27,后果有效剂量!$J$5:$J$27)*后果有效剂量!$R21*后果有效剂量!$R$3+SUMPRODUCT(K$5:K$27,后果有效剂量!$J$5:$J$27)*后果有效剂量!$S21*后果有效剂量!$S$3+SUMPRODUCT(L$5:L$27,后果有效剂量!$J$5:$J$27)*后果有效剂量!$T21*后果有效剂量!$T$3+SUMPRODUCT(M$5:M$27,后果有效剂量!$J$5:$J$27)*后果有效剂量!$U21*后果有效剂量!$U$3+SUMPRODUCT(H$5:H$27,后果有效剂量!$K$5:$K$27)*后果有效剂量!$Q21+SUMPRODUCT(I$5:I$27,后果有效剂量!$K$5:$K$27)*后果有效剂量!$Q21+SUMPRODUCT(J$5:J$27,后果有效剂量!$K$5:$K$27)*后果有效剂量!$R21+SUMPRODUCT(K$5:K$27,后果有效剂量!$K$5:$K$27)*后果有效剂量!$S21+SUMPRODUCT(L$5:L$27,后果有效剂量!$K$5:$K$27)*后果有效剂量!$T21+SUMPRODUCT(M$5:M$27,后果有效剂量!$K$5:$K$27)*后果有效剂量!$U21</f>
        <v>0</v>
      </c>
      <c r="I47" s="453">
        <f ca="1">SUMPRODUCT(H$5:H$27,后果甲状腺剂量!$I$5:$I$27)*后果甲状腺剂量!$Q21+SUMPRODUCT(I$5:I$27,后果甲状腺剂量!$I$5:$I$27)*后果甲状腺剂量!$Q21+SUMPRODUCT(J$5:J$27,后果甲状腺剂量!$I$5:$I$27)*后果甲状腺剂量!$R21+SUMPRODUCT(K$5:K$27,后果甲状腺剂量!$I$5:$I$27)*后果甲状腺剂量!$S21+SUMPRODUCT(L$5:L$27,后果甲状腺剂量!$I$5:$I$27)*后果甲状腺剂量!$T21+SUMPRODUCT(M$5:M$27,后果甲状腺剂量!$I$5:$I$27)*后果甲状腺剂量!$U21+SUMPRODUCT(H$5:H$27,后果甲状腺剂量!$J$5:$J$27)*后果甲状腺剂量!$Q21*后果甲状腺剂量!$Q$3+SUMPRODUCT(I$5:I$27,后果甲状腺剂量!$J$5:$J$27)*后果甲状腺剂量!$Q21*后果甲状腺剂量!$Q$3+SUMPRODUCT(J$5:J$27,后果甲状腺剂量!$J$5:$J$27)*后果甲状腺剂量!$R21*后果甲状腺剂量!$R$3+SUMPRODUCT(K$5:K$27,后果甲状腺剂量!$J$5:$J$27)*后果甲状腺剂量!$S21*后果甲状腺剂量!$S$3+SUMPRODUCT(L$5:L$27,后果甲状腺剂量!$J$5:$J$27)*后果甲状腺剂量!$T21*后果甲状腺剂量!$T$3+SUMPRODUCT(M$5:M$27,后果甲状腺剂量!$J$5:$J$27)*后果甲状腺剂量!$U21*后果甲状腺剂量!$U$3+SUMPRODUCT(H$5:H$27,后果甲状腺剂量!$K$5:$K$27)*后果甲状腺剂量!$Q21+SUMPRODUCT(I$5:I$27,后果甲状腺剂量!$K$5:$K$27)*后果甲状腺剂量!$Q21+SUMPRODUCT(J$5:J$27,后果甲状腺剂量!$K$5:$K$27)*后果甲状腺剂量!$R21+SUMPRODUCT(K$5:K$27,后果甲状腺剂量!$K$5:$K$27)*后果甲状腺剂量!$S21+SUMPRODUCT(L$5:L$27,后果甲状腺剂量!$K$5:$K$27)*后果甲状腺剂量!$T21+SUMPRODUCT(M$5:M$27,后果甲状腺剂量!$K$5:$K$27)*后果甲状腺剂量!$U21</f>
        <v>0</v>
      </c>
      <c r="J47" s="454">
        <f ca="1" t="shared" si="254"/>
        <v>0</v>
      </c>
      <c r="K47" s="454">
        <f ca="1" t="shared" si="255"/>
        <v>0</v>
      </c>
      <c r="L47" s="436"/>
      <c r="M47" s="436"/>
      <c r="N47" s="455"/>
      <c r="O47" s="390"/>
      <c r="Q47" s="440">
        <f>后果有效剂量!$P21</f>
        <v>0</v>
      </c>
      <c r="R47" s="441">
        <f ca="1">SUMPRODUCT(R$5:R$27,后果有效剂量!$I$5:$I$27)*后果有效剂量!$Q21+SUMPRODUCT(S$5:S$27,后果有效剂量!$I$5:$I$27)*后果有效剂量!$Q21+SUMPRODUCT(T$5:T$27,后果有效剂量!$I$5:$I$27)*后果有效剂量!$R21+SUMPRODUCT(U$5:U$27,后果有效剂量!$I$5:$I$27)*后果有效剂量!$S21+SUMPRODUCT(V$5:V$27,后果有效剂量!$I$5:$I$27)*后果有效剂量!$T21+SUMPRODUCT(W$5:W$27,后果有效剂量!$I$5:$I$27)*后果有效剂量!$U21+SUMPRODUCT(R$5:R$27,后果有效剂量!$J$5:$J$27)*后果有效剂量!$Q21*后果有效剂量!$Q$3+SUMPRODUCT(S$5:S$27,后果有效剂量!$J$5:$J$27)*后果有效剂量!$Q21*后果有效剂量!$Q$3+SUMPRODUCT(T$5:T$27,后果有效剂量!$J$5:$J$27)*后果有效剂量!$R21*后果有效剂量!$R$3+SUMPRODUCT(U$5:U$27,后果有效剂量!$J$5:$J$27)*后果有效剂量!$S21*后果有效剂量!$S$3+SUMPRODUCT(V$5:V$27,后果有效剂量!$J$5:$J$27)*后果有效剂量!$T21*后果有效剂量!$T$3+SUMPRODUCT(W$5:W$27,后果有效剂量!$J$5:$J$27)*后果有效剂量!$U21*后果有效剂量!$U$3+SUMPRODUCT(R$5:R$27,后果有效剂量!$K$5:$K$27)*后果有效剂量!$Q21+SUMPRODUCT(S$5:S$27,后果有效剂量!$K$5:$K$27)*后果有效剂量!$Q21+SUMPRODUCT(T$5:T$27,后果有效剂量!$K$5:$K$27)*后果有效剂量!$R21+SUMPRODUCT(U$5:U$27,后果有效剂量!$K$5:$K$27)*后果有效剂量!$S21+SUMPRODUCT(V$5:V$27,后果有效剂量!$K$5:$K$27)*后果有效剂量!$T21+SUMPRODUCT(W$5:W$27,后果有效剂量!$K$5:$K$27)*后果有效剂量!$U21</f>
        <v>0</v>
      </c>
      <c r="S47" s="453">
        <f ca="1">SUMPRODUCT(R$5:R$27,后果甲状腺剂量!$I$5:$I$27)*后果甲状腺剂量!$Q21+SUMPRODUCT(S$5:S$27,后果甲状腺剂量!$I$5:$I$27)*后果甲状腺剂量!$Q21+SUMPRODUCT(T$5:T$27,后果甲状腺剂量!$I$5:$I$27)*后果甲状腺剂量!$R21+SUMPRODUCT(U$5:U$27,后果甲状腺剂量!$I$5:$I$27)*后果甲状腺剂量!$S21+SUMPRODUCT(V$5:V$27,后果甲状腺剂量!$I$5:$I$27)*后果甲状腺剂量!$T21+SUMPRODUCT(W$5:W$27,后果甲状腺剂量!$I$5:$I$27)*后果甲状腺剂量!$U21+SUMPRODUCT(R$5:R$27,后果甲状腺剂量!$J$5:$J$27)*后果甲状腺剂量!$Q21*后果甲状腺剂量!$Q$3+SUMPRODUCT(S$5:S$27,后果甲状腺剂量!$J$5:$J$27)*后果甲状腺剂量!$Q21*后果甲状腺剂量!$Q$3+SUMPRODUCT(T$5:T$27,后果甲状腺剂量!$J$5:$J$27)*后果甲状腺剂量!$R21*后果甲状腺剂量!$R$3+SUMPRODUCT(U$5:U$27,后果甲状腺剂量!$J$5:$J$27)*后果甲状腺剂量!$S21*后果甲状腺剂量!$S$3+SUMPRODUCT(V$5:V$27,后果甲状腺剂量!$J$5:$J$27)*后果甲状腺剂量!$T21*后果甲状腺剂量!$T$3+SUMPRODUCT(W$5:W$27,后果甲状腺剂量!$J$5:$J$27)*后果甲状腺剂量!$U21*后果甲状腺剂量!$U$3+SUMPRODUCT(R$5:R$27,后果甲状腺剂量!$K$5:$K$27)*后果甲状腺剂量!$Q21+SUMPRODUCT(S$5:S$27,后果甲状腺剂量!$K$5:$K$27)*后果甲状腺剂量!$Q21+SUMPRODUCT(T$5:T$27,后果甲状腺剂量!$K$5:$K$27)*后果甲状腺剂量!$R21+SUMPRODUCT(U$5:U$27,后果甲状腺剂量!$K$5:$K$27)*后果甲状腺剂量!$S21+SUMPRODUCT(V$5:V$27,后果甲状腺剂量!$K$5:$K$27)*后果甲状腺剂量!$T21+SUMPRODUCT(W$5:W$27,后果甲状腺剂量!$K$5:$K$27)*后果甲状腺剂量!$U21</f>
        <v>0</v>
      </c>
      <c r="T47" s="454">
        <f ca="1" t="shared" si="256"/>
        <v>0</v>
      </c>
      <c r="U47" s="454">
        <f ca="1" t="shared" si="257"/>
        <v>0</v>
      </c>
      <c r="V47" s="436"/>
      <c r="W47" s="436"/>
      <c r="AN47" s="533"/>
      <c r="AO47" s="390"/>
      <c r="AP47" s="390"/>
      <c r="AQ47" s="390"/>
      <c r="AR47" s="390"/>
      <c r="AS47" s="572"/>
      <c r="AT47" s="390"/>
      <c r="AU47" s="390"/>
      <c r="AV47" s="394"/>
      <c r="AW47" s="394"/>
      <c r="AX47" s="394"/>
      <c r="AY47" s="394"/>
      <c r="AZ47" s="394"/>
      <c r="BA47" s="394"/>
      <c r="BB47" s="394"/>
      <c r="BC47" s="394"/>
      <c r="BD47" s="394"/>
      <c r="BE47" s="394"/>
      <c r="BF47" s="394"/>
      <c r="BG47" s="394"/>
      <c r="BH47" s="394"/>
      <c r="BI47" s="394"/>
      <c r="BJ47" s="394"/>
      <c r="BK47" s="394"/>
      <c r="BL47" s="394"/>
      <c r="BM47" s="394"/>
      <c r="BN47" s="394"/>
      <c r="BO47" s="600"/>
      <c r="BP47" s="394"/>
      <c r="BQ47" s="394"/>
      <c r="BR47" s="394"/>
      <c r="BS47" s="394"/>
      <c r="BT47" s="394"/>
      <c r="BU47" s="394"/>
      <c r="BV47" s="394"/>
      <c r="BW47" s="394"/>
      <c r="BX47" s="394"/>
      <c r="BY47" s="394"/>
      <c r="BZ47" s="394"/>
      <c r="CA47" s="394"/>
      <c r="CB47" s="394"/>
      <c r="CC47" s="394"/>
      <c r="CD47" s="394"/>
      <c r="CE47" s="394"/>
      <c r="CF47" s="394"/>
      <c r="CG47" s="394"/>
      <c r="CH47" s="394"/>
      <c r="CI47" s="394"/>
      <c r="CJ47" s="600"/>
      <c r="CK47" s="394"/>
      <c r="CL47" s="394"/>
      <c r="CM47" s="394"/>
      <c r="CN47" s="394"/>
      <c r="CO47" s="394"/>
      <c r="CP47" s="394"/>
      <c r="CQ47" s="394"/>
      <c r="CR47" s="394"/>
      <c r="CS47" s="394"/>
      <c r="CT47" s="394"/>
      <c r="CU47" s="394"/>
      <c r="CV47" s="394"/>
      <c r="CW47" s="394"/>
      <c r="CX47" s="394"/>
      <c r="CY47" s="394"/>
      <c r="CZ47" s="394"/>
      <c r="DA47" s="394"/>
      <c r="DB47" s="394"/>
      <c r="DC47" s="394"/>
      <c r="DD47" s="394"/>
      <c r="DE47" s="394"/>
      <c r="DF47" s="394"/>
      <c r="DG47" s="394"/>
      <c r="DH47" s="394"/>
      <c r="DI47" s="394"/>
      <c r="DJ47" s="394"/>
      <c r="DK47" s="394"/>
      <c r="DL47" s="394"/>
      <c r="DM47" s="394"/>
      <c r="DN47" s="394"/>
      <c r="DO47" s="394"/>
      <c r="DP47" s="394"/>
      <c r="DQ47" s="394"/>
      <c r="DR47" s="394"/>
      <c r="DS47" s="394"/>
      <c r="DT47" s="394"/>
      <c r="DU47" s="394"/>
      <c r="DV47" s="394"/>
      <c r="DW47" s="394"/>
      <c r="DX47" s="394"/>
      <c r="DY47" s="394"/>
      <c r="DZ47" s="600"/>
      <c r="EA47" s="394"/>
      <c r="EB47" s="394"/>
      <c r="EC47" s="394"/>
      <c r="ED47" s="394"/>
      <c r="EE47" s="394"/>
      <c r="EF47" s="394"/>
      <c r="EG47" s="394"/>
      <c r="EH47" s="394"/>
      <c r="EI47" s="394"/>
      <c r="EJ47" s="394"/>
      <c r="EK47" s="394"/>
      <c r="EL47" s="394"/>
      <c r="EM47" s="394"/>
      <c r="EN47" s="394"/>
      <c r="EO47" s="394"/>
      <c r="EP47" s="394"/>
      <c r="EQ47" s="394"/>
      <c r="ER47" s="394"/>
      <c r="ES47" s="394"/>
      <c r="ET47" s="394"/>
      <c r="EU47" s="603"/>
      <c r="EV47" s="394"/>
      <c r="EW47" s="394"/>
      <c r="EX47" s="394"/>
      <c r="EY47" s="394"/>
      <c r="EZ47" s="394"/>
      <c r="FA47" s="394"/>
      <c r="FB47" s="394"/>
      <c r="FC47" s="394"/>
      <c r="FD47" s="394"/>
      <c r="FE47" s="394"/>
      <c r="FF47" s="394"/>
      <c r="FG47" s="394"/>
      <c r="FH47" s="394"/>
      <c r="FI47" s="394"/>
      <c r="FJ47" s="394"/>
      <c r="FK47" s="394"/>
      <c r="FL47" s="394"/>
      <c r="FM47" s="394"/>
      <c r="FN47" s="394"/>
      <c r="FO47" s="394"/>
      <c r="FP47" s="603"/>
      <c r="FQ47" s="394"/>
      <c r="FS47" s="441">
        <f>SUMPRODUCT(FS$5:FS$27,后果有效剂量!$I$5:$I$27)*后果有效剂量!$Q21+SUMPRODUCT(FT$5:FT$27,后果有效剂量!$I$5:$I$27)*后果有效剂量!$R21+SUMPRODUCT(FU$5:FU$27,后果有效剂量!$I$5:$I$27)*后果有效剂量!$S21+SUMPRODUCT(FV$5:FV$27,后果有效剂量!$I$5:$I$27)*后果有效剂量!$T21+SUMPRODUCT(FS$5:FS$27,后果有效剂量!$J$5:$J$27)*后果有效剂量!$Q21*后果有效剂量!$Q$3+SUMPRODUCT(FT$5:FT$27,后果有效剂量!$J$5:$J$27)*后果有效剂量!$R21*后果有效剂量!$R$3+SUMPRODUCT(FU$5:FU$27,后果有效剂量!$J$5:$J$27)*后果有效剂量!$S21*后果有效剂量!$S$3+SUMPRODUCT(FV$5:FV$27,后果有效剂量!$J$5:$J$27)*后果有效剂量!$T21*后果有效剂量!$T$3+SUMPRODUCT(FS$5:FS$27,后果有效剂量!$K$5:$K$27)*后果有效剂量!$Q21+SUMPRODUCT(FT$5:FT$27,后果有效剂量!$K$5:$K$27)*后果有效剂量!$R21+SUMPRODUCT(FU$5:FU$27,后果有效剂量!$K$5:$K$27)*后果有效剂量!$S21+SUMPRODUCT(FV$5:FV$27,后果有效剂量!$K$5:$K$27)*后果有效剂量!$T21</f>
        <v>0</v>
      </c>
      <c r="FT47" s="453">
        <f>SUMPRODUCT(FS$5:FS$27,后果甲状腺剂量!$I$5:$I$27)*后果甲状腺剂量!$Q21+SUMPRODUCT(FT$5:FT$27,后果甲状腺剂量!$I$5:$I$27)*后果甲状腺剂量!$R21+SUMPRODUCT(FU$5:FU$27,后果甲状腺剂量!$I$5:$I$27)*后果甲状腺剂量!$S21+SUMPRODUCT(FV$5:FV$27,后果甲状腺剂量!$I$5:$I$27)*后果甲状腺剂量!$T21+SUMPRODUCT(FS$5:FS$27,后果甲状腺剂量!$J$5:$J$27)*后果甲状腺剂量!$Q21*后果甲状腺剂量!$Q$3+SUMPRODUCT(FT$5:FT$27,后果甲状腺剂量!$J$5:$J$27)*后果甲状腺剂量!$R21*后果甲状腺剂量!$R$3+SUMPRODUCT(FU$5:FU$27,后果甲状腺剂量!$J$5:$J$27)*后果甲状腺剂量!$S21*后果甲状腺剂量!$S$3+SUMPRODUCT(FV$5:FV$27,后果甲状腺剂量!$J$5:$J$27)*后果甲状腺剂量!$T21*后果甲状腺剂量!$T$3+SUMPRODUCT(FS$5:FS$27,后果甲状腺剂量!$K$5:$K$27)*后果甲状腺剂量!$Q21+SUMPRODUCT(FT$5:FT$27,后果甲状腺剂量!$K$5:$K$27)*后果甲状腺剂量!$R21+SUMPRODUCT(FU$5:FU$27,后果甲状腺剂量!$K$5:$K$27)*后果甲状腺剂量!$S21+SUMPRODUCT(FV$5:FV$27,后果甲状腺剂量!$K$5:$K$27)*后果甲状腺剂量!$T21</f>
        <v>0</v>
      </c>
      <c r="FU47" s="454">
        <f t="shared" si="258"/>
        <v>0</v>
      </c>
      <c r="FV47" s="454">
        <f t="shared" si="259"/>
        <v>0</v>
      </c>
      <c r="FW47" s="436"/>
      <c r="FX47" s="436"/>
      <c r="GD47" s="440">
        <f>后果有效剂量!$P21</f>
        <v>0</v>
      </c>
      <c r="GE47" s="441">
        <f>SUMPRODUCT(GE$5:GE$27,后果有效剂量!$I$5:$I$27)*后果有效剂量!$Q21+SUMPRODUCT(GF$5:GF$27,后果有效剂量!$I$5:$I$27)*后果有效剂量!$R21+SUMPRODUCT(GG$5:GG$27,后果有效剂量!$I$5:$I$27)*后果有效剂量!$S21+(SUMPRODUCT(GH$5:GH$27,后果有效剂量!$I$5:$I$27)+SUMPRODUCT(GI$5:GI$27,后果有效剂量!$I$5:$I$27))*后果有效剂量!$T21+SUMPRODUCT(GJ$5:GJ$27,后果有效剂量!$I$5:$I$27)*后果有效剂量!$U21+SUMPRODUCT(GE$5:GE$27,后果有效剂量!$J$5:$J$27)*后果有效剂量!$Q21*后果有效剂量!$Q$3+SUMPRODUCT(GF$5:GF$27,后果有效剂量!$J$5:$J$27)*后果有效剂量!$R21*后果有效剂量!$R$3+SUMPRODUCT(GG$5:GG$27,后果有效剂量!$J$5:$J$27)*后果有效剂量!$S21*后果有效剂量!$S$3+(SUMPRODUCT(GH$5:GH$27,后果有效剂量!$J$5:$J$27)+SUMPRODUCT(GI$5:GI$27,后果有效剂量!$J$5:$J$27))*后果有效剂量!$T21*后果有效剂量!$T$3+SUMPRODUCT(GJ$5:GJ$27,后果有效剂量!$J$5:$J$27)*后果有效剂量!$U21*后果有效剂量!$U$3+SUMPRODUCT(GE$5:GE$27,后果有效剂量!$K$5:$K$27)*后果有效剂量!$Q21+SUMPRODUCT(GF$5:GF$27,后果有效剂量!$K$5:$K$27)*后果有效剂量!$R21+SUMPRODUCT(GG$5:GG$27,后果有效剂量!$K$5:$K$27)*后果有效剂量!$S21+(SUMPRODUCT(GH$5:GH$27,后果有效剂量!$K$5:$K$27)+SUMPRODUCT(GI$5:GI$27,后果有效剂量!$K$5:$K$27))*后果有效剂量!$T21+SUMPRODUCT(GJ$5:GJ$27,后果有效剂量!$K$5:$K$27)*后果有效剂量!$U21</f>
        <v>0</v>
      </c>
      <c r="GF47" s="453">
        <f>SUMPRODUCT(GE$5:GE$27,后果甲状腺剂量!$I$5:$I$27)*后果甲状腺剂量!$Q21+SUMPRODUCT(GF$5:GF$27,后果甲状腺剂量!$I$5:$I$27)*后果甲状腺剂量!$R21+SUMPRODUCT(GG$5:GG$27,后果甲状腺剂量!$I$5:$I$27)*后果甲状腺剂量!$S21+(SUMPRODUCT(GH$5:GH$27,后果甲状腺剂量!$I$5:$I$27)+SUMPRODUCT(GI$5:GI$27,后果甲状腺剂量!$I$5:$I$27))*后果甲状腺剂量!$T21+SUMPRODUCT(GJ$5:GJ$27,后果甲状腺剂量!$I$5:$I$27)*后果甲状腺剂量!$U21+SUMPRODUCT(GE$5:GE$27,后果甲状腺剂量!$J$5:$J$27)*后果甲状腺剂量!$Q21*后果甲状腺剂量!$Q$3+SUMPRODUCT(GF$5:GF$27,后果甲状腺剂量!$J$5:$J$27)*后果甲状腺剂量!$R21*后果甲状腺剂量!$R$3+SUMPRODUCT(GG$5:GG$27,后果甲状腺剂量!$J$5:$J$27)*后果甲状腺剂量!$S21*后果甲状腺剂量!$S$3+(SUMPRODUCT(GH$5:GH$27,后果甲状腺剂量!$J$5:$J$27)+SUMPRODUCT(GI$5:GI$27,后果甲状腺剂量!$J$5:$J$27))*后果甲状腺剂量!$T21*后果甲状腺剂量!$T$3+SUMPRODUCT(GJ$5:GJ$27,后果甲状腺剂量!$J$5:$J$27)*后果甲状腺剂量!$U21*后果甲状腺剂量!$U$3+SUMPRODUCT(GE$5:GE$27,后果甲状腺剂量!$K$5:$K$27)*后果甲状腺剂量!$Q21+SUMPRODUCT(GF$5:GF$27,后果甲状腺剂量!$K$5:$K$27)*后果甲状腺剂量!$R21+SUMPRODUCT(GG$5:GG$27,后果甲状腺剂量!$K$5:$K$27)*后果甲状腺剂量!$S21+(SUMPRODUCT(GH$5:GH$27,后果甲状腺剂量!$K$5:$K$27)+SUMPRODUCT(GI$5:GI$27,后果甲状腺剂量!$K$5:$K$27))*后果甲状腺剂量!$T21+SUMPRODUCT(GJ$5:GJ$27,后果甲状腺剂量!$K$5:$K$27)*后果甲状腺剂量!$U21</f>
        <v>0</v>
      </c>
      <c r="GG47" s="454">
        <f t="shared" si="260"/>
        <v>0</v>
      </c>
      <c r="GH47" s="454">
        <f t="shared" si="261"/>
        <v>0</v>
      </c>
      <c r="GI47" s="436"/>
      <c r="GJ47" s="436"/>
    </row>
    <row r="48" spans="7:192">
      <c r="G48" s="440">
        <f>后果有效剂量!$P22</f>
        <v>0</v>
      </c>
      <c r="H48" s="441">
        <f ca="1">SUMPRODUCT(H$5:H$27,后果有效剂量!$I$5:$I$27)*后果有效剂量!$Q22+SUMPRODUCT(I$5:I$27,后果有效剂量!$I$5:$I$27)*后果有效剂量!$Q22+SUMPRODUCT(J$5:J$27,后果有效剂量!$I$5:$I$27)*后果有效剂量!$R22+SUMPRODUCT(K$5:K$27,后果有效剂量!$I$5:$I$27)*后果有效剂量!$S22+SUMPRODUCT(L$5:L$27,后果有效剂量!$I$5:$I$27)*后果有效剂量!$T22+SUMPRODUCT(M$5:M$27,后果有效剂量!$I$5:$I$27)*后果有效剂量!$U22+SUMPRODUCT(H$5:H$27,后果有效剂量!$J$5:$J$27)*后果有效剂量!$Q22*后果有效剂量!$Q$3+SUMPRODUCT(I$5:I$27,后果有效剂量!$J$5:$J$27)*后果有效剂量!$Q22*后果有效剂量!$Q$3+SUMPRODUCT(J$5:J$27,后果有效剂量!$J$5:$J$27)*后果有效剂量!$R22*后果有效剂量!$R$3+SUMPRODUCT(K$5:K$27,后果有效剂量!$J$5:$J$27)*后果有效剂量!$S22*后果有效剂量!$S$3+SUMPRODUCT(L$5:L$27,后果有效剂量!$J$5:$J$27)*后果有效剂量!$T22*后果有效剂量!$T$3+SUMPRODUCT(M$5:M$27,后果有效剂量!$J$5:$J$27)*后果有效剂量!$U22*后果有效剂量!$U$3+SUMPRODUCT(H$5:H$27,后果有效剂量!$K$5:$K$27)*后果有效剂量!$Q22+SUMPRODUCT(I$5:I$27,后果有效剂量!$K$5:$K$27)*后果有效剂量!$Q22+SUMPRODUCT(J$5:J$27,后果有效剂量!$K$5:$K$27)*后果有效剂量!$R22+SUMPRODUCT(K$5:K$27,后果有效剂量!$K$5:$K$27)*后果有效剂量!$S22+SUMPRODUCT(L$5:L$27,后果有效剂量!$K$5:$K$27)*后果有效剂量!$T22+SUMPRODUCT(M$5:M$27,后果有效剂量!$K$5:$K$27)*后果有效剂量!$U22</f>
        <v>0</v>
      </c>
      <c r="I48" s="453">
        <f ca="1">SUMPRODUCT(H$5:H$27,后果甲状腺剂量!$I$5:$I$27)*后果甲状腺剂量!$Q22+SUMPRODUCT(I$5:I$27,后果甲状腺剂量!$I$5:$I$27)*后果甲状腺剂量!$Q22+SUMPRODUCT(J$5:J$27,后果甲状腺剂量!$I$5:$I$27)*后果甲状腺剂量!$R22+SUMPRODUCT(K$5:K$27,后果甲状腺剂量!$I$5:$I$27)*后果甲状腺剂量!$S22+SUMPRODUCT(L$5:L$27,后果甲状腺剂量!$I$5:$I$27)*后果甲状腺剂量!$T22+SUMPRODUCT(M$5:M$27,后果甲状腺剂量!$I$5:$I$27)*后果甲状腺剂量!$U22+SUMPRODUCT(H$5:H$27,后果甲状腺剂量!$J$5:$J$27)*后果甲状腺剂量!$Q22*后果甲状腺剂量!$Q$3+SUMPRODUCT(I$5:I$27,后果甲状腺剂量!$J$5:$J$27)*后果甲状腺剂量!$Q22*后果甲状腺剂量!$Q$3+SUMPRODUCT(J$5:J$27,后果甲状腺剂量!$J$5:$J$27)*后果甲状腺剂量!$R22*后果甲状腺剂量!$R$3+SUMPRODUCT(K$5:K$27,后果甲状腺剂量!$J$5:$J$27)*后果甲状腺剂量!$S22*后果甲状腺剂量!$S$3+SUMPRODUCT(L$5:L$27,后果甲状腺剂量!$J$5:$J$27)*后果甲状腺剂量!$T22*后果甲状腺剂量!$T$3+SUMPRODUCT(M$5:M$27,后果甲状腺剂量!$J$5:$J$27)*后果甲状腺剂量!$U22*后果甲状腺剂量!$U$3+SUMPRODUCT(H$5:H$27,后果甲状腺剂量!$K$5:$K$27)*后果甲状腺剂量!$Q22+SUMPRODUCT(I$5:I$27,后果甲状腺剂量!$K$5:$K$27)*后果甲状腺剂量!$Q22+SUMPRODUCT(J$5:J$27,后果甲状腺剂量!$K$5:$K$27)*后果甲状腺剂量!$R22+SUMPRODUCT(K$5:K$27,后果甲状腺剂量!$K$5:$K$27)*后果甲状腺剂量!$S22+SUMPRODUCT(L$5:L$27,后果甲状腺剂量!$K$5:$K$27)*后果甲状腺剂量!$T22+SUMPRODUCT(M$5:M$27,后果甲状腺剂量!$K$5:$K$27)*后果甲状腺剂量!$U22</f>
        <v>0</v>
      </c>
      <c r="J48" s="454">
        <f ca="1" t="shared" si="254"/>
        <v>0</v>
      </c>
      <c r="K48" s="454">
        <f ca="1" t="shared" si="255"/>
        <v>0</v>
      </c>
      <c r="L48" s="436"/>
      <c r="M48" s="436"/>
      <c r="N48" s="455"/>
      <c r="O48" s="390"/>
      <c r="Q48" s="440">
        <f>后果有效剂量!$P22</f>
        <v>0</v>
      </c>
      <c r="R48" s="441">
        <f ca="1">SUMPRODUCT(R$5:R$27,后果有效剂量!$I$5:$I$27)*后果有效剂量!$Q22+SUMPRODUCT(S$5:S$27,后果有效剂量!$I$5:$I$27)*后果有效剂量!$Q22+SUMPRODUCT(T$5:T$27,后果有效剂量!$I$5:$I$27)*后果有效剂量!$R22+SUMPRODUCT(U$5:U$27,后果有效剂量!$I$5:$I$27)*后果有效剂量!$S22+SUMPRODUCT(V$5:V$27,后果有效剂量!$I$5:$I$27)*后果有效剂量!$T22+SUMPRODUCT(W$5:W$27,后果有效剂量!$I$5:$I$27)*后果有效剂量!$U22+SUMPRODUCT(R$5:R$27,后果有效剂量!$J$5:$J$27)*后果有效剂量!$Q22*后果有效剂量!$Q$3+SUMPRODUCT(S$5:S$27,后果有效剂量!$J$5:$J$27)*后果有效剂量!$Q22*后果有效剂量!$Q$3+SUMPRODUCT(T$5:T$27,后果有效剂量!$J$5:$J$27)*后果有效剂量!$R22*后果有效剂量!$R$3+SUMPRODUCT(U$5:U$27,后果有效剂量!$J$5:$J$27)*后果有效剂量!$S22*后果有效剂量!$S$3+SUMPRODUCT(V$5:V$27,后果有效剂量!$J$5:$J$27)*后果有效剂量!$T22*后果有效剂量!$T$3+SUMPRODUCT(W$5:W$27,后果有效剂量!$J$5:$J$27)*后果有效剂量!$U22*后果有效剂量!$U$3+SUMPRODUCT(R$5:R$27,后果有效剂量!$K$5:$K$27)*后果有效剂量!$Q22+SUMPRODUCT(S$5:S$27,后果有效剂量!$K$5:$K$27)*后果有效剂量!$Q22+SUMPRODUCT(T$5:T$27,后果有效剂量!$K$5:$K$27)*后果有效剂量!$R22+SUMPRODUCT(U$5:U$27,后果有效剂量!$K$5:$K$27)*后果有效剂量!$S22+SUMPRODUCT(V$5:V$27,后果有效剂量!$K$5:$K$27)*后果有效剂量!$T22+SUMPRODUCT(W$5:W$27,后果有效剂量!$K$5:$K$27)*后果有效剂量!$U22</f>
        <v>0</v>
      </c>
      <c r="S48" s="453">
        <f ca="1">SUMPRODUCT(R$5:R$27,后果甲状腺剂量!$I$5:$I$27)*后果甲状腺剂量!$Q22+SUMPRODUCT(S$5:S$27,后果甲状腺剂量!$I$5:$I$27)*后果甲状腺剂量!$Q22+SUMPRODUCT(T$5:T$27,后果甲状腺剂量!$I$5:$I$27)*后果甲状腺剂量!$R22+SUMPRODUCT(U$5:U$27,后果甲状腺剂量!$I$5:$I$27)*后果甲状腺剂量!$S22+SUMPRODUCT(V$5:V$27,后果甲状腺剂量!$I$5:$I$27)*后果甲状腺剂量!$T22+SUMPRODUCT(W$5:W$27,后果甲状腺剂量!$I$5:$I$27)*后果甲状腺剂量!$U22+SUMPRODUCT(R$5:R$27,后果甲状腺剂量!$J$5:$J$27)*后果甲状腺剂量!$Q22*后果甲状腺剂量!$Q$3+SUMPRODUCT(S$5:S$27,后果甲状腺剂量!$J$5:$J$27)*后果甲状腺剂量!$Q22*后果甲状腺剂量!$Q$3+SUMPRODUCT(T$5:T$27,后果甲状腺剂量!$J$5:$J$27)*后果甲状腺剂量!$R22*后果甲状腺剂量!$R$3+SUMPRODUCT(U$5:U$27,后果甲状腺剂量!$J$5:$J$27)*后果甲状腺剂量!$S22*后果甲状腺剂量!$S$3+SUMPRODUCT(V$5:V$27,后果甲状腺剂量!$J$5:$J$27)*后果甲状腺剂量!$T22*后果甲状腺剂量!$T$3+SUMPRODUCT(W$5:W$27,后果甲状腺剂量!$J$5:$J$27)*后果甲状腺剂量!$U22*后果甲状腺剂量!$U$3+SUMPRODUCT(R$5:R$27,后果甲状腺剂量!$K$5:$K$27)*后果甲状腺剂量!$Q22+SUMPRODUCT(S$5:S$27,后果甲状腺剂量!$K$5:$K$27)*后果甲状腺剂量!$Q22+SUMPRODUCT(T$5:T$27,后果甲状腺剂量!$K$5:$K$27)*后果甲状腺剂量!$R22+SUMPRODUCT(U$5:U$27,后果甲状腺剂量!$K$5:$K$27)*后果甲状腺剂量!$S22+SUMPRODUCT(V$5:V$27,后果甲状腺剂量!$K$5:$K$27)*后果甲状腺剂量!$T22+SUMPRODUCT(W$5:W$27,后果甲状腺剂量!$K$5:$K$27)*后果甲状腺剂量!$U22</f>
        <v>0</v>
      </c>
      <c r="T48" s="454">
        <f ca="1" t="shared" si="256"/>
        <v>0</v>
      </c>
      <c r="U48" s="454">
        <f ca="1" t="shared" si="257"/>
        <v>0</v>
      </c>
      <c r="V48" s="436"/>
      <c r="W48" s="436"/>
      <c r="AN48" s="533"/>
      <c r="AO48" s="390"/>
      <c r="AP48" s="390"/>
      <c r="AQ48" s="390"/>
      <c r="AR48" s="390"/>
      <c r="AS48" s="572"/>
      <c r="AT48" s="390"/>
      <c r="AU48" s="390"/>
      <c r="AV48" s="394"/>
      <c r="AW48" s="394"/>
      <c r="AX48" s="394"/>
      <c r="AY48" s="394"/>
      <c r="AZ48" s="394"/>
      <c r="BA48" s="394"/>
      <c r="BB48" s="394"/>
      <c r="BC48" s="394"/>
      <c r="BD48" s="394"/>
      <c r="BE48" s="394"/>
      <c r="BF48" s="394"/>
      <c r="BG48" s="394"/>
      <c r="BH48" s="394"/>
      <c r="BI48" s="394"/>
      <c r="BJ48" s="394"/>
      <c r="BK48" s="394"/>
      <c r="BL48" s="394"/>
      <c r="BM48" s="394"/>
      <c r="BN48" s="394"/>
      <c r="BO48" s="600"/>
      <c r="BP48" s="394"/>
      <c r="BQ48" s="394"/>
      <c r="BR48" s="394"/>
      <c r="BS48" s="394"/>
      <c r="BT48" s="394"/>
      <c r="BU48" s="394"/>
      <c r="BV48" s="394"/>
      <c r="BW48" s="394"/>
      <c r="BX48" s="394"/>
      <c r="BY48" s="394"/>
      <c r="BZ48" s="394"/>
      <c r="CA48" s="394"/>
      <c r="CB48" s="394"/>
      <c r="CC48" s="394"/>
      <c r="CD48" s="394"/>
      <c r="CE48" s="394"/>
      <c r="CF48" s="394"/>
      <c r="CG48" s="394"/>
      <c r="CH48" s="394"/>
      <c r="CI48" s="394"/>
      <c r="CJ48" s="394"/>
      <c r="CK48" s="394"/>
      <c r="CL48" s="394"/>
      <c r="CM48" s="394"/>
      <c r="CN48" s="394"/>
      <c r="CO48" s="394"/>
      <c r="CP48" s="394"/>
      <c r="CQ48" s="394"/>
      <c r="CR48" s="394"/>
      <c r="CS48" s="394"/>
      <c r="CT48" s="394"/>
      <c r="CU48" s="394"/>
      <c r="CV48" s="394"/>
      <c r="CW48" s="394"/>
      <c r="CX48" s="394"/>
      <c r="CY48" s="394"/>
      <c r="CZ48" s="394"/>
      <c r="DA48" s="394"/>
      <c r="DB48" s="394"/>
      <c r="DC48" s="394"/>
      <c r="DD48" s="394"/>
      <c r="DE48" s="394"/>
      <c r="DF48" s="394"/>
      <c r="DG48" s="394"/>
      <c r="DH48" s="394"/>
      <c r="DI48" s="394"/>
      <c r="DJ48" s="394"/>
      <c r="DK48" s="394"/>
      <c r="DL48" s="394"/>
      <c r="DM48" s="394"/>
      <c r="DN48" s="394"/>
      <c r="DO48" s="394"/>
      <c r="DP48" s="394"/>
      <c r="DQ48" s="394"/>
      <c r="DR48" s="394"/>
      <c r="DS48" s="394"/>
      <c r="DT48" s="394"/>
      <c r="DU48" s="394"/>
      <c r="DV48" s="394"/>
      <c r="DW48" s="394"/>
      <c r="DX48" s="394"/>
      <c r="DY48" s="394"/>
      <c r="DZ48" s="394"/>
      <c r="EA48" s="394"/>
      <c r="EB48" s="394"/>
      <c r="EC48" s="394"/>
      <c r="ED48" s="394"/>
      <c r="EE48" s="394"/>
      <c r="EF48" s="394"/>
      <c r="EG48" s="394"/>
      <c r="EH48" s="394"/>
      <c r="EI48" s="394"/>
      <c r="EJ48" s="394"/>
      <c r="EK48" s="394"/>
      <c r="EL48" s="394"/>
      <c r="EM48" s="394"/>
      <c r="EN48" s="394"/>
      <c r="EO48" s="394"/>
      <c r="EP48" s="394"/>
      <c r="EQ48" s="394"/>
      <c r="ER48" s="394"/>
      <c r="ES48" s="394"/>
      <c r="ET48" s="394"/>
      <c r="EU48" s="394"/>
      <c r="EV48" s="394"/>
      <c r="EW48" s="394"/>
      <c r="EX48" s="394"/>
      <c r="EY48" s="394"/>
      <c r="EZ48" s="394"/>
      <c r="FA48" s="394"/>
      <c r="FB48" s="394"/>
      <c r="FC48" s="394"/>
      <c r="FD48" s="394"/>
      <c r="FE48" s="394"/>
      <c r="FF48" s="394"/>
      <c r="FG48" s="394"/>
      <c r="FH48" s="394"/>
      <c r="FI48" s="394"/>
      <c r="FJ48" s="394"/>
      <c r="FK48" s="394"/>
      <c r="FL48" s="394"/>
      <c r="FM48" s="394"/>
      <c r="FN48" s="394"/>
      <c r="FO48" s="394"/>
      <c r="FP48" s="394"/>
      <c r="FQ48" s="394"/>
      <c r="FS48" s="441">
        <f>SUMPRODUCT(FS$5:FS$27,后果有效剂量!$I$5:$I$27)*后果有效剂量!$Q22+SUMPRODUCT(FT$5:FT$27,后果有效剂量!$I$5:$I$27)*后果有效剂量!$R22+SUMPRODUCT(FU$5:FU$27,后果有效剂量!$I$5:$I$27)*后果有效剂量!$S22+SUMPRODUCT(FV$5:FV$27,后果有效剂量!$I$5:$I$27)*后果有效剂量!$T22+SUMPRODUCT(FS$5:FS$27,后果有效剂量!$J$5:$J$27)*后果有效剂量!$Q22*后果有效剂量!$Q$3+SUMPRODUCT(FT$5:FT$27,后果有效剂量!$J$5:$J$27)*后果有效剂量!$R22*后果有效剂量!$R$3+SUMPRODUCT(FU$5:FU$27,后果有效剂量!$J$5:$J$27)*后果有效剂量!$S22*后果有效剂量!$S$3+SUMPRODUCT(FV$5:FV$27,后果有效剂量!$J$5:$J$27)*后果有效剂量!$T22*后果有效剂量!$T$3+SUMPRODUCT(FS$5:FS$27,后果有效剂量!$K$5:$K$27)*后果有效剂量!$Q22+SUMPRODUCT(FT$5:FT$27,后果有效剂量!$K$5:$K$27)*后果有效剂量!$R22+SUMPRODUCT(FU$5:FU$27,后果有效剂量!$K$5:$K$27)*后果有效剂量!$S22+SUMPRODUCT(FV$5:FV$27,后果有效剂量!$K$5:$K$27)*后果有效剂量!$T22</f>
        <v>0</v>
      </c>
      <c r="FT48" s="453">
        <f>SUMPRODUCT(FS$5:FS$27,后果甲状腺剂量!$I$5:$I$27)*后果甲状腺剂量!$Q22+SUMPRODUCT(FT$5:FT$27,后果甲状腺剂量!$I$5:$I$27)*后果甲状腺剂量!$R22+SUMPRODUCT(FU$5:FU$27,后果甲状腺剂量!$I$5:$I$27)*后果甲状腺剂量!$S22+SUMPRODUCT(FV$5:FV$27,后果甲状腺剂量!$I$5:$I$27)*后果甲状腺剂量!$T22+SUMPRODUCT(FS$5:FS$27,后果甲状腺剂量!$J$5:$J$27)*后果甲状腺剂量!$Q22*后果甲状腺剂量!$Q$3+SUMPRODUCT(FT$5:FT$27,后果甲状腺剂量!$J$5:$J$27)*后果甲状腺剂量!$R22*后果甲状腺剂量!$R$3+SUMPRODUCT(FU$5:FU$27,后果甲状腺剂量!$J$5:$J$27)*后果甲状腺剂量!$S22*后果甲状腺剂量!$S$3+SUMPRODUCT(FV$5:FV$27,后果甲状腺剂量!$J$5:$J$27)*后果甲状腺剂量!$T22*后果甲状腺剂量!$T$3+SUMPRODUCT(FS$5:FS$27,后果甲状腺剂量!$K$5:$K$27)*后果甲状腺剂量!$Q22+SUMPRODUCT(FT$5:FT$27,后果甲状腺剂量!$K$5:$K$27)*后果甲状腺剂量!$R22+SUMPRODUCT(FU$5:FU$27,后果甲状腺剂量!$K$5:$K$27)*后果甲状腺剂量!$S22+SUMPRODUCT(FV$5:FV$27,后果甲状腺剂量!$K$5:$K$27)*后果甲状腺剂量!$T22</f>
        <v>0</v>
      </c>
      <c r="FU48" s="454">
        <f t="shared" si="258"/>
        <v>0</v>
      </c>
      <c r="FV48" s="454">
        <f t="shared" si="259"/>
        <v>0</v>
      </c>
      <c r="FW48" s="436"/>
      <c r="FX48" s="436"/>
      <c r="GD48" s="440">
        <f>后果有效剂量!$P22</f>
        <v>0</v>
      </c>
      <c r="GE48" s="441">
        <f>SUMPRODUCT(GE$5:GE$27,后果有效剂量!$I$5:$I$27)*后果有效剂量!$Q22+SUMPRODUCT(GF$5:GF$27,后果有效剂量!$I$5:$I$27)*后果有效剂量!$R22+SUMPRODUCT(GG$5:GG$27,后果有效剂量!$I$5:$I$27)*后果有效剂量!$S22+(SUMPRODUCT(GH$5:GH$27,后果有效剂量!$I$5:$I$27)+SUMPRODUCT(GI$5:GI$27,后果有效剂量!$I$5:$I$27))*后果有效剂量!$T22+SUMPRODUCT(GJ$5:GJ$27,后果有效剂量!$I$5:$I$27)*后果有效剂量!$U22+SUMPRODUCT(GE$5:GE$27,后果有效剂量!$J$5:$J$27)*后果有效剂量!$Q22*后果有效剂量!$Q$3+SUMPRODUCT(GF$5:GF$27,后果有效剂量!$J$5:$J$27)*后果有效剂量!$R22*后果有效剂量!$R$3+SUMPRODUCT(GG$5:GG$27,后果有效剂量!$J$5:$J$27)*后果有效剂量!$S22*后果有效剂量!$S$3+(SUMPRODUCT(GH$5:GH$27,后果有效剂量!$J$5:$J$27)+SUMPRODUCT(GI$5:GI$27,后果有效剂量!$J$5:$J$27))*后果有效剂量!$T22*后果有效剂量!$T$3+SUMPRODUCT(GJ$5:GJ$27,后果有效剂量!$J$5:$J$27)*后果有效剂量!$U22*后果有效剂量!$U$3+SUMPRODUCT(GE$5:GE$27,后果有效剂量!$K$5:$K$27)*后果有效剂量!$Q22+SUMPRODUCT(GF$5:GF$27,后果有效剂量!$K$5:$K$27)*后果有效剂量!$R22+SUMPRODUCT(GG$5:GG$27,后果有效剂量!$K$5:$K$27)*后果有效剂量!$S22+(SUMPRODUCT(GH$5:GH$27,后果有效剂量!$K$5:$K$27)+SUMPRODUCT(GI$5:GI$27,后果有效剂量!$K$5:$K$27))*后果有效剂量!$T22+SUMPRODUCT(GJ$5:GJ$27,后果有效剂量!$K$5:$K$27)*后果有效剂量!$U22</f>
        <v>0</v>
      </c>
      <c r="GF48" s="453">
        <f>SUMPRODUCT(GE$5:GE$27,后果甲状腺剂量!$I$5:$I$27)*后果甲状腺剂量!$Q22+SUMPRODUCT(GF$5:GF$27,后果甲状腺剂量!$I$5:$I$27)*后果甲状腺剂量!$R22+SUMPRODUCT(GG$5:GG$27,后果甲状腺剂量!$I$5:$I$27)*后果甲状腺剂量!$S22+(SUMPRODUCT(GH$5:GH$27,后果甲状腺剂量!$I$5:$I$27)+SUMPRODUCT(GI$5:GI$27,后果甲状腺剂量!$I$5:$I$27))*后果甲状腺剂量!$T22+SUMPRODUCT(GJ$5:GJ$27,后果甲状腺剂量!$I$5:$I$27)*后果甲状腺剂量!$U22+SUMPRODUCT(GE$5:GE$27,后果甲状腺剂量!$J$5:$J$27)*后果甲状腺剂量!$Q22*后果甲状腺剂量!$Q$3+SUMPRODUCT(GF$5:GF$27,后果甲状腺剂量!$J$5:$J$27)*后果甲状腺剂量!$R22*后果甲状腺剂量!$R$3+SUMPRODUCT(GG$5:GG$27,后果甲状腺剂量!$J$5:$J$27)*后果甲状腺剂量!$S22*后果甲状腺剂量!$S$3+(SUMPRODUCT(GH$5:GH$27,后果甲状腺剂量!$J$5:$J$27)+SUMPRODUCT(GI$5:GI$27,后果甲状腺剂量!$J$5:$J$27))*后果甲状腺剂量!$T22*后果甲状腺剂量!$T$3+SUMPRODUCT(GJ$5:GJ$27,后果甲状腺剂量!$J$5:$J$27)*后果甲状腺剂量!$U22*后果甲状腺剂量!$U$3+SUMPRODUCT(GE$5:GE$27,后果甲状腺剂量!$K$5:$K$27)*后果甲状腺剂量!$Q22+SUMPRODUCT(GF$5:GF$27,后果甲状腺剂量!$K$5:$K$27)*后果甲状腺剂量!$R22+SUMPRODUCT(GG$5:GG$27,后果甲状腺剂量!$K$5:$K$27)*后果甲状腺剂量!$S22+(SUMPRODUCT(GH$5:GH$27,后果甲状腺剂量!$K$5:$K$27)+SUMPRODUCT(GI$5:GI$27,后果甲状腺剂量!$K$5:$K$27))*后果甲状腺剂量!$T22+SUMPRODUCT(GJ$5:GJ$27,后果甲状腺剂量!$K$5:$K$27)*后果甲状腺剂量!$U22</f>
        <v>0</v>
      </c>
      <c r="GG48" s="454">
        <f t="shared" si="260"/>
        <v>0</v>
      </c>
      <c r="GH48" s="454">
        <f t="shared" si="261"/>
        <v>0</v>
      </c>
      <c r="GI48" s="436"/>
      <c r="GJ48" s="436"/>
    </row>
    <row r="49" spans="7:192">
      <c r="G49" s="440">
        <f>后果有效剂量!$P23</f>
        <v>0</v>
      </c>
      <c r="H49" s="441">
        <f ca="1">SUMPRODUCT(H$5:H$27,后果有效剂量!$I$5:$I$27)*后果有效剂量!$Q23+SUMPRODUCT(I$5:I$27,后果有效剂量!$I$5:$I$27)*后果有效剂量!$Q23+SUMPRODUCT(J$5:J$27,后果有效剂量!$I$5:$I$27)*后果有效剂量!$R23+SUMPRODUCT(K$5:K$27,后果有效剂量!$I$5:$I$27)*后果有效剂量!$S23+SUMPRODUCT(L$5:L$27,后果有效剂量!$I$5:$I$27)*后果有效剂量!$T23+SUMPRODUCT(M$5:M$27,后果有效剂量!$I$5:$I$27)*后果有效剂量!$U23+SUMPRODUCT(H$5:H$27,后果有效剂量!$J$5:$J$27)*后果有效剂量!$Q23*后果有效剂量!$Q$3+SUMPRODUCT(I$5:I$27,后果有效剂量!$J$5:$J$27)*后果有效剂量!$Q23*后果有效剂量!$Q$3+SUMPRODUCT(J$5:J$27,后果有效剂量!$J$5:$J$27)*后果有效剂量!$R23*后果有效剂量!$R$3+SUMPRODUCT(K$5:K$27,后果有效剂量!$J$5:$J$27)*后果有效剂量!$S23*后果有效剂量!$S$3+SUMPRODUCT(L$5:L$27,后果有效剂量!$J$5:$J$27)*后果有效剂量!$T23*后果有效剂量!$T$3+SUMPRODUCT(M$5:M$27,后果有效剂量!$J$5:$J$27)*后果有效剂量!$U23*后果有效剂量!$U$3+SUMPRODUCT(H$5:H$27,后果有效剂量!$K$5:$K$27)*后果有效剂量!$Q23+SUMPRODUCT(I$5:I$27,后果有效剂量!$K$5:$K$27)*后果有效剂量!$Q23+SUMPRODUCT(J$5:J$27,后果有效剂量!$K$5:$K$27)*后果有效剂量!$R23+SUMPRODUCT(K$5:K$27,后果有效剂量!$K$5:$K$27)*后果有效剂量!$S23+SUMPRODUCT(L$5:L$27,后果有效剂量!$K$5:$K$27)*后果有效剂量!$T23+SUMPRODUCT(M$5:M$27,后果有效剂量!$K$5:$K$27)*后果有效剂量!$U23</f>
        <v>0</v>
      </c>
      <c r="I49" s="453">
        <f ca="1">SUMPRODUCT(H$5:H$27,后果甲状腺剂量!$I$5:$I$27)*后果甲状腺剂量!$Q23+SUMPRODUCT(I$5:I$27,后果甲状腺剂量!$I$5:$I$27)*后果甲状腺剂量!$Q23+SUMPRODUCT(J$5:J$27,后果甲状腺剂量!$I$5:$I$27)*后果甲状腺剂量!$R23+SUMPRODUCT(K$5:K$27,后果甲状腺剂量!$I$5:$I$27)*后果甲状腺剂量!$S23+SUMPRODUCT(L$5:L$27,后果甲状腺剂量!$I$5:$I$27)*后果甲状腺剂量!$T23+SUMPRODUCT(M$5:M$27,后果甲状腺剂量!$I$5:$I$27)*后果甲状腺剂量!$U23+SUMPRODUCT(H$5:H$27,后果甲状腺剂量!$J$5:$J$27)*后果甲状腺剂量!$Q23*后果甲状腺剂量!$Q$3+SUMPRODUCT(I$5:I$27,后果甲状腺剂量!$J$5:$J$27)*后果甲状腺剂量!$Q23*后果甲状腺剂量!$Q$3+SUMPRODUCT(J$5:J$27,后果甲状腺剂量!$J$5:$J$27)*后果甲状腺剂量!$R23*后果甲状腺剂量!$R$3+SUMPRODUCT(K$5:K$27,后果甲状腺剂量!$J$5:$J$27)*后果甲状腺剂量!$S23*后果甲状腺剂量!$S$3+SUMPRODUCT(L$5:L$27,后果甲状腺剂量!$J$5:$J$27)*后果甲状腺剂量!$T23*后果甲状腺剂量!$T$3+SUMPRODUCT(M$5:M$27,后果甲状腺剂量!$J$5:$J$27)*后果甲状腺剂量!$U23*后果甲状腺剂量!$U$3+SUMPRODUCT(H$5:H$27,后果甲状腺剂量!$K$5:$K$27)*后果甲状腺剂量!$Q23+SUMPRODUCT(I$5:I$27,后果甲状腺剂量!$K$5:$K$27)*后果甲状腺剂量!$Q23+SUMPRODUCT(J$5:J$27,后果甲状腺剂量!$K$5:$K$27)*后果甲状腺剂量!$R23+SUMPRODUCT(K$5:K$27,后果甲状腺剂量!$K$5:$K$27)*后果甲状腺剂量!$S23+SUMPRODUCT(L$5:L$27,后果甲状腺剂量!$K$5:$K$27)*后果甲状腺剂量!$T23+SUMPRODUCT(M$5:M$27,后果甲状腺剂量!$K$5:$K$27)*后果甲状腺剂量!$U23</f>
        <v>0</v>
      </c>
      <c r="J49" s="454">
        <f ca="1" t="shared" si="254"/>
        <v>0</v>
      </c>
      <c r="K49" s="454">
        <f ca="1" t="shared" si="255"/>
        <v>0</v>
      </c>
      <c r="L49" s="436"/>
      <c r="M49" s="436"/>
      <c r="N49" s="455"/>
      <c r="O49" s="390"/>
      <c r="Q49" s="440">
        <f>后果有效剂量!$P23</f>
        <v>0</v>
      </c>
      <c r="R49" s="441">
        <f ca="1">SUMPRODUCT(R$5:R$27,后果有效剂量!$I$5:$I$27)*后果有效剂量!$Q23+SUMPRODUCT(S$5:S$27,后果有效剂量!$I$5:$I$27)*后果有效剂量!$Q23+SUMPRODUCT(T$5:T$27,后果有效剂量!$I$5:$I$27)*后果有效剂量!$R23+SUMPRODUCT(U$5:U$27,后果有效剂量!$I$5:$I$27)*后果有效剂量!$S23+SUMPRODUCT(V$5:V$27,后果有效剂量!$I$5:$I$27)*后果有效剂量!$T23+SUMPRODUCT(W$5:W$27,后果有效剂量!$I$5:$I$27)*后果有效剂量!$U23+SUMPRODUCT(R$5:R$27,后果有效剂量!$J$5:$J$27)*后果有效剂量!$Q23*后果有效剂量!$Q$3+SUMPRODUCT(S$5:S$27,后果有效剂量!$J$5:$J$27)*后果有效剂量!$Q23*后果有效剂量!$Q$3+SUMPRODUCT(T$5:T$27,后果有效剂量!$J$5:$J$27)*后果有效剂量!$R23*后果有效剂量!$R$3+SUMPRODUCT(U$5:U$27,后果有效剂量!$J$5:$J$27)*后果有效剂量!$S23*后果有效剂量!$S$3+SUMPRODUCT(V$5:V$27,后果有效剂量!$J$5:$J$27)*后果有效剂量!$T23*后果有效剂量!$T$3+SUMPRODUCT(W$5:W$27,后果有效剂量!$J$5:$J$27)*后果有效剂量!$U23*后果有效剂量!$U$3+SUMPRODUCT(R$5:R$27,后果有效剂量!$K$5:$K$27)*后果有效剂量!$Q23+SUMPRODUCT(S$5:S$27,后果有效剂量!$K$5:$K$27)*后果有效剂量!$Q23+SUMPRODUCT(T$5:T$27,后果有效剂量!$K$5:$K$27)*后果有效剂量!$R23+SUMPRODUCT(U$5:U$27,后果有效剂量!$K$5:$K$27)*后果有效剂量!$S23+SUMPRODUCT(V$5:V$27,后果有效剂量!$K$5:$K$27)*后果有效剂量!$T23+SUMPRODUCT(W$5:W$27,后果有效剂量!$K$5:$K$27)*后果有效剂量!$U23</f>
        <v>0</v>
      </c>
      <c r="S49" s="453">
        <f ca="1">SUMPRODUCT(R$5:R$27,后果甲状腺剂量!$I$5:$I$27)*后果甲状腺剂量!$Q23+SUMPRODUCT(S$5:S$27,后果甲状腺剂量!$I$5:$I$27)*后果甲状腺剂量!$Q23+SUMPRODUCT(T$5:T$27,后果甲状腺剂量!$I$5:$I$27)*后果甲状腺剂量!$R23+SUMPRODUCT(U$5:U$27,后果甲状腺剂量!$I$5:$I$27)*后果甲状腺剂量!$S23+SUMPRODUCT(V$5:V$27,后果甲状腺剂量!$I$5:$I$27)*后果甲状腺剂量!$T23+SUMPRODUCT(W$5:W$27,后果甲状腺剂量!$I$5:$I$27)*后果甲状腺剂量!$U23+SUMPRODUCT(R$5:R$27,后果甲状腺剂量!$J$5:$J$27)*后果甲状腺剂量!$Q23*后果甲状腺剂量!$Q$3+SUMPRODUCT(S$5:S$27,后果甲状腺剂量!$J$5:$J$27)*后果甲状腺剂量!$Q23*后果甲状腺剂量!$Q$3+SUMPRODUCT(T$5:T$27,后果甲状腺剂量!$J$5:$J$27)*后果甲状腺剂量!$R23*后果甲状腺剂量!$R$3+SUMPRODUCT(U$5:U$27,后果甲状腺剂量!$J$5:$J$27)*后果甲状腺剂量!$S23*后果甲状腺剂量!$S$3+SUMPRODUCT(V$5:V$27,后果甲状腺剂量!$J$5:$J$27)*后果甲状腺剂量!$T23*后果甲状腺剂量!$T$3+SUMPRODUCT(W$5:W$27,后果甲状腺剂量!$J$5:$J$27)*后果甲状腺剂量!$U23*后果甲状腺剂量!$U$3+SUMPRODUCT(R$5:R$27,后果甲状腺剂量!$K$5:$K$27)*后果甲状腺剂量!$Q23+SUMPRODUCT(S$5:S$27,后果甲状腺剂量!$K$5:$K$27)*后果甲状腺剂量!$Q23+SUMPRODUCT(T$5:T$27,后果甲状腺剂量!$K$5:$K$27)*后果甲状腺剂量!$R23+SUMPRODUCT(U$5:U$27,后果甲状腺剂量!$K$5:$K$27)*后果甲状腺剂量!$S23+SUMPRODUCT(V$5:V$27,后果甲状腺剂量!$K$5:$K$27)*后果甲状腺剂量!$T23+SUMPRODUCT(W$5:W$27,后果甲状腺剂量!$K$5:$K$27)*后果甲状腺剂量!$U23</f>
        <v>0</v>
      </c>
      <c r="T49" s="454">
        <f ca="1" t="shared" si="256"/>
        <v>0</v>
      </c>
      <c r="U49" s="454">
        <f ca="1" t="shared" si="257"/>
        <v>0</v>
      </c>
      <c r="V49" s="436"/>
      <c r="W49" s="436"/>
      <c r="AN49" s="533"/>
      <c r="AO49" s="390"/>
      <c r="AP49" s="390"/>
      <c r="AQ49" s="390"/>
      <c r="AR49" s="390"/>
      <c r="AS49" s="572"/>
      <c r="AT49" s="390"/>
      <c r="AU49" s="390"/>
      <c r="AV49" s="394"/>
      <c r="AW49" s="394"/>
      <c r="AX49" s="394"/>
      <c r="AY49" s="394"/>
      <c r="AZ49" s="394"/>
      <c r="BA49" s="394"/>
      <c r="BB49" s="394"/>
      <c r="BC49" s="394"/>
      <c r="BD49" s="394"/>
      <c r="BE49" s="394"/>
      <c r="BF49" s="394"/>
      <c r="BG49" s="394"/>
      <c r="BH49" s="394"/>
      <c r="BI49" s="394"/>
      <c r="BJ49" s="394"/>
      <c r="BK49" s="394"/>
      <c r="BL49" s="394"/>
      <c r="BM49" s="394"/>
      <c r="BN49" s="394"/>
      <c r="BO49" s="600"/>
      <c r="BP49" s="394"/>
      <c r="BQ49" s="394"/>
      <c r="BR49" s="394"/>
      <c r="BS49" s="394"/>
      <c r="BT49" s="394"/>
      <c r="BU49" s="394"/>
      <c r="BV49" s="394"/>
      <c r="BW49" s="394"/>
      <c r="BX49" s="394"/>
      <c r="BY49" s="394"/>
      <c r="BZ49" s="394"/>
      <c r="CA49" s="394"/>
      <c r="CB49" s="394"/>
      <c r="CC49" s="394"/>
      <c r="CD49" s="394"/>
      <c r="CE49" s="394"/>
      <c r="CF49" s="394"/>
      <c r="CG49" s="394"/>
      <c r="CH49" s="394"/>
      <c r="CI49" s="394"/>
      <c r="CJ49" s="394"/>
      <c r="CK49" s="394"/>
      <c r="CL49" s="394"/>
      <c r="CM49" s="394"/>
      <c r="CN49" s="394"/>
      <c r="CO49" s="394"/>
      <c r="CP49" s="394"/>
      <c r="CQ49" s="394"/>
      <c r="CR49" s="394"/>
      <c r="CS49" s="394"/>
      <c r="CT49" s="394"/>
      <c r="CU49" s="394"/>
      <c r="CV49" s="394"/>
      <c r="CW49" s="394"/>
      <c r="CX49" s="394"/>
      <c r="CY49" s="394"/>
      <c r="CZ49" s="394"/>
      <c r="DA49" s="394"/>
      <c r="DB49" s="394"/>
      <c r="DC49" s="394"/>
      <c r="DD49" s="394"/>
      <c r="DE49" s="394"/>
      <c r="DF49" s="394"/>
      <c r="DG49" s="394"/>
      <c r="DH49" s="394"/>
      <c r="DI49" s="394"/>
      <c r="DJ49" s="394"/>
      <c r="DK49" s="394"/>
      <c r="DL49" s="394"/>
      <c r="DM49" s="394"/>
      <c r="DN49" s="394"/>
      <c r="DO49" s="394"/>
      <c r="DP49" s="394"/>
      <c r="DQ49" s="394"/>
      <c r="DR49" s="394"/>
      <c r="DS49" s="394"/>
      <c r="DT49" s="394"/>
      <c r="DU49" s="394"/>
      <c r="DV49" s="394"/>
      <c r="DW49" s="394"/>
      <c r="DX49" s="394"/>
      <c r="DY49" s="394"/>
      <c r="DZ49" s="394"/>
      <c r="EA49" s="394"/>
      <c r="EB49" s="394"/>
      <c r="EC49" s="394"/>
      <c r="ED49" s="394"/>
      <c r="EE49" s="394"/>
      <c r="EF49" s="394"/>
      <c r="EG49" s="394"/>
      <c r="EH49" s="394"/>
      <c r="EI49" s="394"/>
      <c r="EJ49" s="394"/>
      <c r="EK49" s="394"/>
      <c r="EL49" s="394"/>
      <c r="EM49" s="394"/>
      <c r="EN49" s="394"/>
      <c r="EO49" s="394"/>
      <c r="EP49" s="394"/>
      <c r="EQ49" s="394"/>
      <c r="ER49" s="394"/>
      <c r="ES49" s="394"/>
      <c r="ET49" s="394"/>
      <c r="EU49" s="394"/>
      <c r="EV49" s="394"/>
      <c r="EW49" s="394"/>
      <c r="EX49" s="394"/>
      <c r="EY49" s="394"/>
      <c r="EZ49" s="394"/>
      <c r="FA49" s="394"/>
      <c r="FB49" s="394"/>
      <c r="FC49" s="394"/>
      <c r="FD49" s="394"/>
      <c r="FE49" s="394"/>
      <c r="FF49" s="394"/>
      <c r="FG49" s="394"/>
      <c r="FH49" s="394"/>
      <c r="FI49" s="394"/>
      <c r="FJ49" s="394"/>
      <c r="FK49" s="394"/>
      <c r="FL49" s="394"/>
      <c r="FM49" s="394"/>
      <c r="FN49" s="394"/>
      <c r="FO49" s="394"/>
      <c r="FP49" s="394"/>
      <c r="FQ49" s="394"/>
      <c r="FS49" s="441">
        <f>SUMPRODUCT(FS$5:FS$27,后果有效剂量!$I$5:$I$27)*后果有效剂量!$Q23+SUMPRODUCT(FT$5:FT$27,后果有效剂量!$I$5:$I$27)*后果有效剂量!$R23+SUMPRODUCT(FU$5:FU$27,后果有效剂量!$I$5:$I$27)*后果有效剂量!$S23+SUMPRODUCT(FV$5:FV$27,后果有效剂量!$I$5:$I$27)*后果有效剂量!$T23+SUMPRODUCT(FS$5:FS$27,后果有效剂量!$J$5:$J$27)*后果有效剂量!$Q23*后果有效剂量!$Q$3+SUMPRODUCT(FT$5:FT$27,后果有效剂量!$J$5:$J$27)*后果有效剂量!$R23*后果有效剂量!$R$3+SUMPRODUCT(FU$5:FU$27,后果有效剂量!$J$5:$J$27)*后果有效剂量!$S23*后果有效剂量!$S$3+SUMPRODUCT(FV$5:FV$27,后果有效剂量!$J$5:$J$27)*后果有效剂量!$T23*后果有效剂量!$T$3+SUMPRODUCT(FS$5:FS$27,后果有效剂量!$K$5:$K$27)*后果有效剂量!$Q23+SUMPRODUCT(FT$5:FT$27,后果有效剂量!$K$5:$K$27)*后果有效剂量!$R23+SUMPRODUCT(FU$5:FU$27,后果有效剂量!$K$5:$K$27)*后果有效剂量!$S23+SUMPRODUCT(FV$5:FV$27,后果有效剂量!$K$5:$K$27)*后果有效剂量!$T23</f>
        <v>0</v>
      </c>
      <c r="FT49" s="453">
        <f>SUMPRODUCT(FS$5:FS$27,后果甲状腺剂量!$I$5:$I$27)*后果甲状腺剂量!$Q23+SUMPRODUCT(FT$5:FT$27,后果甲状腺剂量!$I$5:$I$27)*后果甲状腺剂量!$R23+SUMPRODUCT(FU$5:FU$27,后果甲状腺剂量!$I$5:$I$27)*后果甲状腺剂量!$S23+SUMPRODUCT(FV$5:FV$27,后果甲状腺剂量!$I$5:$I$27)*后果甲状腺剂量!$T23+SUMPRODUCT(FS$5:FS$27,后果甲状腺剂量!$J$5:$J$27)*后果甲状腺剂量!$Q23*后果甲状腺剂量!$Q$3+SUMPRODUCT(FT$5:FT$27,后果甲状腺剂量!$J$5:$J$27)*后果甲状腺剂量!$R23*后果甲状腺剂量!$R$3+SUMPRODUCT(FU$5:FU$27,后果甲状腺剂量!$J$5:$J$27)*后果甲状腺剂量!$S23*后果甲状腺剂量!$S$3+SUMPRODUCT(FV$5:FV$27,后果甲状腺剂量!$J$5:$J$27)*后果甲状腺剂量!$T23*后果甲状腺剂量!$T$3+SUMPRODUCT(FS$5:FS$27,后果甲状腺剂量!$K$5:$K$27)*后果甲状腺剂量!$Q23+SUMPRODUCT(FT$5:FT$27,后果甲状腺剂量!$K$5:$K$27)*后果甲状腺剂量!$R23+SUMPRODUCT(FU$5:FU$27,后果甲状腺剂量!$K$5:$K$27)*后果甲状腺剂量!$S23+SUMPRODUCT(FV$5:FV$27,后果甲状腺剂量!$K$5:$K$27)*后果甲状腺剂量!$T23</f>
        <v>0</v>
      </c>
      <c r="FU49" s="454">
        <f t="shared" si="258"/>
        <v>0</v>
      </c>
      <c r="FV49" s="454">
        <f t="shared" si="259"/>
        <v>0</v>
      </c>
      <c r="FW49" s="436"/>
      <c r="FX49" s="436"/>
      <c r="GD49" s="440">
        <f>后果有效剂量!$P23</f>
        <v>0</v>
      </c>
      <c r="GE49" s="441">
        <f>SUMPRODUCT(GE$5:GE$27,后果有效剂量!$I$5:$I$27)*后果有效剂量!$Q23+SUMPRODUCT(GF$5:GF$27,后果有效剂量!$I$5:$I$27)*后果有效剂量!$R23+SUMPRODUCT(GG$5:GG$27,后果有效剂量!$I$5:$I$27)*后果有效剂量!$S23+(SUMPRODUCT(GH$5:GH$27,后果有效剂量!$I$5:$I$27)+SUMPRODUCT(GI$5:GI$27,后果有效剂量!$I$5:$I$27))*后果有效剂量!$T23+SUMPRODUCT(GJ$5:GJ$27,后果有效剂量!$I$5:$I$27)*后果有效剂量!$U23+SUMPRODUCT(GE$5:GE$27,后果有效剂量!$J$5:$J$27)*后果有效剂量!$Q23*后果有效剂量!$Q$3+SUMPRODUCT(GF$5:GF$27,后果有效剂量!$J$5:$J$27)*后果有效剂量!$R23*后果有效剂量!$R$3+SUMPRODUCT(GG$5:GG$27,后果有效剂量!$J$5:$J$27)*后果有效剂量!$S23*后果有效剂量!$S$3+(SUMPRODUCT(GH$5:GH$27,后果有效剂量!$J$5:$J$27)+SUMPRODUCT(GI$5:GI$27,后果有效剂量!$J$5:$J$27))*后果有效剂量!$T23*后果有效剂量!$T$3+SUMPRODUCT(GJ$5:GJ$27,后果有效剂量!$J$5:$J$27)*后果有效剂量!$U23*后果有效剂量!$U$3+SUMPRODUCT(GE$5:GE$27,后果有效剂量!$K$5:$K$27)*后果有效剂量!$Q23+SUMPRODUCT(GF$5:GF$27,后果有效剂量!$K$5:$K$27)*后果有效剂量!$R23+SUMPRODUCT(GG$5:GG$27,后果有效剂量!$K$5:$K$27)*后果有效剂量!$S23+(SUMPRODUCT(GH$5:GH$27,后果有效剂量!$K$5:$K$27)+SUMPRODUCT(GI$5:GI$27,后果有效剂量!$K$5:$K$27))*后果有效剂量!$T23+SUMPRODUCT(GJ$5:GJ$27,后果有效剂量!$K$5:$K$27)*后果有效剂量!$U23</f>
        <v>0</v>
      </c>
      <c r="GF49" s="453">
        <f>SUMPRODUCT(GE$5:GE$27,后果甲状腺剂量!$I$5:$I$27)*后果甲状腺剂量!$Q23+SUMPRODUCT(GF$5:GF$27,后果甲状腺剂量!$I$5:$I$27)*后果甲状腺剂量!$R23+SUMPRODUCT(GG$5:GG$27,后果甲状腺剂量!$I$5:$I$27)*后果甲状腺剂量!$S23+(SUMPRODUCT(GH$5:GH$27,后果甲状腺剂量!$I$5:$I$27)+SUMPRODUCT(GI$5:GI$27,后果甲状腺剂量!$I$5:$I$27))*后果甲状腺剂量!$T23+SUMPRODUCT(GJ$5:GJ$27,后果甲状腺剂量!$I$5:$I$27)*后果甲状腺剂量!$U23+SUMPRODUCT(GE$5:GE$27,后果甲状腺剂量!$J$5:$J$27)*后果甲状腺剂量!$Q23*后果甲状腺剂量!$Q$3+SUMPRODUCT(GF$5:GF$27,后果甲状腺剂量!$J$5:$J$27)*后果甲状腺剂量!$R23*后果甲状腺剂量!$R$3+SUMPRODUCT(GG$5:GG$27,后果甲状腺剂量!$J$5:$J$27)*后果甲状腺剂量!$S23*后果甲状腺剂量!$S$3+(SUMPRODUCT(GH$5:GH$27,后果甲状腺剂量!$J$5:$J$27)+SUMPRODUCT(GI$5:GI$27,后果甲状腺剂量!$J$5:$J$27))*后果甲状腺剂量!$T23*后果甲状腺剂量!$T$3+SUMPRODUCT(GJ$5:GJ$27,后果甲状腺剂量!$J$5:$J$27)*后果甲状腺剂量!$U23*后果甲状腺剂量!$U$3+SUMPRODUCT(GE$5:GE$27,后果甲状腺剂量!$K$5:$K$27)*后果甲状腺剂量!$Q23+SUMPRODUCT(GF$5:GF$27,后果甲状腺剂量!$K$5:$K$27)*后果甲状腺剂量!$R23+SUMPRODUCT(GG$5:GG$27,后果甲状腺剂量!$K$5:$K$27)*后果甲状腺剂量!$S23+(SUMPRODUCT(GH$5:GH$27,后果甲状腺剂量!$K$5:$K$27)+SUMPRODUCT(GI$5:GI$27,后果甲状腺剂量!$K$5:$K$27))*后果甲状腺剂量!$T23+SUMPRODUCT(GJ$5:GJ$27,后果甲状腺剂量!$K$5:$K$27)*后果甲状腺剂量!$U23</f>
        <v>0</v>
      </c>
      <c r="GG49" s="454">
        <f t="shared" si="260"/>
        <v>0</v>
      </c>
      <c r="GH49" s="454">
        <f t="shared" si="261"/>
        <v>0</v>
      </c>
      <c r="GI49" s="436"/>
      <c r="GJ49" s="436"/>
    </row>
    <row r="50" spans="7:192">
      <c r="G50" s="440">
        <f>后果有效剂量!$P24</f>
        <v>0</v>
      </c>
      <c r="H50" s="441">
        <f ca="1">SUMPRODUCT(H$5:H$27,后果有效剂量!$I$5:$I$27)*后果有效剂量!$Q24+SUMPRODUCT(I$5:I$27,后果有效剂量!$I$5:$I$27)*后果有效剂量!$Q24+SUMPRODUCT(J$5:J$27,后果有效剂量!$I$5:$I$27)*后果有效剂量!$R24+SUMPRODUCT(K$5:K$27,后果有效剂量!$I$5:$I$27)*后果有效剂量!$S24+SUMPRODUCT(L$5:L$27,后果有效剂量!$I$5:$I$27)*后果有效剂量!$T24+SUMPRODUCT(M$5:M$27,后果有效剂量!$I$5:$I$27)*后果有效剂量!$U24+SUMPRODUCT(H$5:H$27,后果有效剂量!$J$5:$J$27)*后果有效剂量!$Q24*后果有效剂量!$Q$3+SUMPRODUCT(I$5:I$27,后果有效剂量!$J$5:$J$27)*后果有效剂量!$Q24*后果有效剂量!$Q$3+SUMPRODUCT(J$5:J$27,后果有效剂量!$J$5:$J$27)*后果有效剂量!$R24*后果有效剂量!$R$3+SUMPRODUCT(K$5:K$27,后果有效剂量!$J$5:$J$27)*后果有效剂量!$S24*后果有效剂量!$S$3+SUMPRODUCT(L$5:L$27,后果有效剂量!$J$5:$J$27)*后果有效剂量!$T24*后果有效剂量!$T$3+SUMPRODUCT(M$5:M$27,后果有效剂量!$J$5:$J$27)*后果有效剂量!$U24*后果有效剂量!$U$3+SUMPRODUCT(H$5:H$27,后果有效剂量!$K$5:$K$27)*后果有效剂量!$Q24+SUMPRODUCT(I$5:I$27,后果有效剂量!$K$5:$K$27)*后果有效剂量!$Q24+SUMPRODUCT(J$5:J$27,后果有效剂量!$K$5:$K$27)*后果有效剂量!$R24+SUMPRODUCT(K$5:K$27,后果有效剂量!$K$5:$K$27)*后果有效剂量!$S24+SUMPRODUCT(L$5:L$27,后果有效剂量!$K$5:$K$27)*后果有效剂量!$T24+SUMPRODUCT(M$5:M$27,后果有效剂量!$K$5:$K$27)*后果有效剂量!$U24</f>
        <v>0</v>
      </c>
      <c r="I50" s="453">
        <f ca="1">SUMPRODUCT(H$5:H$27,后果甲状腺剂量!$I$5:$I$27)*后果甲状腺剂量!$Q24+SUMPRODUCT(I$5:I$27,后果甲状腺剂量!$I$5:$I$27)*后果甲状腺剂量!$Q24+SUMPRODUCT(J$5:J$27,后果甲状腺剂量!$I$5:$I$27)*后果甲状腺剂量!$R24+SUMPRODUCT(K$5:K$27,后果甲状腺剂量!$I$5:$I$27)*后果甲状腺剂量!$S24+SUMPRODUCT(L$5:L$27,后果甲状腺剂量!$I$5:$I$27)*后果甲状腺剂量!$T24+SUMPRODUCT(M$5:M$27,后果甲状腺剂量!$I$5:$I$27)*后果甲状腺剂量!$U24+SUMPRODUCT(H$5:H$27,后果甲状腺剂量!$J$5:$J$27)*后果甲状腺剂量!$Q24*后果甲状腺剂量!$Q$3+SUMPRODUCT(I$5:I$27,后果甲状腺剂量!$J$5:$J$27)*后果甲状腺剂量!$Q24*后果甲状腺剂量!$Q$3+SUMPRODUCT(J$5:J$27,后果甲状腺剂量!$J$5:$J$27)*后果甲状腺剂量!$R24*后果甲状腺剂量!$R$3+SUMPRODUCT(K$5:K$27,后果甲状腺剂量!$J$5:$J$27)*后果甲状腺剂量!$S24*后果甲状腺剂量!$S$3+SUMPRODUCT(L$5:L$27,后果甲状腺剂量!$J$5:$J$27)*后果甲状腺剂量!$T24*后果甲状腺剂量!$T$3+SUMPRODUCT(M$5:M$27,后果甲状腺剂量!$J$5:$J$27)*后果甲状腺剂量!$U24*后果甲状腺剂量!$U$3+SUMPRODUCT(H$5:H$27,后果甲状腺剂量!$K$5:$K$27)*后果甲状腺剂量!$Q24+SUMPRODUCT(I$5:I$27,后果甲状腺剂量!$K$5:$K$27)*后果甲状腺剂量!$Q24+SUMPRODUCT(J$5:J$27,后果甲状腺剂量!$K$5:$K$27)*后果甲状腺剂量!$R24+SUMPRODUCT(K$5:K$27,后果甲状腺剂量!$K$5:$K$27)*后果甲状腺剂量!$S24+SUMPRODUCT(L$5:L$27,后果甲状腺剂量!$K$5:$K$27)*后果甲状腺剂量!$T24+SUMPRODUCT(M$5:M$27,后果甲状腺剂量!$K$5:$K$27)*后果甲状腺剂量!$U24</f>
        <v>0</v>
      </c>
      <c r="J50" s="454">
        <f ca="1" t="shared" si="254"/>
        <v>0</v>
      </c>
      <c r="K50" s="454">
        <f ca="1" t="shared" si="255"/>
        <v>0</v>
      </c>
      <c r="L50" s="436"/>
      <c r="M50" s="436"/>
      <c r="N50" s="455"/>
      <c r="O50" s="390"/>
      <c r="Q50" s="440">
        <f>后果有效剂量!$P24</f>
        <v>0</v>
      </c>
      <c r="R50" s="441">
        <f ca="1">SUMPRODUCT(R$5:R$27,后果有效剂量!$I$5:$I$27)*后果有效剂量!$Q24+SUMPRODUCT(S$5:S$27,后果有效剂量!$I$5:$I$27)*后果有效剂量!$Q24+SUMPRODUCT(T$5:T$27,后果有效剂量!$I$5:$I$27)*后果有效剂量!$R24+SUMPRODUCT(U$5:U$27,后果有效剂量!$I$5:$I$27)*后果有效剂量!$S24+SUMPRODUCT(V$5:V$27,后果有效剂量!$I$5:$I$27)*后果有效剂量!$T24+SUMPRODUCT(W$5:W$27,后果有效剂量!$I$5:$I$27)*后果有效剂量!$U24+SUMPRODUCT(R$5:R$27,后果有效剂量!$J$5:$J$27)*后果有效剂量!$Q24*后果有效剂量!$Q$3+SUMPRODUCT(S$5:S$27,后果有效剂量!$J$5:$J$27)*后果有效剂量!$Q24*后果有效剂量!$Q$3+SUMPRODUCT(T$5:T$27,后果有效剂量!$J$5:$J$27)*后果有效剂量!$R24*后果有效剂量!$R$3+SUMPRODUCT(U$5:U$27,后果有效剂量!$J$5:$J$27)*后果有效剂量!$S24*后果有效剂量!$S$3+SUMPRODUCT(V$5:V$27,后果有效剂量!$J$5:$J$27)*后果有效剂量!$T24*后果有效剂量!$T$3+SUMPRODUCT(W$5:W$27,后果有效剂量!$J$5:$J$27)*后果有效剂量!$U24*后果有效剂量!$U$3+SUMPRODUCT(R$5:R$27,后果有效剂量!$K$5:$K$27)*后果有效剂量!$Q24+SUMPRODUCT(S$5:S$27,后果有效剂量!$K$5:$K$27)*后果有效剂量!$Q24+SUMPRODUCT(T$5:T$27,后果有效剂量!$K$5:$K$27)*后果有效剂量!$R24+SUMPRODUCT(U$5:U$27,后果有效剂量!$K$5:$K$27)*后果有效剂量!$S24+SUMPRODUCT(V$5:V$27,后果有效剂量!$K$5:$K$27)*后果有效剂量!$T24+SUMPRODUCT(W$5:W$27,后果有效剂量!$K$5:$K$27)*后果有效剂量!$U24</f>
        <v>0</v>
      </c>
      <c r="S50" s="453">
        <f ca="1">SUMPRODUCT(R$5:R$27,后果甲状腺剂量!$I$5:$I$27)*后果甲状腺剂量!$Q24+SUMPRODUCT(S$5:S$27,后果甲状腺剂量!$I$5:$I$27)*后果甲状腺剂量!$Q24+SUMPRODUCT(T$5:T$27,后果甲状腺剂量!$I$5:$I$27)*后果甲状腺剂量!$R24+SUMPRODUCT(U$5:U$27,后果甲状腺剂量!$I$5:$I$27)*后果甲状腺剂量!$S24+SUMPRODUCT(V$5:V$27,后果甲状腺剂量!$I$5:$I$27)*后果甲状腺剂量!$T24+SUMPRODUCT(W$5:W$27,后果甲状腺剂量!$I$5:$I$27)*后果甲状腺剂量!$U24+SUMPRODUCT(R$5:R$27,后果甲状腺剂量!$J$5:$J$27)*后果甲状腺剂量!$Q24*后果甲状腺剂量!$Q$3+SUMPRODUCT(S$5:S$27,后果甲状腺剂量!$J$5:$J$27)*后果甲状腺剂量!$Q24*后果甲状腺剂量!$Q$3+SUMPRODUCT(T$5:T$27,后果甲状腺剂量!$J$5:$J$27)*后果甲状腺剂量!$R24*后果甲状腺剂量!$R$3+SUMPRODUCT(U$5:U$27,后果甲状腺剂量!$J$5:$J$27)*后果甲状腺剂量!$S24*后果甲状腺剂量!$S$3+SUMPRODUCT(V$5:V$27,后果甲状腺剂量!$J$5:$J$27)*后果甲状腺剂量!$T24*后果甲状腺剂量!$T$3+SUMPRODUCT(W$5:W$27,后果甲状腺剂量!$J$5:$J$27)*后果甲状腺剂量!$U24*后果甲状腺剂量!$U$3+SUMPRODUCT(R$5:R$27,后果甲状腺剂量!$K$5:$K$27)*后果甲状腺剂量!$Q24+SUMPRODUCT(S$5:S$27,后果甲状腺剂量!$K$5:$K$27)*后果甲状腺剂量!$Q24+SUMPRODUCT(T$5:T$27,后果甲状腺剂量!$K$5:$K$27)*后果甲状腺剂量!$R24+SUMPRODUCT(U$5:U$27,后果甲状腺剂量!$K$5:$K$27)*后果甲状腺剂量!$S24+SUMPRODUCT(V$5:V$27,后果甲状腺剂量!$K$5:$K$27)*后果甲状腺剂量!$T24+SUMPRODUCT(W$5:W$27,后果甲状腺剂量!$K$5:$K$27)*后果甲状腺剂量!$U24</f>
        <v>0</v>
      </c>
      <c r="T50" s="454">
        <f ca="1" t="shared" si="256"/>
        <v>0</v>
      </c>
      <c r="U50" s="454">
        <f ca="1" t="shared" si="257"/>
        <v>0</v>
      </c>
      <c r="V50" s="436"/>
      <c r="W50" s="436"/>
      <c r="AN50" s="533"/>
      <c r="AO50" s="390"/>
      <c r="AP50" s="390"/>
      <c r="AQ50" s="390"/>
      <c r="AR50" s="390"/>
      <c r="AS50" s="572"/>
      <c r="AT50" s="390"/>
      <c r="AU50" s="390"/>
      <c r="AV50" s="394"/>
      <c r="AW50" s="394"/>
      <c r="AX50" s="394"/>
      <c r="AY50" s="394"/>
      <c r="AZ50" s="394"/>
      <c r="BA50" s="394"/>
      <c r="BB50" s="394"/>
      <c r="BC50" s="394"/>
      <c r="BD50" s="394"/>
      <c r="BE50" s="394"/>
      <c r="BF50" s="394"/>
      <c r="BG50" s="394"/>
      <c r="BH50" s="394"/>
      <c r="BI50" s="394"/>
      <c r="BJ50" s="394"/>
      <c r="BK50" s="394"/>
      <c r="BL50" s="394"/>
      <c r="BM50" s="394"/>
      <c r="BN50" s="394"/>
      <c r="BO50" s="600"/>
      <c r="BP50" s="394"/>
      <c r="BQ50" s="394"/>
      <c r="BR50" s="394"/>
      <c r="BS50" s="394"/>
      <c r="BT50" s="394"/>
      <c r="BU50" s="394"/>
      <c r="BV50" s="394"/>
      <c r="BW50" s="394"/>
      <c r="BX50" s="394"/>
      <c r="BY50" s="394"/>
      <c r="BZ50" s="394"/>
      <c r="CA50" s="394"/>
      <c r="CB50" s="394"/>
      <c r="CC50" s="394"/>
      <c r="CD50" s="394"/>
      <c r="CE50" s="394"/>
      <c r="CF50" s="394"/>
      <c r="CG50" s="394"/>
      <c r="CH50" s="394"/>
      <c r="CI50" s="394"/>
      <c r="CJ50" s="394"/>
      <c r="CK50" s="394"/>
      <c r="CL50" s="394"/>
      <c r="CM50" s="394"/>
      <c r="CN50" s="394"/>
      <c r="CO50" s="394"/>
      <c r="CP50" s="394"/>
      <c r="CQ50" s="394"/>
      <c r="CR50" s="394"/>
      <c r="CS50" s="394"/>
      <c r="CT50" s="394"/>
      <c r="CU50" s="394"/>
      <c r="CV50" s="394"/>
      <c r="CW50" s="394"/>
      <c r="CX50" s="394"/>
      <c r="CY50" s="394"/>
      <c r="CZ50" s="394"/>
      <c r="DA50" s="394"/>
      <c r="DB50" s="394"/>
      <c r="DC50" s="394"/>
      <c r="DD50" s="394"/>
      <c r="DE50" s="394"/>
      <c r="DF50" s="394"/>
      <c r="DG50" s="394"/>
      <c r="DH50" s="394"/>
      <c r="DI50" s="394"/>
      <c r="DJ50" s="394"/>
      <c r="DK50" s="394"/>
      <c r="DL50" s="394"/>
      <c r="DM50" s="394"/>
      <c r="DN50" s="394"/>
      <c r="DO50" s="394"/>
      <c r="DP50" s="394"/>
      <c r="DQ50" s="394"/>
      <c r="DR50" s="394"/>
      <c r="DS50" s="394"/>
      <c r="DT50" s="394"/>
      <c r="DU50" s="394"/>
      <c r="DV50" s="394"/>
      <c r="DW50" s="394"/>
      <c r="DX50" s="394"/>
      <c r="DY50" s="394"/>
      <c r="DZ50" s="394"/>
      <c r="EA50" s="394"/>
      <c r="EB50" s="394"/>
      <c r="EC50" s="394"/>
      <c r="ED50" s="394"/>
      <c r="EE50" s="394"/>
      <c r="EF50" s="394"/>
      <c r="EG50" s="394"/>
      <c r="EH50" s="394"/>
      <c r="EI50" s="394"/>
      <c r="EJ50" s="394"/>
      <c r="EK50" s="394"/>
      <c r="EL50" s="394"/>
      <c r="EM50" s="394"/>
      <c r="EN50" s="394"/>
      <c r="EO50" s="394"/>
      <c r="EP50" s="394"/>
      <c r="EQ50" s="394"/>
      <c r="ER50" s="394"/>
      <c r="ES50" s="394"/>
      <c r="ET50" s="394"/>
      <c r="EU50" s="394"/>
      <c r="EV50" s="394"/>
      <c r="EW50" s="394"/>
      <c r="EX50" s="394"/>
      <c r="EY50" s="394"/>
      <c r="EZ50" s="394"/>
      <c r="FA50" s="394"/>
      <c r="FB50" s="394"/>
      <c r="FC50" s="394"/>
      <c r="FD50" s="394"/>
      <c r="FE50" s="394"/>
      <c r="FF50" s="394"/>
      <c r="FG50" s="394"/>
      <c r="FH50" s="394"/>
      <c r="FI50" s="394"/>
      <c r="FJ50" s="394"/>
      <c r="FK50" s="394"/>
      <c r="FL50" s="394"/>
      <c r="FM50" s="394"/>
      <c r="FN50" s="394"/>
      <c r="FO50" s="394"/>
      <c r="FP50" s="394"/>
      <c r="FQ50" s="394"/>
      <c r="FS50" s="441">
        <f>SUMPRODUCT(FS$5:FS$27,后果有效剂量!$I$5:$I$27)*后果有效剂量!$Q24+SUMPRODUCT(FT$5:FT$27,后果有效剂量!$I$5:$I$27)*后果有效剂量!$R24+SUMPRODUCT(FU$5:FU$27,后果有效剂量!$I$5:$I$27)*后果有效剂量!$S24+SUMPRODUCT(FV$5:FV$27,后果有效剂量!$I$5:$I$27)*后果有效剂量!$T24+SUMPRODUCT(FS$5:FS$27,后果有效剂量!$J$5:$J$27)*后果有效剂量!$Q24*后果有效剂量!$Q$3+SUMPRODUCT(FT$5:FT$27,后果有效剂量!$J$5:$J$27)*后果有效剂量!$R24*后果有效剂量!$R$3+SUMPRODUCT(FU$5:FU$27,后果有效剂量!$J$5:$J$27)*后果有效剂量!$S24*后果有效剂量!$S$3+SUMPRODUCT(FV$5:FV$27,后果有效剂量!$J$5:$J$27)*后果有效剂量!$T24*后果有效剂量!$T$3+SUMPRODUCT(FS$5:FS$27,后果有效剂量!$K$5:$K$27)*后果有效剂量!$Q24+SUMPRODUCT(FT$5:FT$27,后果有效剂量!$K$5:$K$27)*后果有效剂量!$R24+SUMPRODUCT(FU$5:FU$27,后果有效剂量!$K$5:$K$27)*后果有效剂量!$S24+SUMPRODUCT(FV$5:FV$27,后果有效剂量!$K$5:$K$27)*后果有效剂量!$T24</f>
        <v>0</v>
      </c>
      <c r="FT50" s="453">
        <f>SUMPRODUCT(FS$5:FS$27,后果甲状腺剂量!$I$5:$I$27)*后果甲状腺剂量!$Q24+SUMPRODUCT(FT$5:FT$27,后果甲状腺剂量!$I$5:$I$27)*后果甲状腺剂量!$R24+SUMPRODUCT(FU$5:FU$27,后果甲状腺剂量!$I$5:$I$27)*后果甲状腺剂量!$S24+SUMPRODUCT(FV$5:FV$27,后果甲状腺剂量!$I$5:$I$27)*后果甲状腺剂量!$T24+SUMPRODUCT(FS$5:FS$27,后果甲状腺剂量!$J$5:$J$27)*后果甲状腺剂量!$Q24*后果甲状腺剂量!$Q$3+SUMPRODUCT(FT$5:FT$27,后果甲状腺剂量!$J$5:$J$27)*后果甲状腺剂量!$R24*后果甲状腺剂量!$R$3+SUMPRODUCT(FU$5:FU$27,后果甲状腺剂量!$J$5:$J$27)*后果甲状腺剂量!$S24*后果甲状腺剂量!$S$3+SUMPRODUCT(FV$5:FV$27,后果甲状腺剂量!$J$5:$J$27)*后果甲状腺剂量!$T24*后果甲状腺剂量!$T$3+SUMPRODUCT(FS$5:FS$27,后果甲状腺剂量!$K$5:$K$27)*后果甲状腺剂量!$Q24+SUMPRODUCT(FT$5:FT$27,后果甲状腺剂量!$K$5:$K$27)*后果甲状腺剂量!$R24+SUMPRODUCT(FU$5:FU$27,后果甲状腺剂量!$K$5:$K$27)*后果甲状腺剂量!$S24+SUMPRODUCT(FV$5:FV$27,后果甲状腺剂量!$K$5:$K$27)*后果甲状腺剂量!$T24</f>
        <v>0</v>
      </c>
      <c r="FU50" s="454">
        <f t="shared" si="258"/>
        <v>0</v>
      </c>
      <c r="FV50" s="454">
        <f t="shared" si="259"/>
        <v>0</v>
      </c>
      <c r="FW50" s="436"/>
      <c r="FX50" s="436"/>
      <c r="GD50" s="440">
        <f>后果有效剂量!$P24</f>
        <v>0</v>
      </c>
      <c r="GE50" s="441">
        <f>SUMPRODUCT(GE$5:GE$27,后果有效剂量!$I$5:$I$27)*后果有效剂量!$Q24+SUMPRODUCT(GF$5:GF$27,后果有效剂量!$I$5:$I$27)*后果有效剂量!$R24+SUMPRODUCT(GG$5:GG$27,后果有效剂量!$I$5:$I$27)*后果有效剂量!$S24+(SUMPRODUCT(GH$5:GH$27,后果有效剂量!$I$5:$I$27)+SUMPRODUCT(GI$5:GI$27,后果有效剂量!$I$5:$I$27))*后果有效剂量!$T24+SUMPRODUCT(GJ$5:GJ$27,后果有效剂量!$I$5:$I$27)*后果有效剂量!$U24+SUMPRODUCT(GE$5:GE$27,后果有效剂量!$J$5:$J$27)*后果有效剂量!$Q24*后果有效剂量!$Q$3+SUMPRODUCT(GF$5:GF$27,后果有效剂量!$J$5:$J$27)*后果有效剂量!$R24*后果有效剂量!$R$3+SUMPRODUCT(GG$5:GG$27,后果有效剂量!$J$5:$J$27)*后果有效剂量!$S24*后果有效剂量!$S$3+(SUMPRODUCT(GH$5:GH$27,后果有效剂量!$J$5:$J$27)+SUMPRODUCT(GI$5:GI$27,后果有效剂量!$J$5:$J$27))*后果有效剂量!$T24*后果有效剂量!$T$3+SUMPRODUCT(GJ$5:GJ$27,后果有效剂量!$J$5:$J$27)*后果有效剂量!$U24*后果有效剂量!$U$3+SUMPRODUCT(GE$5:GE$27,后果有效剂量!$K$5:$K$27)*后果有效剂量!$Q24+SUMPRODUCT(GF$5:GF$27,后果有效剂量!$K$5:$K$27)*后果有效剂量!$R24+SUMPRODUCT(GG$5:GG$27,后果有效剂量!$K$5:$K$27)*后果有效剂量!$S24+(SUMPRODUCT(GH$5:GH$27,后果有效剂量!$K$5:$K$27)+SUMPRODUCT(GI$5:GI$27,后果有效剂量!$K$5:$K$27))*后果有效剂量!$T24+SUMPRODUCT(GJ$5:GJ$27,后果有效剂量!$K$5:$K$27)*后果有效剂量!$U24</f>
        <v>0</v>
      </c>
      <c r="GF50" s="453">
        <f>SUMPRODUCT(GE$5:GE$27,后果甲状腺剂量!$I$5:$I$27)*后果甲状腺剂量!$Q24+SUMPRODUCT(GF$5:GF$27,后果甲状腺剂量!$I$5:$I$27)*后果甲状腺剂量!$R24+SUMPRODUCT(GG$5:GG$27,后果甲状腺剂量!$I$5:$I$27)*后果甲状腺剂量!$S24+(SUMPRODUCT(GH$5:GH$27,后果甲状腺剂量!$I$5:$I$27)+SUMPRODUCT(GI$5:GI$27,后果甲状腺剂量!$I$5:$I$27))*后果甲状腺剂量!$T24+SUMPRODUCT(GJ$5:GJ$27,后果甲状腺剂量!$I$5:$I$27)*后果甲状腺剂量!$U24+SUMPRODUCT(GE$5:GE$27,后果甲状腺剂量!$J$5:$J$27)*后果甲状腺剂量!$Q24*后果甲状腺剂量!$Q$3+SUMPRODUCT(GF$5:GF$27,后果甲状腺剂量!$J$5:$J$27)*后果甲状腺剂量!$R24*后果甲状腺剂量!$R$3+SUMPRODUCT(GG$5:GG$27,后果甲状腺剂量!$J$5:$J$27)*后果甲状腺剂量!$S24*后果甲状腺剂量!$S$3+(SUMPRODUCT(GH$5:GH$27,后果甲状腺剂量!$J$5:$J$27)+SUMPRODUCT(GI$5:GI$27,后果甲状腺剂量!$J$5:$J$27))*后果甲状腺剂量!$T24*后果甲状腺剂量!$T$3+SUMPRODUCT(GJ$5:GJ$27,后果甲状腺剂量!$J$5:$J$27)*后果甲状腺剂量!$U24*后果甲状腺剂量!$U$3+SUMPRODUCT(GE$5:GE$27,后果甲状腺剂量!$K$5:$K$27)*后果甲状腺剂量!$Q24+SUMPRODUCT(GF$5:GF$27,后果甲状腺剂量!$K$5:$K$27)*后果甲状腺剂量!$R24+SUMPRODUCT(GG$5:GG$27,后果甲状腺剂量!$K$5:$K$27)*后果甲状腺剂量!$S24+(SUMPRODUCT(GH$5:GH$27,后果甲状腺剂量!$K$5:$K$27)+SUMPRODUCT(GI$5:GI$27,后果甲状腺剂量!$K$5:$K$27))*后果甲状腺剂量!$T24+SUMPRODUCT(GJ$5:GJ$27,后果甲状腺剂量!$K$5:$K$27)*后果甲状腺剂量!$U24</f>
        <v>0</v>
      </c>
      <c r="GG50" s="454">
        <f t="shared" si="260"/>
        <v>0</v>
      </c>
      <c r="GH50" s="454">
        <f t="shared" si="261"/>
        <v>0</v>
      </c>
      <c r="GI50" s="436"/>
      <c r="GJ50" s="436"/>
    </row>
    <row r="51" spans="7:192">
      <c r="G51" s="440">
        <f>后果有效剂量!$P25</f>
        <v>0</v>
      </c>
      <c r="H51" s="441">
        <f ca="1">SUMPRODUCT(H$5:H$27,后果有效剂量!$I$5:$I$27)*后果有效剂量!$Q25+SUMPRODUCT(I$5:I$27,后果有效剂量!$I$5:$I$27)*后果有效剂量!$Q25+SUMPRODUCT(J$5:J$27,后果有效剂量!$I$5:$I$27)*后果有效剂量!$R25+SUMPRODUCT(K$5:K$27,后果有效剂量!$I$5:$I$27)*后果有效剂量!$S25+SUMPRODUCT(L$5:L$27,后果有效剂量!$I$5:$I$27)*后果有效剂量!$T25+SUMPRODUCT(M$5:M$27,后果有效剂量!$I$5:$I$27)*后果有效剂量!$U25+SUMPRODUCT(H$5:H$27,后果有效剂量!$J$5:$J$27)*后果有效剂量!$Q25*后果有效剂量!$Q$3+SUMPRODUCT(I$5:I$27,后果有效剂量!$J$5:$J$27)*后果有效剂量!$Q25*后果有效剂量!$Q$3+SUMPRODUCT(J$5:J$27,后果有效剂量!$J$5:$J$27)*后果有效剂量!$R25*后果有效剂量!$R$3+SUMPRODUCT(K$5:K$27,后果有效剂量!$J$5:$J$27)*后果有效剂量!$S25*后果有效剂量!$S$3+SUMPRODUCT(L$5:L$27,后果有效剂量!$J$5:$J$27)*后果有效剂量!$T25*后果有效剂量!$T$3+SUMPRODUCT(M$5:M$27,后果有效剂量!$J$5:$J$27)*后果有效剂量!$U25*后果有效剂量!$U$3+SUMPRODUCT(H$5:H$27,后果有效剂量!$K$5:$K$27)*后果有效剂量!$Q25+SUMPRODUCT(I$5:I$27,后果有效剂量!$K$5:$K$27)*后果有效剂量!$Q25+SUMPRODUCT(J$5:J$27,后果有效剂量!$K$5:$K$27)*后果有效剂量!$R25+SUMPRODUCT(K$5:K$27,后果有效剂量!$K$5:$K$27)*后果有效剂量!$S25+SUMPRODUCT(L$5:L$27,后果有效剂量!$K$5:$K$27)*后果有效剂量!$T25+SUMPRODUCT(M$5:M$27,后果有效剂量!$K$5:$K$27)*后果有效剂量!$U25</f>
        <v>0</v>
      </c>
      <c r="I51" s="453">
        <f ca="1">SUMPRODUCT(H$5:H$27,后果甲状腺剂量!$I$5:$I$27)*后果甲状腺剂量!$Q25+SUMPRODUCT(I$5:I$27,后果甲状腺剂量!$I$5:$I$27)*后果甲状腺剂量!$Q25+SUMPRODUCT(J$5:J$27,后果甲状腺剂量!$I$5:$I$27)*后果甲状腺剂量!$R25+SUMPRODUCT(K$5:K$27,后果甲状腺剂量!$I$5:$I$27)*后果甲状腺剂量!$S25+SUMPRODUCT(L$5:L$27,后果甲状腺剂量!$I$5:$I$27)*后果甲状腺剂量!$T25+SUMPRODUCT(M$5:M$27,后果甲状腺剂量!$I$5:$I$27)*后果甲状腺剂量!$U25+SUMPRODUCT(H$5:H$27,后果甲状腺剂量!$J$5:$J$27)*后果甲状腺剂量!$Q25*后果甲状腺剂量!$Q$3+SUMPRODUCT(I$5:I$27,后果甲状腺剂量!$J$5:$J$27)*后果甲状腺剂量!$Q25*后果甲状腺剂量!$Q$3+SUMPRODUCT(J$5:J$27,后果甲状腺剂量!$J$5:$J$27)*后果甲状腺剂量!$R25*后果甲状腺剂量!$R$3+SUMPRODUCT(K$5:K$27,后果甲状腺剂量!$J$5:$J$27)*后果甲状腺剂量!$S25*后果甲状腺剂量!$S$3+SUMPRODUCT(L$5:L$27,后果甲状腺剂量!$J$5:$J$27)*后果甲状腺剂量!$T25*后果甲状腺剂量!$T$3+SUMPRODUCT(M$5:M$27,后果甲状腺剂量!$J$5:$J$27)*后果甲状腺剂量!$U25*后果甲状腺剂量!$U$3+SUMPRODUCT(H$5:H$27,后果甲状腺剂量!$K$5:$K$27)*后果甲状腺剂量!$Q25+SUMPRODUCT(I$5:I$27,后果甲状腺剂量!$K$5:$K$27)*后果甲状腺剂量!$Q25+SUMPRODUCT(J$5:J$27,后果甲状腺剂量!$K$5:$K$27)*后果甲状腺剂量!$R25+SUMPRODUCT(K$5:K$27,后果甲状腺剂量!$K$5:$K$27)*后果甲状腺剂量!$S25+SUMPRODUCT(L$5:L$27,后果甲状腺剂量!$K$5:$K$27)*后果甲状腺剂量!$T25+SUMPRODUCT(M$5:M$27,后果甲状腺剂量!$K$5:$K$27)*后果甲状腺剂量!$U25</f>
        <v>0</v>
      </c>
      <c r="J51" s="454">
        <f ca="1" t="shared" si="254"/>
        <v>0</v>
      </c>
      <c r="K51" s="454">
        <f ca="1" t="shared" si="255"/>
        <v>0</v>
      </c>
      <c r="L51" s="459">
        <f ca="1" t="shared" ref="L51:L56" si="262">J51/10*100</f>
        <v>0</v>
      </c>
      <c r="M51" s="459">
        <f ca="1" t="shared" ref="M51:M56" si="263">K51/100*100</f>
        <v>0</v>
      </c>
      <c r="N51" s="455"/>
      <c r="O51" s="390"/>
      <c r="Q51" s="440">
        <f>后果有效剂量!$P25</f>
        <v>0</v>
      </c>
      <c r="R51" s="441">
        <f ca="1">SUMPRODUCT(R$5:R$27,后果有效剂量!$I$5:$I$27)*后果有效剂量!$Q25+SUMPRODUCT(S$5:S$27,后果有效剂量!$I$5:$I$27)*后果有效剂量!$Q25+SUMPRODUCT(T$5:T$27,后果有效剂量!$I$5:$I$27)*后果有效剂量!$R25+SUMPRODUCT(U$5:U$27,后果有效剂量!$I$5:$I$27)*后果有效剂量!$S25+SUMPRODUCT(V$5:V$27,后果有效剂量!$I$5:$I$27)*后果有效剂量!$T25+SUMPRODUCT(W$5:W$27,后果有效剂量!$I$5:$I$27)*后果有效剂量!$U25+SUMPRODUCT(R$5:R$27,后果有效剂量!$J$5:$J$27)*后果有效剂量!$Q25*后果有效剂量!$Q$3+SUMPRODUCT(S$5:S$27,后果有效剂量!$J$5:$J$27)*后果有效剂量!$Q25*后果有效剂量!$Q$3+SUMPRODUCT(T$5:T$27,后果有效剂量!$J$5:$J$27)*后果有效剂量!$R25*后果有效剂量!$R$3+SUMPRODUCT(U$5:U$27,后果有效剂量!$J$5:$J$27)*后果有效剂量!$S25*后果有效剂量!$S$3+SUMPRODUCT(V$5:V$27,后果有效剂量!$J$5:$J$27)*后果有效剂量!$T25*后果有效剂量!$T$3+SUMPRODUCT(W$5:W$27,后果有效剂量!$J$5:$J$27)*后果有效剂量!$U25*后果有效剂量!$U$3+SUMPRODUCT(R$5:R$27,后果有效剂量!$K$5:$K$27)*后果有效剂量!$Q25+SUMPRODUCT(S$5:S$27,后果有效剂量!$K$5:$K$27)*后果有效剂量!$Q25+SUMPRODUCT(T$5:T$27,后果有效剂量!$K$5:$K$27)*后果有效剂量!$R25+SUMPRODUCT(U$5:U$27,后果有效剂量!$K$5:$K$27)*后果有效剂量!$S25+SUMPRODUCT(V$5:V$27,后果有效剂量!$K$5:$K$27)*后果有效剂量!$T25+SUMPRODUCT(W$5:W$27,后果有效剂量!$K$5:$K$27)*后果有效剂量!$U25</f>
        <v>0</v>
      </c>
      <c r="S51" s="453">
        <f ca="1">SUMPRODUCT(R$5:R$27,后果甲状腺剂量!$I$5:$I$27)*后果甲状腺剂量!$Q25+SUMPRODUCT(S$5:S$27,后果甲状腺剂量!$I$5:$I$27)*后果甲状腺剂量!$Q25+SUMPRODUCT(T$5:T$27,后果甲状腺剂量!$I$5:$I$27)*后果甲状腺剂量!$R25+SUMPRODUCT(U$5:U$27,后果甲状腺剂量!$I$5:$I$27)*后果甲状腺剂量!$S25+SUMPRODUCT(V$5:V$27,后果甲状腺剂量!$I$5:$I$27)*后果甲状腺剂量!$T25+SUMPRODUCT(W$5:W$27,后果甲状腺剂量!$I$5:$I$27)*后果甲状腺剂量!$U25+SUMPRODUCT(R$5:R$27,后果甲状腺剂量!$J$5:$J$27)*后果甲状腺剂量!$Q25*后果甲状腺剂量!$Q$3+SUMPRODUCT(S$5:S$27,后果甲状腺剂量!$J$5:$J$27)*后果甲状腺剂量!$Q25*后果甲状腺剂量!$Q$3+SUMPRODUCT(T$5:T$27,后果甲状腺剂量!$J$5:$J$27)*后果甲状腺剂量!$R25*后果甲状腺剂量!$R$3+SUMPRODUCT(U$5:U$27,后果甲状腺剂量!$J$5:$J$27)*后果甲状腺剂量!$S25*后果甲状腺剂量!$S$3+SUMPRODUCT(V$5:V$27,后果甲状腺剂量!$J$5:$J$27)*后果甲状腺剂量!$T25*后果甲状腺剂量!$T$3+SUMPRODUCT(W$5:W$27,后果甲状腺剂量!$J$5:$J$27)*后果甲状腺剂量!$U25*后果甲状腺剂量!$U$3+SUMPRODUCT(R$5:R$27,后果甲状腺剂量!$K$5:$K$27)*后果甲状腺剂量!$Q25+SUMPRODUCT(S$5:S$27,后果甲状腺剂量!$K$5:$K$27)*后果甲状腺剂量!$Q25+SUMPRODUCT(T$5:T$27,后果甲状腺剂量!$K$5:$K$27)*后果甲状腺剂量!$R25+SUMPRODUCT(U$5:U$27,后果甲状腺剂量!$K$5:$K$27)*后果甲状腺剂量!$S25+SUMPRODUCT(V$5:V$27,后果甲状腺剂量!$K$5:$K$27)*后果甲状腺剂量!$T25+SUMPRODUCT(W$5:W$27,后果甲状腺剂量!$K$5:$K$27)*后果甲状腺剂量!$U25</f>
        <v>0</v>
      </c>
      <c r="T51" s="454">
        <f ca="1" t="shared" si="256"/>
        <v>0</v>
      </c>
      <c r="U51" s="454">
        <f ca="1" t="shared" si="257"/>
        <v>0</v>
      </c>
      <c r="V51" s="459">
        <f ca="1" t="shared" ref="V51:V56" si="264">T51/10*100</f>
        <v>0</v>
      </c>
      <c r="W51" s="459">
        <f ca="1" t="shared" ref="W51:W56" si="265">U51/100*100</f>
        <v>0</v>
      </c>
      <c r="AS51" s="572"/>
      <c r="AT51" s="390"/>
      <c r="AU51" s="390"/>
      <c r="AV51" s="394"/>
      <c r="AW51" s="394"/>
      <c r="AX51" s="394"/>
      <c r="AY51" s="394"/>
      <c r="AZ51" s="394"/>
      <c r="BA51" s="394"/>
      <c r="BB51" s="394"/>
      <c r="BC51" s="394"/>
      <c r="BD51" s="394"/>
      <c r="BE51" s="394"/>
      <c r="BF51" s="394"/>
      <c r="BG51" s="394"/>
      <c r="BH51" s="394"/>
      <c r="BI51" s="394"/>
      <c r="BJ51" s="394"/>
      <c r="BK51" s="394"/>
      <c r="BL51" s="394"/>
      <c r="BM51" s="394"/>
      <c r="BN51" s="394"/>
      <c r="BO51" s="394"/>
      <c r="BP51" s="394"/>
      <c r="BQ51" s="394"/>
      <c r="BR51" s="394"/>
      <c r="BS51" s="394"/>
      <c r="BT51" s="394"/>
      <c r="BU51" s="394"/>
      <c r="BV51" s="394"/>
      <c r="BW51" s="394"/>
      <c r="BX51" s="394"/>
      <c r="BY51" s="394"/>
      <c r="BZ51" s="394"/>
      <c r="CA51" s="394"/>
      <c r="CB51" s="394"/>
      <c r="CC51" s="394"/>
      <c r="CD51" s="394"/>
      <c r="CE51" s="394"/>
      <c r="CF51" s="394"/>
      <c r="CG51" s="394"/>
      <c r="CH51" s="394"/>
      <c r="CI51" s="394"/>
      <c r="CJ51" s="394"/>
      <c r="CK51" s="394"/>
      <c r="CL51" s="394"/>
      <c r="CM51" s="394"/>
      <c r="CN51" s="394"/>
      <c r="CO51" s="394"/>
      <c r="CP51" s="394"/>
      <c r="CQ51" s="394"/>
      <c r="CR51" s="394"/>
      <c r="CS51" s="394"/>
      <c r="CT51" s="394"/>
      <c r="CU51" s="394"/>
      <c r="CV51" s="394"/>
      <c r="CW51" s="394"/>
      <c r="CX51" s="394"/>
      <c r="CY51" s="394"/>
      <c r="CZ51" s="394"/>
      <c r="DA51" s="394"/>
      <c r="DB51" s="394"/>
      <c r="DC51" s="394"/>
      <c r="DD51" s="394"/>
      <c r="DE51" s="394"/>
      <c r="DF51" s="394"/>
      <c r="DG51" s="394"/>
      <c r="DH51" s="394"/>
      <c r="DI51" s="394"/>
      <c r="DJ51" s="394"/>
      <c r="DK51" s="394"/>
      <c r="DL51" s="394"/>
      <c r="DM51" s="394"/>
      <c r="DN51" s="394"/>
      <c r="DO51" s="394"/>
      <c r="DP51" s="394"/>
      <c r="DQ51" s="394"/>
      <c r="DR51" s="394"/>
      <c r="DS51" s="394"/>
      <c r="DT51" s="394"/>
      <c r="DU51" s="394"/>
      <c r="DV51" s="394"/>
      <c r="DW51" s="394"/>
      <c r="DX51" s="394"/>
      <c r="DY51" s="394"/>
      <c r="DZ51" s="394"/>
      <c r="EA51" s="394"/>
      <c r="EB51" s="394"/>
      <c r="EC51" s="394"/>
      <c r="ED51" s="394"/>
      <c r="EE51" s="394"/>
      <c r="EF51" s="394"/>
      <c r="EG51" s="394"/>
      <c r="EH51" s="394"/>
      <c r="EI51" s="394"/>
      <c r="EJ51" s="394"/>
      <c r="EK51" s="394"/>
      <c r="EL51" s="394"/>
      <c r="EM51" s="394"/>
      <c r="EN51" s="394"/>
      <c r="EO51" s="394"/>
      <c r="EP51" s="394"/>
      <c r="EQ51" s="394"/>
      <c r="ER51" s="394"/>
      <c r="ES51" s="394"/>
      <c r="ET51" s="394"/>
      <c r="EU51" s="394"/>
      <c r="EV51" s="394"/>
      <c r="EW51" s="394"/>
      <c r="EX51" s="394"/>
      <c r="EY51" s="394"/>
      <c r="EZ51" s="394"/>
      <c r="FA51" s="394"/>
      <c r="FB51" s="394"/>
      <c r="FC51" s="394"/>
      <c r="FD51" s="394"/>
      <c r="FE51" s="394"/>
      <c r="FF51" s="394"/>
      <c r="FG51" s="394"/>
      <c r="FH51" s="394"/>
      <c r="FI51" s="394"/>
      <c r="FJ51" s="394"/>
      <c r="FK51" s="394"/>
      <c r="FL51" s="394"/>
      <c r="FM51" s="394"/>
      <c r="FN51" s="394"/>
      <c r="FO51" s="394"/>
      <c r="FP51" s="394"/>
      <c r="FQ51" s="394"/>
      <c r="FS51" s="441">
        <f>SUMPRODUCT(FS$5:FS$27,后果有效剂量!$I$5:$I$27)*后果有效剂量!$Q25+SUMPRODUCT(FT$5:FT$27,后果有效剂量!$I$5:$I$27)*后果有效剂量!$R25+SUMPRODUCT(FU$5:FU$27,后果有效剂量!$I$5:$I$27)*后果有效剂量!$S25+SUMPRODUCT(FV$5:FV$27,后果有效剂量!$I$5:$I$27)*后果有效剂量!$T25+SUMPRODUCT(FS$5:FS$27,后果有效剂量!$J$5:$J$27)*后果有效剂量!$Q25*后果有效剂量!$Q$3+SUMPRODUCT(FT$5:FT$27,后果有效剂量!$J$5:$J$27)*后果有效剂量!$R25*后果有效剂量!$R$3+SUMPRODUCT(FU$5:FU$27,后果有效剂量!$J$5:$J$27)*后果有效剂量!$S25*后果有效剂量!$S$3+SUMPRODUCT(FV$5:FV$27,后果有效剂量!$J$5:$J$27)*后果有效剂量!$T25*后果有效剂量!$T$3+SUMPRODUCT(FS$5:FS$27,后果有效剂量!$K$5:$K$27)*后果有效剂量!$Q25+SUMPRODUCT(FT$5:FT$27,后果有效剂量!$K$5:$K$27)*后果有效剂量!$R25+SUMPRODUCT(FU$5:FU$27,后果有效剂量!$K$5:$K$27)*后果有效剂量!$S25+SUMPRODUCT(FV$5:FV$27,后果有效剂量!$K$5:$K$27)*后果有效剂量!$T25</f>
        <v>0</v>
      </c>
      <c r="FT51" s="453">
        <f>SUMPRODUCT(FS$5:FS$27,后果甲状腺剂量!$I$5:$I$27)*后果甲状腺剂量!$Q25+SUMPRODUCT(FT$5:FT$27,后果甲状腺剂量!$I$5:$I$27)*后果甲状腺剂量!$R25+SUMPRODUCT(FU$5:FU$27,后果甲状腺剂量!$I$5:$I$27)*后果甲状腺剂量!$S25+SUMPRODUCT(FV$5:FV$27,后果甲状腺剂量!$I$5:$I$27)*后果甲状腺剂量!$T25+SUMPRODUCT(FS$5:FS$27,后果甲状腺剂量!$J$5:$J$27)*后果甲状腺剂量!$Q25*后果甲状腺剂量!$Q$3+SUMPRODUCT(FT$5:FT$27,后果甲状腺剂量!$J$5:$J$27)*后果甲状腺剂量!$R25*后果甲状腺剂量!$R$3+SUMPRODUCT(FU$5:FU$27,后果甲状腺剂量!$J$5:$J$27)*后果甲状腺剂量!$S25*后果甲状腺剂量!$S$3+SUMPRODUCT(FV$5:FV$27,后果甲状腺剂量!$J$5:$J$27)*后果甲状腺剂量!$T25*后果甲状腺剂量!$T$3+SUMPRODUCT(FS$5:FS$27,后果甲状腺剂量!$K$5:$K$27)*后果甲状腺剂量!$Q25+SUMPRODUCT(FT$5:FT$27,后果甲状腺剂量!$K$5:$K$27)*后果甲状腺剂量!$R25+SUMPRODUCT(FU$5:FU$27,后果甲状腺剂量!$K$5:$K$27)*后果甲状腺剂量!$S25+SUMPRODUCT(FV$5:FV$27,后果甲状腺剂量!$K$5:$K$27)*后果甲状腺剂量!$T25</f>
        <v>0</v>
      </c>
      <c r="FU51" s="454">
        <f t="shared" si="258"/>
        <v>0</v>
      </c>
      <c r="FV51" s="454">
        <f t="shared" si="259"/>
        <v>0</v>
      </c>
      <c r="FW51" s="459">
        <f t="shared" ref="FW51:FW56" si="266">FU51/10*100</f>
        <v>0</v>
      </c>
      <c r="FX51" s="459">
        <f t="shared" ref="FX51:FX56" si="267">FV51/100*100</f>
        <v>0</v>
      </c>
      <c r="GD51" s="440">
        <f>后果有效剂量!$P25</f>
        <v>0</v>
      </c>
      <c r="GE51" s="441">
        <f>SUMPRODUCT(GE$5:GE$27,后果有效剂量!$I$5:$I$27)*后果有效剂量!$Q25+SUMPRODUCT(GF$5:GF$27,后果有效剂量!$I$5:$I$27)*后果有效剂量!$R25+SUMPRODUCT(GG$5:GG$27,后果有效剂量!$I$5:$I$27)*后果有效剂量!$S25+(SUMPRODUCT(GH$5:GH$27,后果有效剂量!$I$5:$I$27)+SUMPRODUCT(GI$5:GI$27,后果有效剂量!$I$5:$I$27))*后果有效剂量!$T25+SUMPRODUCT(GJ$5:GJ$27,后果有效剂量!$I$5:$I$27)*后果有效剂量!$U25+SUMPRODUCT(GE$5:GE$27,后果有效剂量!$J$5:$J$27)*后果有效剂量!$Q25*后果有效剂量!$Q$3+SUMPRODUCT(GF$5:GF$27,后果有效剂量!$J$5:$J$27)*后果有效剂量!$R25*后果有效剂量!$R$3+SUMPRODUCT(GG$5:GG$27,后果有效剂量!$J$5:$J$27)*后果有效剂量!$S25*后果有效剂量!$S$3+(SUMPRODUCT(GH$5:GH$27,后果有效剂量!$J$5:$J$27)+SUMPRODUCT(GI$5:GI$27,后果有效剂量!$J$5:$J$27))*后果有效剂量!$T25*后果有效剂量!$T$3+SUMPRODUCT(GJ$5:GJ$27,后果有效剂量!$J$5:$J$27)*后果有效剂量!$U25*后果有效剂量!$U$3+SUMPRODUCT(GE$5:GE$27,后果有效剂量!$K$5:$K$27)*后果有效剂量!$Q25+SUMPRODUCT(GF$5:GF$27,后果有效剂量!$K$5:$K$27)*后果有效剂量!$R25+SUMPRODUCT(GG$5:GG$27,后果有效剂量!$K$5:$K$27)*后果有效剂量!$S25+(SUMPRODUCT(GH$5:GH$27,后果有效剂量!$K$5:$K$27)+SUMPRODUCT(GI$5:GI$27,后果有效剂量!$K$5:$K$27))*后果有效剂量!$T25+SUMPRODUCT(GJ$5:GJ$27,后果有效剂量!$K$5:$K$27)*后果有效剂量!$U25</f>
        <v>0</v>
      </c>
      <c r="GF51" s="453">
        <f>SUMPRODUCT(GE$5:GE$27,后果甲状腺剂量!$I$5:$I$27)*后果甲状腺剂量!$Q25+SUMPRODUCT(GF$5:GF$27,后果甲状腺剂量!$I$5:$I$27)*后果甲状腺剂量!$R25+SUMPRODUCT(GG$5:GG$27,后果甲状腺剂量!$I$5:$I$27)*后果甲状腺剂量!$S25+(SUMPRODUCT(GH$5:GH$27,后果甲状腺剂量!$I$5:$I$27)+SUMPRODUCT(GI$5:GI$27,后果甲状腺剂量!$I$5:$I$27))*后果甲状腺剂量!$T25+SUMPRODUCT(GJ$5:GJ$27,后果甲状腺剂量!$I$5:$I$27)*后果甲状腺剂量!$U25+SUMPRODUCT(GE$5:GE$27,后果甲状腺剂量!$J$5:$J$27)*后果甲状腺剂量!$Q25*后果甲状腺剂量!$Q$3+SUMPRODUCT(GF$5:GF$27,后果甲状腺剂量!$J$5:$J$27)*后果甲状腺剂量!$R25*后果甲状腺剂量!$R$3+SUMPRODUCT(GG$5:GG$27,后果甲状腺剂量!$J$5:$J$27)*后果甲状腺剂量!$S25*后果甲状腺剂量!$S$3+(SUMPRODUCT(GH$5:GH$27,后果甲状腺剂量!$J$5:$J$27)+SUMPRODUCT(GI$5:GI$27,后果甲状腺剂量!$J$5:$J$27))*后果甲状腺剂量!$T25*后果甲状腺剂量!$T$3+SUMPRODUCT(GJ$5:GJ$27,后果甲状腺剂量!$J$5:$J$27)*后果甲状腺剂量!$U25*后果甲状腺剂量!$U$3+SUMPRODUCT(GE$5:GE$27,后果甲状腺剂量!$K$5:$K$27)*后果甲状腺剂量!$Q25+SUMPRODUCT(GF$5:GF$27,后果甲状腺剂量!$K$5:$K$27)*后果甲状腺剂量!$R25+SUMPRODUCT(GG$5:GG$27,后果甲状腺剂量!$K$5:$K$27)*后果甲状腺剂量!$S25+(SUMPRODUCT(GH$5:GH$27,后果甲状腺剂量!$K$5:$K$27)+SUMPRODUCT(GI$5:GI$27,后果甲状腺剂量!$K$5:$K$27))*后果甲状腺剂量!$T25+SUMPRODUCT(GJ$5:GJ$27,后果甲状腺剂量!$K$5:$K$27)*后果甲状腺剂量!$U25</f>
        <v>0</v>
      </c>
      <c r="GG51" s="454">
        <f t="shared" si="260"/>
        <v>0</v>
      </c>
      <c r="GH51" s="454">
        <f t="shared" si="261"/>
        <v>0</v>
      </c>
      <c r="GI51" s="459">
        <f t="shared" ref="GI51:GI56" si="268">GG51/10*100</f>
        <v>0</v>
      </c>
      <c r="GJ51" s="459">
        <f t="shared" ref="GJ51:GJ56" si="269">GH51/100*100</f>
        <v>0</v>
      </c>
    </row>
    <row r="52" spans="7:192">
      <c r="G52" s="440">
        <f>后果有效剂量!$P26</f>
        <v>0</v>
      </c>
      <c r="H52" s="441">
        <f ca="1">SUMPRODUCT(H$5:H$27,后果有效剂量!$I$5:$I$27)*后果有效剂量!$Q26+SUMPRODUCT(I$5:I$27,后果有效剂量!$I$5:$I$27)*后果有效剂量!$Q26+SUMPRODUCT(J$5:J$27,后果有效剂量!$I$5:$I$27)*后果有效剂量!$R26+SUMPRODUCT(K$5:K$27,后果有效剂量!$I$5:$I$27)*后果有效剂量!$S26+SUMPRODUCT(L$5:L$27,后果有效剂量!$I$5:$I$27)*后果有效剂量!$T26+SUMPRODUCT(M$5:M$27,后果有效剂量!$I$5:$I$27)*后果有效剂量!$U26+SUMPRODUCT(H$5:H$27,后果有效剂量!$J$5:$J$27)*后果有效剂量!$Q26*后果有效剂量!$Q$3+SUMPRODUCT(I$5:I$27,后果有效剂量!$J$5:$J$27)*后果有效剂量!$Q26*后果有效剂量!$Q$3+SUMPRODUCT(J$5:J$27,后果有效剂量!$J$5:$J$27)*后果有效剂量!$R26*后果有效剂量!$R$3+SUMPRODUCT(K$5:K$27,后果有效剂量!$J$5:$J$27)*后果有效剂量!$S26*后果有效剂量!$S$3+SUMPRODUCT(L$5:L$27,后果有效剂量!$J$5:$J$27)*后果有效剂量!$T26*后果有效剂量!$T$3+SUMPRODUCT(M$5:M$27,后果有效剂量!$J$5:$J$27)*后果有效剂量!$U26*后果有效剂量!$U$3+SUMPRODUCT(H$5:H$27,后果有效剂量!$K$5:$K$27)*后果有效剂量!$Q26+SUMPRODUCT(I$5:I$27,后果有效剂量!$K$5:$K$27)*后果有效剂量!$Q26+SUMPRODUCT(J$5:J$27,后果有效剂量!$K$5:$K$27)*后果有效剂量!$R26+SUMPRODUCT(K$5:K$27,后果有效剂量!$K$5:$K$27)*后果有效剂量!$S26+SUMPRODUCT(L$5:L$27,后果有效剂量!$K$5:$K$27)*后果有效剂量!$T26+SUMPRODUCT(M$5:M$27,后果有效剂量!$K$5:$K$27)*后果有效剂量!$U26</f>
        <v>0</v>
      </c>
      <c r="I52" s="453">
        <f ca="1">SUMPRODUCT(H$5:H$27,后果甲状腺剂量!$I$5:$I$27)*后果甲状腺剂量!$Q26+SUMPRODUCT(I$5:I$27,后果甲状腺剂量!$I$5:$I$27)*后果甲状腺剂量!$Q26+SUMPRODUCT(J$5:J$27,后果甲状腺剂量!$I$5:$I$27)*后果甲状腺剂量!$R26+SUMPRODUCT(K$5:K$27,后果甲状腺剂量!$I$5:$I$27)*后果甲状腺剂量!$S26+SUMPRODUCT(L$5:L$27,后果甲状腺剂量!$I$5:$I$27)*后果甲状腺剂量!$T26+SUMPRODUCT(M$5:M$27,后果甲状腺剂量!$I$5:$I$27)*后果甲状腺剂量!$U26+SUMPRODUCT(H$5:H$27,后果甲状腺剂量!$J$5:$J$27)*后果甲状腺剂量!$Q26*后果甲状腺剂量!$Q$3+SUMPRODUCT(I$5:I$27,后果甲状腺剂量!$J$5:$J$27)*后果甲状腺剂量!$Q26*后果甲状腺剂量!$Q$3+SUMPRODUCT(J$5:J$27,后果甲状腺剂量!$J$5:$J$27)*后果甲状腺剂量!$R26*后果甲状腺剂量!$R$3+SUMPRODUCT(K$5:K$27,后果甲状腺剂量!$J$5:$J$27)*后果甲状腺剂量!$S26*后果甲状腺剂量!$S$3+SUMPRODUCT(L$5:L$27,后果甲状腺剂量!$J$5:$J$27)*后果甲状腺剂量!$T26*后果甲状腺剂量!$T$3+SUMPRODUCT(M$5:M$27,后果甲状腺剂量!$J$5:$J$27)*后果甲状腺剂量!$U26*后果甲状腺剂量!$U$3+SUMPRODUCT(H$5:H$27,后果甲状腺剂量!$K$5:$K$27)*后果甲状腺剂量!$Q26+SUMPRODUCT(I$5:I$27,后果甲状腺剂量!$K$5:$K$27)*后果甲状腺剂量!$Q26+SUMPRODUCT(J$5:J$27,后果甲状腺剂量!$K$5:$K$27)*后果甲状腺剂量!$R26+SUMPRODUCT(K$5:K$27,后果甲状腺剂量!$K$5:$K$27)*后果甲状腺剂量!$S26+SUMPRODUCT(L$5:L$27,后果甲状腺剂量!$K$5:$K$27)*后果甲状腺剂量!$T26+SUMPRODUCT(M$5:M$27,后果甲状腺剂量!$K$5:$K$27)*后果甲状腺剂量!$U26</f>
        <v>0</v>
      </c>
      <c r="J52" s="454">
        <f ca="1" t="shared" si="254"/>
        <v>0</v>
      </c>
      <c r="K52" s="454">
        <f ca="1" t="shared" si="255"/>
        <v>0</v>
      </c>
      <c r="L52" s="459">
        <f ca="1" t="shared" si="262"/>
        <v>0</v>
      </c>
      <c r="M52" s="459">
        <f ca="1" t="shared" si="263"/>
        <v>0</v>
      </c>
      <c r="N52" s="455"/>
      <c r="O52" s="390"/>
      <c r="Q52" s="440">
        <f>后果有效剂量!$P26</f>
        <v>0</v>
      </c>
      <c r="R52" s="441">
        <f ca="1">SUMPRODUCT(R$5:R$27,后果有效剂量!$I$5:$I$27)*后果有效剂量!$Q26+SUMPRODUCT(S$5:S$27,后果有效剂量!$I$5:$I$27)*后果有效剂量!$Q26+SUMPRODUCT(T$5:T$27,后果有效剂量!$I$5:$I$27)*后果有效剂量!$R26+SUMPRODUCT(U$5:U$27,后果有效剂量!$I$5:$I$27)*后果有效剂量!$S26+SUMPRODUCT(V$5:V$27,后果有效剂量!$I$5:$I$27)*后果有效剂量!$T26+SUMPRODUCT(W$5:W$27,后果有效剂量!$I$5:$I$27)*后果有效剂量!$U26+SUMPRODUCT(R$5:R$27,后果有效剂量!$J$5:$J$27)*后果有效剂量!$Q26*后果有效剂量!$Q$3+SUMPRODUCT(S$5:S$27,后果有效剂量!$J$5:$J$27)*后果有效剂量!$Q26*后果有效剂量!$Q$3+SUMPRODUCT(T$5:T$27,后果有效剂量!$J$5:$J$27)*后果有效剂量!$R26*后果有效剂量!$R$3+SUMPRODUCT(U$5:U$27,后果有效剂量!$J$5:$J$27)*后果有效剂量!$S26*后果有效剂量!$S$3+SUMPRODUCT(V$5:V$27,后果有效剂量!$J$5:$J$27)*后果有效剂量!$T26*后果有效剂量!$T$3+SUMPRODUCT(W$5:W$27,后果有效剂量!$J$5:$J$27)*后果有效剂量!$U26*后果有效剂量!$U$3+SUMPRODUCT(R$5:R$27,后果有效剂量!$K$5:$K$27)*后果有效剂量!$Q26+SUMPRODUCT(S$5:S$27,后果有效剂量!$K$5:$K$27)*后果有效剂量!$Q26+SUMPRODUCT(T$5:T$27,后果有效剂量!$K$5:$K$27)*后果有效剂量!$R26+SUMPRODUCT(U$5:U$27,后果有效剂量!$K$5:$K$27)*后果有效剂量!$S26+SUMPRODUCT(V$5:V$27,后果有效剂量!$K$5:$K$27)*后果有效剂量!$T26+SUMPRODUCT(W$5:W$27,后果有效剂量!$K$5:$K$27)*后果有效剂量!$U26</f>
        <v>0</v>
      </c>
      <c r="S52" s="453">
        <f ca="1">SUMPRODUCT(R$5:R$27,后果甲状腺剂量!$I$5:$I$27)*后果甲状腺剂量!$Q26+SUMPRODUCT(S$5:S$27,后果甲状腺剂量!$I$5:$I$27)*后果甲状腺剂量!$Q26+SUMPRODUCT(T$5:T$27,后果甲状腺剂量!$I$5:$I$27)*后果甲状腺剂量!$R26+SUMPRODUCT(U$5:U$27,后果甲状腺剂量!$I$5:$I$27)*后果甲状腺剂量!$S26+SUMPRODUCT(V$5:V$27,后果甲状腺剂量!$I$5:$I$27)*后果甲状腺剂量!$T26+SUMPRODUCT(W$5:W$27,后果甲状腺剂量!$I$5:$I$27)*后果甲状腺剂量!$U26+SUMPRODUCT(R$5:R$27,后果甲状腺剂量!$J$5:$J$27)*后果甲状腺剂量!$Q26*后果甲状腺剂量!$Q$3+SUMPRODUCT(S$5:S$27,后果甲状腺剂量!$J$5:$J$27)*后果甲状腺剂量!$Q26*后果甲状腺剂量!$Q$3+SUMPRODUCT(T$5:T$27,后果甲状腺剂量!$J$5:$J$27)*后果甲状腺剂量!$R26*后果甲状腺剂量!$R$3+SUMPRODUCT(U$5:U$27,后果甲状腺剂量!$J$5:$J$27)*后果甲状腺剂量!$S26*后果甲状腺剂量!$S$3+SUMPRODUCT(V$5:V$27,后果甲状腺剂量!$J$5:$J$27)*后果甲状腺剂量!$T26*后果甲状腺剂量!$T$3+SUMPRODUCT(W$5:W$27,后果甲状腺剂量!$J$5:$J$27)*后果甲状腺剂量!$U26*后果甲状腺剂量!$U$3+SUMPRODUCT(R$5:R$27,后果甲状腺剂量!$K$5:$K$27)*后果甲状腺剂量!$Q26+SUMPRODUCT(S$5:S$27,后果甲状腺剂量!$K$5:$K$27)*后果甲状腺剂量!$Q26+SUMPRODUCT(T$5:T$27,后果甲状腺剂量!$K$5:$K$27)*后果甲状腺剂量!$R26+SUMPRODUCT(U$5:U$27,后果甲状腺剂量!$K$5:$K$27)*后果甲状腺剂量!$S26+SUMPRODUCT(V$5:V$27,后果甲状腺剂量!$K$5:$K$27)*后果甲状腺剂量!$T26+SUMPRODUCT(W$5:W$27,后果甲状腺剂量!$K$5:$K$27)*后果甲状腺剂量!$U26</f>
        <v>0</v>
      </c>
      <c r="T52" s="454">
        <f ca="1" t="shared" si="256"/>
        <v>0</v>
      </c>
      <c r="U52" s="454">
        <f ca="1" t="shared" si="257"/>
        <v>0</v>
      </c>
      <c r="V52" s="459">
        <f ca="1" t="shared" si="264"/>
        <v>0</v>
      </c>
      <c r="W52" s="459">
        <f ca="1" t="shared" si="265"/>
        <v>0</v>
      </c>
      <c r="AS52" s="572"/>
      <c r="AT52" s="390"/>
      <c r="AU52" s="390"/>
      <c r="AV52" s="394"/>
      <c r="AW52" s="394"/>
      <c r="AX52" s="394"/>
      <c r="AY52" s="394"/>
      <c r="AZ52" s="394"/>
      <c r="BA52" s="394"/>
      <c r="BB52" s="394"/>
      <c r="BC52" s="394"/>
      <c r="BD52" s="394"/>
      <c r="BE52" s="394"/>
      <c r="BF52" s="394"/>
      <c r="BG52" s="394"/>
      <c r="BH52" s="394"/>
      <c r="BI52" s="394"/>
      <c r="BJ52" s="394"/>
      <c r="BK52" s="394"/>
      <c r="BL52" s="394"/>
      <c r="BM52" s="394"/>
      <c r="BN52" s="394"/>
      <c r="BO52" s="394"/>
      <c r="BP52" s="394"/>
      <c r="BQ52" s="394"/>
      <c r="BR52" s="394"/>
      <c r="BS52" s="394"/>
      <c r="BT52" s="394"/>
      <c r="BU52" s="394"/>
      <c r="BV52" s="394"/>
      <c r="BW52" s="394"/>
      <c r="BX52" s="394"/>
      <c r="BY52" s="394"/>
      <c r="BZ52" s="394"/>
      <c r="CA52" s="394"/>
      <c r="CB52" s="394"/>
      <c r="CC52" s="394"/>
      <c r="CD52" s="394"/>
      <c r="CE52" s="394"/>
      <c r="CF52" s="394"/>
      <c r="CG52" s="394"/>
      <c r="CH52" s="394"/>
      <c r="CI52" s="394"/>
      <c r="CJ52" s="394"/>
      <c r="CK52" s="394"/>
      <c r="CL52" s="394"/>
      <c r="CM52" s="394"/>
      <c r="CN52" s="394"/>
      <c r="CO52" s="394"/>
      <c r="CP52" s="394"/>
      <c r="CQ52" s="394"/>
      <c r="CR52" s="394"/>
      <c r="CS52" s="394"/>
      <c r="CT52" s="394"/>
      <c r="CU52" s="394"/>
      <c r="CV52" s="394"/>
      <c r="CW52" s="394"/>
      <c r="CX52" s="394"/>
      <c r="CY52" s="394"/>
      <c r="CZ52" s="394"/>
      <c r="DA52" s="394"/>
      <c r="DB52" s="394"/>
      <c r="DC52" s="394"/>
      <c r="DD52" s="394"/>
      <c r="DE52" s="394"/>
      <c r="DF52" s="394"/>
      <c r="DG52" s="394"/>
      <c r="DH52" s="394"/>
      <c r="DI52" s="394"/>
      <c r="DJ52" s="394"/>
      <c r="DK52" s="394"/>
      <c r="DL52" s="394"/>
      <c r="DM52" s="394"/>
      <c r="DN52" s="394"/>
      <c r="DO52" s="394"/>
      <c r="DP52" s="394"/>
      <c r="DQ52" s="394"/>
      <c r="DR52" s="394"/>
      <c r="DS52" s="394"/>
      <c r="DT52" s="394"/>
      <c r="DU52" s="394"/>
      <c r="DV52" s="394"/>
      <c r="DW52" s="394"/>
      <c r="DX52" s="394"/>
      <c r="DY52" s="394"/>
      <c r="DZ52" s="394"/>
      <c r="EA52" s="394"/>
      <c r="EB52" s="394"/>
      <c r="EC52" s="394"/>
      <c r="ED52" s="394"/>
      <c r="EE52" s="394"/>
      <c r="EF52" s="394"/>
      <c r="EG52" s="394"/>
      <c r="EH52" s="394"/>
      <c r="EI52" s="394"/>
      <c r="EJ52" s="394"/>
      <c r="EK52" s="394"/>
      <c r="EL52" s="394"/>
      <c r="EM52" s="394"/>
      <c r="EN52" s="394"/>
      <c r="EO52" s="394"/>
      <c r="EP52" s="394"/>
      <c r="EQ52" s="394"/>
      <c r="ER52" s="394"/>
      <c r="ES52" s="394"/>
      <c r="ET52" s="394"/>
      <c r="EU52" s="394"/>
      <c r="EV52" s="394"/>
      <c r="EW52" s="394"/>
      <c r="EX52" s="394"/>
      <c r="EY52" s="394"/>
      <c r="EZ52" s="394"/>
      <c r="FA52" s="394"/>
      <c r="FB52" s="394"/>
      <c r="FC52" s="394"/>
      <c r="FD52" s="394"/>
      <c r="FE52" s="394"/>
      <c r="FF52" s="394"/>
      <c r="FG52" s="394"/>
      <c r="FH52" s="394"/>
      <c r="FI52" s="394"/>
      <c r="FJ52" s="394"/>
      <c r="FK52" s="394"/>
      <c r="FL52" s="394"/>
      <c r="FM52" s="394"/>
      <c r="FN52" s="394"/>
      <c r="FO52" s="394"/>
      <c r="FP52" s="394"/>
      <c r="FQ52" s="394"/>
      <c r="FS52" s="441">
        <f>SUMPRODUCT(FS$5:FS$27,后果有效剂量!$I$5:$I$27)*后果有效剂量!$Q26+SUMPRODUCT(FT$5:FT$27,后果有效剂量!$I$5:$I$27)*后果有效剂量!$R26+SUMPRODUCT(FU$5:FU$27,后果有效剂量!$I$5:$I$27)*后果有效剂量!$S26+SUMPRODUCT(FV$5:FV$27,后果有效剂量!$I$5:$I$27)*后果有效剂量!$T26+SUMPRODUCT(FS$5:FS$27,后果有效剂量!$J$5:$J$27)*后果有效剂量!$Q26*后果有效剂量!$Q$3+SUMPRODUCT(FT$5:FT$27,后果有效剂量!$J$5:$J$27)*后果有效剂量!$R26*后果有效剂量!$R$3+SUMPRODUCT(FU$5:FU$27,后果有效剂量!$J$5:$J$27)*后果有效剂量!$S26*后果有效剂量!$S$3+SUMPRODUCT(FV$5:FV$27,后果有效剂量!$J$5:$J$27)*后果有效剂量!$T26*后果有效剂量!$T$3+SUMPRODUCT(FS$5:FS$27,后果有效剂量!$K$5:$K$27)*后果有效剂量!$Q26+SUMPRODUCT(FT$5:FT$27,后果有效剂量!$K$5:$K$27)*后果有效剂量!$R26+SUMPRODUCT(FU$5:FU$27,后果有效剂量!$K$5:$K$27)*后果有效剂量!$S26+SUMPRODUCT(FV$5:FV$27,后果有效剂量!$K$5:$K$27)*后果有效剂量!$T26</f>
        <v>0</v>
      </c>
      <c r="FT52" s="453">
        <f>SUMPRODUCT(FS$5:FS$27,后果甲状腺剂量!$I$5:$I$27)*后果甲状腺剂量!$Q26+SUMPRODUCT(FT$5:FT$27,后果甲状腺剂量!$I$5:$I$27)*后果甲状腺剂量!$R26+SUMPRODUCT(FU$5:FU$27,后果甲状腺剂量!$I$5:$I$27)*后果甲状腺剂量!$S26+SUMPRODUCT(FV$5:FV$27,后果甲状腺剂量!$I$5:$I$27)*后果甲状腺剂量!$T26+SUMPRODUCT(FS$5:FS$27,后果甲状腺剂量!$J$5:$J$27)*后果甲状腺剂量!$Q26*后果甲状腺剂量!$Q$3+SUMPRODUCT(FT$5:FT$27,后果甲状腺剂量!$J$5:$J$27)*后果甲状腺剂量!$R26*后果甲状腺剂量!$R$3+SUMPRODUCT(FU$5:FU$27,后果甲状腺剂量!$J$5:$J$27)*后果甲状腺剂量!$S26*后果甲状腺剂量!$S$3+SUMPRODUCT(FV$5:FV$27,后果甲状腺剂量!$J$5:$J$27)*后果甲状腺剂量!$T26*后果甲状腺剂量!$T$3+SUMPRODUCT(FS$5:FS$27,后果甲状腺剂量!$K$5:$K$27)*后果甲状腺剂量!$Q26+SUMPRODUCT(FT$5:FT$27,后果甲状腺剂量!$K$5:$K$27)*后果甲状腺剂量!$R26+SUMPRODUCT(FU$5:FU$27,后果甲状腺剂量!$K$5:$K$27)*后果甲状腺剂量!$S26+SUMPRODUCT(FV$5:FV$27,后果甲状腺剂量!$K$5:$K$27)*后果甲状腺剂量!$T26</f>
        <v>0</v>
      </c>
      <c r="FU52" s="454">
        <f t="shared" si="258"/>
        <v>0</v>
      </c>
      <c r="FV52" s="454">
        <f t="shared" si="259"/>
        <v>0</v>
      </c>
      <c r="FW52" s="459">
        <f t="shared" si="266"/>
        <v>0</v>
      </c>
      <c r="FX52" s="459">
        <f t="shared" si="267"/>
        <v>0</v>
      </c>
      <c r="GD52" s="440">
        <f>后果有效剂量!$P26</f>
        <v>0</v>
      </c>
      <c r="GE52" s="441">
        <f>SUMPRODUCT(GE$5:GE$27,后果有效剂量!$I$5:$I$27)*后果有效剂量!$Q26+SUMPRODUCT(GF$5:GF$27,后果有效剂量!$I$5:$I$27)*后果有效剂量!$R26+SUMPRODUCT(GG$5:GG$27,后果有效剂量!$I$5:$I$27)*后果有效剂量!$S26+(SUMPRODUCT(GH$5:GH$27,后果有效剂量!$I$5:$I$27)+SUMPRODUCT(GI$5:GI$27,后果有效剂量!$I$5:$I$27))*后果有效剂量!$T26+SUMPRODUCT(GJ$5:GJ$27,后果有效剂量!$I$5:$I$27)*后果有效剂量!$U26+SUMPRODUCT(GE$5:GE$27,后果有效剂量!$J$5:$J$27)*后果有效剂量!$Q26*后果有效剂量!$Q$3+SUMPRODUCT(GF$5:GF$27,后果有效剂量!$J$5:$J$27)*后果有效剂量!$R26*后果有效剂量!$R$3+SUMPRODUCT(GG$5:GG$27,后果有效剂量!$J$5:$J$27)*后果有效剂量!$S26*后果有效剂量!$S$3+(SUMPRODUCT(GH$5:GH$27,后果有效剂量!$J$5:$J$27)+SUMPRODUCT(GI$5:GI$27,后果有效剂量!$J$5:$J$27))*后果有效剂量!$T26*后果有效剂量!$T$3+SUMPRODUCT(GJ$5:GJ$27,后果有效剂量!$J$5:$J$27)*后果有效剂量!$U26*后果有效剂量!$U$3+SUMPRODUCT(GE$5:GE$27,后果有效剂量!$K$5:$K$27)*后果有效剂量!$Q26+SUMPRODUCT(GF$5:GF$27,后果有效剂量!$K$5:$K$27)*后果有效剂量!$R26+SUMPRODUCT(GG$5:GG$27,后果有效剂量!$K$5:$K$27)*后果有效剂量!$S26+(SUMPRODUCT(GH$5:GH$27,后果有效剂量!$K$5:$K$27)+SUMPRODUCT(GI$5:GI$27,后果有效剂量!$K$5:$K$27))*后果有效剂量!$T26+SUMPRODUCT(GJ$5:GJ$27,后果有效剂量!$K$5:$K$27)*后果有效剂量!$U26</f>
        <v>0</v>
      </c>
      <c r="GF52" s="453">
        <f>SUMPRODUCT(GE$5:GE$27,后果甲状腺剂量!$I$5:$I$27)*后果甲状腺剂量!$Q26+SUMPRODUCT(GF$5:GF$27,后果甲状腺剂量!$I$5:$I$27)*后果甲状腺剂量!$R26+SUMPRODUCT(GG$5:GG$27,后果甲状腺剂量!$I$5:$I$27)*后果甲状腺剂量!$S26+(SUMPRODUCT(GH$5:GH$27,后果甲状腺剂量!$I$5:$I$27)+SUMPRODUCT(GI$5:GI$27,后果甲状腺剂量!$I$5:$I$27))*后果甲状腺剂量!$T26+SUMPRODUCT(GJ$5:GJ$27,后果甲状腺剂量!$I$5:$I$27)*后果甲状腺剂量!$U26+SUMPRODUCT(GE$5:GE$27,后果甲状腺剂量!$J$5:$J$27)*后果甲状腺剂量!$Q26*后果甲状腺剂量!$Q$3+SUMPRODUCT(GF$5:GF$27,后果甲状腺剂量!$J$5:$J$27)*后果甲状腺剂量!$R26*后果甲状腺剂量!$R$3+SUMPRODUCT(GG$5:GG$27,后果甲状腺剂量!$J$5:$J$27)*后果甲状腺剂量!$S26*后果甲状腺剂量!$S$3+(SUMPRODUCT(GH$5:GH$27,后果甲状腺剂量!$J$5:$J$27)+SUMPRODUCT(GI$5:GI$27,后果甲状腺剂量!$J$5:$J$27))*后果甲状腺剂量!$T26*后果甲状腺剂量!$T$3+SUMPRODUCT(GJ$5:GJ$27,后果甲状腺剂量!$J$5:$J$27)*后果甲状腺剂量!$U26*后果甲状腺剂量!$U$3+SUMPRODUCT(GE$5:GE$27,后果甲状腺剂量!$K$5:$K$27)*后果甲状腺剂量!$Q26+SUMPRODUCT(GF$5:GF$27,后果甲状腺剂量!$K$5:$K$27)*后果甲状腺剂量!$R26+SUMPRODUCT(GG$5:GG$27,后果甲状腺剂量!$K$5:$K$27)*后果甲状腺剂量!$S26+(SUMPRODUCT(GH$5:GH$27,后果甲状腺剂量!$K$5:$K$27)+SUMPRODUCT(GI$5:GI$27,后果甲状腺剂量!$K$5:$K$27))*后果甲状腺剂量!$T26+SUMPRODUCT(GJ$5:GJ$27,后果甲状腺剂量!$K$5:$K$27)*后果甲状腺剂量!$U26</f>
        <v>0</v>
      </c>
      <c r="GG52" s="454">
        <f t="shared" si="260"/>
        <v>0</v>
      </c>
      <c r="GH52" s="454">
        <f t="shared" si="261"/>
        <v>0</v>
      </c>
      <c r="GI52" s="459">
        <f t="shared" si="268"/>
        <v>0</v>
      </c>
      <c r="GJ52" s="459">
        <f t="shared" si="269"/>
        <v>0</v>
      </c>
    </row>
    <row r="53" spans="7:192">
      <c r="G53" s="440">
        <f>后果有效剂量!$P27</f>
        <v>0</v>
      </c>
      <c r="H53" s="441">
        <f ca="1">SUMPRODUCT(H$5:H$27,后果有效剂量!$I$5:$I$27)*后果有效剂量!$Q27+SUMPRODUCT(I$5:I$27,后果有效剂量!$I$5:$I$27)*后果有效剂量!$Q27+SUMPRODUCT(J$5:J$27,后果有效剂量!$I$5:$I$27)*后果有效剂量!$R27+SUMPRODUCT(K$5:K$27,后果有效剂量!$I$5:$I$27)*后果有效剂量!$S27+SUMPRODUCT(L$5:L$27,后果有效剂量!$I$5:$I$27)*后果有效剂量!$T27+SUMPRODUCT(M$5:M$27,后果有效剂量!$I$5:$I$27)*后果有效剂量!$U27+SUMPRODUCT(H$5:H$27,后果有效剂量!$J$5:$J$27)*后果有效剂量!$Q27*后果有效剂量!$Q$3+SUMPRODUCT(I$5:I$27,后果有效剂量!$J$5:$J$27)*后果有效剂量!$Q27*后果有效剂量!$Q$3+SUMPRODUCT(J$5:J$27,后果有效剂量!$J$5:$J$27)*后果有效剂量!$R27*后果有效剂量!$R$3+SUMPRODUCT(K$5:K$27,后果有效剂量!$J$5:$J$27)*后果有效剂量!$S27*后果有效剂量!$S$3+SUMPRODUCT(L$5:L$27,后果有效剂量!$J$5:$J$27)*后果有效剂量!$T27*后果有效剂量!$T$3+SUMPRODUCT(M$5:M$27,后果有效剂量!$J$5:$J$27)*后果有效剂量!$U27*后果有效剂量!$U$3+SUMPRODUCT(H$5:H$27,后果有效剂量!$K$5:$K$27)*后果有效剂量!$Q27+SUMPRODUCT(I$5:I$27,后果有效剂量!$K$5:$K$27)*后果有效剂量!$Q27+SUMPRODUCT(J$5:J$27,后果有效剂量!$K$5:$K$27)*后果有效剂量!$R27+SUMPRODUCT(K$5:K$27,后果有效剂量!$K$5:$K$27)*后果有效剂量!$S27+SUMPRODUCT(L$5:L$27,后果有效剂量!$K$5:$K$27)*后果有效剂量!$T27+SUMPRODUCT(M$5:M$27,后果有效剂量!$K$5:$K$27)*后果有效剂量!$U27</f>
        <v>0</v>
      </c>
      <c r="I53" s="453">
        <f ca="1">SUMPRODUCT(H$5:H$27,后果甲状腺剂量!$I$5:$I$27)*后果甲状腺剂量!$Q27+SUMPRODUCT(I$5:I$27,后果甲状腺剂量!$I$5:$I$27)*后果甲状腺剂量!$Q27+SUMPRODUCT(J$5:J$27,后果甲状腺剂量!$I$5:$I$27)*后果甲状腺剂量!$R27+SUMPRODUCT(K$5:K$27,后果甲状腺剂量!$I$5:$I$27)*后果甲状腺剂量!$S27+SUMPRODUCT(L$5:L$27,后果甲状腺剂量!$I$5:$I$27)*后果甲状腺剂量!$T27+SUMPRODUCT(M$5:M$27,后果甲状腺剂量!$I$5:$I$27)*后果甲状腺剂量!$U27+SUMPRODUCT(H$5:H$27,后果甲状腺剂量!$J$5:$J$27)*后果甲状腺剂量!$Q27*后果甲状腺剂量!$Q$3+SUMPRODUCT(I$5:I$27,后果甲状腺剂量!$J$5:$J$27)*后果甲状腺剂量!$Q27*后果甲状腺剂量!$Q$3+SUMPRODUCT(J$5:J$27,后果甲状腺剂量!$J$5:$J$27)*后果甲状腺剂量!$R27*后果甲状腺剂量!$R$3+SUMPRODUCT(K$5:K$27,后果甲状腺剂量!$J$5:$J$27)*后果甲状腺剂量!$S27*后果甲状腺剂量!$S$3+SUMPRODUCT(L$5:L$27,后果甲状腺剂量!$J$5:$J$27)*后果甲状腺剂量!$T27*后果甲状腺剂量!$T$3+SUMPRODUCT(M$5:M$27,后果甲状腺剂量!$J$5:$J$27)*后果甲状腺剂量!$U27*后果甲状腺剂量!$U$3+SUMPRODUCT(H$5:H$27,后果甲状腺剂量!$K$5:$K$27)*后果甲状腺剂量!$Q27+SUMPRODUCT(I$5:I$27,后果甲状腺剂量!$K$5:$K$27)*后果甲状腺剂量!$Q27+SUMPRODUCT(J$5:J$27,后果甲状腺剂量!$K$5:$K$27)*后果甲状腺剂量!$R27+SUMPRODUCT(K$5:K$27,后果甲状腺剂量!$K$5:$K$27)*后果甲状腺剂量!$S27+SUMPRODUCT(L$5:L$27,后果甲状腺剂量!$K$5:$K$27)*后果甲状腺剂量!$T27+SUMPRODUCT(M$5:M$27,后果甲状腺剂量!$K$5:$K$27)*后果甲状腺剂量!$U27</f>
        <v>0</v>
      </c>
      <c r="J53" s="454">
        <f ca="1" t="shared" si="254"/>
        <v>0</v>
      </c>
      <c r="K53" s="454">
        <f ca="1" t="shared" si="255"/>
        <v>0</v>
      </c>
      <c r="L53" s="459">
        <f ca="1" t="shared" si="262"/>
        <v>0</v>
      </c>
      <c r="M53" s="459">
        <f ca="1" t="shared" si="263"/>
        <v>0</v>
      </c>
      <c r="Q53" s="440">
        <f>后果有效剂量!$P27</f>
        <v>0</v>
      </c>
      <c r="R53" s="441">
        <f ca="1">SUMPRODUCT(R$5:R$27,后果有效剂量!$I$5:$I$27)*后果有效剂量!$Q27+SUMPRODUCT(S$5:S$27,后果有效剂量!$I$5:$I$27)*后果有效剂量!$Q27+SUMPRODUCT(T$5:T$27,后果有效剂量!$I$5:$I$27)*后果有效剂量!$R27+SUMPRODUCT(U$5:U$27,后果有效剂量!$I$5:$I$27)*后果有效剂量!$S27+SUMPRODUCT(V$5:V$27,后果有效剂量!$I$5:$I$27)*后果有效剂量!$T27+SUMPRODUCT(W$5:W$27,后果有效剂量!$I$5:$I$27)*后果有效剂量!$U27+SUMPRODUCT(R$5:R$27,后果有效剂量!$J$5:$J$27)*后果有效剂量!$Q27*后果有效剂量!$Q$3+SUMPRODUCT(S$5:S$27,后果有效剂量!$J$5:$J$27)*后果有效剂量!$Q27*后果有效剂量!$Q$3+SUMPRODUCT(T$5:T$27,后果有效剂量!$J$5:$J$27)*后果有效剂量!$R27*后果有效剂量!$R$3+SUMPRODUCT(U$5:U$27,后果有效剂量!$J$5:$J$27)*后果有效剂量!$S27*后果有效剂量!$S$3+SUMPRODUCT(V$5:V$27,后果有效剂量!$J$5:$J$27)*后果有效剂量!$T27*后果有效剂量!$T$3+SUMPRODUCT(W$5:W$27,后果有效剂量!$J$5:$J$27)*后果有效剂量!$U27*后果有效剂量!$U$3+SUMPRODUCT(R$5:R$27,后果有效剂量!$K$5:$K$27)*后果有效剂量!$Q27+SUMPRODUCT(S$5:S$27,后果有效剂量!$K$5:$K$27)*后果有效剂量!$Q27+SUMPRODUCT(T$5:T$27,后果有效剂量!$K$5:$K$27)*后果有效剂量!$R27+SUMPRODUCT(U$5:U$27,后果有效剂量!$K$5:$K$27)*后果有效剂量!$S27+SUMPRODUCT(V$5:V$27,后果有效剂量!$K$5:$K$27)*后果有效剂量!$T27+SUMPRODUCT(W$5:W$27,后果有效剂量!$K$5:$K$27)*后果有效剂量!$U27</f>
        <v>0</v>
      </c>
      <c r="S53" s="453">
        <f ca="1">SUMPRODUCT(R$5:R$27,后果甲状腺剂量!$I$5:$I$27)*后果甲状腺剂量!$Q27+SUMPRODUCT(S$5:S$27,后果甲状腺剂量!$I$5:$I$27)*后果甲状腺剂量!$Q27+SUMPRODUCT(T$5:T$27,后果甲状腺剂量!$I$5:$I$27)*后果甲状腺剂量!$R27+SUMPRODUCT(U$5:U$27,后果甲状腺剂量!$I$5:$I$27)*后果甲状腺剂量!$S27+SUMPRODUCT(V$5:V$27,后果甲状腺剂量!$I$5:$I$27)*后果甲状腺剂量!$T27+SUMPRODUCT(W$5:W$27,后果甲状腺剂量!$I$5:$I$27)*后果甲状腺剂量!$U27+SUMPRODUCT(R$5:R$27,后果甲状腺剂量!$J$5:$J$27)*后果甲状腺剂量!$Q27*后果甲状腺剂量!$Q$3+SUMPRODUCT(S$5:S$27,后果甲状腺剂量!$J$5:$J$27)*后果甲状腺剂量!$Q27*后果甲状腺剂量!$Q$3+SUMPRODUCT(T$5:T$27,后果甲状腺剂量!$J$5:$J$27)*后果甲状腺剂量!$R27*后果甲状腺剂量!$R$3+SUMPRODUCT(U$5:U$27,后果甲状腺剂量!$J$5:$J$27)*后果甲状腺剂量!$S27*后果甲状腺剂量!$S$3+SUMPRODUCT(V$5:V$27,后果甲状腺剂量!$J$5:$J$27)*后果甲状腺剂量!$T27*后果甲状腺剂量!$T$3+SUMPRODUCT(W$5:W$27,后果甲状腺剂量!$J$5:$J$27)*后果甲状腺剂量!$U27*后果甲状腺剂量!$U$3+SUMPRODUCT(R$5:R$27,后果甲状腺剂量!$K$5:$K$27)*后果甲状腺剂量!$Q27+SUMPRODUCT(S$5:S$27,后果甲状腺剂量!$K$5:$K$27)*后果甲状腺剂量!$Q27+SUMPRODUCT(T$5:T$27,后果甲状腺剂量!$K$5:$K$27)*后果甲状腺剂量!$R27+SUMPRODUCT(U$5:U$27,后果甲状腺剂量!$K$5:$K$27)*后果甲状腺剂量!$S27+SUMPRODUCT(V$5:V$27,后果甲状腺剂量!$K$5:$K$27)*后果甲状腺剂量!$T27+SUMPRODUCT(W$5:W$27,后果甲状腺剂量!$K$5:$K$27)*后果甲状腺剂量!$U27</f>
        <v>0</v>
      </c>
      <c r="T53" s="454">
        <f ca="1" t="shared" si="256"/>
        <v>0</v>
      </c>
      <c r="U53" s="454">
        <f ca="1" t="shared" si="257"/>
        <v>0</v>
      </c>
      <c r="V53" s="459">
        <f ca="1" t="shared" si="264"/>
        <v>0</v>
      </c>
      <c r="W53" s="459">
        <f ca="1" t="shared" si="265"/>
        <v>0</v>
      </c>
      <c r="FS53" s="441">
        <f>SUMPRODUCT(FS$5:FS$27,后果有效剂量!$I$5:$I$27)*后果有效剂量!$Q27+SUMPRODUCT(FT$5:FT$27,后果有效剂量!$I$5:$I$27)*后果有效剂量!$R27+SUMPRODUCT(FU$5:FU$27,后果有效剂量!$I$5:$I$27)*后果有效剂量!$S27+SUMPRODUCT(FV$5:FV$27,后果有效剂量!$I$5:$I$27)*后果有效剂量!$T27+SUMPRODUCT(FS$5:FS$27,后果有效剂量!$J$5:$J$27)*后果有效剂量!$Q27*后果有效剂量!$Q$3+SUMPRODUCT(FT$5:FT$27,后果有效剂量!$J$5:$J$27)*后果有效剂量!$R27*后果有效剂量!$R$3+SUMPRODUCT(FU$5:FU$27,后果有效剂量!$J$5:$J$27)*后果有效剂量!$S27*后果有效剂量!$S$3+SUMPRODUCT(FV$5:FV$27,后果有效剂量!$J$5:$J$27)*后果有效剂量!$T27*后果有效剂量!$T$3+SUMPRODUCT(FS$5:FS$27,后果有效剂量!$K$5:$K$27)*后果有效剂量!$Q27+SUMPRODUCT(FT$5:FT$27,后果有效剂量!$K$5:$K$27)*后果有效剂量!$R27+SUMPRODUCT(FU$5:FU$27,后果有效剂量!$K$5:$K$27)*后果有效剂量!$S27+SUMPRODUCT(FV$5:FV$27,后果有效剂量!$K$5:$K$27)*后果有效剂量!$T27</f>
        <v>0</v>
      </c>
      <c r="FT53" s="453">
        <f>SUMPRODUCT(FS$5:FS$27,后果甲状腺剂量!$I$5:$I$27)*后果甲状腺剂量!$Q27+SUMPRODUCT(FT$5:FT$27,后果甲状腺剂量!$I$5:$I$27)*后果甲状腺剂量!$R27+SUMPRODUCT(FU$5:FU$27,后果甲状腺剂量!$I$5:$I$27)*后果甲状腺剂量!$S27+SUMPRODUCT(FV$5:FV$27,后果甲状腺剂量!$I$5:$I$27)*后果甲状腺剂量!$T27+SUMPRODUCT(FS$5:FS$27,后果甲状腺剂量!$J$5:$J$27)*后果甲状腺剂量!$Q27*后果甲状腺剂量!$Q$3+SUMPRODUCT(FT$5:FT$27,后果甲状腺剂量!$J$5:$J$27)*后果甲状腺剂量!$R27*后果甲状腺剂量!$R$3+SUMPRODUCT(FU$5:FU$27,后果甲状腺剂量!$J$5:$J$27)*后果甲状腺剂量!$S27*后果甲状腺剂量!$S$3+SUMPRODUCT(FV$5:FV$27,后果甲状腺剂量!$J$5:$J$27)*后果甲状腺剂量!$T27*后果甲状腺剂量!$T$3+SUMPRODUCT(FS$5:FS$27,后果甲状腺剂量!$K$5:$K$27)*后果甲状腺剂量!$Q27+SUMPRODUCT(FT$5:FT$27,后果甲状腺剂量!$K$5:$K$27)*后果甲状腺剂量!$R27+SUMPRODUCT(FU$5:FU$27,后果甲状腺剂量!$K$5:$K$27)*后果甲状腺剂量!$S27+SUMPRODUCT(FV$5:FV$27,后果甲状腺剂量!$K$5:$K$27)*后果甲状腺剂量!$T27</f>
        <v>0</v>
      </c>
      <c r="FU53" s="454">
        <f t="shared" si="258"/>
        <v>0</v>
      </c>
      <c r="FV53" s="454">
        <f t="shared" si="259"/>
        <v>0</v>
      </c>
      <c r="FW53" s="459">
        <f t="shared" si="266"/>
        <v>0</v>
      </c>
      <c r="FX53" s="459">
        <f t="shared" si="267"/>
        <v>0</v>
      </c>
      <c r="GD53" s="440">
        <f>后果有效剂量!$P27</f>
        <v>0</v>
      </c>
      <c r="GE53" s="441">
        <f>SUMPRODUCT(GE$5:GE$27,后果有效剂量!$I$5:$I$27)*后果有效剂量!$Q27+SUMPRODUCT(GF$5:GF$27,后果有效剂量!$I$5:$I$27)*后果有效剂量!$R27+SUMPRODUCT(GG$5:GG$27,后果有效剂量!$I$5:$I$27)*后果有效剂量!$S27+(SUMPRODUCT(GH$5:GH$27,后果有效剂量!$I$5:$I$27)+SUMPRODUCT(GI$5:GI$27,后果有效剂量!$I$5:$I$27))*后果有效剂量!$T27+SUMPRODUCT(GJ$5:GJ$27,后果有效剂量!$I$5:$I$27)*后果有效剂量!$U27+SUMPRODUCT(GE$5:GE$27,后果有效剂量!$J$5:$J$27)*后果有效剂量!$Q27*后果有效剂量!$Q$3+SUMPRODUCT(GF$5:GF$27,后果有效剂量!$J$5:$J$27)*后果有效剂量!$R27*后果有效剂量!$R$3+SUMPRODUCT(GG$5:GG$27,后果有效剂量!$J$5:$J$27)*后果有效剂量!$S27*后果有效剂量!$S$3+(SUMPRODUCT(GH$5:GH$27,后果有效剂量!$J$5:$J$27)+SUMPRODUCT(GI$5:GI$27,后果有效剂量!$J$5:$J$27))*后果有效剂量!$T27*后果有效剂量!$T$3+SUMPRODUCT(GJ$5:GJ$27,后果有效剂量!$J$5:$J$27)*后果有效剂量!$U27*后果有效剂量!$U$3+SUMPRODUCT(GE$5:GE$27,后果有效剂量!$K$5:$K$27)*后果有效剂量!$Q27+SUMPRODUCT(GF$5:GF$27,后果有效剂量!$K$5:$K$27)*后果有效剂量!$R27+SUMPRODUCT(GG$5:GG$27,后果有效剂量!$K$5:$K$27)*后果有效剂量!$S27+(SUMPRODUCT(GH$5:GH$27,后果有效剂量!$K$5:$K$27)+SUMPRODUCT(GI$5:GI$27,后果有效剂量!$K$5:$K$27))*后果有效剂量!$T27+SUMPRODUCT(GJ$5:GJ$27,后果有效剂量!$K$5:$K$27)*后果有效剂量!$U27</f>
        <v>0</v>
      </c>
      <c r="GF53" s="453">
        <f>SUMPRODUCT(GE$5:GE$27,后果甲状腺剂量!$I$5:$I$27)*后果甲状腺剂量!$Q27+SUMPRODUCT(GF$5:GF$27,后果甲状腺剂量!$I$5:$I$27)*后果甲状腺剂量!$R27+SUMPRODUCT(GG$5:GG$27,后果甲状腺剂量!$I$5:$I$27)*后果甲状腺剂量!$S27+(SUMPRODUCT(GH$5:GH$27,后果甲状腺剂量!$I$5:$I$27)+SUMPRODUCT(GI$5:GI$27,后果甲状腺剂量!$I$5:$I$27))*后果甲状腺剂量!$T27+SUMPRODUCT(GJ$5:GJ$27,后果甲状腺剂量!$I$5:$I$27)*后果甲状腺剂量!$U27+SUMPRODUCT(GE$5:GE$27,后果甲状腺剂量!$J$5:$J$27)*后果甲状腺剂量!$Q27*后果甲状腺剂量!$Q$3+SUMPRODUCT(GF$5:GF$27,后果甲状腺剂量!$J$5:$J$27)*后果甲状腺剂量!$R27*后果甲状腺剂量!$R$3+SUMPRODUCT(GG$5:GG$27,后果甲状腺剂量!$J$5:$J$27)*后果甲状腺剂量!$S27*后果甲状腺剂量!$S$3+(SUMPRODUCT(GH$5:GH$27,后果甲状腺剂量!$J$5:$J$27)+SUMPRODUCT(GI$5:GI$27,后果甲状腺剂量!$J$5:$J$27))*后果甲状腺剂量!$T27*后果甲状腺剂量!$T$3+SUMPRODUCT(GJ$5:GJ$27,后果甲状腺剂量!$J$5:$J$27)*后果甲状腺剂量!$U27*后果甲状腺剂量!$U$3+SUMPRODUCT(GE$5:GE$27,后果甲状腺剂量!$K$5:$K$27)*后果甲状腺剂量!$Q27+SUMPRODUCT(GF$5:GF$27,后果甲状腺剂量!$K$5:$K$27)*后果甲状腺剂量!$R27+SUMPRODUCT(GG$5:GG$27,后果甲状腺剂量!$K$5:$K$27)*后果甲状腺剂量!$S27+(SUMPRODUCT(GH$5:GH$27,后果甲状腺剂量!$K$5:$K$27)+SUMPRODUCT(GI$5:GI$27,后果甲状腺剂量!$K$5:$K$27))*后果甲状腺剂量!$T27+SUMPRODUCT(GJ$5:GJ$27,后果甲状腺剂量!$K$5:$K$27)*后果甲状腺剂量!$U27</f>
        <v>0</v>
      </c>
      <c r="GG53" s="454">
        <f t="shared" si="260"/>
        <v>0</v>
      </c>
      <c r="GH53" s="454">
        <f t="shared" si="261"/>
        <v>0</v>
      </c>
      <c r="GI53" s="459">
        <f t="shared" si="268"/>
        <v>0</v>
      </c>
      <c r="GJ53" s="459">
        <f t="shared" si="269"/>
        <v>0</v>
      </c>
    </row>
    <row r="54" spans="7:192">
      <c r="G54" s="440">
        <f>后果有效剂量!$P28</f>
        <v>0</v>
      </c>
      <c r="H54" s="441">
        <f ca="1">SUMPRODUCT(H$5:H$27,后果有效剂量!$I$5:$I$27)*后果有效剂量!$Q28+SUMPRODUCT(I$5:I$27,后果有效剂量!$I$5:$I$27)*后果有效剂量!$Q28+SUMPRODUCT(J$5:J$27,后果有效剂量!$I$5:$I$27)*后果有效剂量!$R28+SUMPRODUCT(K$5:K$27,后果有效剂量!$I$5:$I$27)*后果有效剂量!$S28+SUMPRODUCT(L$5:L$27,后果有效剂量!$I$5:$I$27)*后果有效剂量!$T28+SUMPRODUCT(M$5:M$27,后果有效剂量!$I$5:$I$27)*后果有效剂量!$U28+SUMPRODUCT(H$5:H$27,后果有效剂量!$J$5:$J$27)*后果有效剂量!$Q28*后果有效剂量!$Q$3+SUMPRODUCT(I$5:I$27,后果有效剂量!$J$5:$J$27)*后果有效剂量!$Q28*后果有效剂量!$Q$3+SUMPRODUCT(J$5:J$27,后果有效剂量!$J$5:$J$27)*后果有效剂量!$R28*后果有效剂量!$R$3+SUMPRODUCT(K$5:K$27,后果有效剂量!$J$5:$J$27)*后果有效剂量!$S28*后果有效剂量!$S$3+SUMPRODUCT(L$5:L$27,后果有效剂量!$J$5:$J$27)*后果有效剂量!$T28*后果有效剂量!$T$3+SUMPRODUCT(M$5:M$27,后果有效剂量!$J$5:$J$27)*后果有效剂量!$U28*后果有效剂量!$U$3+SUMPRODUCT(H$5:H$27,后果有效剂量!$K$5:$K$27)*后果有效剂量!$Q28+SUMPRODUCT(I$5:I$27,后果有效剂量!$K$5:$K$27)*后果有效剂量!$Q28+SUMPRODUCT(J$5:J$27,后果有效剂量!$K$5:$K$27)*后果有效剂量!$R28+SUMPRODUCT(K$5:K$27,后果有效剂量!$K$5:$K$27)*后果有效剂量!$S28+SUMPRODUCT(L$5:L$27,后果有效剂量!$K$5:$K$27)*后果有效剂量!$T28+SUMPRODUCT(M$5:M$27,后果有效剂量!$K$5:$K$27)*后果有效剂量!$U28</f>
        <v>0</v>
      </c>
      <c r="I54" s="453">
        <f ca="1">SUMPRODUCT(H$5:H$27,后果甲状腺剂量!$I$5:$I$27)*后果甲状腺剂量!$Q28+SUMPRODUCT(I$5:I$27,后果甲状腺剂量!$I$5:$I$27)*后果甲状腺剂量!$Q28+SUMPRODUCT(J$5:J$27,后果甲状腺剂量!$I$5:$I$27)*后果甲状腺剂量!$R28+SUMPRODUCT(K$5:K$27,后果甲状腺剂量!$I$5:$I$27)*后果甲状腺剂量!$S28+SUMPRODUCT(L$5:L$27,后果甲状腺剂量!$I$5:$I$27)*后果甲状腺剂量!$T28+SUMPRODUCT(M$5:M$27,后果甲状腺剂量!$I$5:$I$27)*后果甲状腺剂量!$U28+SUMPRODUCT(H$5:H$27,后果甲状腺剂量!$J$5:$J$27)*后果甲状腺剂量!$Q28*后果甲状腺剂量!$Q$3+SUMPRODUCT(I$5:I$27,后果甲状腺剂量!$J$5:$J$27)*后果甲状腺剂量!$Q28*后果甲状腺剂量!$Q$3+SUMPRODUCT(J$5:J$27,后果甲状腺剂量!$J$5:$J$27)*后果甲状腺剂量!$R28*后果甲状腺剂量!$R$3+SUMPRODUCT(K$5:K$27,后果甲状腺剂量!$J$5:$J$27)*后果甲状腺剂量!$S28*后果甲状腺剂量!$S$3+SUMPRODUCT(L$5:L$27,后果甲状腺剂量!$J$5:$J$27)*后果甲状腺剂量!$T28*后果甲状腺剂量!$T$3+SUMPRODUCT(M$5:M$27,后果甲状腺剂量!$J$5:$J$27)*后果甲状腺剂量!$U28*后果甲状腺剂量!$U$3+SUMPRODUCT(H$5:H$27,后果甲状腺剂量!$K$5:$K$27)*后果甲状腺剂量!$Q28+SUMPRODUCT(I$5:I$27,后果甲状腺剂量!$K$5:$K$27)*后果甲状腺剂量!$Q28+SUMPRODUCT(J$5:J$27,后果甲状腺剂量!$K$5:$K$27)*后果甲状腺剂量!$R28+SUMPRODUCT(K$5:K$27,后果甲状腺剂量!$K$5:$K$27)*后果甲状腺剂量!$S28+SUMPRODUCT(L$5:L$27,后果甲状腺剂量!$K$5:$K$27)*后果甲状腺剂量!$T28+SUMPRODUCT(M$5:M$27,后果甲状腺剂量!$K$5:$K$27)*后果甲状腺剂量!$U28</f>
        <v>0</v>
      </c>
      <c r="J54" s="454">
        <f ca="1" t="shared" si="254"/>
        <v>0</v>
      </c>
      <c r="K54" s="454">
        <f ca="1" t="shared" si="255"/>
        <v>0</v>
      </c>
      <c r="L54" s="459">
        <f ca="1" t="shared" si="262"/>
        <v>0</v>
      </c>
      <c r="M54" s="459">
        <f ca="1" t="shared" si="263"/>
        <v>0</v>
      </c>
      <c r="Q54" s="440">
        <f>后果有效剂量!$P28</f>
        <v>0</v>
      </c>
      <c r="R54" s="441">
        <f ca="1">SUMPRODUCT(R$5:R$27,后果有效剂量!$I$5:$I$27)*后果有效剂量!$Q28+SUMPRODUCT(S$5:S$27,后果有效剂量!$I$5:$I$27)*后果有效剂量!$Q28+SUMPRODUCT(T$5:T$27,后果有效剂量!$I$5:$I$27)*后果有效剂量!$R28+SUMPRODUCT(U$5:U$27,后果有效剂量!$I$5:$I$27)*后果有效剂量!$S28+SUMPRODUCT(V$5:V$27,后果有效剂量!$I$5:$I$27)*后果有效剂量!$T28+SUMPRODUCT(W$5:W$27,后果有效剂量!$I$5:$I$27)*后果有效剂量!$U28+SUMPRODUCT(R$5:R$27,后果有效剂量!$J$5:$J$27)*后果有效剂量!$Q28*后果有效剂量!$Q$3+SUMPRODUCT(S$5:S$27,后果有效剂量!$J$5:$J$27)*后果有效剂量!$Q28*后果有效剂量!$Q$3+SUMPRODUCT(T$5:T$27,后果有效剂量!$J$5:$J$27)*后果有效剂量!$R28*后果有效剂量!$R$3+SUMPRODUCT(U$5:U$27,后果有效剂量!$J$5:$J$27)*后果有效剂量!$S28*后果有效剂量!$S$3+SUMPRODUCT(V$5:V$27,后果有效剂量!$J$5:$J$27)*后果有效剂量!$T28*后果有效剂量!$T$3+SUMPRODUCT(W$5:W$27,后果有效剂量!$J$5:$J$27)*后果有效剂量!$U28*后果有效剂量!$U$3+SUMPRODUCT(R$5:R$27,后果有效剂量!$K$5:$K$27)*后果有效剂量!$Q28+SUMPRODUCT(S$5:S$27,后果有效剂量!$K$5:$K$27)*后果有效剂量!$Q28+SUMPRODUCT(T$5:T$27,后果有效剂量!$K$5:$K$27)*后果有效剂量!$R28+SUMPRODUCT(U$5:U$27,后果有效剂量!$K$5:$K$27)*后果有效剂量!$S28+SUMPRODUCT(V$5:V$27,后果有效剂量!$K$5:$K$27)*后果有效剂量!$T28+SUMPRODUCT(W$5:W$27,后果有效剂量!$K$5:$K$27)*后果有效剂量!$U28</f>
        <v>0</v>
      </c>
      <c r="S54" s="453">
        <f ca="1">SUMPRODUCT(R$5:R$27,后果甲状腺剂量!$I$5:$I$27)*后果甲状腺剂量!$Q28+SUMPRODUCT(S$5:S$27,后果甲状腺剂量!$I$5:$I$27)*后果甲状腺剂量!$Q28+SUMPRODUCT(T$5:T$27,后果甲状腺剂量!$I$5:$I$27)*后果甲状腺剂量!$R28+SUMPRODUCT(U$5:U$27,后果甲状腺剂量!$I$5:$I$27)*后果甲状腺剂量!$S28+SUMPRODUCT(V$5:V$27,后果甲状腺剂量!$I$5:$I$27)*后果甲状腺剂量!$T28+SUMPRODUCT(W$5:W$27,后果甲状腺剂量!$I$5:$I$27)*后果甲状腺剂量!$U28+SUMPRODUCT(R$5:R$27,后果甲状腺剂量!$J$5:$J$27)*后果甲状腺剂量!$Q28*后果甲状腺剂量!$Q$3+SUMPRODUCT(S$5:S$27,后果甲状腺剂量!$J$5:$J$27)*后果甲状腺剂量!$Q28*后果甲状腺剂量!$Q$3+SUMPRODUCT(T$5:T$27,后果甲状腺剂量!$J$5:$J$27)*后果甲状腺剂量!$R28*后果甲状腺剂量!$R$3+SUMPRODUCT(U$5:U$27,后果甲状腺剂量!$J$5:$J$27)*后果甲状腺剂量!$S28*后果甲状腺剂量!$S$3+SUMPRODUCT(V$5:V$27,后果甲状腺剂量!$J$5:$J$27)*后果甲状腺剂量!$T28*后果甲状腺剂量!$T$3+SUMPRODUCT(W$5:W$27,后果甲状腺剂量!$J$5:$J$27)*后果甲状腺剂量!$U28*后果甲状腺剂量!$U$3+SUMPRODUCT(R$5:R$27,后果甲状腺剂量!$K$5:$K$27)*后果甲状腺剂量!$Q28+SUMPRODUCT(S$5:S$27,后果甲状腺剂量!$K$5:$K$27)*后果甲状腺剂量!$Q28+SUMPRODUCT(T$5:T$27,后果甲状腺剂量!$K$5:$K$27)*后果甲状腺剂量!$R28+SUMPRODUCT(U$5:U$27,后果甲状腺剂量!$K$5:$K$27)*后果甲状腺剂量!$S28+SUMPRODUCT(V$5:V$27,后果甲状腺剂量!$K$5:$K$27)*后果甲状腺剂量!$T28+SUMPRODUCT(W$5:W$27,后果甲状腺剂量!$K$5:$K$27)*后果甲状腺剂量!$U28</f>
        <v>0</v>
      </c>
      <c r="T54" s="454">
        <f ca="1" t="shared" si="256"/>
        <v>0</v>
      </c>
      <c r="U54" s="454">
        <f ca="1" t="shared" si="257"/>
        <v>0</v>
      </c>
      <c r="V54" s="459">
        <f ca="1" t="shared" si="264"/>
        <v>0</v>
      </c>
      <c r="W54" s="459">
        <f ca="1" t="shared" si="265"/>
        <v>0</v>
      </c>
      <c r="FS54" s="441">
        <f>SUMPRODUCT(FS$5:FS$27,后果有效剂量!$I$5:$I$27)*后果有效剂量!$Q28+SUMPRODUCT(FT$5:FT$27,后果有效剂量!$I$5:$I$27)*后果有效剂量!$R28+SUMPRODUCT(FU$5:FU$27,后果有效剂量!$I$5:$I$27)*后果有效剂量!$S28+SUMPRODUCT(FV$5:FV$27,后果有效剂量!$I$5:$I$27)*后果有效剂量!$T28+SUMPRODUCT(FS$5:FS$27,后果有效剂量!$J$5:$J$27)*后果有效剂量!$Q28*后果有效剂量!$Q$3+SUMPRODUCT(FT$5:FT$27,后果有效剂量!$J$5:$J$27)*后果有效剂量!$R28*后果有效剂量!$R$3+SUMPRODUCT(FU$5:FU$27,后果有效剂量!$J$5:$J$27)*后果有效剂量!$S28*后果有效剂量!$S$3+SUMPRODUCT(FV$5:FV$27,后果有效剂量!$J$5:$J$27)*后果有效剂量!$T28*后果有效剂量!$T$3+SUMPRODUCT(FS$5:FS$27,后果有效剂量!$K$5:$K$27)*后果有效剂量!$Q28+SUMPRODUCT(FT$5:FT$27,后果有效剂量!$K$5:$K$27)*后果有效剂量!$R28+SUMPRODUCT(FU$5:FU$27,后果有效剂量!$K$5:$K$27)*后果有效剂量!$S28+SUMPRODUCT(FV$5:FV$27,后果有效剂量!$K$5:$K$27)*后果有效剂量!$T28</f>
        <v>0</v>
      </c>
      <c r="FT54" s="453">
        <f>SUMPRODUCT(FS$5:FS$27,后果甲状腺剂量!$I$5:$I$27)*后果甲状腺剂量!$Q28+SUMPRODUCT(FT$5:FT$27,后果甲状腺剂量!$I$5:$I$27)*后果甲状腺剂量!$R28+SUMPRODUCT(FU$5:FU$27,后果甲状腺剂量!$I$5:$I$27)*后果甲状腺剂量!$S28+SUMPRODUCT(FV$5:FV$27,后果甲状腺剂量!$I$5:$I$27)*后果甲状腺剂量!$T28+SUMPRODUCT(FS$5:FS$27,后果甲状腺剂量!$J$5:$J$27)*后果甲状腺剂量!$Q28*后果甲状腺剂量!$Q$3+SUMPRODUCT(FT$5:FT$27,后果甲状腺剂量!$J$5:$J$27)*后果甲状腺剂量!$R28*后果甲状腺剂量!$R$3+SUMPRODUCT(FU$5:FU$27,后果甲状腺剂量!$J$5:$J$27)*后果甲状腺剂量!$S28*后果甲状腺剂量!$S$3+SUMPRODUCT(FV$5:FV$27,后果甲状腺剂量!$J$5:$J$27)*后果甲状腺剂量!$T28*后果甲状腺剂量!$T$3+SUMPRODUCT(FS$5:FS$27,后果甲状腺剂量!$K$5:$K$27)*后果甲状腺剂量!$Q28+SUMPRODUCT(FT$5:FT$27,后果甲状腺剂量!$K$5:$K$27)*后果甲状腺剂量!$R28+SUMPRODUCT(FU$5:FU$27,后果甲状腺剂量!$K$5:$K$27)*后果甲状腺剂量!$S28+SUMPRODUCT(FV$5:FV$27,后果甲状腺剂量!$K$5:$K$27)*后果甲状腺剂量!$T28</f>
        <v>0</v>
      </c>
      <c r="FU54" s="454">
        <f t="shared" si="258"/>
        <v>0</v>
      </c>
      <c r="FV54" s="454">
        <f t="shared" si="259"/>
        <v>0</v>
      </c>
      <c r="FW54" s="459">
        <f t="shared" si="266"/>
        <v>0</v>
      </c>
      <c r="FX54" s="459">
        <f t="shared" si="267"/>
        <v>0</v>
      </c>
      <c r="GD54" s="440">
        <f>后果有效剂量!$P28</f>
        <v>0</v>
      </c>
      <c r="GE54" s="441">
        <f>SUMPRODUCT(GE$5:GE$27,后果有效剂量!$I$5:$I$27)*后果有效剂量!$Q28+SUMPRODUCT(GF$5:GF$27,后果有效剂量!$I$5:$I$27)*后果有效剂量!$R28+SUMPRODUCT(GG$5:GG$27,后果有效剂量!$I$5:$I$27)*后果有效剂量!$S28+(SUMPRODUCT(GH$5:GH$27,后果有效剂量!$I$5:$I$27)+SUMPRODUCT(GI$5:GI$27,后果有效剂量!$I$5:$I$27))*后果有效剂量!$T28+SUMPRODUCT(GJ$5:GJ$27,后果有效剂量!$I$5:$I$27)*后果有效剂量!$U28+SUMPRODUCT(GE$5:GE$27,后果有效剂量!$J$5:$J$27)*后果有效剂量!$Q28*后果有效剂量!$Q$3+SUMPRODUCT(GF$5:GF$27,后果有效剂量!$J$5:$J$27)*后果有效剂量!$R28*后果有效剂量!$R$3+SUMPRODUCT(GG$5:GG$27,后果有效剂量!$J$5:$J$27)*后果有效剂量!$S28*后果有效剂量!$S$3+(SUMPRODUCT(GH$5:GH$27,后果有效剂量!$J$5:$J$27)+SUMPRODUCT(GI$5:GI$27,后果有效剂量!$J$5:$J$27))*后果有效剂量!$T28*后果有效剂量!$T$3+SUMPRODUCT(GJ$5:GJ$27,后果有效剂量!$J$5:$J$27)*后果有效剂量!$U28*后果有效剂量!$U$3+SUMPRODUCT(GE$5:GE$27,后果有效剂量!$K$5:$K$27)*后果有效剂量!$Q28+SUMPRODUCT(GF$5:GF$27,后果有效剂量!$K$5:$K$27)*后果有效剂量!$R28+SUMPRODUCT(GG$5:GG$27,后果有效剂量!$K$5:$K$27)*后果有效剂量!$S28+(SUMPRODUCT(GH$5:GH$27,后果有效剂量!$K$5:$K$27)+SUMPRODUCT(GI$5:GI$27,后果有效剂量!$K$5:$K$27))*后果有效剂量!$T28+SUMPRODUCT(GJ$5:GJ$27,后果有效剂量!$K$5:$K$27)*后果有效剂量!$U28</f>
        <v>0</v>
      </c>
      <c r="GF54" s="453">
        <f>SUMPRODUCT(GE$5:GE$27,后果甲状腺剂量!$I$5:$I$27)*后果甲状腺剂量!$Q28+SUMPRODUCT(GF$5:GF$27,后果甲状腺剂量!$I$5:$I$27)*后果甲状腺剂量!$R28+SUMPRODUCT(GG$5:GG$27,后果甲状腺剂量!$I$5:$I$27)*后果甲状腺剂量!$S28+(SUMPRODUCT(GH$5:GH$27,后果甲状腺剂量!$I$5:$I$27)+SUMPRODUCT(GI$5:GI$27,后果甲状腺剂量!$I$5:$I$27))*后果甲状腺剂量!$T28+SUMPRODUCT(GJ$5:GJ$27,后果甲状腺剂量!$I$5:$I$27)*后果甲状腺剂量!$U28+SUMPRODUCT(GE$5:GE$27,后果甲状腺剂量!$J$5:$J$27)*后果甲状腺剂量!$Q28*后果甲状腺剂量!$Q$3+SUMPRODUCT(GF$5:GF$27,后果甲状腺剂量!$J$5:$J$27)*后果甲状腺剂量!$R28*后果甲状腺剂量!$R$3+SUMPRODUCT(GG$5:GG$27,后果甲状腺剂量!$J$5:$J$27)*后果甲状腺剂量!$S28*后果甲状腺剂量!$S$3+(SUMPRODUCT(GH$5:GH$27,后果甲状腺剂量!$J$5:$J$27)+SUMPRODUCT(GI$5:GI$27,后果甲状腺剂量!$J$5:$J$27))*后果甲状腺剂量!$T28*后果甲状腺剂量!$T$3+SUMPRODUCT(GJ$5:GJ$27,后果甲状腺剂量!$J$5:$J$27)*后果甲状腺剂量!$U28*后果甲状腺剂量!$U$3+SUMPRODUCT(GE$5:GE$27,后果甲状腺剂量!$K$5:$K$27)*后果甲状腺剂量!$Q28+SUMPRODUCT(GF$5:GF$27,后果甲状腺剂量!$K$5:$K$27)*后果甲状腺剂量!$R28+SUMPRODUCT(GG$5:GG$27,后果甲状腺剂量!$K$5:$K$27)*后果甲状腺剂量!$S28+(SUMPRODUCT(GH$5:GH$27,后果甲状腺剂量!$K$5:$K$27)+SUMPRODUCT(GI$5:GI$27,后果甲状腺剂量!$K$5:$K$27))*后果甲状腺剂量!$T28+SUMPRODUCT(GJ$5:GJ$27,后果甲状腺剂量!$K$5:$K$27)*后果甲状腺剂量!$U28</f>
        <v>0</v>
      </c>
      <c r="GG54" s="454">
        <f t="shared" si="260"/>
        <v>0</v>
      </c>
      <c r="GH54" s="454">
        <f t="shared" si="261"/>
        <v>0</v>
      </c>
      <c r="GI54" s="459">
        <f t="shared" si="268"/>
        <v>0</v>
      </c>
      <c r="GJ54" s="459">
        <f t="shared" si="269"/>
        <v>0</v>
      </c>
    </row>
    <row r="55" spans="7:192">
      <c r="G55" s="440">
        <f>后果有效剂量!$P29</f>
        <v>0</v>
      </c>
      <c r="H55" s="441">
        <f ca="1">SUMPRODUCT(H$5:H$27,后果有效剂量!$I$5:$I$27)*后果有效剂量!$Q29+SUMPRODUCT(I$5:I$27,后果有效剂量!$I$5:$I$27)*后果有效剂量!$Q29+SUMPRODUCT(J$5:J$27,后果有效剂量!$I$5:$I$27)*后果有效剂量!$R29+SUMPRODUCT(K$5:K$27,后果有效剂量!$I$5:$I$27)*后果有效剂量!$S29+SUMPRODUCT(L$5:L$27,后果有效剂量!$I$5:$I$27)*后果有效剂量!$T29+SUMPRODUCT(M$5:M$27,后果有效剂量!$I$5:$I$27)*后果有效剂量!$U29+SUMPRODUCT(H$5:H$27,后果有效剂量!$J$5:$J$27)*后果有效剂量!$Q29*后果有效剂量!$Q$3+SUMPRODUCT(I$5:I$27,后果有效剂量!$J$5:$J$27)*后果有效剂量!$Q29*后果有效剂量!$Q$3+SUMPRODUCT(J$5:J$27,后果有效剂量!$J$5:$J$27)*后果有效剂量!$R29*后果有效剂量!$R$3+SUMPRODUCT(K$5:K$27,后果有效剂量!$J$5:$J$27)*后果有效剂量!$S29*后果有效剂量!$S$3+SUMPRODUCT(L$5:L$27,后果有效剂量!$J$5:$J$27)*后果有效剂量!$T29*后果有效剂量!$T$3+SUMPRODUCT(M$5:M$27,后果有效剂量!$J$5:$J$27)*后果有效剂量!$U29*后果有效剂量!$U$3+SUMPRODUCT(H$5:H$27,后果有效剂量!$K$5:$K$27)*后果有效剂量!$Q29+SUMPRODUCT(I$5:I$27,后果有效剂量!$K$5:$K$27)*后果有效剂量!$Q29+SUMPRODUCT(J$5:J$27,后果有效剂量!$K$5:$K$27)*后果有效剂量!$R29+SUMPRODUCT(K$5:K$27,后果有效剂量!$K$5:$K$27)*后果有效剂量!$S29+SUMPRODUCT(L$5:L$27,后果有效剂量!$K$5:$K$27)*后果有效剂量!$T29+SUMPRODUCT(M$5:M$27,后果有效剂量!$K$5:$K$27)*后果有效剂量!$U29</f>
        <v>0</v>
      </c>
      <c r="I55" s="453">
        <f ca="1">SUMPRODUCT(H$5:H$27,后果甲状腺剂量!$I$5:$I$27)*后果甲状腺剂量!$Q29+SUMPRODUCT(I$5:I$27,后果甲状腺剂量!$I$5:$I$27)*后果甲状腺剂量!$Q29+SUMPRODUCT(J$5:J$27,后果甲状腺剂量!$I$5:$I$27)*后果甲状腺剂量!$R29+SUMPRODUCT(K$5:K$27,后果甲状腺剂量!$I$5:$I$27)*后果甲状腺剂量!$S29+SUMPRODUCT(L$5:L$27,后果甲状腺剂量!$I$5:$I$27)*后果甲状腺剂量!$T29+SUMPRODUCT(M$5:M$27,后果甲状腺剂量!$I$5:$I$27)*后果甲状腺剂量!$U29+SUMPRODUCT(H$5:H$27,后果甲状腺剂量!$J$5:$J$27)*后果甲状腺剂量!$Q29*后果甲状腺剂量!$Q$3+SUMPRODUCT(I$5:I$27,后果甲状腺剂量!$J$5:$J$27)*后果甲状腺剂量!$Q29*后果甲状腺剂量!$Q$3+SUMPRODUCT(J$5:J$27,后果甲状腺剂量!$J$5:$J$27)*后果甲状腺剂量!$R29*后果甲状腺剂量!$R$3+SUMPRODUCT(K$5:K$27,后果甲状腺剂量!$J$5:$J$27)*后果甲状腺剂量!$S29*后果甲状腺剂量!$S$3+SUMPRODUCT(L$5:L$27,后果甲状腺剂量!$J$5:$J$27)*后果甲状腺剂量!$T29*后果甲状腺剂量!$T$3+SUMPRODUCT(M$5:M$27,后果甲状腺剂量!$J$5:$J$27)*后果甲状腺剂量!$U29*后果甲状腺剂量!$U$3+SUMPRODUCT(H$5:H$27,后果甲状腺剂量!$K$5:$K$27)*后果甲状腺剂量!$Q29+SUMPRODUCT(I$5:I$27,后果甲状腺剂量!$K$5:$K$27)*后果甲状腺剂量!$Q29+SUMPRODUCT(J$5:J$27,后果甲状腺剂量!$K$5:$K$27)*后果甲状腺剂量!$R29+SUMPRODUCT(K$5:K$27,后果甲状腺剂量!$K$5:$K$27)*后果甲状腺剂量!$S29+SUMPRODUCT(L$5:L$27,后果甲状腺剂量!$K$5:$K$27)*后果甲状腺剂量!$T29+SUMPRODUCT(M$5:M$27,后果甲状腺剂量!$K$5:$K$27)*后果甲状腺剂量!$U29</f>
        <v>0</v>
      </c>
      <c r="J55" s="454">
        <f ca="1" t="shared" si="254"/>
        <v>0</v>
      </c>
      <c r="K55" s="454">
        <f ca="1" t="shared" si="255"/>
        <v>0</v>
      </c>
      <c r="L55" s="459">
        <f ca="1" t="shared" si="262"/>
        <v>0</v>
      </c>
      <c r="M55" s="459">
        <f ca="1" t="shared" si="263"/>
        <v>0</v>
      </c>
      <c r="Q55" s="440">
        <f>后果有效剂量!$P29</f>
        <v>0</v>
      </c>
      <c r="R55" s="441">
        <f ca="1">SUMPRODUCT(R$5:R$27,后果有效剂量!$I$5:$I$27)*后果有效剂量!$Q29+SUMPRODUCT(S$5:S$27,后果有效剂量!$I$5:$I$27)*后果有效剂量!$Q29+SUMPRODUCT(T$5:T$27,后果有效剂量!$I$5:$I$27)*后果有效剂量!$R29+SUMPRODUCT(U$5:U$27,后果有效剂量!$I$5:$I$27)*后果有效剂量!$S29+SUMPRODUCT(V$5:V$27,后果有效剂量!$I$5:$I$27)*后果有效剂量!$T29+SUMPRODUCT(W$5:W$27,后果有效剂量!$I$5:$I$27)*后果有效剂量!$U29+SUMPRODUCT(R$5:R$27,后果有效剂量!$J$5:$J$27)*后果有效剂量!$Q29*后果有效剂量!$Q$3+SUMPRODUCT(S$5:S$27,后果有效剂量!$J$5:$J$27)*后果有效剂量!$Q29*后果有效剂量!$Q$3+SUMPRODUCT(T$5:T$27,后果有效剂量!$J$5:$J$27)*后果有效剂量!$R29*后果有效剂量!$R$3+SUMPRODUCT(U$5:U$27,后果有效剂量!$J$5:$J$27)*后果有效剂量!$S29*后果有效剂量!$S$3+SUMPRODUCT(V$5:V$27,后果有效剂量!$J$5:$J$27)*后果有效剂量!$T29*后果有效剂量!$T$3+SUMPRODUCT(W$5:W$27,后果有效剂量!$J$5:$J$27)*后果有效剂量!$U29*后果有效剂量!$U$3+SUMPRODUCT(R$5:R$27,后果有效剂量!$K$5:$K$27)*后果有效剂量!$Q29+SUMPRODUCT(S$5:S$27,后果有效剂量!$K$5:$K$27)*后果有效剂量!$Q29+SUMPRODUCT(T$5:T$27,后果有效剂量!$K$5:$K$27)*后果有效剂量!$R29+SUMPRODUCT(U$5:U$27,后果有效剂量!$K$5:$K$27)*后果有效剂量!$S29+SUMPRODUCT(V$5:V$27,后果有效剂量!$K$5:$K$27)*后果有效剂量!$T29+SUMPRODUCT(W$5:W$27,后果有效剂量!$K$5:$K$27)*后果有效剂量!$U29</f>
        <v>0</v>
      </c>
      <c r="S55" s="453">
        <f ca="1">SUMPRODUCT(R$5:R$27,后果甲状腺剂量!$I$5:$I$27)*后果甲状腺剂量!$Q29+SUMPRODUCT(S$5:S$27,后果甲状腺剂量!$I$5:$I$27)*后果甲状腺剂量!$Q29+SUMPRODUCT(T$5:T$27,后果甲状腺剂量!$I$5:$I$27)*后果甲状腺剂量!$R29+SUMPRODUCT(U$5:U$27,后果甲状腺剂量!$I$5:$I$27)*后果甲状腺剂量!$S29+SUMPRODUCT(V$5:V$27,后果甲状腺剂量!$I$5:$I$27)*后果甲状腺剂量!$T29+SUMPRODUCT(W$5:W$27,后果甲状腺剂量!$I$5:$I$27)*后果甲状腺剂量!$U29+SUMPRODUCT(R$5:R$27,后果甲状腺剂量!$J$5:$J$27)*后果甲状腺剂量!$Q29*后果甲状腺剂量!$Q$3+SUMPRODUCT(S$5:S$27,后果甲状腺剂量!$J$5:$J$27)*后果甲状腺剂量!$Q29*后果甲状腺剂量!$Q$3+SUMPRODUCT(T$5:T$27,后果甲状腺剂量!$J$5:$J$27)*后果甲状腺剂量!$R29*后果甲状腺剂量!$R$3+SUMPRODUCT(U$5:U$27,后果甲状腺剂量!$J$5:$J$27)*后果甲状腺剂量!$S29*后果甲状腺剂量!$S$3+SUMPRODUCT(V$5:V$27,后果甲状腺剂量!$J$5:$J$27)*后果甲状腺剂量!$T29*后果甲状腺剂量!$T$3+SUMPRODUCT(W$5:W$27,后果甲状腺剂量!$J$5:$J$27)*后果甲状腺剂量!$U29*后果甲状腺剂量!$U$3+SUMPRODUCT(R$5:R$27,后果甲状腺剂量!$K$5:$K$27)*后果甲状腺剂量!$Q29+SUMPRODUCT(S$5:S$27,后果甲状腺剂量!$K$5:$K$27)*后果甲状腺剂量!$Q29+SUMPRODUCT(T$5:T$27,后果甲状腺剂量!$K$5:$K$27)*后果甲状腺剂量!$R29+SUMPRODUCT(U$5:U$27,后果甲状腺剂量!$K$5:$K$27)*后果甲状腺剂量!$S29+SUMPRODUCT(V$5:V$27,后果甲状腺剂量!$K$5:$K$27)*后果甲状腺剂量!$T29+SUMPRODUCT(W$5:W$27,后果甲状腺剂量!$K$5:$K$27)*后果甲状腺剂量!$U29</f>
        <v>0</v>
      </c>
      <c r="T55" s="454">
        <f ca="1" t="shared" si="256"/>
        <v>0</v>
      </c>
      <c r="U55" s="454">
        <f ca="1" t="shared" si="257"/>
        <v>0</v>
      </c>
      <c r="V55" s="459">
        <f ca="1" t="shared" si="264"/>
        <v>0</v>
      </c>
      <c r="W55" s="459">
        <f ca="1" t="shared" si="265"/>
        <v>0</v>
      </c>
      <c r="FS55" s="441">
        <f>SUMPRODUCT(FS$5:FS$27,后果有效剂量!$I$5:$I$27)*后果有效剂量!$Q29+SUMPRODUCT(FT$5:FT$27,后果有效剂量!$I$5:$I$27)*后果有效剂量!$R29+SUMPRODUCT(FU$5:FU$27,后果有效剂量!$I$5:$I$27)*后果有效剂量!$S29+SUMPRODUCT(FV$5:FV$27,后果有效剂量!$I$5:$I$27)*后果有效剂量!$T29+SUMPRODUCT(FS$5:FS$27,后果有效剂量!$J$5:$J$27)*后果有效剂量!$Q29*后果有效剂量!$Q$3+SUMPRODUCT(FT$5:FT$27,后果有效剂量!$J$5:$J$27)*后果有效剂量!$R29*后果有效剂量!$R$3+SUMPRODUCT(FU$5:FU$27,后果有效剂量!$J$5:$J$27)*后果有效剂量!$S29*后果有效剂量!$S$3+SUMPRODUCT(FV$5:FV$27,后果有效剂量!$J$5:$J$27)*后果有效剂量!$T29*后果有效剂量!$T$3+SUMPRODUCT(FS$5:FS$27,后果有效剂量!$K$5:$K$27)*后果有效剂量!$Q29+SUMPRODUCT(FT$5:FT$27,后果有效剂量!$K$5:$K$27)*后果有效剂量!$R29+SUMPRODUCT(FU$5:FU$27,后果有效剂量!$K$5:$K$27)*后果有效剂量!$S29+SUMPRODUCT(FV$5:FV$27,后果有效剂量!$K$5:$K$27)*后果有效剂量!$T29</f>
        <v>0</v>
      </c>
      <c r="FT55" s="453">
        <f>SUMPRODUCT(FS$5:FS$27,后果甲状腺剂量!$I$5:$I$27)*后果甲状腺剂量!$Q29+SUMPRODUCT(FT$5:FT$27,后果甲状腺剂量!$I$5:$I$27)*后果甲状腺剂量!$R29+SUMPRODUCT(FU$5:FU$27,后果甲状腺剂量!$I$5:$I$27)*后果甲状腺剂量!$S29+SUMPRODUCT(FV$5:FV$27,后果甲状腺剂量!$I$5:$I$27)*后果甲状腺剂量!$T29+SUMPRODUCT(FS$5:FS$27,后果甲状腺剂量!$J$5:$J$27)*后果甲状腺剂量!$Q29*后果甲状腺剂量!$Q$3+SUMPRODUCT(FT$5:FT$27,后果甲状腺剂量!$J$5:$J$27)*后果甲状腺剂量!$R29*后果甲状腺剂量!$R$3+SUMPRODUCT(FU$5:FU$27,后果甲状腺剂量!$J$5:$J$27)*后果甲状腺剂量!$S29*后果甲状腺剂量!$S$3+SUMPRODUCT(FV$5:FV$27,后果甲状腺剂量!$J$5:$J$27)*后果甲状腺剂量!$T29*后果甲状腺剂量!$T$3+SUMPRODUCT(FS$5:FS$27,后果甲状腺剂量!$K$5:$K$27)*后果甲状腺剂量!$Q29+SUMPRODUCT(FT$5:FT$27,后果甲状腺剂量!$K$5:$K$27)*后果甲状腺剂量!$R29+SUMPRODUCT(FU$5:FU$27,后果甲状腺剂量!$K$5:$K$27)*后果甲状腺剂量!$S29+SUMPRODUCT(FV$5:FV$27,后果甲状腺剂量!$K$5:$K$27)*后果甲状腺剂量!$T29</f>
        <v>0</v>
      </c>
      <c r="FU55" s="454">
        <f t="shared" si="258"/>
        <v>0</v>
      </c>
      <c r="FV55" s="454">
        <f t="shared" si="259"/>
        <v>0</v>
      </c>
      <c r="FW55" s="459">
        <f t="shared" si="266"/>
        <v>0</v>
      </c>
      <c r="FX55" s="459">
        <f t="shared" si="267"/>
        <v>0</v>
      </c>
      <c r="GD55" s="440">
        <f>后果有效剂量!$P29</f>
        <v>0</v>
      </c>
      <c r="GE55" s="441">
        <f>SUMPRODUCT(GE$5:GE$27,后果有效剂量!$I$5:$I$27)*后果有效剂量!$Q29+SUMPRODUCT(GF$5:GF$27,后果有效剂量!$I$5:$I$27)*后果有效剂量!$R29+SUMPRODUCT(GG$5:GG$27,后果有效剂量!$I$5:$I$27)*后果有效剂量!$S29+(SUMPRODUCT(GH$5:GH$27,后果有效剂量!$I$5:$I$27)+SUMPRODUCT(GI$5:GI$27,后果有效剂量!$I$5:$I$27))*后果有效剂量!$T29+SUMPRODUCT(GJ$5:GJ$27,后果有效剂量!$I$5:$I$27)*后果有效剂量!$U29+SUMPRODUCT(GE$5:GE$27,后果有效剂量!$J$5:$J$27)*后果有效剂量!$Q29*后果有效剂量!$Q$3+SUMPRODUCT(GF$5:GF$27,后果有效剂量!$J$5:$J$27)*后果有效剂量!$R29*后果有效剂量!$R$3+SUMPRODUCT(GG$5:GG$27,后果有效剂量!$J$5:$J$27)*后果有效剂量!$S29*后果有效剂量!$S$3+(SUMPRODUCT(GH$5:GH$27,后果有效剂量!$J$5:$J$27)+SUMPRODUCT(GI$5:GI$27,后果有效剂量!$J$5:$J$27))*后果有效剂量!$T29*后果有效剂量!$T$3+SUMPRODUCT(GJ$5:GJ$27,后果有效剂量!$J$5:$J$27)*后果有效剂量!$U29*后果有效剂量!$U$3+SUMPRODUCT(GE$5:GE$27,后果有效剂量!$K$5:$K$27)*后果有效剂量!$Q29+SUMPRODUCT(GF$5:GF$27,后果有效剂量!$K$5:$K$27)*后果有效剂量!$R29+SUMPRODUCT(GG$5:GG$27,后果有效剂量!$K$5:$K$27)*后果有效剂量!$S29+(SUMPRODUCT(GH$5:GH$27,后果有效剂量!$K$5:$K$27)+SUMPRODUCT(GI$5:GI$27,后果有效剂量!$K$5:$K$27))*后果有效剂量!$T29+SUMPRODUCT(GJ$5:GJ$27,后果有效剂量!$K$5:$K$27)*后果有效剂量!$U29</f>
        <v>0</v>
      </c>
      <c r="GF55" s="453">
        <f>SUMPRODUCT(GE$5:GE$27,后果甲状腺剂量!$I$5:$I$27)*后果甲状腺剂量!$Q29+SUMPRODUCT(GF$5:GF$27,后果甲状腺剂量!$I$5:$I$27)*后果甲状腺剂量!$R29+SUMPRODUCT(GG$5:GG$27,后果甲状腺剂量!$I$5:$I$27)*后果甲状腺剂量!$S29+(SUMPRODUCT(GH$5:GH$27,后果甲状腺剂量!$I$5:$I$27)+SUMPRODUCT(GI$5:GI$27,后果甲状腺剂量!$I$5:$I$27))*后果甲状腺剂量!$T29+SUMPRODUCT(GJ$5:GJ$27,后果甲状腺剂量!$I$5:$I$27)*后果甲状腺剂量!$U29+SUMPRODUCT(GE$5:GE$27,后果甲状腺剂量!$J$5:$J$27)*后果甲状腺剂量!$Q29*后果甲状腺剂量!$Q$3+SUMPRODUCT(GF$5:GF$27,后果甲状腺剂量!$J$5:$J$27)*后果甲状腺剂量!$R29*后果甲状腺剂量!$R$3+SUMPRODUCT(GG$5:GG$27,后果甲状腺剂量!$J$5:$J$27)*后果甲状腺剂量!$S29*后果甲状腺剂量!$S$3+(SUMPRODUCT(GH$5:GH$27,后果甲状腺剂量!$J$5:$J$27)+SUMPRODUCT(GI$5:GI$27,后果甲状腺剂量!$J$5:$J$27))*后果甲状腺剂量!$T29*后果甲状腺剂量!$T$3+SUMPRODUCT(GJ$5:GJ$27,后果甲状腺剂量!$J$5:$J$27)*后果甲状腺剂量!$U29*后果甲状腺剂量!$U$3+SUMPRODUCT(GE$5:GE$27,后果甲状腺剂量!$K$5:$K$27)*后果甲状腺剂量!$Q29+SUMPRODUCT(GF$5:GF$27,后果甲状腺剂量!$K$5:$K$27)*后果甲状腺剂量!$R29+SUMPRODUCT(GG$5:GG$27,后果甲状腺剂量!$K$5:$K$27)*后果甲状腺剂量!$S29+(SUMPRODUCT(GH$5:GH$27,后果甲状腺剂量!$K$5:$K$27)+SUMPRODUCT(GI$5:GI$27,后果甲状腺剂量!$K$5:$K$27))*后果甲状腺剂量!$T29+SUMPRODUCT(GJ$5:GJ$27,后果甲状腺剂量!$K$5:$K$27)*后果甲状腺剂量!$U29</f>
        <v>0</v>
      </c>
      <c r="GG55" s="454">
        <f t="shared" si="260"/>
        <v>0</v>
      </c>
      <c r="GH55" s="454">
        <f t="shared" si="261"/>
        <v>0</v>
      </c>
      <c r="GI55" s="459">
        <f t="shared" si="268"/>
        <v>0</v>
      </c>
      <c r="GJ55" s="459">
        <f t="shared" si="269"/>
        <v>0</v>
      </c>
    </row>
    <row r="56" spans="7:192">
      <c r="G56" s="440">
        <f>后果有效剂量!$P30</f>
        <v>0</v>
      </c>
      <c r="H56" s="441">
        <f ca="1">SUMPRODUCT(H$5:H$27,后果有效剂量!$I$5:$I$27)*后果有效剂量!$Q30+SUMPRODUCT(I$5:I$27,后果有效剂量!$I$5:$I$27)*后果有效剂量!$Q30+SUMPRODUCT(J$5:J$27,后果有效剂量!$I$5:$I$27)*后果有效剂量!$R30+SUMPRODUCT(K$5:K$27,后果有效剂量!$I$5:$I$27)*后果有效剂量!$S30+SUMPRODUCT(L$5:L$27,后果有效剂量!$I$5:$I$27)*后果有效剂量!$T30+SUMPRODUCT(M$5:M$27,后果有效剂量!$I$5:$I$27)*后果有效剂量!$U30+SUMPRODUCT(H$5:H$27,后果有效剂量!$J$5:$J$27)*后果有效剂量!$Q30*后果有效剂量!$Q$3+SUMPRODUCT(I$5:I$27,后果有效剂量!$J$5:$J$27)*后果有效剂量!$Q30*后果有效剂量!$Q$3+SUMPRODUCT(J$5:J$27,后果有效剂量!$J$5:$J$27)*后果有效剂量!$R30*后果有效剂量!$R$3+SUMPRODUCT(K$5:K$27,后果有效剂量!$J$5:$J$27)*后果有效剂量!$S30*后果有效剂量!$S$3+SUMPRODUCT(L$5:L$27,后果有效剂量!$J$5:$J$27)*后果有效剂量!$T30*后果有效剂量!$T$3+SUMPRODUCT(M$5:M$27,后果有效剂量!$J$5:$J$27)*后果有效剂量!$U30*后果有效剂量!$U$3+SUMPRODUCT(H$5:H$27,后果有效剂量!$K$5:$K$27)*后果有效剂量!$Q30+SUMPRODUCT(I$5:I$27,后果有效剂量!$K$5:$K$27)*后果有效剂量!$Q30+SUMPRODUCT(J$5:J$27,后果有效剂量!$K$5:$K$27)*后果有效剂量!$R30+SUMPRODUCT(K$5:K$27,后果有效剂量!$K$5:$K$27)*后果有效剂量!$S30+SUMPRODUCT(L$5:L$27,后果有效剂量!$K$5:$K$27)*后果有效剂量!$T30+SUMPRODUCT(M$5:M$27,后果有效剂量!$K$5:$K$27)*后果有效剂量!$U30</f>
        <v>0</v>
      </c>
      <c r="I56" s="453">
        <f ca="1">SUMPRODUCT(H$5:H$27,后果甲状腺剂量!$I$5:$I$27)*后果甲状腺剂量!$Q30+SUMPRODUCT(I$5:I$27,后果甲状腺剂量!$I$5:$I$27)*后果甲状腺剂量!$Q30+SUMPRODUCT(J$5:J$27,后果甲状腺剂量!$I$5:$I$27)*后果甲状腺剂量!$R30+SUMPRODUCT(K$5:K$27,后果甲状腺剂量!$I$5:$I$27)*后果甲状腺剂量!$S30+SUMPRODUCT(L$5:L$27,后果甲状腺剂量!$I$5:$I$27)*后果甲状腺剂量!$T30+SUMPRODUCT(M$5:M$27,后果甲状腺剂量!$I$5:$I$27)*后果甲状腺剂量!$U30+SUMPRODUCT(H$5:H$27,后果甲状腺剂量!$J$5:$J$27)*后果甲状腺剂量!$Q30*后果甲状腺剂量!$Q$3+SUMPRODUCT(I$5:I$27,后果甲状腺剂量!$J$5:$J$27)*后果甲状腺剂量!$Q30*后果甲状腺剂量!$Q$3+SUMPRODUCT(J$5:J$27,后果甲状腺剂量!$J$5:$J$27)*后果甲状腺剂量!$R30*后果甲状腺剂量!$R$3+SUMPRODUCT(K$5:K$27,后果甲状腺剂量!$J$5:$J$27)*后果甲状腺剂量!$S30*后果甲状腺剂量!$S$3+SUMPRODUCT(L$5:L$27,后果甲状腺剂量!$J$5:$J$27)*后果甲状腺剂量!$T30*后果甲状腺剂量!$T$3+SUMPRODUCT(M$5:M$27,后果甲状腺剂量!$J$5:$J$27)*后果甲状腺剂量!$U30*后果甲状腺剂量!$U$3+SUMPRODUCT(H$5:H$27,后果甲状腺剂量!$K$5:$K$27)*后果甲状腺剂量!$Q30+SUMPRODUCT(I$5:I$27,后果甲状腺剂量!$K$5:$K$27)*后果甲状腺剂量!$Q30+SUMPRODUCT(J$5:J$27,后果甲状腺剂量!$K$5:$K$27)*后果甲状腺剂量!$R30+SUMPRODUCT(K$5:K$27,后果甲状腺剂量!$K$5:$K$27)*后果甲状腺剂量!$S30+SUMPRODUCT(L$5:L$27,后果甲状腺剂量!$K$5:$K$27)*后果甲状腺剂量!$T30+SUMPRODUCT(M$5:M$27,后果甲状腺剂量!$K$5:$K$27)*后果甲状腺剂量!$U30</f>
        <v>0</v>
      </c>
      <c r="J56" s="454">
        <f ca="1" t="shared" si="254"/>
        <v>0</v>
      </c>
      <c r="K56" s="454">
        <f ca="1" t="shared" si="255"/>
        <v>0</v>
      </c>
      <c r="L56" s="459">
        <f ca="1" t="shared" si="262"/>
        <v>0</v>
      </c>
      <c r="M56" s="459">
        <f ca="1" t="shared" si="263"/>
        <v>0</v>
      </c>
      <c r="Q56" s="440">
        <f>后果有效剂量!$P30</f>
        <v>0</v>
      </c>
      <c r="R56" s="441">
        <f ca="1">SUMPRODUCT(R$5:R$27,后果有效剂量!$I$5:$I$27)*后果有效剂量!$Q30+SUMPRODUCT(S$5:S$27,后果有效剂量!$I$5:$I$27)*后果有效剂量!$Q30+SUMPRODUCT(T$5:T$27,后果有效剂量!$I$5:$I$27)*后果有效剂量!$R30+SUMPRODUCT(U$5:U$27,后果有效剂量!$I$5:$I$27)*后果有效剂量!$S30+SUMPRODUCT(V$5:V$27,后果有效剂量!$I$5:$I$27)*后果有效剂量!$T30+SUMPRODUCT(W$5:W$27,后果有效剂量!$I$5:$I$27)*后果有效剂量!$U30+SUMPRODUCT(R$5:R$27,后果有效剂量!$J$5:$J$27)*后果有效剂量!$Q30*后果有效剂量!$Q$3+SUMPRODUCT(S$5:S$27,后果有效剂量!$J$5:$J$27)*后果有效剂量!$Q30*后果有效剂量!$Q$3+SUMPRODUCT(T$5:T$27,后果有效剂量!$J$5:$J$27)*后果有效剂量!$R30*后果有效剂量!$R$3+SUMPRODUCT(U$5:U$27,后果有效剂量!$J$5:$J$27)*后果有效剂量!$S30*后果有效剂量!$S$3+SUMPRODUCT(V$5:V$27,后果有效剂量!$J$5:$J$27)*后果有效剂量!$T30*后果有效剂量!$T$3+SUMPRODUCT(W$5:W$27,后果有效剂量!$J$5:$J$27)*后果有效剂量!$U30*后果有效剂量!$U$3+SUMPRODUCT(R$5:R$27,后果有效剂量!$K$5:$K$27)*后果有效剂量!$Q30+SUMPRODUCT(S$5:S$27,后果有效剂量!$K$5:$K$27)*后果有效剂量!$Q30+SUMPRODUCT(T$5:T$27,后果有效剂量!$K$5:$K$27)*后果有效剂量!$R30+SUMPRODUCT(U$5:U$27,后果有效剂量!$K$5:$K$27)*后果有效剂量!$S30+SUMPRODUCT(V$5:V$27,后果有效剂量!$K$5:$K$27)*后果有效剂量!$T30+SUMPRODUCT(W$5:W$27,后果有效剂量!$K$5:$K$27)*后果有效剂量!$U30</f>
        <v>0</v>
      </c>
      <c r="S56" s="453">
        <f ca="1">SUMPRODUCT(R$5:R$27,后果甲状腺剂量!$I$5:$I$27)*后果甲状腺剂量!$Q30+SUMPRODUCT(S$5:S$27,后果甲状腺剂量!$I$5:$I$27)*后果甲状腺剂量!$Q30+SUMPRODUCT(T$5:T$27,后果甲状腺剂量!$I$5:$I$27)*后果甲状腺剂量!$R30+SUMPRODUCT(U$5:U$27,后果甲状腺剂量!$I$5:$I$27)*后果甲状腺剂量!$S30+SUMPRODUCT(V$5:V$27,后果甲状腺剂量!$I$5:$I$27)*后果甲状腺剂量!$T30+SUMPRODUCT(W$5:W$27,后果甲状腺剂量!$I$5:$I$27)*后果甲状腺剂量!$U30+SUMPRODUCT(R$5:R$27,后果甲状腺剂量!$J$5:$J$27)*后果甲状腺剂量!$Q30*后果甲状腺剂量!$Q$3+SUMPRODUCT(S$5:S$27,后果甲状腺剂量!$J$5:$J$27)*后果甲状腺剂量!$Q30*后果甲状腺剂量!$Q$3+SUMPRODUCT(T$5:T$27,后果甲状腺剂量!$J$5:$J$27)*后果甲状腺剂量!$R30*后果甲状腺剂量!$R$3+SUMPRODUCT(U$5:U$27,后果甲状腺剂量!$J$5:$J$27)*后果甲状腺剂量!$S30*后果甲状腺剂量!$S$3+SUMPRODUCT(V$5:V$27,后果甲状腺剂量!$J$5:$J$27)*后果甲状腺剂量!$T30*后果甲状腺剂量!$T$3+SUMPRODUCT(W$5:W$27,后果甲状腺剂量!$J$5:$J$27)*后果甲状腺剂量!$U30*后果甲状腺剂量!$U$3+SUMPRODUCT(R$5:R$27,后果甲状腺剂量!$K$5:$K$27)*后果甲状腺剂量!$Q30+SUMPRODUCT(S$5:S$27,后果甲状腺剂量!$K$5:$K$27)*后果甲状腺剂量!$Q30+SUMPRODUCT(T$5:T$27,后果甲状腺剂量!$K$5:$K$27)*后果甲状腺剂量!$R30+SUMPRODUCT(U$5:U$27,后果甲状腺剂量!$K$5:$K$27)*后果甲状腺剂量!$S30+SUMPRODUCT(V$5:V$27,后果甲状腺剂量!$K$5:$K$27)*后果甲状腺剂量!$T30+SUMPRODUCT(W$5:W$27,后果甲状腺剂量!$K$5:$K$27)*后果甲状腺剂量!$U30</f>
        <v>0</v>
      </c>
      <c r="T56" s="454">
        <f ca="1" t="shared" si="256"/>
        <v>0</v>
      </c>
      <c r="U56" s="454">
        <f ca="1" t="shared" si="257"/>
        <v>0</v>
      </c>
      <c r="V56" s="459">
        <f ca="1" t="shared" si="264"/>
        <v>0</v>
      </c>
      <c r="W56" s="459">
        <f ca="1" t="shared" si="265"/>
        <v>0</v>
      </c>
      <c r="FS56" s="441">
        <f>SUMPRODUCT(FS$5:FS$27,后果有效剂量!$I$5:$I$27)*后果有效剂量!$Q30+SUMPRODUCT(FT$5:FT$27,后果有效剂量!$I$5:$I$27)*后果有效剂量!$R30+SUMPRODUCT(FU$5:FU$27,后果有效剂量!$I$5:$I$27)*后果有效剂量!$S30+SUMPRODUCT(FV$5:FV$27,后果有效剂量!$I$5:$I$27)*后果有效剂量!$T30+SUMPRODUCT(FS$5:FS$27,后果有效剂量!$J$5:$J$27)*后果有效剂量!$Q30*后果有效剂量!$Q$3+SUMPRODUCT(FT$5:FT$27,后果有效剂量!$J$5:$J$27)*后果有效剂量!$R30*后果有效剂量!$R$3+SUMPRODUCT(FU$5:FU$27,后果有效剂量!$J$5:$J$27)*后果有效剂量!$S30*后果有效剂量!$S$3+SUMPRODUCT(FV$5:FV$27,后果有效剂量!$J$5:$J$27)*后果有效剂量!$T30*后果有效剂量!$T$3+SUMPRODUCT(FS$5:FS$27,后果有效剂量!$K$5:$K$27)*后果有效剂量!$Q30+SUMPRODUCT(FT$5:FT$27,后果有效剂量!$K$5:$K$27)*后果有效剂量!$R30+SUMPRODUCT(FU$5:FU$27,后果有效剂量!$K$5:$K$27)*后果有效剂量!$S30+SUMPRODUCT(FV$5:FV$27,后果有效剂量!$K$5:$K$27)*后果有效剂量!$T30</f>
        <v>0</v>
      </c>
      <c r="FT56" s="453">
        <f>SUMPRODUCT(FS$5:FS$27,后果甲状腺剂量!$I$5:$I$27)*后果甲状腺剂量!$Q30+SUMPRODUCT(FT$5:FT$27,后果甲状腺剂量!$I$5:$I$27)*后果甲状腺剂量!$R30+SUMPRODUCT(FU$5:FU$27,后果甲状腺剂量!$I$5:$I$27)*后果甲状腺剂量!$S30+SUMPRODUCT(FV$5:FV$27,后果甲状腺剂量!$I$5:$I$27)*后果甲状腺剂量!$T30+SUMPRODUCT(FS$5:FS$27,后果甲状腺剂量!$J$5:$J$27)*后果甲状腺剂量!$Q30*后果甲状腺剂量!$Q$3+SUMPRODUCT(FT$5:FT$27,后果甲状腺剂量!$J$5:$J$27)*后果甲状腺剂量!$R30*后果甲状腺剂量!$R$3+SUMPRODUCT(FU$5:FU$27,后果甲状腺剂量!$J$5:$J$27)*后果甲状腺剂量!$S30*后果甲状腺剂量!$S$3+SUMPRODUCT(FV$5:FV$27,后果甲状腺剂量!$J$5:$J$27)*后果甲状腺剂量!$T30*后果甲状腺剂量!$T$3+SUMPRODUCT(FS$5:FS$27,后果甲状腺剂量!$K$5:$K$27)*后果甲状腺剂量!$Q30+SUMPRODUCT(FT$5:FT$27,后果甲状腺剂量!$K$5:$K$27)*后果甲状腺剂量!$R30+SUMPRODUCT(FU$5:FU$27,后果甲状腺剂量!$K$5:$K$27)*后果甲状腺剂量!$S30+SUMPRODUCT(FV$5:FV$27,后果甲状腺剂量!$K$5:$K$27)*后果甲状腺剂量!$T30</f>
        <v>0</v>
      </c>
      <c r="FU56" s="454">
        <f t="shared" si="258"/>
        <v>0</v>
      </c>
      <c r="FV56" s="454">
        <f t="shared" si="259"/>
        <v>0</v>
      </c>
      <c r="FW56" s="459">
        <f t="shared" si="266"/>
        <v>0</v>
      </c>
      <c r="FX56" s="459">
        <f t="shared" si="267"/>
        <v>0</v>
      </c>
      <c r="GD56" s="440">
        <f>后果有效剂量!$P30</f>
        <v>0</v>
      </c>
      <c r="GE56" s="441">
        <f>SUMPRODUCT(GE$5:GE$27,后果有效剂量!$I$5:$I$27)*后果有效剂量!$Q30+SUMPRODUCT(GF$5:GF$27,后果有效剂量!$I$5:$I$27)*后果有效剂量!$R30+SUMPRODUCT(GG$5:GG$27,后果有效剂量!$I$5:$I$27)*后果有效剂量!$S30+(SUMPRODUCT(GH$5:GH$27,后果有效剂量!$I$5:$I$27)+SUMPRODUCT(GI$5:GI$27,后果有效剂量!$I$5:$I$27))*后果有效剂量!$T30+SUMPRODUCT(GJ$5:GJ$27,后果有效剂量!$I$5:$I$27)*后果有效剂量!$U30+SUMPRODUCT(GE$5:GE$27,后果有效剂量!$J$5:$J$27)*后果有效剂量!$Q30*后果有效剂量!$Q$3+SUMPRODUCT(GF$5:GF$27,后果有效剂量!$J$5:$J$27)*后果有效剂量!$R30*后果有效剂量!$R$3+SUMPRODUCT(GG$5:GG$27,后果有效剂量!$J$5:$J$27)*后果有效剂量!$S30*后果有效剂量!$S$3+(SUMPRODUCT(GH$5:GH$27,后果有效剂量!$J$5:$J$27)+SUMPRODUCT(GI$5:GI$27,后果有效剂量!$J$5:$J$27))*后果有效剂量!$T30*后果有效剂量!$T$3+SUMPRODUCT(GJ$5:GJ$27,后果有效剂量!$J$5:$J$27)*后果有效剂量!$U30*后果有效剂量!$U$3+SUMPRODUCT(GE$5:GE$27,后果有效剂量!$K$5:$K$27)*后果有效剂量!$Q30+SUMPRODUCT(GF$5:GF$27,后果有效剂量!$K$5:$K$27)*后果有效剂量!$R30+SUMPRODUCT(GG$5:GG$27,后果有效剂量!$K$5:$K$27)*后果有效剂量!$S30+(SUMPRODUCT(GH$5:GH$27,后果有效剂量!$K$5:$K$27)+SUMPRODUCT(GI$5:GI$27,后果有效剂量!$K$5:$K$27))*后果有效剂量!$T30+SUMPRODUCT(GJ$5:GJ$27,后果有效剂量!$K$5:$K$27)*后果有效剂量!$U30</f>
        <v>0</v>
      </c>
      <c r="GF56" s="453">
        <f>SUMPRODUCT(GE$5:GE$27,后果甲状腺剂量!$I$5:$I$27)*后果甲状腺剂量!$Q30+SUMPRODUCT(GF$5:GF$27,后果甲状腺剂量!$I$5:$I$27)*后果甲状腺剂量!$R30+SUMPRODUCT(GG$5:GG$27,后果甲状腺剂量!$I$5:$I$27)*后果甲状腺剂量!$S30+(SUMPRODUCT(GH$5:GH$27,后果甲状腺剂量!$I$5:$I$27)+SUMPRODUCT(GI$5:GI$27,后果甲状腺剂量!$I$5:$I$27))*后果甲状腺剂量!$T30+SUMPRODUCT(GJ$5:GJ$27,后果甲状腺剂量!$I$5:$I$27)*后果甲状腺剂量!$U30+SUMPRODUCT(GE$5:GE$27,后果甲状腺剂量!$J$5:$J$27)*后果甲状腺剂量!$Q30*后果甲状腺剂量!$Q$3+SUMPRODUCT(GF$5:GF$27,后果甲状腺剂量!$J$5:$J$27)*后果甲状腺剂量!$R30*后果甲状腺剂量!$R$3+SUMPRODUCT(GG$5:GG$27,后果甲状腺剂量!$J$5:$J$27)*后果甲状腺剂量!$S30*后果甲状腺剂量!$S$3+(SUMPRODUCT(GH$5:GH$27,后果甲状腺剂量!$J$5:$J$27)+SUMPRODUCT(GI$5:GI$27,后果甲状腺剂量!$J$5:$J$27))*后果甲状腺剂量!$T30*后果甲状腺剂量!$T$3+SUMPRODUCT(GJ$5:GJ$27,后果甲状腺剂量!$J$5:$J$27)*后果甲状腺剂量!$U30*后果甲状腺剂量!$U$3+SUMPRODUCT(GE$5:GE$27,后果甲状腺剂量!$K$5:$K$27)*后果甲状腺剂量!$Q30+SUMPRODUCT(GF$5:GF$27,后果甲状腺剂量!$K$5:$K$27)*后果甲状腺剂量!$R30+SUMPRODUCT(GG$5:GG$27,后果甲状腺剂量!$K$5:$K$27)*后果甲状腺剂量!$S30+(SUMPRODUCT(GH$5:GH$27,后果甲状腺剂量!$K$5:$K$27)+SUMPRODUCT(GI$5:GI$27,后果甲状腺剂量!$K$5:$K$27))*后果甲状腺剂量!$T30+SUMPRODUCT(GJ$5:GJ$27,后果甲状腺剂量!$K$5:$K$27)*后果甲状腺剂量!$U30</f>
        <v>0</v>
      </c>
      <c r="GG56" s="454">
        <f t="shared" si="260"/>
        <v>0</v>
      </c>
      <c r="GH56" s="454">
        <f t="shared" si="261"/>
        <v>0</v>
      </c>
      <c r="GI56" s="459">
        <f t="shared" si="268"/>
        <v>0</v>
      </c>
      <c r="GJ56" s="459">
        <f t="shared" si="269"/>
        <v>0</v>
      </c>
    </row>
    <row r="57" ht="13.5" spans="8:21">
      <c r="H57" s="447"/>
      <c r="I57" s="460"/>
      <c r="J57" s="461"/>
      <c r="K57" s="461"/>
      <c r="R57" s="447"/>
      <c r="S57" s="460"/>
      <c r="T57" s="461"/>
      <c r="U57" s="461"/>
    </row>
    <row r="58" ht="13.5" spans="9:25">
      <c r="I58" s="462" t="s">
        <v>296</v>
      </c>
      <c r="J58" s="462"/>
      <c r="K58" s="462" t="s">
        <v>297</v>
      </c>
      <c r="L58" s="462"/>
      <c r="M58" s="463" t="s">
        <v>298</v>
      </c>
      <c r="N58" s="464"/>
      <c r="O58" s="463" t="s">
        <v>299</v>
      </c>
      <c r="P58" s="464"/>
      <c r="S58" s="462" t="s">
        <v>296</v>
      </c>
      <c r="T58" s="462"/>
      <c r="U58" s="462" t="s">
        <v>297</v>
      </c>
      <c r="V58" s="462"/>
      <c r="W58" s="463" t="s">
        <v>298</v>
      </c>
      <c r="X58" s="464"/>
      <c r="Y58" s="505"/>
    </row>
    <row r="59" ht="36.75" spans="9:25">
      <c r="I59" s="465" t="s">
        <v>300</v>
      </c>
      <c r="J59" s="466" t="s">
        <v>301</v>
      </c>
      <c r="K59" s="465" t="s">
        <v>300</v>
      </c>
      <c r="L59" s="466" t="s">
        <v>301</v>
      </c>
      <c r="M59" s="466" t="s">
        <v>300</v>
      </c>
      <c r="N59" s="467" t="s">
        <v>301</v>
      </c>
      <c r="O59" s="466" t="s">
        <v>300</v>
      </c>
      <c r="P59" s="467" t="s">
        <v>301</v>
      </c>
      <c r="S59" s="465" t="s">
        <v>300</v>
      </c>
      <c r="T59" s="466" t="s">
        <v>301</v>
      </c>
      <c r="U59" s="465" t="s">
        <v>300</v>
      </c>
      <c r="V59" s="466" t="s">
        <v>301</v>
      </c>
      <c r="W59" s="466" t="s">
        <v>300</v>
      </c>
      <c r="X59" s="467" t="s">
        <v>301</v>
      </c>
      <c r="Y59" s="505"/>
    </row>
    <row r="60" ht="13.5" spans="9:25">
      <c r="I60" s="468">
        <f ca="1">J56</f>
        <v>0</v>
      </c>
      <c r="J60" s="468">
        <f ca="1">K56</f>
        <v>0</v>
      </c>
      <c r="K60" s="468">
        <f ca="1">J33</f>
        <v>0</v>
      </c>
      <c r="L60" s="468">
        <f ca="1">K33</f>
        <v>0</v>
      </c>
      <c r="M60" s="468">
        <f ca="1">J34</f>
        <v>0.828143755457309</v>
      </c>
      <c r="N60" s="468">
        <f ca="1">K34</f>
        <v>22.2745087599935</v>
      </c>
      <c r="O60" s="468">
        <f ca="1">J35</f>
        <v>0.216193918021566</v>
      </c>
      <c r="P60" s="468">
        <f ca="1">K35</f>
        <v>6.59574084643267</v>
      </c>
      <c r="S60" s="468">
        <f ca="1">T56</f>
        <v>0</v>
      </c>
      <c r="T60" s="468">
        <f ca="1">U56</f>
        <v>0</v>
      </c>
      <c r="U60" s="468">
        <f ca="1">T33</f>
        <v>0</v>
      </c>
      <c r="V60" s="468">
        <f ca="1">U33</f>
        <v>0</v>
      </c>
      <c r="W60" s="468">
        <f ca="1">T34</f>
        <v>0.214736251169933</v>
      </c>
      <c r="X60" s="468">
        <f ca="1">U34</f>
        <v>5.53526664128477</v>
      </c>
      <c r="Y60" s="506"/>
    </row>
    <row r="61" ht="13.5" spans="9:24">
      <c r="I61" s="469"/>
      <c r="J61" s="470"/>
      <c r="K61" s="470"/>
      <c r="L61" s="470"/>
      <c r="M61" s="470"/>
      <c r="N61" s="470"/>
      <c r="O61" s="470"/>
      <c r="P61" s="471"/>
      <c r="S61" s="469"/>
      <c r="T61" s="470"/>
      <c r="U61" s="470"/>
      <c r="V61" s="470"/>
      <c r="W61" s="470"/>
      <c r="X61" s="470"/>
    </row>
    <row r="62" ht="13.5" spans="9:25">
      <c r="I62" s="472" t="s">
        <v>300</v>
      </c>
      <c r="J62" s="473"/>
      <c r="K62" s="473"/>
      <c r="L62" s="474"/>
      <c r="M62" s="472" t="s">
        <v>301</v>
      </c>
      <c r="N62" s="473"/>
      <c r="O62" s="473"/>
      <c r="P62" s="474"/>
      <c r="S62" s="472" t="s">
        <v>300</v>
      </c>
      <c r="T62" s="473"/>
      <c r="U62" s="473"/>
      <c r="V62" s="474"/>
      <c r="W62" s="472" t="s">
        <v>301</v>
      </c>
      <c r="X62" s="473"/>
      <c r="Y62" s="506"/>
    </row>
    <row r="63" ht="64.5" spans="9:25">
      <c r="I63" s="475" t="s">
        <v>296</v>
      </c>
      <c r="J63" s="475" t="s">
        <v>297</v>
      </c>
      <c r="K63" s="475" t="s">
        <v>298</v>
      </c>
      <c r="L63" s="475" t="s">
        <v>299</v>
      </c>
      <c r="M63" s="475" t="s">
        <v>296</v>
      </c>
      <c r="N63" s="475" t="s">
        <v>297</v>
      </c>
      <c r="O63" s="475" t="s">
        <v>298</v>
      </c>
      <c r="P63" s="475" t="s">
        <v>299</v>
      </c>
      <c r="S63" s="475" t="s">
        <v>296</v>
      </c>
      <c r="T63" s="475" t="s">
        <v>297</v>
      </c>
      <c r="U63" s="475" t="s">
        <v>298</v>
      </c>
      <c r="V63" s="475" t="s">
        <v>299</v>
      </c>
      <c r="W63" s="475" t="s">
        <v>296</v>
      </c>
      <c r="X63" s="475" t="s">
        <v>297</v>
      </c>
      <c r="Y63" s="506"/>
    </row>
    <row r="64" ht="13.5" spans="9:25">
      <c r="I64" s="475">
        <f ca="1">I60</f>
        <v>0</v>
      </c>
      <c r="J64" s="475">
        <f ca="1">K60</f>
        <v>0</v>
      </c>
      <c r="K64" s="475">
        <f ca="1">M60</f>
        <v>0.828143755457309</v>
      </c>
      <c r="L64" s="475">
        <f ca="1">O60</f>
        <v>0.216193918021566</v>
      </c>
      <c r="M64" s="475">
        <f ca="1">J60</f>
        <v>0</v>
      </c>
      <c r="N64" s="475">
        <f ca="1">L60</f>
        <v>0</v>
      </c>
      <c r="O64" s="475">
        <f ca="1">N60</f>
        <v>22.2745087599935</v>
      </c>
      <c r="P64" s="475">
        <f ca="1">P60</f>
        <v>6.59574084643267</v>
      </c>
      <c r="S64" s="475">
        <f ca="1">S60</f>
        <v>0</v>
      </c>
      <c r="T64" s="475">
        <f ca="1">U60</f>
        <v>0</v>
      </c>
      <c r="U64" s="475">
        <f ca="1">W60</f>
        <v>0.214736251169933</v>
      </c>
      <c r="V64" s="475">
        <f>FS60</f>
        <v>0</v>
      </c>
      <c r="W64" s="475">
        <f ca="1">T60</f>
        <v>0</v>
      </c>
      <c r="X64" s="475">
        <f ca="1">V60</f>
        <v>0</v>
      </c>
      <c r="Y64" s="506"/>
    </row>
    <row r="65" ht="13.5" spans="7:17">
      <c r="G65" s="390"/>
      <c r="Q65" s="390"/>
    </row>
    <row r="66" ht="13.5" spans="7:25">
      <c r="G66" s="390"/>
      <c r="H66" s="618"/>
      <c r="I66" s="462" t="s">
        <v>296</v>
      </c>
      <c r="J66" s="462"/>
      <c r="K66" s="462" t="s">
        <v>297</v>
      </c>
      <c r="L66" s="462"/>
      <c r="M66" s="463" t="s">
        <v>298</v>
      </c>
      <c r="N66" s="464"/>
      <c r="O66" s="463" t="s">
        <v>299</v>
      </c>
      <c r="P66" s="464"/>
      <c r="Q66" s="390"/>
      <c r="R66" s="618"/>
      <c r="S66" s="462" t="s">
        <v>296</v>
      </c>
      <c r="T66" s="462"/>
      <c r="U66" s="462" t="s">
        <v>297</v>
      </c>
      <c r="V66" s="462"/>
      <c r="W66" s="463" t="s">
        <v>298</v>
      </c>
      <c r="X66" s="464"/>
      <c r="Y66" s="505"/>
    </row>
    <row r="67" ht="36.75" spans="7:25">
      <c r="G67" s="611" t="s">
        <v>173</v>
      </c>
      <c r="H67" s="619" t="s">
        <v>276</v>
      </c>
      <c r="I67" s="465" t="s">
        <v>300</v>
      </c>
      <c r="J67" s="466" t="s">
        <v>301</v>
      </c>
      <c r="K67" s="465" t="s">
        <v>300</v>
      </c>
      <c r="L67" s="466" t="s">
        <v>301</v>
      </c>
      <c r="M67" s="466" t="s">
        <v>300</v>
      </c>
      <c r="N67" s="467" t="s">
        <v>301</v>
      </c>
      <c r="O67" s="466" t="s">
        <v>300</v>
      </c>
      <c r="P67" s="467" t="s">
        <v>301</v>
      </c>
      <c r="Q67" s="611" t="s">
        <v>173</v>
      </c>
      <c r="R67" s="619" t="s">
        <v>276</v>
      </c>
      <c r="S67" s="465" t="s">
        <v>300</v>
      </c>
      <c r="T67" s="466" t="s">
        <v>301</v>
      </c>
      <c r="U67" s="465" t="s">
        <v>300</v>
      </c>
      <c r="V67" s="466" t="s">
        <v>301</v>
      </c>
      <c r="W67" s="466" t="s">
        <v>300</v>
      </c>
      <c r="X67" s="467" t="s">
        <v>301</v>
      </c>
      <c r="Y67" s="505"/>
    </row>
    <row r="68" ht="13.5" spans="7:174">
      <c r="G68" s="390" t="s">
        <v>302</v>
      </c>
      <c r="H68" s="620">
        <v>0.1</v>
      </c>
      <c r="I68" s="621"/>
      <c r="J68" s="622"/>
      <c r="K68" s="621"/>
      <c r="L68" s="622"/>
      <c r="M68" s="622"/>
      <c r="N68" s="622"/>
      <c r="O68" s="623"/>
      <c r="P68" s="622"/>
      <c r="Q68" s="390" t="s">
        <v>302</v>
      </c>
      <c r="R68" s="620">
        <v>0.1</v>
      </c>
      <c r="S68" s="621"/>
      <c r="T68" s="622"/>
      <c r="U68" s="621"/>
      <c r="V68" s="622"/>
      <c r="W68" s="622"/>
      <c r="X68" s="622"/>
      <c r="Y68" s="628"/>
      <c r="EV68" s="631"/>
      <c r="FQ68" s="631"/>
      <c r="FR68" s="632"/>
    </row>
    <row r="69" ht="13.5" spans="7:174">
      <c r="G69" s="390" t="s">
        <v>302</v>
      </c>
      <c r="H69" s="620">
        <v>0.1</v>
      </c>
      <c r="I69" s="621"/>
      <c r="J69" s="622"/>
      <c r="K69" s="621"/>
      <c r="L69" s="622"/>
      <c r="M69" s="622"/>
      <c r="N69" s="622"/>
      <c r="O69" s="623"/>
      <c r="P69" s="622"/>
      <c r="Q69" s="390" t="s">
        <v>302</v>
      </c>
      <c r="R69" s="620">
        <v>0.1</v>
      </c>
      <c r="S69" s="621"/>
      <c r="T69" s="622"/>
      <c r="U69" s="621"/>
      <c r="V69" s="622"/>
      <c r="W69" s="622"/>
      <c r="X69" s="622"/>
      <c r="Y69" s="628"/>
      <c r="EV69" s="631"/>
      <c r="FQ69" s="631"/>
      <c r="FR69" s="632"/>
    </row>
    <row r="70" s="390" customFormat="1" ht="13.5" spans="1:174">
      <c r="A70" s="391"/>
      <c r="B70" s="390"/>
      <c r="C70" s="390"/>
      <c r="D70" s="390"/>
      <c r="E70" s="390"/>
      <c r="G70" s="390" t="s">
        <v>302</v>
      </c>
      <c r="H70" s="620">
        <v>0.1</v>
      </c>
      <c r="I70" s="621"/>
      <c r="J70" s="622"/>
      <c r="K70" s="621"/>
      <c r="L70" s="622"/>
      <c r="M70" s="624"/>
      <c r="N70" s="624"/>
      <c r="O70" s="623"/>
      <c r="P70" s="622"/>
      <c r="Q70" s="390" t="s">
        <v>302</v>
      </c>
      <c r="R70" s="620">
        <v>0.1</v>
      </c>
      <c r="S70" s="621"/>
      <c r="T70" s="622"/>
      <c r="U70" s="621"/>
      <c r="V70" s="622"/>
      <c r="W70" s="624"/>
      <c r="X70" s="624"/>
      <c r="Y70" s="629"/>
      <c r="Z70" s="394"/>
      <c r="AV70" s="394"/>
      <c r="AW70" s="394"/>
      <c r="AX70" s="394"/>
      <c r="AY70" s="394"/>
      <c r="AZ70" s="394"/>
      <c r="BA70" s="394"/>
      <c r="BB70" s="394"/>
      <c r="BC70" s="394"/>
      <c r="BD70" s="394"/>
      <c r="BE70" s="394"/>
      <c r="BF70" s="394"/>
      <c r="BG70" s="394"/>
      <c r="BH70" s="394"/>
      <c r="BI70" s="394"/>
      <c r="BJ70" s="394"/>
      <c r="BK70" s="394"/>
      <c r="BL70" s="394"/>
      <c r="BM70" s="394"/>
      <c r="BN70" s="394"/>
      <c r="BO70" s="394"/>
      <c r="BP70" s="394"/>
      <c r="BQ70" s="394"/>
      <c r="BR70" s="394"/>
      <c r="BS70" s="394"/>
      <c r="BT70" s="394"/>
      <c r="BU70" s="394"/>
      <c r="BV70" s="394"/>
      <c r="BW70" s="394"/>
      <c r="BX70" s="394"/>
      <c r="BY70" s="394"/>
      <c r="BZ70" s="394"/>
      <c r="CA70" s="394"/>
      <c r="CB70" s="394"/>
      <c r="CC70" s="394"/>
      <c r="CD70" s="394"/>
      <c r="CE70" s="394"/>
      <c r="CF70" s="394"/>
      <c r="CG70" s="394"/>
      <c r="CH70" s="394"/>
      <c r="CI70" s="394"/>
      <c r="CJ70" s="394"/>
      <c r="CK70" s="394"/>
      <c r="CL70" s="394"/>
      <c r="CM70" s="394"/>
      <c r="CN70" s="394"/>
      <c r="CO70" s="394"/>
      <c r="CP70" s="394"/>
      <c r="CQ70" s="394"/>
      <c r="CR70" s="394"/>
      <c r="CS70" s="394"/>
      <c r="CT70" s="394"/>
      <c r="CU70" s="394"/>
      <c r="CV70" s="394"/>
      <c r="CW70" s="394"/>
      <c r="CX70" s="394"/>
      <c r="CY70" s="394"/>
      <c r="CZ70" s="394"/>
      <c r="DA70" s="394"/>
      <c r="DB70" s="394"/>
      <c r="DC70" s="394"/>
      <c r="DD70" s="394"/>
      <c r="DE70" s="394"/>
      <c r="DF70" s="394"/>
      <c r="DG70" s="394"/>
      <c r="DH70" s="394"/>
      <c r="DI70" s="394"/>
      <c r="DJ70" s="394"/>
      <c r="DK70" s="394"/>
      <c r="DL70" s="394"/>
      <c r="DM70" s="394"/>
      <c r="DN70" s="394"/>
      <c r="DO70" s="394"/>
      <c r="DP70" s="394"/>
      <c r="DQ70" s="394"/>
      <c r="DR70" s="394"/>
      <c r="DS70" s="394"/>
      <c r="DT70" s="394"/>
      <c r="DU70" s="394"/>
      <c r="DV70" s="394"/>
      <c r="DW70" s="394"/>
      <c r="DX70" s="394"/>
      <c r="DY70" s="394"/>
      <c r="DZ70" s="394"/>
      <c r="EA70" s="394"/>
      <c r="EB70" s="394"/>
      <c r="EC70" s="394"/>
      <c r="ED70" s="394"/>
      <c r="EE70" s="394"/>
      <c r="EF70" s="394"/>
      <c r="EG70" s="394"/>
      <c r="EH70" s="394"/>
      <c r="EI70" s="394"/>
      <c r="EJ70" s="394"/>
      <c r="EK70" s="394"/>
      <c r="EL70" s="394"/>
      <c r="EM70" s="394"/>
      <c r="EN70" s="394"/>
      <c r="EO70" s="394"/>
      <c r="EP70" s="394"/>
      <c r="EQ70" s="394"/>
      <c r="ER70" s="394"/>
      <c r="ES70" s="394"/>
      <c r="ET70" s="394"/>
      <c r="EU70" s="394"/>
      <c r="EV70" s="631"/>
      <c r="EW70" s="394"/>
      <c r="EX70" s="394"/>
      <c r="EY70" s="394"/>
      <c r="EZ70" s="394"/>
      <c r="FA70" s="394"/>
      <c r="FB70" s="394"/>
      <c r="FC70" s="394"/>
      <c r="FD70" s="394"/>
      <c r="FE70" s="394"/>
      <c r="FF70" s="394"/>
      <c r="FG70" s="394"/>
      <c r="FH70" s="394"/>
      <c r="FI70" s="394"/>
      <c r="FJ70" s="394"/>
      <c r="FK70" s="394"/>
      <c r="FL70" s="394"/>
      <c r="FM70" s="394"/>
      <c r="FN70" s="394"/>
      <c r="FO70" s="394"/>
      <c r="FP70" s="394"/>
      <c r="FQ70" s="631"/>
      <c r="FR70" s="632"/>
    </row>
    <row r="71" ht="13.5" spans="7:174">
      <c r="G71" s="390" t="s">
        <v>302</v>
      </c>
      <c r="H71" s="620">
        <v>0.1</v>
      </c>
      <c r="I71" s="621"/>
      <c r="J71" s="622"/>
      <c r="K71" s="621"/>
      <c r="L71" s="622"/>
      <c r="M71" s="624"/>
      <c r="N71" s="624"/>
      <c r="O71" s="623"/>
      <c r="P71" s="622"/>
      <c r="Q71" s="390" t="s">
        <v>302</v>
      </c>
      <c r="R71" s="620">
        <v>0.1</v>
      </c>
      <c r="S71" s="621"/>
      <c r="T71" s="622"/>
      <c r="U71" s="621"/>
      <c r="V71" s="622"/>
      <c r="W71" s="624"/>
      <c r="X71" s="624"/>
      <c r="Y71" s="629"/>
      <c r="EV71" s="631"/>
      <c r="FQ71" s="631"/>
      <c r="FR71" s="632"/>
    </row>
    <row r="72" ht="13.5" spans="7:174">
      <c r="G72" s="390" t="s">
        <v>303</v>
      </c>
      <c r="H72" s="620">
        <v>0.1</v>
      </c>
      <c r="I72" s="621"/>
      <c r="J72" s="622"/>
      <c r="K72" s="621"/>
      <c r="L72" s="622"/>
      <c r="M72" s="624"/>
      <c r="N72" s="624"/>
      <c r="O72" s="623"/>
      <c r="P72" s="622"/>
      <c r="Q72" s="390" t="s">
        <v>303</v>
      </c>
      <c r="R72" s="620">
        <v>0.1</v>
      </c>
      <c r="S72" s="621"/>
      <c r="T72" s="622"/>
      <c r="U72" s="621"/>
      <c r="V72" s="622"/>
      <c r="W72" s="624"/>
      <c r="X72" s="624"/>
      <c r="Y72" s="629"/>
      <c r="EV72" s="631"/>
      <c r="FQ72" s="631"/>
      <c r="FR72" s="632"/>
    </row>
    <row r="73" ht="13.5" spans="7:174">
      <c r="G73" s="390" t="s">
        <v>303</v>
      </c>
      <c r="H73" s="620">
        <v>0.1</v>
      </c>
      <c r="I73" s="621"/>
      <c r="J73" s="622"/>
      <c r="K73" s="621"/>
      <c r="L73" s="622"/>
      <c r="M73" s="624"/>
      <c r="N73" s="624"/>
      <c r="O73" s="623"/>
      <c r="P73" s="622"/>
      <c r="Q73" s="390" t="s">
        <v>303</v>
      </c>
      <c r="R73" s="620">
        <v>0.1</v>
      </c>
      <c r="S73" s="621"/>
      <c r="T73" s="622"/>
      <c r="U73" s="621"/>
      <c r="V73" s="622"/>
      <c r="W73" s="624"/>
      <c r="X73" s="624"/>
      <c r="Y73" s="629"/>
      <c r="EV73" s="631"/>
      <c r="FQ73" s="631"/>
      <c r="FR73" s="632"/>
    </row>
    <row r="74" ht="13.5" spans="7:174">
      <c r="G74" s="390" t="s">
        <v>303</v>
      </c>
      <c r="H74" s="620">
        <v>0.1</v>
      </c>
      <c r="I74" s="621"/>
      <c r="J74" s="622"/>
      <c r="K74" s="621"/>
      <c r="L74" s="622"/>
      <c r="M74" s="622"/>
      <c r="N74" s="622"/>
      <c r="O74" s="623"/>
      <c r="P74" s="622"/>
      <c r="Q74" s="390" t="s">
        <v>303</v>
      </c>
      <c r="R74" s="620">
        <v>0.1</v>
      </c>
      <c r="S74" s="621"/>
      <c r="T74" s="622"/>
      <c r="U74" s="621"/>
      <c r="V74" s="622"/>
      <c r="W74" s="622"/>
      <c r="X74" s="622"/>
      <c r="Y74" s="628"/>
      <c r="EV74" s="631"/>
      <c r="FQ74" s="631"/>
      <c r="FR74" s="632"/>
    </row>
    <row r="75" ht="13.5" spans="7:174">
      <c r="G75" s="390"/>
      <c r="H75" s="620"/>
      <c r="I75" s="625"/>
      <c r="J75" s="626"/>
      <c r="K75" s="626"/>
      <c r="L75" s="626"/>
      <c r="M75" s="627"/>
      <c r="N75" s="626"/>
      <c r="O75" s="623"/>
      <c r="P75" s="622"/>
      <c r="Q75" s="390"/>
      <c r="R75" s="620"/>
      <c r="S75" s="625"/>
      <c r="T75" s="626"/>
      <c r="U75" s="626"/>
      <c r="V75" s="626"/>
      <c r="W75" s="627"/>
      <c r="X75" s="626"/>
      <c r="Y75" s="630"/>
      <c r="EV75" s="631"/>
      <c r="FQ75" s="631"/>
      <c r="FR75" s="632"/>
    </row>
    <row r="76" ht="13.5" spans="7:174">
      <c r="G76" s="390"/>
      <c r="H76" s="620"/>
      <c r="I76" s="625"/>
      <c r="J76" s="626"/>
      <c r="K76" s="626"/>
      <c r="L76" s="626"/>
      <c r="M76" s="627"/>
      <c r="N76" s="626"/>
      <c r="O76" s="623"/>
      <c r="P76" s="622"/>
      <c r="Q76" s="390"/>
      <c r="R76" s="620"/>
      <c r="S76" s="625"/>
      <c r="T76" s="626"/>
      <c r="U76" s="626"/>
      <c r="V76" s="626"/>
      <c r="W76" s="627"/>
      <c r="X76" s="626"/>
      <c r="Y76" s="630"/>
      <c r="EV76" s="631"/>
      <c r="FQ76" s="631"/>
      <c r="FR76" s="632"/>
    </row>
    <row r="77" ht="13.5" spans="7:174">
      <c r="G77" s="390"/>
      <c r="H77" s="620"/>
      <c r="I77" s="625"/>
      <c r="J77" s="626"/>
      <c r="K77" s="626"/>
      <c r="L77" s="626"/>
      <c r="M77" s="627"/>
      <c r="N77" s="625"/>
      <c r="O77" s="623"/>
      <c r="P77" s="622"/>
      <c r="Q77" s="390"/>
      <c r="R77" s="620"/>
      <c r="S77" s="625"/>
      <c r="T77" s="626"/>
      <c r="U77" s="626"/>
      <c r="V77" s="626"/>
      <c r="W77" s="627"/>
      <c r="X77" s="625"/>
      <c r="Y77" s="630"/>
      <c r="EV77" s="631"/>
      <c r="FQ77" s="631"/>
      <c r="FR77" s="632"/>
    </row>
  </sheetData>
  <mergeCells count="17">
    <mergeCell ref="I58:J58"/>
    <mergeCell ref="K58:L58"/>
    <mergeCell ref="M58:N58"/>
    <mergeCell ref="O58:P58"/>
    <mergeCell ref="S58:T58"/>
    <mergeCell ref="U58:V58"/>
    <mergeCell ref="W58:X58"/>
    <mergeCell ref="I62:L62"/>
    <mergeCell ref="M62:P62"/>
    <mergeCell ref="S62:V62"/>
    <mergeCell ref="I66:J66"/>
    <mergeCell ref="K66:L66"/>
    <mergeCell ref="M66:N66"/>
    <mergeCell ref="O66:P66"/>
    <mergeCell ref="S66:T66"/>
    <mergeCell ref="U66:V66"/>
    <mergeCell ref="W66:X66"/>
  </mergeCells>
  <conditionalFormatting sqref="GP5:GP27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Q5:GQ27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R5:GR27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1200" verticalDpi="1200"/>
  <headerFooter/>
  <ignoredErrors>
    <ignoredError sqref="AS5:AS27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62"/>
  <sheetViews>
    <sheetView zoomScale="85" zoomScaleNormal="85" workbookViewId="0">
      <selection activeCell="Z23" sqref="Z23"/>
    </sheetView>
  </sheetViews>
  <sheetFormatPr defaultColWidth="9" defaultRowHeight="15"/>
  <cols>
    <col min="1" max="1" width="6.75" style="91" customWidth="1"/>
    <col min="2" max="7" width="6.625" style="91" customWidth="1"/>
    <col min="8" max="9" width="5.875" style="91" customWidth="1"/>
    <col min="10" max="10" width="3" style="91" customWidth="1"/>
    <col min="11" max="11" width="6.75" style="91" customWidth="1"/>
    <col min="12" max="20" width="6.625" style="91" customWidth="1"/>
    <col min="21" max="22" width="5.875" style="91" customWidth="1"/>
    <col min="23" max="23" width="9" style="91"/>
    <col min="24" max="24" width="16" style="91" customWidth="1"/>
    <col min="25" max="31" width="9.375" style="91" customWidth="1"/>
    <col min="32" max="32" width="9" style="91"/>
    <col min="33" max="36" width="12.625" style="91"/>
    <col min="37" max="39" width="11.125" style="91"/>
    <col min="40" max="40" width="10.125" style="91"/>
    <col min="41" max="43" width="9" style="91"/>
    <col min="44" max="44" width="11.125" style="91"/>
    <col min="45" max="16384" width="9" style="91"/>
  </cols>
  <sheetData>
    <row r="1" s="91" customFormat="1" ht="13.5" customHeight="1" spans="1:31">
      <c r="A1" s="128" t="s">
        <v>114</v>
      </c>
      <c r="B1" s="129"/>
      <c r="C1" s="129"/>
      <c r="D1" s="129"/>
      <c r="E1" s="129"/>
      <c r="F1" s="129"/>
      <c r="G1" s="129"/>
      <c r="H1" s="129"/>
      <c r="I1" s="129"/>
      <c r="J1" s="136"/>
      <c r="K1" s="128" t="s">
        <v>115</v>
      </c>
      <c r="L1" s="129"/>
      <c r="M1" s="129"/>
      <c r="N1" s="137" t="s">
        <v>116</v>
      </c>
      <c r="O1" s="138">
        <v>20</v>
      </c>
      <c r="P1" s="106"/>
      <c r="Q1" s="106"/>
      <c r="R1" s="129"/>
      <c r="S1" s="129"/>
      <c r="T1" s="129"/>
      <c r="U1" s="129"/>
      <c r="V1" s="129"/>
      <c r="X1" s="142" t="s">
        <v>117</v>
      </c>
      <c r="Y1" s="148"/>
      <c r="Z1" s="92"/>
      <c r="AA1" s="148"/>
      <c r="AB1" s="92"/>
      <c r="AC1" s="148"/>
      <c r="AD1" s="92"/>
      <c r="AE1" s="92"/>
    </row>
    <row r="2" s="91" customFormat="1" ht="13.5" customHeight="1" spans="1:33">
      <c r="A2" s="128" t="s">
        <v>304</v>
      </c>
      <c r="B2" s="130"/>
      <c r="C2" s="130"/>
      <c r="D2" s="130"/>
      <c r="E2" s="130"/>
      <c r="F2" s="130"/>
      <c r="G2" s="130"/>
      <c r="H2" s="130"/>
      <c r="I2" s="130"/>
      <c r="J2" s="136"/>
      <c r="K2" s="128"/>
      <c r="L2" s="130"/>
      <c r="M2" s="130"/>
      <c r="N2" s="137" t="s">
        <v>119</v>
      </c>
      <c r="O2" s="138">
        <v>10</v>
      </c>
      <c r="P2" s="139"/>
      <c r="Q2" s="143"/>
      <c r="R2" s="144"/>
      <c r="S2" s="145"/>
      <c r="T2" s="130"/>
      <c r="U2" s="130"/>
      <c r="V2" s="130"/>
      <c r="W2" s="130"/>
      <c r="X2" s="130"/>
      <c r="Z2" s="142"/>
      <c r="AA2" s="148"/>
      <c r="AB2" s="92"/>
      <c r="AC2" s="148"/>
      <c r="AD2" s="92"/>
      <c r="AE2" s="92"/>
      <c r="AF2" s="149"/>
      <c r="AG2" s="30"/>
    </row>
    <row r="3" s="91" customFormat="1" ht="13.5" customHeight="1" spans="1:38">
      <c r="A3" s="129" t="s">
        <v>121</v>
      </c>
      <c r="B3" s="131"/>
      <c r="C3" s="131"/>
      <c r="D3" s="131"/>
      <c r="E3" s="131"/>
      <c r="F3" s="131"/>
      <c r="G3" s="131"/>
      <c r="H3" s="131"/>
      <c r="I3" s="131"/>
      <c r="J3" s="140"/>
      <c r="K3" s="129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X3" s="142" t="s">
        <v>122</v>
      </c>
      <c r="Y3" s="150" t="str">
        <f>A3</f>
        <v>0h</v>
      </c>
      <c r="Z3" s="150" t="str">
        <f>A26</f>
        <v>2h</v>
      </c>
      <c r="AA3" s="150" t="str">
        <f>A49</f>
        <v>8h</v>
      </c>
      <c r="AB3" s="150" t="str">
        <f>A72</f>
        <v>24h</v>
      </c>
      <c r="AC3" s="809" t="str">
        <f>A95</f>
        <v>48h</v>
      </c>
      <c r="AD3" s="150" t="str">
        <f>A118</f>
        <v>72h</v>
      </c>
      <c r="AE3" s="150" t="str">
        <f>A141</f>
        <v>96h</v>
      </c>
      <c r="AG3" s="106" t="s">
        <v>123</v>
      </c>
      <c r="AH3" s="157" t="s">
        <v>305</v>
      </c>
      <c r="AI3" s="157" t="s">
        <v>306</v>
      </c>
      <c r="AJ3" s="157" t="s">
        <v>307</v>
      </c>
      <c r="AK3" s="157" t="s">
        <v>308</v>
      </c>
      <c r="AL3" s="157" t="s">
        <v>309</v>
      </c>
    </row>
    <row r="4" s="91" customFormat="1" spans="1:41">
      <c r="A4" s="132" t="s">
        <v>128</v>
      </c>
      <c r="B4" s="133">
        <v>17.68</v>
      </c>
      <c r="C4" s="133">
        <v>31.58</v>
      </c>
      <c r="D4" s="133">
        <v>54.25</v>
      </c>
      <c r="E4" s="133">
        <v>82.31</v>
      </c>
      <c r="F4" s="133">
        <v>106.26</v>
      </c>
      <c r="G4" s="133">
        <v>125.73</v>
      </c>
      <c r="H4" s="133">
        <v>142.56</v>
      </c>
      <c r="I4" s="133">
        <v>150.78</v>
      </c>
      <c r="J4" s="133"/>
      <c r="K4" s="132" t="str">
        <f t="shared" ref="K4:K24" si="0">A4</f>
        <v>R/Z[cm]</v>
      </c>
      <c r="L4" s="141">
        <v>0</v>
      </c>
      <c r="M4" s="141">
        <f t="shared" ref="M4:V4" si="1">SQRT(L4*L4+150*150/10)</f>
        <v>47.4341649025257</v>
      </c>
      <c r="N4" s="141">
        <f t="shared" si="1"/>
        <v>67.0820393249937</v>
      </c>
      <c r="O4" s="141">
        <f t="shared" si="1"/>
        <v>82.1583836257749</v>
      </c>
      <c r="P4" s="141">
        <f t="shared" si="1"/>
        <v>94.8683298050514</v>
      </c>
      <c r="Q4" s="141">
        <f t="shared" si="1"/>
        <v>106.066017177982</v>
      </c>
      <c r="R4" s="141">
        <f t="shared" si="1"/>
        <v>116.189500386223</v>
      </c>
      <c r="S4" s="141">
        <f t="shared" si="1"/>
        <v>125.499003980111</v>
      </c>
      <c r="T4" s="141">
        <f t="shared" si="1"/>
        <v>134.164078649987</v>
      </c>
      <c r="U4" s="141">
        <f t="shared" si="1"/>
        <v>142.302494707577</v>
      </c>
      <c r="V4" s="141">
        <f t="shared" si="1"/>
        <v>150</v>
      </c>
      <c r="X4" s="142">
        <v>0</v>
      </c>
      <c r="Y4" s="92"/>
      <c r="Z4" s="92"/>
      <c r="AA4" s="92"/>
      <c r="AB4" s="92"/>
      <c r="AC4" s="92"/>
      <c r="AD4" s="92"/>
      <c r="AE4" s="92"/>
      <c r="AG4" s="106"/>
      <c r="AH4" s="106"/>
      <c r="AI4" s="106"/>
      <c r="AJ4" s="106"/>
      <c r="AK4" s="106"/>
      <c r="AL4" s="106"/>
      <c r="AM4" s="158"/>
      <c r="AN4" s="158"/>
      <c r="AO4" s="158"/>
    </row>
    <row r="5" s="91" customFormat="1" spans="1:42">
      <c r="A5" s="132">
        <v>27.5</v>
      </c>
      <c r="B5" s="133">
        <v>280.89</v>
      </c>
      <c r="C5" s="133">
        <v>280.56</v>
      </c>
      <c r="D5" s="133">
        <v>279.65</v>
      </c>
      <c r="E5" s="133">
        <v>278.05</v>
      </c>
      <c r="F5" s="133">
        <v>276.31</v>
      </c>
      <c r="G5" s="133">
        <v>274.93</v>
      </c>
      <c r="H5" s="133">
        <v>274.66</v>
      </c>
      <c r="I5" s="133">
        <v>270.37</v>
      </c>
      <c r="J5" s="133"/>
      <c r="K5" s="132">
        <f t="shared" si="0"/>
        <v>27.5</v>
      </c>
      <c r="L5" s="133">
        <f t="shared" ref="L5:L24" si="2">TREND(B5:C5,B$4:C$4,L$4)</f>
        <v>281.309741007194</v>
      </c>
      <c r="M5" s="133">
        <f t="shared" ref="M5:M24" si="3">TREND(C5:D5,C$4:D$4,M$4)</f>
        <v>279.923595497958</v>
      </c>
      <c r="N5" s="133">
        <f t="shared" ref="N5:N24" si="4">TREND(D5:E5,D$4:E$4,N$4)</f>
        <v>278.918308520314</v>
      </c>
      <c r="O5" s="133">
        <f t="shared" ref="O5:O24" si="5">TREND(D5:E5,D$4:E$4,O$4)</f>
        <v>278.05864526724</v>
      </c>
      <c r="P5" s="133">
        <f t="shared" ref="P5:P24" si="6">TREND(E5:F5,E$4:F$4,P$4)</f>
        <v>277.137620298088</v>
      </c>
      <c r="Q5" s="133">
        <f t="shared" ref="Q5:Q24" si="7">TREND(E5:F5,E$4:F$4,Q$4)</f>
        <v>276.324093115253</v>
      </c>
      <c r="R5" s="133">
        <f t="shared" ref="R5:R24" si="8">TREND(F5:G5,F$4:G$4,R$4)</f>
        <v>275.60621414828</v>
      </c>
      <c r="S5" s="133">
        <f t="shared" ref="S5:S24" si="9">TREND(F5:G5,F$4:G$4,S$4)</f>
        <v>274.946372599253</v>
      </c>
      <c r="T5" s="133">
        <f t="shared" ref="T5:T24" si="10">TREND(G5:H5,G$4:H$4,T$4)</f>
        <v>274.794693925401</v>
      </c>
      <c r="U5" s="133">
        <f t="shared" ref="U5:U24" si="11">TREND(G5:H5,G$4:H$4,U$4)</f>
        <v>274.664131100948</v>
      </c>
      <c r="V5" s="133">
        <f t="shared" ref="V5:V24" si="12">TREND(H5:I5,H$4:I$4,V$4)</f>
        <v>270.777080291971</v>
      </c>
      <c r="X5" s="142">
        <v>400</v>
      </c>
      <c r="Y5" s="151">
        <f ca="1" t="shared" ref="Y5:Y18" si="13">COUNTIFS(OFFSET($L$5,0,0,$O$1,$O$2),"&lt;="&amp;($X5),OFFSET($L$5,0,0,$O$1,$O$2),"&gt;"&amp;($X4))/$O$1/$O$2</f>
        <v>0.225</v>
      </c>
      <c r="Z5" s="151">
        <f ca="1" t="shared" ref="Z5:Z18" si="14">COUNTIFS(OFFSET($L$28,0,0,$O$1,$O$2),"&lt;="&amp;($X5),OFFSET($L$28,0,0,$O$1,$O$2),"&gt;"&amp;($X4))/$O$1/$O$2</f>
        <v>0.375</v>
      </c>
      <c r="AA5" s="151">
        <f ca="1" t="shared" ref="AA5:AA18" si="15">COUNTIFS(OFFSET($L$51,0,0,$O$1,$O$2),"&lt;="&amp;($X5),OFFSET($L$51,0,0,$O$1,$O$2),"&gt;"&amp;($X4))/$O$1/$O$2</f>
        <v>0.03</v>
      </c>
      <c r="AB5" s="151">
        <f ca="1" t="shared" ref="AB5:AB18" si="16">COUNTIFS(OFFSET($L$74,0,0,$O$1,$O$2),"&lt;="&amp;($X5),OFFSET($L$74,0,0,$O$1,$O$2),"&gt;"&amp;($X4))/$O$1/$O$2</f>
        <v>0.01</v>
      </c>
      <c r="AC5" s="151">
        <f ca="1" t="shared" ref="AC5:AC18" si="17">COUNTIFS(OFFSET($L$97,0,0,$O$1,$O$2),"&lt;="&amp;($X5),OFFSET($L$97,0,0,$O$1,$O$2),"&gt;"&amp;($X4))/$O$1/$O$2</f>
        <v>0</v>
      </c>
      <c r="AD5" s="151">
        <f ca="1" t="shared" ref="AD5:AD18" si="18">COUNTIFS(OFFSET($L$120,0,0,$O$1,$O$2),"&lt;="&amp;($X5),OFFSET($L$120,0,0,$O$1,$O$2),"&gt;"&amp;($X4))/$O$1/$O$2</f>
        <v>0</v>
      </c>
      <c r="AE5" s="151">
        <f ca="1" t="shared" ref="AE5:AE18" si="19">COUNTIFS(OFFSET($L$143,0,0,$O$1,$O$2),"&lt;="&amp;($X5),OFFSET($L$143,0,0,$O$1,$O$2),"&gt;"&amp;($X4))/$O$1/$O$2</f>
        <v>0</v>
      </c>
      <c r="AG5" s="106">
        <v>400</v>
      </c>
      <c r="AH5" s="106"/>
      <c r="AI5" s="106"/>
      <c r="AJ5" s="106"/>
      <c r="AK5" s="106"/>
      <c r="AL5" s="106"/>
      <c r="AM5" s="158"/>
      <c r="AN5" s="158"/>
      <c r="AO5" s="158"/>
      <c r="AP5" s="158"/>
    </row>
    <row r="6" s="91" customFormat="1" spans="1:44">
      <c r="A6" s="132">
        <v>82.5</v>
      </c>
      <c r="B6" s="133">
        <v>310.73</v>
      </c>
      <c r="C6" s="133">
        <v>309.79</v>
      </c>
      <c r="D6" s="133">
        <v>307.32</v>
      </c>
      <c r="E6" s="133">
        <v>302.79</v>
      </c>
      <c r="F6" s="133">
        <v>297.88</v>
      </c>
      <c r="G6" s="133">
        <v>294.08</v>
      </c>
      <c r="H6" s="133">
        <v>292.75</v>
      </c>
      <c r="I6" s="133">
        <v>283.93</v>
      </c>
      <c r="J6" s="133"/>
      <c r="K6" s="132">
        <f t="shared" si="0"/>
        <v>82.5</v>
      </c>
      <c r="L6" s="133">
        <f t="shared" si="2"/>
        <v>311.925625899281</v>
      </c>
      <c r="M6" s="133">
        <f t="shared" si="3"/>
        <v>308.0626163516</v>
      </c>
      <c r="N6" s="133">
        <f t="shared" si="4"/>
        <v>305.248398498139</v>
      </c>
      <c r="O6" s="133">
        <f t="shared" si="5"/>
        <v>302.814476912874</v>
      </c>
      <c r="P6" s="133">
        <f t="shared" si="6"/>
        <v>300.215411300927</v>
      </c>
      <c r="Q6" s="133">
        <f t="shared" si="7"/>
        <v>297.919768503387</v>
      </c>
      <c r="R6" s="133">
        <f t="shared" si="8"/>
        <v>295.942038959032</v>
      </c>
      <c r="S6" s="133">
        <f t="shared" si="9"/>
        <v>294.125083968956</v>
      </c>
      <c r="T6" s="133">
        <f t="shared" si="10"/>
        <v>293.413492299199</v>
      </c>
      <c r="U6" s="133">
        <f t="shared" si="11"/>
        <v>292.770349497262</v>
      </c>
      <c r="V6" s="133">
        <f t="shared" si="12"/>
        <v>284.766934306569</v>
      </c>
      <c r="X6" s="142">
        <v>500</v>
      </c>
      <c r="Y6" s="151">
        <f ca="1" t="shared" si="13"/>
        <v>0.095</v>
      </c>
      <c r="Z6" s="151">
        <f ca="1" t="shared" si="14"/>
        <v>0.19</v>
      </c>
      <c r="AA6" s="151">
        <f ca="1" t="shared" si="15"/>
        <v>0.115</v>
      </c>
      <c r="AB6" s="151">
        <f ca="1" t="shared" si="16"/>
        <v>0.055</v>
      </c>
      <c r="AC6" s="151">
        <f ca="1" t="shared" si="17"/>
        <v>0.045</v>
      </c>
      <c r="AD6" s="151">
        <f ca="1" t="shared" si="18"/>
        <v>0.035</v>
      </c>
      <c r="AE6" s="151">
        <f ca="1" t="shared" si="19"/>
        <v>0.03</v>
      </c>
      <c r="AG6" s="106">
        <v>500</v>
      </c>
      <c r="AH6" s="106"/>
      <c r="AI6" s="106"/>
      <c r="AJ6" s="106"/>
      <c r="AK6" s="106"/>
      <c r="AL6" s="106"/>
      <c r="AM6" s="158"/>
      <c r="AN6" s="158"/>
      <c r="AO6" s="158"/>
      <c r="AP6" s="158"/>
      <c r="AQ6" s="158"/>
      <c r="AR6" s="158"/>
    </row>
    <row r="7" s="91" customFormat="1" spans="1:38">
      <c r="A7" s="132">
        <v>137.5</v>
      </c>
      <c r="B7" s="133">
        <v>349.36</v>
      </c>
      <c r="C7" s="133">
        <v>347.62</v>
      </c>
      <c r="D7" s="133">
        <v>343.16</v>
      </c>
      <c r="E7" s="133">
        <v>335.01</v>
      </c>
      <c r="F7" s="133">
        <v>326.28</v>
      </c>
      <c r="G7" s="133">
        <v>319.56</v>
      </c>
      <c r="H7" s="133">
        <v>316.87</v>
      </c>
      <c r="I7" s="133">
        <v>304.88</v>
      </c>
      <c r="J7" s="133"/>
      <c r="K7" s="132">
        <f t="shared" si="0"/>
        <v>137.5</v>
      </c>
      <c r="L7" s="133">
        <f t="shared" si="2"/>
        <v>351.573179856115</v>
      </c>
      <c r="M7" s="133">
        <f t="shared" si="3"/>
        <v>344.500918594386</v>
      </c>
      <c r="N7" s="133">
        <f t="shared" si="4"/>
        <v>339.432946525349</v>
      </c>
      <c r="O7" s="133">
        <f t="shared" si="5"/>
        <v>335.054036830005</v>
      </c>
      <c r="P7" s="133">
        <f t="shared" si="6"/>
        <v>330.432370805925</v>
      </c>
      <c r="Q7" s="133">
        <f t="shared" si="7"/>
        <v>326.350708561011</v>
      </c>
      <c r="R7" s="133">
        <f t="shared" si="8"/>
        <v>322.852868895973</v>
      </c>
      <c r="S7" s="133">
        <f t="shared" si="9"/>
        <v>319.639727439838</v>
      </c>
      <c r="T7" s="133">
        <f t="shared" si="10"/>
        <v>318.211950590109</v>
      </c>
      <c r="U7" s="133">
        <f t="shared" si="11"/>
        <v>316.911158005741</v>
      </c>
      <c r="V7" s="133">
        <f t="shared" si="12"/>
        <v>306.017737226277</v>
      </c>
      <c r="X7" s="142">
        <v>600</v>
      </c>
      <c r="Y7" s="151">
        <f ca="1" t="shared" si="13"/>
        <v>0.1</v>
      </c>
      <c r="Z7" s="151">
        <f ca="1" t="shared" si="14"/>
        <v>0.265</v>
      </c>
      <c r="AA7" s="151">
        <f ca="1" t="shared" si="15"/>
        <v>0.205</v>
      </c>
      <c r="AB7" s="151">
        <f ca="1" t="shared" si="16"/>
        <v>0.08</v>
      </c>
      <c r="AC7" s="151">
        <f ca="1" t="shared" si="17"/>
        <v>0.07</v>
      </c>
      <c r="AD7" s="151">
        <f ca="1" t="shared" si="18"/>
        <v>0.07</v>
      </c>
      <c r="AE7" s="151">
        <f ca="1" t="shared" si="19"/>
        <v>0.075</v>
      </c>
      <c r="AG7" s="106">
        <v>600</v>
      </c>
      <c r="AH7" s="159">
        <v>0.494811280222222</v>
      </c>
      <c r="AI7" s="159">
        <v>0.256171031111111</v>
      </c>
      <c r="AJ7" s="159">
        <v>0.116270849111111</v>
      </c>
      <c r="AK7" s="159">
        <v>0.107075000888889</v>
      </c>
      <c r="AL7" s="159">
        <v>0.124105550222222</v>
      </c>
    </row>
    <row r="8" s="91" customFormat="1" spans="1:38">
      <c r="A8" s="132">
        <v>192.5</v>
      </c>
      <c r="B8" s="133">
        <v>395.14</v>
      </c>
      <c r="C8" s="133">
        <v>392.45</v>
      </c>
      <c r="D8" s="133">
        <v>385.74</v>
      </c>
      <c r="E8" s="133">
        <v>373.61</v>
      </c>
      <c r="F8" s="133">
        <v>360.68</v>
      </c>
      <c r="G8" s="133">
        <v>350.76</v>
      </c>
      <c r="H8" s="133">
        <v>346.58</v>
      </c>
      <c r="I8" s="133">
        <v>330.95</v>
      </c>
      <c r="J8" s="133"/>
      <c r="K8" s="132">
        <f t="shared" si="0"/>
        <v>192.5</v>
      </c>
      <c r="L8" s="133">
        <f t="shared" si="2"/>
        <v>398.561525179856</v>
      </c>
      <c r="M8" s="133">
        <f t="shared" si="3"/>
        <v>387.757390979446</v>
      </c>
      <c r="N8" s="133">
        <f t="shared" si="4"/>
        <v>380.19286396963</v>
      </c>
      <c r="O8" s="133">
        <f t="shared" si="5"/>
        <v>373.675541932265</v>
      </c>
      <c r="P8" s="133">
        <f t="shared" si="6"/>
        <v>366.830074973724</v>
      </c>
      <c r="Q8" s="133">
        <f t="shared" si="7"/>
        <v>360.784726425415</v>
      </c>
      <c r="R8" s="133">
        <f t="shared" si="8"/>
        <v>355.620901703578</v>
      </c>
      <c r="S8" s="133">
        <f t="shared" si="9"/>
        <v>350.87769288738</v>
      </c>
      <c r="T8" s="133">
        <f t="shared" si="10"/>
        <v>348.665261511768</v>
      </c>
      <c r="U8" s="133">
        <f t="shared" si="11"/>
        <v>346.643955562824</v>
      </c>
      <c r="V8" s="133">
        <f t="shared" si="12"/>
        <v>332.433138686131</v>
      </c>
      <c r="X8" s="142">
        <v>700</v>
      </c>
      <c r="Y8" s="151">
        <f ca="1" t="shared" si="13"/>
        <v>0.135</v>
      </c>
      <c r="Z8" s="151">
        <f ca="1" t="shared" si="14"/>
        <v>0.155</v>
      </c>
      <c r="AA8" s="151">
        <f ca="1" t="shared" si="15"/>
        <v>0.2</v>
      </c>
      <c r="AB8" s="151">
        <f ca="1" t="shared" si="16"/>
        <v>0.12</v>
      </c>
      <c r="AC8" s="151">
        <f ca="1" t="shared" si="17"/>
        <v>0.075</v>
      </c>
      <c r="AD8" s="151">
        <f ca="1" t="shared" si="18"/>
        <v>0.085</v>
      </c>
      <c r="AE8" s="151">
        <f ca="1" t="shared" si="19"/>
        <v>0.085</v>
      </c>
      <c r="AG8" s="106">
        <v>700</v>
      </c>
      <c r="AH8" s="159">
        <v>0.108885500666667</v>
      </c>
      <c r="AI8" s="159">
        <v>0.177138678222222</v>
      </c>
      <c r="AJ8" s="159">
        <v>0.137168958666667</v>
      </c>
      <c r="AK8" s="159">
        <v>0.101721209111111</v>
      </c>
      <c r="AL8" s="159">
        <v>0.0793323157777778</v>
      </c>
    </row>
    <row r="9" s="91" customFormat="1" spans="1:38">
      <c r="A9" s="132">
        <v>241.5</v>
      </c>
      <c r="B9" s="133">
        <v>440.29</v>
      </c>
      <c r="C9" s="133">
        <v>436.65</v>
      </c>
      <c r="D9" s="133">
        <v>427.88</v>
      </c>
      <c r="E9" s="133">
        <v>412.28</v>
      </c>
      <c r="F9" s="133">
        <v>395.78</v>
      </c>
      <c r="G9" s="133">
        <v>383.35</v>
      </c>
      <c r="H9" s="133">
        <v>378.2</v>
      </c>
      <c r="I9" s="133">
        <v>358.93</v>
      </c>
      <c r="J9" s="133"/>
      <c r="K9" s="132">
        <f t="shared" si="0"/>
        <v>241.5</v>
      </c>
      <c r="L9" s="133">
        <f t="shared" si="2"/>
        <v>444.919870503597</v>
      </c>
      <c r="M9" s="133">
        <f t="shared" si="3"/>
        <v>430.516739029768</v>
      </c>
      <c r="N9" s="133">
        <f t="shared" si="4"/>
        <v>420.746008073061</v>
      </c>
      <c r="O9" s="133">
        <f t="shared" si="5"/>
        <v>412.364291355592</v>
      </c>
      <c r="P9" s="133">
        <f t="shared" si="6"/>
        <v>403.628123516353</v>
      </c>
      <c r="Q9" s="133">
        <f t="shared" si="7"/>
        <v>395.913641610158</v>
      </c>
      <c r="R9" s="133">
        <f t="shared" si="8"/>
        <v>389.440827437044</v>
      </c>
      <c r="S9" s="133">
        <f t="shared" si="9"/>
        <v>383.497472035296</v>
      </c>
      <c r="T9" s="133">
        <f t="shared" si="10"/>
        <v>380.769161910432</v>
      </c>
      <c r="U9" s="133">
        <f t="shared" si="11"/>
        <v>378.278796925489</v>
      </c>
      <c r="V9" s="133">
        <f t="shared" si="12"/>
        <v>360.758540145985</v>
      </c>
      <c r="X9" s="142">
        <v>800</v>
      </c>
      <c r="Y9" s="151">
        <f ca="1" t="shared" si="13"/>
        <v>0.205</v>
      </c>
      <c r="Z9" s="151">
        <f ca="1" t="shared" si="14"/>
        <v>0.015</v>
      </c>
      <c r="AA9" s="151">
        <f ca="1" t="shared" si="15"/>
        <v>0.21</v>
      </c>
      <c r="AB9" s="151">
        <f ca="1" t="shared" si="16"/>
        <v>0.115</v>
      </c>
      <c r="AC9" s="151">
        <f ca="1" t="shared" si="17"/>
        <v>0.11</v>
      </c>
      <c r="AD9" s="151">
        <f ca="1" t="shared" si="18"/>
        <v>0.095</v>
      </c>
      <c r="AE9" s="151">
        <f ca="1" t="shared" si="19"/>
        <v>0.1</v>
      </c>
      <c r="AG9" s="106">
        <v>800</v>
      </c>
      <c r="AH9" s="159">
        <v>0.150552117777778</v>
      </c>
      <c r="AI9" s="159">
        <v>0.111688740888889</v>
      </c>
      <c r="AJ9" s="159">
        <v>0.134721039111111</v>
      </c>
      <c r="AK9" s="159">
        <v>0.110235319555556</v>
      </c>
      <c r="AL9" s="159">
        <v>0.120271434</v>
      </c>
    </row>
    <row r="10" s="91" customFormat="1" spans="1:38">
      <c r="A10" s="132">
        <v>296.5</v>
      </c>
      <c r="B10" s="133">
        <v>499.84</v>
      </c>
      <c r="C10" s="133">
        <v>495.05</v>
      </c>
      <c r="D10" s="133">
        <v>483.75</v>
      </c>
      <c r="E10" s="133">
        <v>464.01</v>
      </c>
      <c r="F10" s="133">
        <v>443.62</v>
      </c>
      <c r="G10" s="133">
        <v>429.12</v>
      </c>
      <c r="H10" s="133">
        <v>423.34</v>
      </c>
      <c r="I10" s="133">
        <v>391.86</v>
      </c>
      <c r="J10" s="133"/>
      <c r="K10" s="132">
        <f t="shared" si="0"/>
        <v>296.5</v>
      </c>
      <c r="L10" s="133">
        <f t="shared" si="2"/>
        <v>505.932604316547</v>
      </c>
      <c r="M10" s="133">
        <f t="shared" si="3"/>
        <v>487.14739464497</v>
      </c>
      <c r="N10" s="133">
        <f t="shared" si="4"/>
        <v>474.722756369374</v>
      </c>
      <c r="O10" s="133">
        <f t="shared" si="5"/>
        <v>464.116660984576</v>
      </c>
      <c r="P10" s="133">
        <f t="shared" si="6"/>
        <v>453.318378090814</v>
      </c>
      <c r="Q10" s="133">
        <f t="shared" si="7"/>
        <v>443.78514863219</v>
      </c>
      <c r="R10" s="133">
        <f t="shared" si="8"/>
        <v>436.225148659465</v>
      </c>
      <c r="S10" s="133">
        <f t="shared" si="9"/>
        <v>429.292030934175</v>
      </c>
      <c r="T10" s="133">
        <f t="shared" si="10"/>
        <v>426.223447736368</v>
      </c>
      <c r="U10" s="133">
        <f t="shared" si="11"/>
        <v>423.428436161034</v>
      </c>
      <c r="V10" s="133">
        <f t="shared" si="12"/>
        <v>394.847153284672</v>
      </c>
      <c r="X10" s="142">
        <v>900</v>
      </c>
      <c r="Y10" s="151">
        <f ca="1" t="shared" si="13"/>
        <v>0.18</v>
      </c>
      <c r="Z10" s="151">
        <f ca="1" t="shared" si="14"/>
        <v>0</v>
      </c>
      <c r="AA10" s="151">
        <f ca="1" t="shared" si="15"/>
        <v>0.16</v>
      </c>
      <c r="AB10" s="151">
        <f ca="1" t="shared" si="16"/>
        <v>0.16</v>
      </c>
      <c r="AC10" s="151">
        <f ca="1" t="shared" si="17"/>
        <v>0.11</v>
      </c>
      <c r="AD10" s="151">
        <f ca="1" t="shared" si="18"/>
        <v>0.12</v>
      </c>
      <c r="AE10" s="151">
        <f ca="1" t="shared" si="19"/>
        <v>0.13</v>
      </c>
      <c r="AG10" s="106">
        <v>900</v>
      </c>
      <c r="AH10" s="159">
        <v>0.19651376</v>
      </c>
      <c r="AI10" s="159">
        <v>0.159067392444444</v>
      </c>
      <c r="AJ10" s="159">
        <v>0.166178188</v>
      </c>
      <c r="AK10" s="159">
        <v>0.175793896222222</v>
      </c>
      <c r="AL10" s="159">
        <v>0.147223262</v>
      </c>
    </row>
    <row r="11" s="91" customFormat="1" spans="1:38">
      <c r="A11" s="132">
        <v>357.5</v>
      </c>
      <c r="B11" s="133">
        <v>561.89</v>
      </c>
      <c r="C11" s="133">
        <v>555.9</v>
      </c>
      <c r="D11" s="133">
        <v>542.07</v>
      </c>
      <c r="E11" s="133">
        <v>518.34</v>
      </c>
      <c r="F11" s="133">
        <v>494.26</v>
      </c>
      <c r="G11" s="133">
        <v>477.45</v>
      </c>
      <c r="H11" s="133">
        <v>470.72</v>
      </c>
      <c r="I11" s="133">
        <v>439.49</v>
      </c>
      <c r="J11" s="133"/>
      <c r="K11" s="132">
        <f t="shared" si="0"/>
        <v>357.5</v>
      </c>
      <c r="L11" s="133">
        <f t="shared" si="2"/>
        <v>569.508935251799</v>
      </c>
      <c r="M11" s="133">
        <f t="shared" si="3"/>
        <v>546.228050260171</v>
      </c>
      <c r="N11" s="133">
        <f t="shared" si="4"/>
        <v>531.218100741907</v>
      </c>
      <c r="O11" s="133">
        <f t="shared" si="5"/>
        <v>518.468220119756</v>
      </c>
      <c r="P11" s="133">
        <f t="shared" si="6"/>
        <v>505.71350389538</v>
      </c>
      <c r="Q11" s="133">
        <f t="shared" si="7"/>
        <v>494.455035755916</v>
      </c>
      <c r="R11" s="133">
        <f t="shared" si="8"/>
        <v>485.687072342455</v>
      </c>
      <c r="S11" s="133">
        <f t="shared" si="9"/>
        <v>477.649437241619</v>
      </c>
      <c r="T11" s="133">
        <f t="shared" si="10"/>
        <v>474.077370807224</v>
      </c>
      <c r="U11" s="133">
        <f t="shared" si="11"/>
        <v>470.822971516221</v>
      </c>
      <c r="V11" s="133">
        <f t="shared" si="12"/>
        <v>442.453430656934</v>
      </c>
      <c r="X11" s="142">
        <v>1000</v>
      </c>
      <c r="Y11" s="151">
        <f ca="1" t="shared" si="13"/>
        <v>0.06</v>
      </c>
      <c r="Z11" s="151">
        <f ca="1" t="shared" si="14"/>
        <v>0</v>
      </c>
      <c r="AA11" s="151">
        <f ca="1" t="shared" si="15"/>
        <v>0.08</v>
      </c>
      <c r="AB11" s="151">
        <f ca="1" t="shared" si="16"/>
        <v>0.125</v>
      </c>
      <c r="AC11" s="151">
        <f ca="1" t="shared" si="17"/>
        <v>0.15</v>
      </c>
      <c r="AD11" s="151">
        <f ca="1" t="shared" si="18"/>
        <v>0.15</v>
      </c>
      <c r="AE11" s="151">
        <f ca="1" t="shared" si="19"/>
        <v>0.145</v>
      </c>
      <c r="AG11" s="106">
        <v>1000</v>
      </c>
      <c r="AH11" s="159">
        <v>0.0596643813333333</v>
      </c>
      <c r="AI11" s="159">
        <v>0.140269491333333</v>
      </c>
      <c r="AJ11" s="159">
        <v>0.114597690444444</v>
      </c>
      <c r="AK11" s="159">
        <v>0.146215211777778</v>
      </c>
      <c r="AL11" s="159">
        <v>0.170108075555556</v>
      </c>
    </row>
    <row r="12" s="91" customFormat="1" spans="1:38">
      <c r="A12" s="132">
        <v>412.5</v>
      </c>
      <c r="B12" s="133">
        <v>619.11</v>
      </c>
      <c r="C12" s="133">
        <v>611.97</v>
      </c>
      <c r="D12" s="133">
        <v>595.81</v>
      </c>
      <c r="E12" s="133">
        <v>568.63</v>
      </c>
      <c r="F12" s="133">
        <v>541.42</v>
      </c>
      <c r="G12" s="133">
        <v>522.52</v>
      </c>
      <c r="H12" s="133">
        <v>515.17</v>
      </c>
      <c r="I12" s="133">
        <v>485.16</v>
      </c>
      <c r="J12" s="133"/>
      <c r="K12" s="132">
        <f t="shared" si="0"/>
        <v>412.5</v>
      </c>
      <c r="L12" s="133">
        <f t="shared" si="2"/>
        <v>628.191669064748</v>
      </c>
      <c r="M12" s="133">
        <f t="shared" si="3"/>
        <v>600.6685749967</v>
      </c>
      <c r="N12" s="133">
        <f t="shared" si="4"/>
        <v>583.380390988834</v>
      </c>
      <c r="O12" s="133">
        <f t="shared" si="5"/>
        <v>568.776861477243</v>
      </c>
      <c r="P12" s="133">
        <f t="shared" si="6"/>
        <v>554.36226914424</v>
      </c>
      <c r="Q12" s="133">
        <f t="shared" si="7"/>
        <v>541.640387164388</v>
      </c>
      <c r="R12" s="133">
        <f t="shared" si="8"/>
        <v>531.781193769923</v>
      </c>
      <c r="S12" s="133">
        <f t="shared" si="9"/>
        <v>522.744233424545</v>
      </c>
      <c r="T12" s="133">
        <f t="shared" si="10"/>
        <v>518.836667969257</v>
      </c>
      <c r="U12" s="133">
        <f t="shared" si="11"/>
        <v>515.282457748028</v>
      </c>
      <c r="V12" s="133">
        <f t="shared" si="12"/>
        <v>488.007664233577</v>
      </c>
      <c r="X12" s="142">
        <v>1100</v>
      </c>
      <c r="Y12" s="151">
        <f ca="1" t="shared" si="13"/>
        <v>0</v>
      </c>
      <c r="Z12" s="151">
        <f ca="1" t="shared" si="14"/>
        <v>0</v>
      </c>
      <c r="AA12" s="151">
        <f ca="1" t="shared" si="15"/>
        <v>0</v>
      </c>
      <c r="AB12" s="151">
        <f ca="1" t="shared" si="16"/>
        <v>0.125</v>
      </c>
      <c r="AC12" s="151">
        <f ca="1" t="shared" si="17"/>
        <v>0.135</v>
      </c>
      <c r="AD12" s="151">
        <f ca="1" t="shared" si="18"/>
        <v>0.15</v>
      </c>
      <c r="AE12" s="151">
        <f ca="1" t="shared" si="19"/>
        <v>0.155</v>
      </c>
      <c r="AG12" s="106">
        <v>1100</v>
      </c>
      <c r="AH12" s="159"/>
      <c r="AI12" s="159">
        <v>0.107948911333333</v>
      </c>
      <c r="AJ12" s="159">
        <v>0.118918976</v>
      </c>
      <c r="AK12" s="159">
        <v>0.128959049111111</v>
      </c>
      <c r="AL12" s="159">
        <v>0.143319088222222</v>
      </c>
    </row>
    <row r="13" s="91" customFormat="1" spans="1:38">
      <c r="A13" s="132">
        <v>467.5</v>
      </c>
      <c r="B13" s="133">
        <v>674.13</v>
      </c>
      <c r="C13" s="133">
        <v>665.84</v>
      </c>
      <c r="D13" s="133">
        <v>647.5</v>
      </c>
      <c r="E13" s="133">
        <v>617.17</v>
      </c>
      <c r="F13" s="133">
        <v>587.15</v>
      </c>
      <c r="G13" s="133">
        <v>566.41</v>
      </c>
      <c r="H13" s="133">
        <v>558.07</v>
      </c>
      <c r="I13" s="133">
        <v>528.95</v>
      </c>
      <c r="J13" s="133"/>
      <c r="K13" s="132">
        <f t="shared" si="0"/>
        <v>467.5</v>
      </c>
      <c r="L13" s="133">
        <f t="shared" si="2"/>
        <v>684.674402877698</v>
      </c>
      <c r="M13" s="133">
        <f t="shared" si="3"/>
        <v>653.014001574225</v>
      </c>
      <c r="N13" s="133">
        <f t="shared" si="4"/>
        <v>633.629873388202</v>
      </c>
      <c r="O13" s="133">
        <f t="shared" si="5"/>
        <v>617.333881847122</v>
      </c>
      <c r="P13" s="133">
        <f t="shared" si="6"/>
        <v>601.428828361268</v>
      </c>
      <c r="Q13" s="133">
        <f t="shared" si="7"/>
        <v>587.393146735573</v>
      </c>
      <c r="R13" s="133">
        <f t="shared" si="8"/>
        <v>576.572812634296</v>
      </c>
      <c r="S13" s="133">
        <f t="shared" si="9"/>
        <v>566.656063556882</v>
      </c>
      <c r="T13" s="133">
        <f t="shared" si="10"/>
        <v>562.230545695728</v>
      </c>
      <c r="U13" s="133">
        <f t="shared" si="11"/>
        <v>558.19760511817</v>
      </c>
      <c r="V13" s="133">
        <f t="shared" si="12"/>
        <v>531.713211678832</v>
      </c>
      <c r="X13" s="142">
        <v>1200</v>
      </c>
      <c r="Y13" s="151">
        <f ca="1" t="shared" si="13"/>
        <v>0</v>
      </c>
      <c r="Z13" s="151">
        <f ca="1" t="shared" si="14"/>
        <v>0</v>
      </c>
      <c r="AA13" s="151">
        <f ca="1" t="shared" si="15"/>
        <v>0</v>
      </c>
      <c r="AB13" s="151">
        <f ca="1" t="shared" si="16"/>
        <v>0.095</v>
      </c>
      <c r="AC13" s="151">
        <f ca="1" t="shared" si="17"/>
        <v>0.12</v>
      </c>
      <c r="AD13" s="151">
        <f ca="1" t="shared" si="18"/>
        <v>0.115</v>
      </c>
      <c r="AE13" s="151">
        <f ca="1" t="shared" si="19"/>
        <v>0.135</v>
      </c>
      <c r="AG13" s="106">
        <v>1200</v>
      </c>
      <c r="AH13" s="159"/>
      <c r="AI13" s="159">
        <v>0.0456724684444444</v>
      </c>
      <c r="AJ13" s="159">
        <v>0.103862087555556</v>
      </c>
      <c r="AK13" s="159">
        <v>0.102472085555556</v>
      </c>
      <c r="AL13" s="159">
        <v>0.113898202</v>
      </c>
    </row>
    <row r="14" s="91" customFormat="1" spans="1:38">
      <c r="A14" s="132">
        <v>522.5</v>
      </c>
      <c r="B14" s="133">
        <v>725.42</v>
      </c>
      <c r="C14" s="133">
        <v>716.06</v>
      </c>
      <c r="D14" s="133">
        <v>695.72</v>
      </c>
      <c r="E14" s="133">
        <v>662.65</v>
      </c>
      <c r="F14" s="133">
        <v>630.25</v>
      </c>
      <c r="G14" s="133">
        <v>607.89</v>
      </c>
      <c r="H14" s="133">
        <v>598.48</v>
      </c>
      <c r="I14" s="133">
        <v>570.97</v>
      </c>
      <c r="J14" s="133"/>
      <c r="K14" s="132">
        <f t="shared" si="0"/>
        <v>522.5</v>
      </c>
      <c r="L14" s="133">
        <f t="shared" si="2"/>
        <v>737.325381294964</v>
      </c>
      <c r="M14" s="133">
        <f t="shared" si="3"/>
        <v>701.835310360945</v>
      </c>
      <c r="N14" s="133">
        <f t="shared" si="4"/>
        <v>680.596851729239</v>
      </c>
      <c r="O14" s="133">
        <f t="shared" si="5"/>
        <v>662.828686867271</v>
      </c>
      <c r="P14" s="133">
        <f t="shared" si="6"/>
        <v>645.66086072302</v>
      </c>
      <c r="Q14" s="133">
        <f t="shared" si="7"/>
        <v>630.512423525402</v>
      </c>
      <c r="R14" s="133">
        <f t="shared" si="8"/>
        <v>618.846629243147</v>
      </c>
      <c r="S14" s="133">
        <f t="shared" si="9"/>
        <v>608.1552835647</v>
      </c>
      <c r="T14" s="133">
        <f t="shared" si="10"/>
        <v>603.17433273343</v>
      </c>
      <c r="U14" s="133">
        <f t="shared" si="11"/>
        <v>598.623976518223</v>
      </c>
      <c r="V14" s="133">
        <f t="shared" si="12"/>
        <v>573.580437956204</v>
      </c>
      <c r="X14" s="142">
        <v>1300</v>
      </c>
      <c r="Y14" s="151">
        <f ca="1" t="shared" si="13"/>
        <v>0</v>
      </c>
      <c r="Z14" s="151">
        <f ca="1" t="shared" si="14"/>
        <v>0</v>
      </c>
      <c r="AA14" s="151">
        <f ca="1" t="shared" si="15"/>
        <v>0</v>
      </c>
      <c r="AB14" s="151">
        <f ca="1" t="shared" si="16"/>
        <v>0.065</v>
      </c>
      <c r="AC14" s="151">
        <f ca="1" t="shared" si="17"/>
        <v>0.095</v>
      </c>
      <c r="AD14" s="151">
        <f ca="1" t="shared" si="18"/>
        <v>0.1</v>
      </c>
      <c r="AE14" s="151">
        <f ca="1" t="shared" si="19"/>
        <v>0.09</v>
      </c>
      <c r="AG14" s="106">
        <v>1300</v>
      </c>
      <c r="AH14" s="159"/>
      <c r="AI14" s="159">
        <v>0.0124703262222222</v>
      </c>
      <c r="AJ14" s="159">
        <v>0.0750359893333334</v>
      </c>
      <c r="AK14" s="159">
        <v>0.0644122573333333</v>
      </c>
      <c r="AL14" s="159">
        <v>0.0743413617777778</v>
      </c>
    </row>
    <row r="15" s="91" customFormat="1" spans="1:38">
      <c r="A15" s="132">
        <v>577.5</v>
      </c>
      <c r="B15" s="133">
        <v>771.98</v>
      </c>
      <c r="C15" s="133">
        <v>761.69</v>
      </c>
      <c r="D15" s="133">
        <v>739.65</v>
      </c>
      <c r="E15" s="133">
        <v>704.32</v>
      </c>
      <c r="F15" s="133">
        <v>670</v>
      </c>
      <c r="G15" s="133">
        <v>646.22</v>
      </c>
      <c r="H15" s="133">
        <v>635.66</v>
      </c>
      <c r="I15" s="133">
        <v>608.35</v>
      </c>
      <c r="J15" s="133"/>
      <c r="K15" s="132">
        <f t="shared" si="0"/>
        <v>577.5</v>
      </c>
      <c r="L15" s="133">
        <f t="shared" si="2"/>
        <v>785.068287769784</v>
      </c>
      <c r="M15" s="133">
        <f t="shared" si="3"/>
        <v>746.276422829657</v>
      </c>
      <c r="N15" s="133">
        <f t="shared" si="4"/>
        <v>723.493337514183</v>
      </c>
      <c r="O15" s="133">
        <f t="shared" si="5"/>
        <v>704.510898307248</v>
      </c>
      <c r="P15" s="133">
        <f t="shared" si="6"/>
        <v>686.324096914014</v>
      </c>
      <c r="Q15" s="133">
        <f t="shared" si="7"/>
        <v>670.27797454913</v>
      </c>
      <c r="R15" s="133">
        <f t="shared" si="8"/>
        <v>657.872443801522</v>
      </c>
      <c r="S15" s="133">
        <f t="shared" si="9"/>
        <v>646.502130732047</v>
      </c>
      <c r="T15" s="133">
        <f t="shared" si="10"/>
        <v>640.928029082361</v>
      </c>
      <c r="U15" s="133">
        <f t="shared" si="11"/>
        <v>635.821571948187</v>
      </c>
      <c r="V15" s="133">
        <f t="shared" si="12"/>
        <v>610.941459854015</v>
      </c>
      <c r="X15" s="142">
        <v>1400</v>
      </c>
      <c r="Y15" s="151">
        <f ca="1" t="shared" si="13"/>
        <v>0</v>
      </c>
      <c r="Z15" s="151">
        <f ca="1" t="shared" si="14"/>
        <v>0</v>
      </c>
      <c r="AA15" s="151">
        <f ca="1" t="shared" si="15"/>
        <v>0</v>
      </c>
      <c r="AB15" s="151">
        <f ca="1" t="shared" si="16"/>
        <v>0.04</v>
      </c>
      <c r="AC15" s="151">
        <f ca="1" t="shared" si="17"/>
        <v>0.07</v>
      </c>
      <c r="AD15" s="151">
        <f ca="1" t="shared" si="18"/>
        <v>0.06</v>
      </c>
      <c r="AE15" s="151">
        <f ca="1" t="shared" si="19"/>
        <v>0.05</v>
      </c>
      <c r="AG15" s="106">
        <v>1400</v>
      </c>
      <c r="AH15" s="159"/>
      <c r="AI15" s="159">
        <v>0</v>
      </c>
      <c r="AJ15" s="159">
        <v>0.0325921906666667</v>
      </c>
      <c r="AK15" s="159">
        <v>0.0581380146666667</v>
      </c>
      <c r="AL15" s="159">
        <v>0.0311791077777778</v>
      </c>
    </row>
    <row r="16" s="91" customFormat="1" spans="1:38">
      <c r="A16" s="132">
        <v>632.5</v>
      </c>
      <c r="B16" s="133">
        <v>813.34</v>
      </c>
      <c r="C16" s="133">
        <v>802.22</v>
      </c>
      <c r="D16" s="133">
        <v>778.75</v>
      </c>
      <c r="E16" s="133">
        <v>741.68</v>
      </c>
      <c r="F16" s="133">
        <v>705.9</v>
      </c>
      <c r="G16" s="133">
        <v>681</v>
      </c>
      <c r="H16" s="133">
        <v>669.32</v>
      </c>
      <c r="I16" s="133">
        <v>643.74</v>
      </c>
      <c r="J16" s="133"/>
      <c r="K16" s="132">
        <f t="shared" si="0"/>
        <v>632.5</v>
      </c>
      <c r="L16" s="133">
        <f t="shared" si="2"/>
        <v>827.484</v>
      </c>
      <c r="M16" s="133">
        <f t="shared" si="3"/>
        <v>785.806358612163</v>
      </c>
      <c r="N16" s="133">
        <f t="shared" si="4"/>
        <v>761.797623030024</v>
      </c>
      <c r="O16" s="133">
        <f t="shared" si="5"/>
        <v>741.880300035371</v>
      </c>
      <c r="P16" s="133">
        <f t="shared" si="6"/>
        <v>722.918536934249</v>
      </c>
      <c r="Q16" s="133">
        <f t="shared" si="7"/>
        <v>706.189799806756</v>
      </c>
      <c r="R16" s="133">
        <f t="shared" si="8"/>
        <v>693.201255284184</v>
      </c>
      <c r="S16" s="133">
        <f t="shared" si="9"/>
        <v>681.295418638687</v>
      </c>
      <c r="T16" s="133">
        <f t="shared" si="10"/>
        <v>675.146759439581</v>
      </c>
      <c r="U16" s="133">
        <f t="shared" si="11"/>
        <v>669.498708366934</v>
      </c>
      <c r="V16" s="133">
        <f t="shared" si="12"/>
        <v>646.167299270073</v>
      </c>
      <c r="X16" s="142">
        <v>1500</v>
      </c>
      <c r="Y16" s="151">
        <f ca="1" t="shared" si="13"/>
        <v>0</v>
      </c>
      <c r="Z16" s="151">
        <f ca="1" t="shared" si="14"/>
        <v>0</v>
      </c>
      <c r="AA16" s="151">
        <f ca="1" t="shared" si="15"/>
        <v>0</v>
      </c>
      <c r="AB16" s="151">
        <f ca="1" t="shared" si="16"/>
        <v>0.01</v>
      </c>
      <c r="AC16" s="151">
        <f ca="1" t="shared" si="17"/>
        <v>0.02</v>
      </c>
      <c r="AD16" s="151">
        <f ca="1" t="shared" si="18"/>
        <v>0.02</v>
      </c>
      <c r="AE16" s="151">
        <f ca="1" t="shared" si="19"/>
        <v>0.005</v>
      </c>
      <c r="AG16" s="106">
        <v>1500</v>
      </c>
      <c r="AH16" s="159"/>
      <c r="AI16" s="159">
        <v>0</v>
      </c>
      <c r="AJ16" s="159">
        <v>0.0110810711111111</v>
      </c>
      <c r="AK16" s="159">
        <v>0.0154049957777778</v>
      </c>
      <c r="AL16" s="159">
        <v>0.00664864266666667</v>
      </c>
    </row>
    <row r="17" s="91" customFormat="1" spans="1:38">
      <c r="A17" s="132">
        <v>687.5</v>
      </c>
      <c r="B17" s="133">
        <v>849.34</v>
      </c>
      <c r="C17" s="133">
        <v>837.52</v>
      </c>
      <c r="D17" s="133">
        <v>812.88</v>
      </c>
      <c r="E17" s="133">
        <v>774.54</v>
      </c>
      <c r="F17" s="133">
        <v>737.8</v>
      </c>
      <c r="G17" s="133">
        <v>712.04</v>
      </c>
      <c r="H17" s="133">
        <v>699.43</v>
      </c>
      <c r="I17" s="133">
        <v>675.51</v>
      </c>
      <c r="J17" s="133"/>
      <c r="K17" s="132">
        <f t="shared" si="0"/>
        <v>687.5</v>
      </c>
      <c r="L17" s="133">
        <f t="shared" si="2"/>
        <v>864.37435971223</v>
      </c>
      <c r="M17" s="133">
        <f t="shared" si="3"/>
        <v>820.288124252394</v>
      </c>
      <c r="N17" s="133">
        <f t="shared" si="4"/>
        <v>795.346842918024</v>
      </c>
      <c r="O17" s="133">
        <f t="shared" si="5"/>
        <v>774.747162216243</v>
      </c>
      <c r="P17" s="133">
        <f t="shared" si="6"/>
        <v>755.275155029746</v>
      </c>
      <c r="Q17" s="133">
        <f t="shared" si="7"/>
        <v>738.09757531862</v>
      </c>
      <c r="R17" s="133">
        <f t="shared" si="8"/>
        <v>724.662664101228</v>
      </c>
      <c r="S17" s="133">
        <f t="shared" si="9"/>
        <v>712.345621852713</v>
      </c>
      <c r="T17" s="133">
        <f t="shared" si="10"/>
        <v>705.72070518263</v>
      </c>
      <c r="U17" s="133">
        <f t="shared" si="11"/>
        <v>699.622937714644</v>
      </c>
      <c r="V17" s="133">
        <f t="shared" si="12"/>
        <v>677.779781021898</v>
      </c>
      <c r="X17" s="142">
        <v>1600</v>
      </c>
      <c r="Y17" s="151">
        <f ca="1" t="shared" si="13"/>
        <v>0</v>
      </c>
      <c r="Z17" s="151">
        <f ca="1" t="shared" si="14"/>
        <v>0</v>
      </c>
      <c r="AA17" s="151">
        <f ca="1" t="shared" si="15"/>
        <v>0</v>
      </c>
      <c r="AB17" s="151">
        <f ca="1" t="shared" si="16"/>
        <v>0</v>
      </c>
      <c r="AC17" s="151">
        <f ca="1" t="shared" si="17"/>
        <v>0</v>
      </c>
      <c r="AD17" s="151">
        <f ca="1" t="shared" si="18"/>
        <v>0</v>
      </c>
      <c r="AE17" s="151">
        <f ca="1" t="shared" si="19"/>
        <v>0</v>
      </c>
      <c r="AG17" s="106">
        <v>1570</v>
      </c>
      <c r="AH17" s="159">
        <v>0</v>
      </c>
      <c r="AI17" s="159">
        <v>0</v>
      </c>
      <c r="AJ17" s="159">
        <v>0</v>
      </c>
      <c r="AK17" s="159"/>
      <c r="AL17" s="106"/>
    </row>
    <row r="18" s="91" customFormat="1" spans="1:38">
      <c r="A18" s="132">
        <v>742.5</v>
      </c>
      <c r="B18" s="133">
        <v>880.03</v>
      </c>
      <c r="C18" s="133">
        <v>867.63</v>
      </c>
      <c r="D18" s="133">
        <v>842.1</v>
      </c>
      <c r="E18" s="133">
        <v>802.9</v>
      </c>
      <c r="F18" s="133">
        <v>765.59</v>
      </c>
      <c r="G18" s="133">
        <v>739.27</v>
      </c>
      <c r="H18" s="133">
        <v>725.91</v>
      </c>
      <c r="I18" s="133">
        <v>703.23</v>
      </c>
      <c r="J18" s="133"/>
      <c r="K18" s="132">
        <f t="shared" si="0"/>
        <v>742.5</v>
      </c>
      <c r="L18" s="133">
        <f t="shared" si="2"/>
        <v>895.802086330935</v>
      </c>
      <c r="M18" s="133">
        <f t="shared" si="3"/>
        <v>849.775706662484</v>
      </c>
      <c r="N18" s="133">
        <f t="shared" si="4"/>
        <v>824.173558747692</v>
      </c>
      <c r="O18" s="133">
        <f t="shared" si="5"/>
        <v>803.111809047385</v>
      </c>
      <c r="P18" s="133">
        <f t="shared" si="6"/>
        <v>783.336272023947</v>
      </c>
      <c r="Q18" s="133">
        <f t="shared" si="7"/>
        <v>765.892192028789</v>
      </c>
      <c r="R18" s="133">
        <f t="shared" si="8"/>
        <v>752.167069842559</v>
      </c>
      <c r="S18" s="133">
        <f t="shared" si="9"/>
        <v>739.582265806033</v>
      </c>
      <c r="T18" s="133">
        <f t="shared" si="10"/>
        <v>732.574854975411</v>
      </c>
      <c r="U18" s="133">
        <f t="shared" si="11"/>
        <v>726.114412995055</v>
      </c>
      <c r="V18" s="133">
        <f t="shared" si="12"/>
        <v>705.382116788321</v>
      </c>
      <c r="X18" s="142">
        <v>1620</v>
      </c>
      <c r="Y18" s="151">
        <f ca="1" t="shared" si="13"/>
        <v>0</v>
      </c>
      <c r="Z18" s="151">
        <f ca="1" t="shared" si="14"/>
        <v>0</v>
      </c>
      <c r="AA18" s="151">
        <f ca="1" t="shared" si="15"/>
        <v>0</v>
      </c>
      <c r="AB18" s="151">
        <f ca="1" t="shared" si="16"/>
        <v>0</v>
      </c>
      <c r="AC18" s="151">
        <f ca="1" t="shared" si="17"/>
        <v>0</v>
      </c>
      <c r="AD18" s="151">
        <f ca="1" t="shared" si="18"/>
        <v>0</v>
      </c>
      <c r="AE18" s="151">
        <f ca="1" t="shared" si="19"/>
        <v>0</v>
      </c>
      <c r="AG18" s="106">
        <v>1620</v>
      </c>
      <c r="AH18" s="106"/>
      <c r="AI18" s="106"/>
      <c r="AJ18" s="106"/>
      <c r="AK18" s="106"/>
      <c r="AL18" s="106"/>
    </row>
    <row r="19" s="91" customFormat="1" spans="1:31">
      <c r="A19" s="132">
        <v>797.5</v>
      </c>
      <c r="B19" s="133">
        <v>905.63</v>
      </c>
      <c r="C19" s="133">
        <v>892.76</v>
      </c>
      <c r="D19" s="133">
        <v>866.59</v>
      </c>
      <c r="E19" s="133">
        <v>826.91</v>
      </c>
      <c r="F19" s="133">
        <v>789.37</v>
      </c>
      <c r="G19" s="133">
        <v>762.78</v>
      </c>
      <c r="H19" s="133">
        <v>748.72</v>
      </c>
      <c r="I19" s="133">
        <v>726.3</v>
      </c>
      <c r="J19" s="133"/>
      <c r="K19" s="132">
        <f t="shared" si="0"/>
        <v>797.5</v>
      </c>
      <c r="L19" s="133">
        <f t="shared" si="2"/>
        <v>921.999899280576</v>
      </c>
      <c r="M19" s="133">
        <f t="shared" si="3"/>
        <v>874.458125474235</v>
      </c>
      <c r="N19" s="133">
        <f t="shared" si="4"/>
        <v>848.444051303787</v>
      </c>
      <c r="O19" s="133">
        <f t="shared" si="5"/>
        <v>827.124402627557</v>
      </c>
      <c r="P19" s="133">
        <f t="shared" si="6"/>
        <v>807.225670109327</v>
      </c>
      <c r="Q19" s="133">
        <f t="shared" si="7"/>
        <v>789.674054911839</v>
      </c>
      <c r="R19" s="133">
        <f t="shared" si="8"/>
        <v>775.809372610701</v>
      </c>
      <c r="S19" s="133">
        <f t="shared" si="9"/>
        <v>763.09546914067</v>
      </c>
      <c r="T19" s="133">
        <f t="shared" si="10"/>
        <v>755.734061448674</v>
      </c>
      <c r="U19" s="133">
        <f t="shared" si="11"/>
        <v>748.935123256772</v>
      </c>
      <c r="V19" s="133">
        <f t="shared" si="12"/>
        <v>728.427445255474</v>
      </c>
      <c r="X19" s="142"/>
      <c r="Y19" s="151"/>
      <c r="Z19" s="151"/>
      <c r="AA19" s="151"/>
      <c r="AB19" s="151"/>
      <c r="AC19" s="151"/>
      <c r="AD19" s="151"/>
      <c r="AE19" s="151"/>
    </row>
    <row r="20" s="91" customFormat="1" spans="1:31">
      <c r="A20" s="132">
        <v>852.5</v>
      </c>
      <c r="B20" s="133">
        <v>926.37</v>
      </c>
      <c r="C20" s="133">
        <v>913.14</v>
      </c>
      <c r="D20" s="133">
        <v>886.56</v>
      </c>
      <c r="E20" s="133">
        <v>846.72</v>
      </c>
      <c r="F20" s="133">
        <v>809.26</v>
      </c>
      <c r="G20" s="133">
        <v>782.59</v>
      </c>
      <c r="H20" s="133">
        <v>767.12</v>
      </c>
      <c r="I20" s="133">
        <v>740.34</v>
      </c>
      <c r="J20" s="133"/>
      <c r="K20" s="132">
        <f t="shared" si="0"/>
        <v>852.5</v>
      </c>
      <c r="L20" s="133">
        <f t="shared" si="2"/>
        <v>943.197798561151</v>
      </c>
      <c r="M20" s="133">
        <f t="shared" si="3"/>
        <v>894.551393775512</v>
      </c>
      <c r="N20" s="133">
        <f t="shared" si="4"/>
        <v>868.340882155818</v>
      </c>
      <c r="O20" s="133">
        <f t="shared" si="5"/>
        <v>846.935267154281</v>
      </c>
      <c r="P20" s="133">
        <f t="shared" si="6"/>
        <v>827.077618601369</v>
      </c>
      <c r="Q20" s="133">
        <f t="shared" si="7"/>
        <v>809.563406952517</v>
      </c>
      <c r="R20" s="133">
        <f t="shared" si="8"/>
        <v>795.658573430891</v>
      </c>
      <c r="S20" s="133">
        <f t="shared" si="9"/>
        <v>782.906418276858</v>
      </c>
      <c r="T20" s="133">
        <f t="shared" si="10"/>
        <v>774.837463059102</v>
      </c>
      <c r="U20" s="133">
        <f t="shared" si="11"/>
        <v>767.356696783944</v>
      </c>
      <c r="V20" s="133">
        <f t="shared" si="12"/>
        <v>742.881167883212</v>
      </c>
      <c r="X20" s="142" t="s">
        <v>129</v>
      </c>
      <c r="Y20" s="152">
        <f ca="1">MAX(OFFSET($L$5,0,0,$O$1,$O$2))</f>
        <v>985.26617266187</v>
      </c>
      <c r="Z20" s="152">
        <f ca="1">MAX(OFFSET($L$28,0,0,$O$1,$O$2))</f>
        <v>728.697539568345</v>
      </c>
      <c r="AA20" s="152">
        <f ca="1">MAX(OFFSET($L$51,0,0,$O$1,$O$2))</f>
        <v>974.166848920863</v>
      </c>
      <c r="AB20" s="152">
        <f ca="1">MAX(OFFSET($L$74,0,0,$O$1,$O$2))</f>
        <v>1402.66835971223</v>
      </c>
      <c r="AC20" s="152">
        <f ca="1">MAX(OFFSET($L$97,0,0,$O$1,$O$2))</f>
        <v>1461.42939568345</v>
      </c>
      <c r="AD20" s="152">
        <f ca="1">MAX(OFFSET($L$120,0,0,$O$1,$O$2))</f>
        <v>1437.88604316547</v>
      </c>
      <c r="AE20" s="152">
        <f ca="1">MAX(OFFSET($L$143,0,0,$O$1,$O$2))</f>
        <v>1400.22673381295</v>
      </c>
    </row>
    <row r="21" s="91" customFormat="1" spans="1:31">
      <c r="A21" s="132">
        <v>907.5</v>
      </c>
      <c r="B21" s="133">
        <v>943.22</v>
      </c>
      <c r="C21" s="133">
        <v>929.66</v>
      </c>
      <c r="D21" s="133">
        <v>902.85</v>
      </c>
      <c r="E21" s="133">
        <v>863.11</v>
      </c>
      <c r="F21" s="133">
        <v>825.98</v>
      </c>
      <c r="G21" s="133">
        <v>799.08</v>
      </c>
      <c r="H21" s="133">
        <v>778.27</v>
      </c>
      <c r="I21" s="133">
        <v>738.48</v>
      </c>
      <c r="J21" s="133"/>
      <c r="K21" s="132">
        <f t="shared" si="0"/>
        <v>907.5</v>
      </c>
      <c r="L21" s="133">
        <f t="shared" si="2"/>
        <v>960.467539568345</v>
      </c>
      <c r="M21" s="133">
        <f t="shared" si="3"/>
        <v>910.910544285985</v>
      </c>
      <c r="N21" s="133">
        <f t="shared" si="4"/>
        <v>884.676612873298</v>
      </c>
      <c r="O21" s="133">
        <f t="shared" si="5"/>
        <v>863.324726825079</v>
      </c>
      <c r="P21" s="133">
        <f t="shared" si="6"/>
        <v>843.640656131042</v>
      </c>
      <c r="Q21" s="133">
        <f t="shared" si="7"/>
        <v>826.280734120314</v>
      </c>
      <c r="R21" s="133">
        <f t="shared" si="8"/>
        <v>812.261275788938</v>
      </c>
      <c r="S21" s="133">
        <f t="shared" si="9"/>
        <v>799.3991470434</v>
      </c>
      <c r="T21" s="133">
        <f t="shared" si="10"/>
        <v>788.651409583705</v>
      </c>
      <c r="U21" s="133">
        <f t="shared" si="11"/>
        <v>778.588400780471</v>
      </c>
      <c r="V21" s="133">
        <f t="shared" si="12"/>
        <v>742.255693430657</v>
      </c>
      <c r="X21" s="142" t="s">
        <v>130</v>
      </c>
      <c r="Y21" s="152">
        <f ca="1">AVERAGE(OFFSET($L$5,0,0,$O$1,$O$2))</f>
        <v>621.779074034296</v>
      </c>
      <c r="Z21" s="152">
        <f ca="1">AVERAGE(OFFSET($L$28,0,0,$O$1,$O$2))</f>
        <v>452.529919856912</v>
      </c>
      <c r="AA21" s="152">
        <f ca="1">AVERAGE(OFFSET($L$51,0,0,$O$1,$O$2))</f>
        <v>673.580389046513</v>
      </c>
      <c r="AB21" s="152">
        <f ca="1">AVERAGE(OFFSET($L$74,0,0,$O$1,$O$2))</f>
        <v>881.906196522097</v>
      </c>
      <c r="AC21" s="152">
        <f ca="1">AVERAGE(OFFSET($L$97,0,0,$O$1,$O$2))</f>
        <v>946.480739794192</v>
      </c>
      <c r="AD21" s="152">
        <f ca="1">AVERAGE(OFFSET($L$120,0,0,$O$1,$O$2))</f>
        <v>952.520095353571</v>
      </c>
      <c r="AE21" s="152">
        <f ca="1">AVERAGE(OFFSET($L$143,0,0,$O$1,$O$2))</f>
        <v>939.887422913872</v>
      </c>
    </row>
    <row r="22" s="91" customFormat="1" spans="1:31">
      <c r="A22" s="132">
        <v>962.5</v>
      </c>
      <c r="B22" s="133">
        <v>954.59</v>
      </c>
      <c r="C22" s="133">
        <v>940.8</v>
      </c>
      <c r="D22" s="133">
        <v>913.8</v>
      </c>
      <c r="E22" s="133">
        <v>874.25</v>
      </c>
      <c r="F22" s="133">
        <v>837.42</v>
      </c>
      <c r="G22" s="133">
        <v>808.35</v>
      </c>
      <c r="H22" s="133">
        <v>767.54</v>
      </c>
      <c r="I22" s="133">
        <v>691.96</v>
      </c>
      <c r="J22" s="133"/>
      <c r="K22" s="132">
        <f t="shared" si="0"/>
        <v>962.5</v>
      </c>
      <c r="L22" s="133">
        <f t="shared" si="2"/>
        <v>972.130086330935</v>
      </c>
      <c r="M22" s="133">
        <f t="shared" si="3"/>
        <v>921.917668620724</v>
      </c>
      <c r="N22" s="133">
        <f t="shared" si="4"/>
        <v>895.713501236511</v>
      </c>
      <c r="O22" s="133">
        <f t="shared" si="5"/>
        <v>874.463700199594</v>
      </c>
      <c r="P22" s="133">
        <f t="shared" si="6"/>
        <v>854.937962976199</v>
      </c>
      <c r="Q22" s="133">
        <f t="shared" si="7"/>
        <v>837.718304272857</v>
      </c>
      <c r="R22" s="133">
        <f t="shared" si="8"/>
        <v>822.594598036595</v>
      </c>
      <c r="S22" s="133">
        <f t="shared" si="9"/>
        <v>808.694892362515</v>
      </c>
      <c r="T22" s="133">
        <f t="shared" si="10"/>
        <v>787.898737391207</v>
      </c>
      <c r="U22" s="133">
        <f t="shared" si="11"/>
        <v>768.164408258097</v>
      </c>
      <c r="V22" s="133">
        <f t="shared" si="12"/>
        <v>699.131824817518</v>
      </c>
      <c r="X22" s="142" t="s">
        <v>131</v>
      </c>
      <c r="Y22" s="153">
        <f ca="1" t="shared" ref="Y22:AE22" si="20">Y21+273.15</f>
        <v>894.929074034296</v>
      </c>
      <c r="Z22" s="153">
        <f ca="1" t="shared" si="20"/>
        <v>725.679919856912</v>
      </c>
      <c r="AA22" s="153">
        <f ca="1" t="shared" si="20"/>
        <v>946.730389046513</v>
      </c>
      <c r="AB22" s="153">
        <f ca="1" t="shared" si="20"/>
        <v>1155.0561965221</v>
      </c>
      <c r="AC22" s="153">
        <f ca="1" t="shared" si="20"/>
        <v>1219.63073979419</v>
      </c>
      <c r="AD22" s="153">
        <f ca="1" t="shared" si="20"/>
        <v>1225.67009535357</v>
      </c>
      <c r="AE22" s="153">
        <f ca="1" t="shared" si="20"/>
        <v>1213.03742291387</v>
      </c>
    </row>
    <row r="23" s="91" customFormat="1" spans="1:31">
      <c r="A23" s="132">
        <v>1017.5</v>
      </c>
      <c r="B23" s="133">
        <v>961.57</v>
      </c>
      <c r="C23" s="133">
        <v>947.23</v>
      </c>
      <c r="D23" s="133">
        <v>921.22</v>
      </c>
      <c r="E23" s="133">
        <v>881.65</v>
      </c>
      <c r="F23" s="133">
        <v>843.75</v>
      </c>
      <c r="G23" s="133">
        <v>802.98</v>
      </c>
      <c r="H23" s="133">
        <v>705.43</v>
      </c>
      <c r="I23" s="133">
        <v>572.8</v>
      </c>
      <c r="J23" s="133"/>
      <c r="K23" s="132">
        <f t="shared" si="0"/>
        <v>1017.5</v>
      </c>
      <c r="L23" s="133">
        <f t="shared" si="2"/>
        <v>979.809654676259</v>
      </c>
      <c r="M23" s="133">
        <f t="shared" si="3"/>
        <v>929.040020771297</v>
      </c>
      <c r="N23" s="133">
        <f t="shared" si="4"/>
        <v>903.124355093015</v>
      </c>
      <c r="O23" s="133">
        <f t="shared" si="5"/>
        <v>881.863808265434</v>
      </c>
      <c r="P23" s="133">
        <f t="shared" si="6"/>
        <v>861.776901895138</v>
      </c>
      <c r="Q23" s="133">
        <f t="shared" si="7"/>
        <v>844.056970728788</v>
      </c>
      <c r="R23" s="133">
        <f t="shared" si="8"/>
        <v>822.957717989405</v>
      </c>
      <c r="S23" s="133">
        <f t="shared" si="9"/>
        <v>803.46370353009</v>
      </c>
      <c r="T23" s="133">
        <f t="shared" si="10"/>
        <v>754.094416381089</v>
      </c>
      <c r="U23" s="133">
        <f t="shared" si="11"/>
        <v>706.922551472125</v>
      </c>
      <c r="V23" s="133">
        <f t="shared" si="12"/>
        <v>585.385328467153</v>
      </c>
      <c r="X23" s="142" t="s">
        <v>132</v>
      </c>
      <c r="Y23" s="106"/>
      <c r="Z23" s="810">
        <f ca="1" t="shared" ref="Z23:AE23" si="21">Z22/Y22-1</f>
        <v>-0.189120187384701</v>
      </c>
      <c r="AA23" s="810">
        <f ca="1" t="shared" si="21"/>
        <v>0.304611527949108</v>
      </c>
      <c r="AB23" s="810">
        <f ca="1" t="shared" si="21"/>
        <v>0.220047660755241</v>
      </c>
      <c r="AC23" s="810">
        <f ca="1" t="shared" si="21"/>
        <v>0.0559059753685842</v>
      </c>
      <c r="AD23" s="810">
        <f ca="1" t="shared" si="21"/>
        <v>0.00495179021184633</v>
      </c>
      <c r="AE23" s="810">
        <f ca="1" t="shared" si="21"/>
        <v>-0.0103067477028195</v>
      </c>
    </row>
    <row r="24" s="91" customFormat="1" spans="1:31">
      <c r="A24" s="132">
        <v>1072.5</v>
      </c>
      <c r="B24" s="133">
        <v>973.17</v>
      </c>
      <c r="C24" s="133">
        <v>963.66</v>
      </c>
      <c r="D24" s="133">
        <v>934.07</v>
      </c>
      <c r="E24" s="133">
        <v>890.11</v>
      </c>
      <c r="F24" s="133">
        <v>843.36</v>
      </c>
      <c r="G24" s="133">
        <v>767.04</v>
      </c>
      <c r="H24" s="133">
        <v>604.54</v>
      </c>
      <c r="I24" s="133">
        <v>458.62</v>
      </c>
      <c r="J24" s="133"/>
      <c r="K24" s="132">
        <f t="shared" si="0"/>
        <v>1072.5</v>
      </c>
      <c r="L24" s="133">
        <f t="shared" si="2"/>
        <v>985.26617266187</v>
      </c>
      <c r="M24" s="133">
        <f t="shared" si="3"/>
        <v>942.966363499526</v>
      </c>
      <c r="N24" s="133">
        <f t="shared" si="4"/>
        <v>913.966776595626</v>
      </c>
      <c r="O24" s="133">
        <f t="shared" si="5"/>
        <v>890.347528717425</v>
      </c>
      <c r="P24" s="133">
        <f t="shared" si="6"/>
        <v>865.596349963</v>
      </c>
      <c r="Q24" s="133">
        <f t="shared" si="7"/>
        <v>843.738651228782</v>
      </c>
      <c r="R24" s="133">
        <f t="shared" si="8"/>
        <v>804.437582461402</v>
      </c>
      <c r="S24" s="133">
        <f t="shared" si="9"/>
        <v>767.945475923878</v>
      </c>
      <c r="T24" s="133">
        <f t="shared" si="10"/>
        <v>685.605788435951</v>
      </c>
      <c r="U24" s="133">
        <f t="shared" si="11"/>
        <v>607.026310755718</v>
      </c>
      <c r="V24" s="133">
        <f t="shared" si="12"/>
        <v>472.466423357664</v>
      </c>
      <c r="X24" s="161" t="s">
        <v>133</v>
      </c>
      <c r="Y24" s="106"/>
      <c r="Z24" s="162">
        <f ca="1">-LN(1-Z23)*150%/2/3600</f>
        <v>-3.60861865303921e-5</v>
      </c>
      <c r="AA24" s="162">
        <f ca="1">-LN(1-AA23)*150%/6/3600</f>
        <v>2.52280997904129e-5</v>
      </c>
      <c r="AB24" s="162">
        <f ca="1">-LN(1-AB23)*150%/16/3600</f>
        <v>6.47193918483741e-6</v>
      </c>
      <c r="AC24" s="162">
        <f ca="1" t="shared" ref="AC24:AE24" si="22">-LN(1-AC23)*150%/24/3600</f>
        <v>9.98776309597822e-7</v>
      </c>
      <c r="AD24" s="162">
        <f ca="1" t="shared" si="22"/>
        <v>8.61821345297086e-8</v>
      </c>
      <c r="AE24" s="162">
        <f ca="1" t="shared" si="22"/>
        <v>-1.78020752418261e-7</v>
      </c>
    </row>
    <row r="25" s="91" customFormat="1" spans="1:22">
      <c r="A25" s="129"/>
      <c r="B25" s="129"/>
      <c r="C25" s="134">
        <f t="shared" ref="C25:I25" si="23">PI()*(C4*C4-B4*B4)</f>
        <v>2151.09247221008</v>
      </c>
      <c r="D25" s="134">
        <f t="shared" si="23"/>
        <v>6112.80448536406</v>
      </c>
      <c r="E25" s="134">
        <f t="shared" si="23"/>
        <v>12038.1859512447</v>
      </c>
      <c r="F25" s="134">
        <f t="shared" si="23"/>
        <v>14188.2225341639</v>
      </c>
      <c r="G25" s="134">
        <f t="shared" si="23"/>
        <v>14190.0880118816</v>
      </c>
      <c r="H25" s="134">
        <f t="shared" si="23"/>
        <v>14185.2983397219</v>
      </c>
      <c r="I25" s="134">
        <f t="shared" si="23"/>
        <v>7575.18036561312</v>
      </c>
      <c r="J25" s="134"/>
      <c r="K25" s="129"/>
      <c r="L25" s="129"/>
      <c r="M25" s="134">
        <f t="shared" ref="M25:V25" si="24">PI()*(M4*M4-L4*L4)</f>
        <v>7068.58347057703</v>
      </c>
      <c r="N25" s="134">
        <f t="shared" si="24"/>
        <v>7068.58347057703</v>
      </c>
      <c r="O25" s="134">
        <f t="shared" si="24"/>
        <v>7068.58347057704</v>
      </c>
      <c r="P25" s="134">
        <f t="shared" si="24"/>
        <v>7068.58347057703</v>
      </c>
      <c r="Q25" s="134">
        <f t="shared" si="24"/>
        <v>7068.58347057703</v>
      </c>
      <c r="R25" s="134">
        <f t="shared" si="24"/>
        <v>7068.58347057704</v>
      </c>
      <c r="S25" s="134">
        <f t="shared" si="24"/>
        <v>7068.58347057703</v>
      </c>
      <c r="T25" s="134">
        <f t="shared" si="24"/>
        <v>7068.58347057703</v>
      </c>
      <c r="U25" s="134">
        <f t="shared" si="24"/>
        <v>7068.58347057705</v>
      </c>
      <c r="V25" s="134">
        <f t="shared" si="24"/>
        <v>7068.58347057703</v>
      </c>
    </row>
    <row r="26" s="91" customFormat="1" spans="1:31">
      <c r="A26" s="129" t="s">
        <v>134</v>
      </c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X26" s="146" t="s">
        <v>135</v>
      </c>
      <c r="Y26" s="155" t="str">
        <f t="shared" ref="Y26:AE26" si="25">Y3</f>
        <v>0h</v>
      </c>
      <c r="Z26" s="155" t="str">
        <f t="shared" si="25"/>
        <v>2h</v>
      </c>
      <c r="AA26" s="155" t="str">
        <f t="shared" si="25"/>
        <v>8h</v>
      </c>
      <c r="AB26" s="155" t="str">
        <f t="shared" si="25"/>
        <v>24h</v>
      </c>
      <c r="AC26" s="155" t="str">
        <f t="shared" si="25"/>
        <v>48h</v>
      </c>
      <c r="AD26" s="155" t="str">
        <f t="shared" si="25"/>
        <v>72h</v>
      </c>
      <c r="AE26" s="155" t="str">
        <f t="shared" si="25"/>
        <v>96h</v>
      </c>
    </row>
    <row r="27" s="91" customFormat="1" spans="1:38">
      <c r="A27" s="132" t="s">
        <v>128</v>
      </c>
      <c r="B27" s="133">
        <v>17.68</v>
      </c>
      <c r="C27" s="133">
        <v>31.58</v>
      </c>
      <c r="D27" s="133">
        <v>54.25</v>
      </c>
      <c r="E27" s="133">
        <v>82.31</v>
      </c>
      <c r="F27" s="133">
        <v>106.26</v>
      </c>
      <c r="G27" s="133">
        <v>125.73</v>
      </c>
      <c r="H27" s="133">
        <v>142.56</v>
      </c>
      <c r="I27" s="133">
        <v>150.78</v>
      </c>
      <c r="J27" s="133"/>
      <c r="K27" s="132" t="str">
        <f t="shared" ref="K27:K47" si="26">A27</f>
        <v>R/Z[cm]</v>
      </c>
      <c r="L27" s="141">
        <v>0</v>
      </c>
      <c r="M27" s="141">
        <f t="shared" ref="M27:V27" si="27">SQRT(L27*L27+150*150/10)</f>
        <v>47.4341649025257</v>
      </c>
      <c r="N27" s="141">
        <f t="shared" si="27"/>
        <v>67.0820393249937</v>
      </c>
      <c r="O27" s="141">
        <f t="shared" si="27"/>
        <v>82.1583836257749</v>
      </c>
      <c r="P27" s="141">
        <f t="shared" si="27"/>
        <v>94.8683298050514</v>
      </c>
      <c r="Q27" s="141">
        <f t="shared" si="27"/>
        <v>106.066017177982</v>
      </c>
      <c r="R27" s="141">
        <f t="shared" si="27"/>
        <v>116.189500386223</v>
      </c>
      <c r="S27" s="141">
        <f t="shared" si="27"/>
        <v>125.499003980111</v>
      </c>
      <c r="T27" s="141">
        <f t="shared" si="27"/>
        <v>134.164078649987</v>
      </c>
      <c r="U27" s="141">
        <f t="shared" si="27"/>
        <v>142.302494707577</v>
      </c>
      <c r="V27" s="141">
        <f t="shared" si="27"/>
        <v>150</v>
      </c>
      <c r="X27" s="106" t="str">
        <f>事故释放率!A4</f>
        <v>Kr-83m</v>
      </c>
      <c r="Y27" s="156">
        <f ca="1" t="array" ref="Y27">SUMPRODUCT(Y$5:Y$18,TRANSPOSE(事故释放率!$B4:$O4))</f>
        <v>5.73335971691486e-11</v>
      </c>
      <c r="Z27" s="156">
        <f ca="1" t="array" ref="Z27">SUMPRODUCT(Z$5:Z$18,TRANSPOSE(事故释放率!$B4:$O4))</f>
        <v>3.42587559943181e-11</v>
      </c>
      <c r="AA27" s="156">
        <f ca="1" t="array" ref="AA27">SUMPRODUCT(AA$5:AA$18,TRANSPOSE(事故释放率!$B4:$O4))</f>
        <v>6.34129472458561e-11</v>
      </c>
      <c r="AB27" s="156">
        <f ca="1" t="array" ref="AB27">SUMPRODUCT(AB$5:AB$18,TRANSPOSE(事故释放率!$B4:$O4))</f>
        <v>2.12345685220129e-10</v>
      </c>
      <c r="AC27" s="156">
        <f ca="1" t="array" ref="AC27">SUMPRODUCT(AC$5:AC$18,TRANSPOSE(事故释放率!$B4:$O4))</f>
        <v>3.10187632066041e-10</v>
      </c>
      <c r="AD27" s="156">
        <f ca="1" t="array" ref="AD27">SUMPRODUCT(AD$5:AD$18,TRANSPOSE(事故释放率!$B4:$O4))</f>
        <v>2.99947062706766e-10</v>
      </c>
      <c r="AE27" s="156">
        <f ca="1" t="array" ref="AE27">SUMPRODUCT(AE$5:AE$18,TRANSPOSE(事故释放率!$B4:$O4))</f>
        <v>2.24729259278157e-10</v>
      </c>
      <c r="AG27" s="156">
        <f ca="1">MMULT(事故释放率!$B4:$O4,Y$5:Y$18)</f>
        <v>5.73335971691486e-11</v>
      </c>
      <c r="AH27" s="156">
        <f ca="1">MMULT(事故释放率!$B4:$O4,Z$5:Z$18)</f>
        <v>3.42587559943181e-11</v>
      </c>
      <c r="AI27" s="156">
        <f ca="1">MMULT(事故释放率!$B4:$O4,AA$5:AA$18)</f>
        <v>6.34129472458561e-11</v>
      </c>
      <c r="AJ27" s="156">
        <f ca="1">MMULT(事故释放率!$B4:$O4,AB$5:AB$18)</f>
        <v>2.12345685220129e-10</v>
      </c>
      <c r="AK27" s="156">
        <f ca="1">MMULT(事故释放率!$B4:$O4,AC$5:AC$18)</f>
        <v>3.10187632066041e-10</v>
      </c>
      <c r="AL27" s="156">
        <f ca="1">MMULT(事故释放率!$B4:$O4,AD$5:AD$18)</f>
        <v>2.99947062706766e-10</v>
      </c>
    </row>
    <row r="28" s="91" customFormat="1" spans="1:38">
      <c r="A28" s="132">
        <v>27.5</v>
      </c>
      <c r="B28" s="135">
        <v>238.12</v>
      </c>
      <c r="C28" s="135">
        <v>237.94</v>
      </c>
      <c r="D28" s="135">
        <v>237.39</v>
      </c>
      <c r="E28" s="135">
        <v>236.49</v>
      </c>
      <c r="F28" s="135">
        <v>235.57</v>
      </c>
      <c r="G28" s="135">
        <v>234.87</v>
      </c>
      <c r="H28" s="135">
        <v>234.88</v>
      </c>
      <c r="I28" s="135">
        <v>234.81</v>
      </c>
      <c r="J28" s="133"/>
      <c r="K28" s="132">
        <f t="shared" si="26"/>
        <v>27.5</v>
      </c>
      <c r="L28" s="133">
        <f t="shared" ref="L28:L47" si="28">TREND(B28:C28,B$4:C$4,L$4)</f>
        <v>238.348949640288</v>
      </c>
      <c r="M28" s="133">
        <f t="shared" ref="M28:M47" si="29">TREND(C28:D28,C$4:D$4,M$4)</f>
        <v>237.555359916348</v>
      </c>
      <c r="N28" s="133">
        <f t="shared" ref="N28:N47" si="30">TREND(D28:E28,D$4:E$4,N$4)</f>
        <v>236.978423542677</v>
      </c>
      <c r="O28" s="133">
        <f t="shared" ref="O28:O47" si="31">TREND(D28:E28,D$4:E$4,O$4)</f>
        <v>236.494862962823</v>
      </c>
      <c r="P28" s="133">
        <f t="shared" ref="P28:P47" si="32">TREND(E28:F28,E$4:F$4,P$4)</f>
        <v>236.007592341518</v>
      </c>
      <c r="Q28" s="133">
        <f t="shared" ref="Q28:Q47" si="33">TREND(E28:F28,E$4:F$4,Q$4)</f>
        <v>235.577451532203</v>
      </c>
      <c r="R28" s="133">
        <f t="shared" ref="R28:R47" si="34">TREND(F28:G28,F$4:G$4,R$4)</f>
        <v>235.213007176664</v>
      </c>
      <c r="S28" s="133">
        <f t="shared" ref="S28:S47" si="35">TREND(F28:G28,F$4:G$4,S$4)</f>
        <v>234.87830494165</v>
      </c>
      <c r="T28" s="133">
        <f t="shared" ref="T28:T47" si="36">TREND(G28:H28,G$4:H$4,T$4)</f>
        <v>234.875011336096</v>
      </c>
      <c r="U28" s="133">
        <f t="shared" ref="U28:U47" si="37">TREND(G28:H28,G$4:H$4,U$4)</f>
        <v>234.879846996261</v>
      </c>
      <c r="V28" s="133">
        <f t="shared" ref="V28:V47" si="38">TREND(H28:I28,H$4:I$4,V$4)</f>
        <v>234.816642335766</v>
      </c>
      <c r="X28" s="106" t="str">
        <f>事故释放率!A5</f>
        <v>Kr-85</v>
      </c>
      <c r="Y28" s="156">
        <f ca="1" t="array" ref="Y28">SUMPRODUCT(Y$5:Y$18,TRANSPOSE(事故释放率!$B5:$O5))</f>
        <v>2.047507e-13</v>
      </c>
      <c r="Z28" s="156">
        <f ca="1" t="array" ref="Z28">SUMPRODUCT(Z$5:Z$18,TRANSPOSE(事故释放率!$B5:$O5))</f>
        <v>5.66693e-14</v>
      </c>
      <c r="AA28" s="156">
        <f ca="1" t="array" ref="AA28">SUMPRODUCT(AA$5:AA$18,TRANSPOSE(事故释放率!$B5:$O5))</f>
        <v>2.22353e-13</v>
      </c>
      <c r="AB28" s="156">
        <f ca="1" t="array" ref="AB28">SUMPRODUCT(AB$5:AB$18,TRANSPOSE(事故释放率!$B5:$O5))</f>
        <v>7.0381727e-12</v>
      </c>
      <c r="AC28" s="156">
        <f ca="1" t="array" ref="AC28">SUMPRODUCT(AC$5:AC$18,TRANSPOSE(事故释放率!$B5:$O5))</f>
        <v>1.11891224e-11</v>
      </c>
      <c r="AD28" s="156">
        <f ca="1" t="array" ref="AD28">SUMPRODUCT(AD$5:AD$18,TRANSPOSE(事故释放率!$B5:$O5))</f>
        <v>1.07549063e-11</v>
      </c>
      <c r="AE28" s="156">
        <f ca="1" t="array" ref="AE28">SUMPRODUCT(AE$5:AE$18,TRANSPOSE(事故释放率!$B5:$O5))</f>
        <v>8.2318198e-12</v>
      </c>
      <c r="AG28" s="156">
        <f ca="1">MMULT(事故释放率!$B5:$O5,Y$5:Y$18)</f>
        <v>2.047507e-13</v>
      </c>
      <c r="AH28" s="156">
        <f ca="1">MMULT(事故释放率!$B5:$O5,Z$5:Z$18)</f>
        <v>5.66693e-14</v>
      </c>
      <c r="AI28" s="156">
        <f ca="1">MMULT(事故释放率!$B5:$O5,AA$5:AA$18)</f>
        <v>2.22353e-13</v>
      </c>
      <c r="AJ28" s="156">
        <f ca="1">MMULT(事故释放率!$B5:$O5,AB$5:AB$18)</f>
        <v>7.0381727e-12</v>
      </c>
      <c r="AK28" s="156">
        <f ca="1">MMULT(事故释放率!$B5:$O5,AC$5:AC$18)</f>
        <v>1.11891224e-11</v>
      </c>
      <c r="AL28" s="156">
        <f ca="1">MMULT(事故释放率!$B5:$O5,AD$5:AD$18)</f>
        <v>1.07549063e-11</v>
      </c>
    </row>
    <row r="29" s="91" customFormat="1" spans="1:38">
      <c r="A29" s="132">
        <v>82.5</v>
      </c>
      <c r="B29" s="135">
        <v>253.76</v>
      </c>
      <c r="C29" s="135">
        <v>253.26</v>
      </c>
      <c r="D29" s="135">
        <v>251.92</v>
      </c>
      <c r="E29" s="135">
        <v>249.54</v>
      </c>
      <c r="F29" s="135">
        <v>246.99</v>
      </c>
      <c r="G29" s="135">
        <v>245.06</v>
      </c>
      <c r="H29" s="135">
        <v>244.65</v>
      </c>
      <c r="I29" s="135">
        <v>242.64</v>
      </c>
      <c r="J29" s="133"/>
      <c r="K29" s="132">
        <f t="shared" si="26"/>
        <v>82.5</v>
      </c>
      <c r="L29" s="133">
        <f t="shared" si="28"/>
        <v>254.395971223022</v>
      </c>
      <c r="M29" s="133">
        <f t="shared" si="29"/>
        <v>252.322876887103</v>
      </c>
      <c r="N29" s="133">
        <f t="shared" si="30"/>
        <v>250.831608923967</v>
      </c>
      <c r="O29" s="133">
        <f t="shared" si="31"/>
        <v>249.55285983502</v>
      </c>
      <c r="P29" s="133">
        <f t="shared" si="32"/>
        <v>248.202891816164</v>
      </c>
      <c r="Q29" s="133">
        <f t="shared" si="33"/>
        <v>247.010653703388</v>
      </c>
      <c r="R29" s="133">
        <f t="shared" si="34"/>
        <v>246.005719787087</v>
      </c>
      <c r="S29" s="133">
        <f t="shared" si="35"/>
        <v>245.082897910549</v>
      </c>
      <c r="T29" s="133">
        <f t="shared" si="36"/>
        <v>244.854535220054</v>
      </c>
      <c r="U29" s="133">
        <f t="shared" si="37"/>
        <v>244.656273153291</v>
      </c>
      <c r="V29" s="133">
        <f t="shared" si="38"/>
        <v>242.830729927007</v>
      </c>
      <c r="X29" s="106" t="str">
        <f>事故释放率!A6</f>
        <v>Kr-85m</v>
      </c>
      <c r="Y29" s="156">
        <f ca="1" t="array" ref="Y29">SUMPRODUCT(Y$5:Y$18,TRANSPOSE(事故释放率!$B6:$O6))</f>
        <v>3.68314838060086e-11</v>
      </c>
      <c r="Z29" s="156">
        <f ca="1" t="array" ref="Z29">SUMPRODUCT(Z$5:Z$18,TRANSPOSE(事故释放率!$B6:$O6))</f>
        <v>2.2015938217979e-11</v>
      </c>
      <c r="AA29" s="156">
        <f ca="1" t="array" ref="AA29">SUMPRODUCT(AA$5:AA$18,TRANSPOSE(事故释放率!$B6:$O6))</f>
        <v>4.07367032121221e-11</v>
      </c>
      <c r="AB29" s="156">
        <f ca="1" t="array" ref="AB29">SUMPRODUCT(AB$5:AB$18,TRANSPOSE(事故释放率!$B6:$O6))</f>
        <v>1.35754884388422e-10</v>
      </c>
      <c r="AC29" s="156">
        <f ca="1" t="array" ref="AC29">SUMPRODUCT(AC$5:AC$18,TRANSPOSE(事故释放率!$B6:$O6))</f>
        <v>1.98049967659929e-10</v>
      </c>
      <c r="AD29" s="156">
        <f ca="1" t="array" ref="AD29">SUMPRODUCT(AD$5:AD$18,TRANSPOSE(事故释放率!$B6:$O6))</f>
        <v>1.91515705269419e-10</v>
      </c>
      <c r="AE29" s="156">
        <f ca="1" t="array" ref="AE29">SUMPRODUCT(AE$5:AE$18,TRANSPOSE(事故释放率!$B6:$O6))</f>
        <v>1.43825466101109e-10</v>
      </c>
      <c r="AG29" s="156">
        <f ca="1">MMULT(事故释放率!$B6:$O6,Y$5:Y$18)</f>
        <v>3.68314838060086e-11</v>
      </c>
      <c r="AH29" s="156">
        <f ca="1">MMULT(事故释放率!$B6:$O6,Z$5:Z$18)</f>
        <v>2.2015938217979e-11</v>
      </c>
      <c r="AI29" s="156">
        <f ca="1">MMULT(事故释放率!$B6:$O6,AA$5:AA$18)</f>
        <v>4.07367032121221e-11</v>
      </c>
      <c r="AJ29" s="156">
        <f ca="1">MMULT(事故释放率!$B6:$O6,AB$5:AB$18)</f>
        <v>1.35754884388422e-10</v>
      </c>
      <c r="AK29" s="156">
        <f ca="1">MMULT(事故释放率!$B6:$O6,AC$5:AC$18)</f>
        <v>1.98049967659929e-10</v>
      </c>
      <c r="AL29" s="156">
        <f ca="1">MMULT(事故释放率!$B6:$O6,AD$5:AD$18)</f>
        <v>1.91515705269419e-10</v>
      </c>
    </row>
    <row r="30" s="91" customFormat="1" spans="1:38">
      <c r="A30" s="132">
        <v>137.5</v>
      </c>
      <c r="B30" s="135">
        <v>274.63</v>
      </c>
      <c r="C30" s="135">
        <v>273.69</v>
      </c>
      <c r="D30" s="135">
        <v>271.3</v>
      </c>
      <c r="E30" s="135">
        <v>266.96</v>
      </c>
      <c r="F30" s="135">
        <v>262.35</v>
      </c>
      <c r="G30" s="135">
        <v>258.89</v>
      </c>
      <c r="H30" s="135">
        <v>257.9</v>
      </c>
      <c r="I30" s="135">
        <v>255.04</v>
      </c>
      <c r="J30" s="133"/>
      <c r="K30" s="132">
        <f t="shared" si="26"/>
        <v>137.5</v>
      </c>
      <c r="L30" s="133">
        <f t="shared" si="28"/>
        <v>275.825625899281</v>
      </c>
      <c r="M30" s="133">
        <f t="shared" si="29"/>
        <v>272.018564000131</v>
      </c>
      <c r="N30" s="133">
        <f t="shared" si="30"/>
        <v>269.315286861352</v>
      </c>
      <c r="O30" s="133">
        <f t="shared" si="31"/>
        <v>266.983450287389</v>
      </c>
      <c r="P30" s="133">
        <f t="shared" si="32"/>
        <v>264.542718146084</v>
      </c>
      <c r="Q30" s="133">
        <f t="shared" si="33"/>
        <v>262.387338655929</v>
      </c>
      <c r="R30" s="133">
        <f t="shared" si="34"/>
        <v>260.585435473224</v>
      </c>
      <c r="S30" s="133">
        <f t="shared" si="35"/>
        <v>258.931050140155</v>
      </c>
      <c r="T30" s="133">
        <f t="shared" si="36"/>
        <v>258.393877726471</v>
      </c>
      <c r="U30" s="133">
        <f t="shared" si="37"/>
        <v>257.915147370143</v>
      </c>
      <c r="V30" s="133">
        <f t="shared" si="38"/>
        <v>255.311386861314</v>
      </c>
      <c r="X30" s="106" t="str">
        <f>事故释放率!A7</f>
        <v>Kr-87</v>
      </c>
      <c r="Y30" s="156">
        <f ca="1" t="array" ref="Y30">SUMPRODUCT(Y$5:Y$18,TRANSPOSE(事故释放率!$B7:$O7))</f>
        <v>6.84945191553734e-11</v>
      </c>
      <c r="Z30" s="156">
        <f ca="1" t="array" ref="Z30">SUMPRODUCT(Z$5:Z$18,TRANSPOSE(事故释放率!$B7:$O7))</f>
        <v>4.09234659165133e-11</v>
      </c>
      <c r="AA30" s="156">
        <f ca="1" t="array" ref="AA30">SUMPRODUCT(AA$5:AA$18,TRANSPOSE(事故释放率!$B7:$O7))</f>
        <v>7.57574211255599e-11</v>
      </c>
      <c r="AB30" s="156">
        <f ca="1" t="array" ref="AB30">SUMPRODUCT(AB$5:AB$18,TRANSPOSE(事故释放率!$B7:$O7))</f>
        <v>2.5404213206774e-10</v>
      </c>
      <c r="AC30" s="156">
        <f ca="1" t="array" ref="AC30">SUMPRODUCT(AC$5:AC$18,TRANSPOSE(事故释放率!$B7:$O7))</f>
        <v>3.71236763216498e-10</v>
      </c>
      <c r="AD30" s="156">
        <f ca="1" t="array" ref="AD30">SUMPRODUCT(AD$5:AD$18,TRANSPOSE(事故释放率!$B7:$O7))</f>
        <v>3.58978421830239e-10</v>
      </c>
      <c r="AE30" s="156">
        <f ca="1" t="array" ref="AE30">SUMPRODUCT(AE$5:AE$18,TRANSPOSE(事故释放率!$B7:$O7))</f>
        <v>2.68773255494827e-10</v>
      </c>
      <c r="AG30" s="156">
        <f ca="1">MMULT(事故释放率!$B7:$O7,Y$5:Y$18)</f>
        <v>6.84945191553734e-11</v>
      </c>
      <c r="AH30" s="156">
        <f ca="1">MMULT(事故释放率!$B7:$O7,Z$5:Z$18)</f>
        <v>4.09234659165133e-11</v>
      </c>
      <c r="AI30" s="156">
        <f ca="1">MMULT(事故释放率!$B7:$O7,AA$5:AA$18)</f>
        <v>7.57574211255599e-11</v>
      </c>
      <c r="AJ30" s="156">
        <f ca="1">MMULT(事故释放率!$B7:$O7,AB$5:AB$18)</f>
        <v>2.5404213206774e-10</v>
      </c>
      <c r="AK30" s="156">
        <f ca="1">MMULT(事故释放率!$B7:$O7,AC$5:AC$18)</f>
        <v>3.71236763216498e-10</v>
      </c>
      <c r="AL30" s="156">
        <f ca="1">MMULT(事故释放率!$B7:$O7,AD$5:AD$18)</f>
        <v>3.58978421830239e-10</v>
      </c>
    </row>
    <row r="31" s="91" customFormat="1" spans="1:38">
      <c r="A31" s="132">
        <v>192.5</v>
      </c>
      <c r="B31" s="135">
        <v>299.98</v>
      </c>
      <c r="C31" s="135">
        <v>298.5</v>
      </c>
      <c r="D31" s="135">
        <v>294.86</v>
      </c>
      <c r="E31" s="135">
        <v>288.34</v>
      </c>
      <c r="F31" s="135">
        <v>281.39</v>
      </c>
      <c r="G31" s="135">
        <v>276.21</v>
      </c>
      <c r="H31" s="135">
        <v>274.55</v>
      </c>
      <c r="I31" s="135">
        <v>270.52</v>
      </c>
      <c r="J31" s="133"/>
      <c r="K31" s="132">
        <f t="shared" si="26"/>
        <v>192.5</v>
      </c>
      <c r="L31" s="133">
        <f t="shared" si="28"/>
        <v>301.862474820144</v>
      </c>
      <c r="M31" s="133">
        <f t="shared" si="29"/>
        <v>295.954381991831</v>
      </c>
      <c r="N31" s="133">
        <f t="shared" si="30"/>
        <v>291.878357220279</v>
      </c>
      <c r="O31" s="133">
        <f t="shared" si="31"/>
        <v>288.375229464004</v>
      </c>
      <c r="P31" s="133">
        <f t="shared" si="32"/>
        <v>284.695724753858</v>
      </c>
      <c r="Q31" s="133">
        <f t="shared" si="33"/>
        <v>281.446291466097</v>
      </c>
      <c r="R31" s="133">
        <f t="shared" si="34"/>
        <v>278.748253107312</v>
      </c>
      <c r="S31" s="133">
        <f t="shared" si="35"/>
        <v>276.271456568209</v>
      </c>
      <c r="T31" s="133">
        <f t="shared" si="36"/>
        <v>275.378118208023</v>
      </c>
      <c r="U31" s="133">
        <f t="shared" si="37"/>
        <v>274.575398620643</v>
      </c>
      <c r="V31" s="133">
        <f t="shared" si="38"/>
        <v>270.902408759124</v>
      </c>
      <c r="X31" s="106" t="str">
        <f>事故释放率!A8</f>
        <v>Kr-88</v>
      </c>
      <c r="Y31" s="156">
        <f ca="1" t="array" ref="Y31">SUMPRODUCT(Y$5:Y$18,TRANSPOSE(事故释放率!$B8:$O8))</f>
        <v>4.61709032162165e-11</v>
      </c>
      <c r="Z31" s="156">
        <f ca="1" t="array" ref="Z31">SUMPRODUCT(Z$5:Z$18,TRANSPOSE(事故释放率!$B8:$O8))</f>
        <v>2.75929708391774e-11</v>
      </c>
      <c r="AA31" s="156">
        <f ca="1" t="array" ref="AA31">SUMPRODUCT(AA$5:AA$18,TRANSPOSE(事故释放率!$B8:$O8))</f>
        <v>5.1066513916625e-11</v>
      </c>
      <c r="AB31" s="156">
        <f ca="1" t="array" ref="AB31">SUMPRODUCT(AB$5:AB$18,TRANSPOSE(事故释放率!$B8:$O8))</f>
        <v>1.70644044682083e-10</v>
      </c>
      <c r="AC31" s="156">
        <f ca="1" t="array" ref="AC31">SUMPRODUCT(AC$5:AC$18,TRANSPOSE(事故释放率!$B8:$O8))</f>
        <v>2.49131447981314e-10</v>
      </c>
      <c r="AD31" s="156">
        <f ca="1" t="array" ref="AD31">SUMPRODUCT(AD$5:AD$18,TRANSPOSE(事故释放率!$B8:$O8))</f>
        <v>2.40908874786794e-10</v>
      </c>
      <c r="AE31" s="156">
        <f ca="1" t="array" ref="AE31">SUMPRODUCT(AE$5:AE$18,TRANSPOSE(事故释放率!$B8:$O8))</f>
        <v>1.80679446530164e-10</v>
      </c>
      <c r="AG31" s="156">
        <f ca="1">MMULT(事故释放率!$B8:$O8,Y$5:Y$18)</f>
        <v>4.61709032162165e-11</v>
      </c>
      <c r="AH31" s="156">
        <f ca="1">MMULT(事故释放率!$B8:$O8,Z$5:Z$18)</f>
        <v>2.75929708391774e-11</v>
      </c>
      <c r="AI31" s="156">
        <f ca="1">MMULT(事故释放率!$B8:$O8,AA$5:AA$18)</f>
        <v>5.1066513916625e-11</v>
      </c>
      <c r="AJ31" s="156">
        <f ca="1">MMULT(事故释放率!$B8:$O8,AB$5:AB$18)</f>
        <v>1.70644044682083e-10</v>
      </c>
      <c r="AK31" s="156">
        <f ca="1">MMULT(事故释放率!$B8:$O8,AC$5:AC$18)</f>
        <v>2.49131447981314e-10</v>
      </c>
      <c r="AL31" s="156">
        <f ca="1">MMULT(事故释放率!$B8:$O8,AD$5:AD$18)</f>
        <v>2.40908874786794e-10</v>
      </c>
    </row>
    <row r="32" s="91" customFormat="1" spans="1:38">
      <c r="A32" s="132">
        <v>241.5</v>
      </c>
      <c r="B32" s="135">
        <v>325.53</v>
      </c>
      <c r="C32" s="135">
        <v>323.52</v>
      </c>
      <c r="D32" s="135">
        <v>318.68</v>
      </c>
      <c r="E32" s="135">
        <v>310.19</v>
      </c>
      <c r="F32" s="135">
        <v>301.21</v>
      </c>
      <c r="G32" s="135">
        <v>294.64</v>
      </c>
      <c r="H32" s="135">
        <v>292.55</v>
      </c>
      <c r="I32" s="135">
        <v>287.18</v>
      </c>
      <c r="J32" s="133"/>
      <c r="K32" s="132">
        <f t="shared" si="26"/>
        <v>241.5</v>
      </c>
      <c r="L32" s="133">
        <f t="shared" si="28"/>
        <v>328.086604316547</v>
      </c>
      <c r="M32" s="133">
        <f t="shared" si="29"/>
        <v>320.135167263863</v>
      </c>
      <c r="N32" s="133">
        <f t="shared" si="30"/>
        <v>314.797462085916</v>
      </c>
      <c r="O32" s="133">
        <f t="shared" si="31"/>
        <v>310.235873949293</v>
      </c>
      <c r="P32" s="133">
        <f t="shared" si="32"/>
        <v>305.481281768294</v>
      </c>
      <c r="Q32" s="133">
        <f t="shared" si="33"/>
        <v>301.282733433892</v>
      </c>
      <c r="R32" s="133">
        <f t="shared" si="34"/>
        <v>297.859367358116</v>
      </c>
      <c r="S32" s="133">
        <f t="shared" si="35"/>
        <v>294.717947809485</v>
      </c>
      <c r="T32" s="133">
        <f t="shared" si="36"/>
        <v>293.592630755884</v>
      </c>
      <c r="U32" s="133">
        <f t="shared" si="37"/>
        <v>292.581977781412</v>
      </c>
      <c r="V32" s="133">
        <f t="shared" si="38"/>
        <v>287.689562043796</v>
      </c>
      <c r="X32" s="106" t="str">
        <f>事故释放率!A9</f>
        <v>Xe-131m</v>
      </c>
      <c r="Y32" s="156">
        <f ca="1" t="array" ref="Y32">SUMPRODUCT(Y$5:Y$18,TRANSPOSE(事故释放率!$B9:$O9))</f>
        <v>4.55855205255296e-12</v>
      </c>
      <c r="Z32" s="156">
        <f ca="1" t="array" ref="Z32">SUMPRODUCT(Z$5:Z$18,TRANSPOSE(事故释放率!$B9:$O9))</f>
        <v>2.75055433342333e-12</v>
      </c>
      <c r="AA32" s="156">
        <f ca="1" t="array" ref="AA32">SUMPRODUCT(AA$5:AA$18,TRANSPOSE(事故释放率!$B9:$O9))</f>
        <v>5.04091262889865e-12</v>
      </c>
      <c r="AB32" s="156">
        <f ca="1" t="array" ref="AB32">SUMPRODUCT(AB$5:AB$18,TRANSPOSE(事故释放率!$B9:$O9))</f>
        <v>1.5222553803445e-11</v>
      </c>
      <c r="AC32" s="156">
        <f ca="1" t="array" ref="AC32">SUMPRODUCT(AC$5:AC$18,TRANSPOSE(事故释放率!$B9:$O9))</f>
        <v>2.15977038061754e-11</v>
      </c>
      <c r="AD32" s="156">
        <f ca="1" t="array" ref="AD32">SUMPRODUCT(AD$5:AD$18,TRANSPOSE(事故释放率!$B9:$O9))</f>
        <v>2.08949382399046e-11</v>
      </c>
      <c r="AE32" s="156">
        <f ca="1" t="array" ref="AE32">SUMPRODUCT(AE$5:AE$18,TRANSPOSE(事故释放率!$B9:$O9))</f>
        <v>1.64905513932031e-11</v>
      </c>
      <c r="AG32" s="156">
        <f ca="1">MMULT(事故释放率!$B9:$O9,Y$5:Y$18)</f>
        <v>4.55855205255296e-12</v>
      </c>
      <c r="AH32" s="156">
        <f ca="1">MMULT(事故释放率!$B9:$O9,Z$5:Z$18)</f>
        <v>2.75055433342333e-12</v>
      </c>
      <c r="AI32" s="156">
        <f ca="1">MMULT(事故释放率!$B9:$O9,AA$5:AA$18)</f>
        <v>5.04091262889865e-12</v>
      </c>
      <c r="AJ32" s="156">
        <f ca="1">MMULT(事故释放率!$B9:$O9,AB$5:AB$18)</f>
        <v>1.5222553803445e-11</v>
      </c>
      <c r="AK32" s="156">
        <f ca="1">MMULT(事故释放率!$B9:$O9,AC$5:AC$18)</f>
        <v>2.15977038061754e-11</v>
      </c>
      <c r="AL32" s="156">
        <f ca="1">MMULT(事故释放率!$B9:$O9,AD$5:AD$18)</f>
        <v>2.08949382399046e-11</v>
      </c>
    </row>
    <row r="33" s="91" customFormat="1" spans="1:38">
      <c r="A33" s="132">
        <v>296.5</v>
      </c>
      <c r="B33" s="135">
        <v>359.42</v>
      </c>
      <c r="C33" s="135">
        <v>356.75</v>
      </c>
      <c r="D33" s="135">
        <v>350.5</v>
      </c>
      <c r="E33" s="135">
        <v>339.63</v>
      </c>
      <c r="F33" s="135">
        <v>328.41</v>
      </c>
      <c r="G33" s="135">
        <v>320.72</v>
      </c>
      <c r="H33" s="135">
        <v>318.28</v>
      </c>
      <c r="I33" s="135">
        <v>305.91</v>
      </c>
      <c r="J33" s="133"/>
      <c r="K33" s="132">
        <f t="shared" si="26"/>
        <v>296.5</v>
      </c>
      <c r="L33" s="133">
        <f t="shared" si="28"/>
        <v>362.816086330935</v>
      </c>
      <c r="M33" s="133">
        <f t="shared" si="29"/>
        <v>352.379089958501</v>
      </c>
      <c r="N33" s="133">
        <f t="shared" si="30"/>
        <v>345.529071009883</v>
      </c>
      <c r="O33" s="133">
        <f t="shared" si="31"/>
        <v>339.688733784313</v>
      </c>
      <c r="P33" s="133">
        <f t="shared" si="32"/>
        <v>333.74672399112</v>
      </c>
      <c r="Q33" s="133">
        <f t="shared" si="33"/>
        <v>328.500876294908</v>
      </c>
      <c r="R33" s="133">
        <f t="shared" si="34"/>
        <v>324.488178840778</v>
      </c>
      <c r="S33" s="133">
        <f t="shared" si="35"/>
        <v>320.811235716124</v>
      </c>
      <c r="T33" s="133">
        <f t="shared" si="36"/>
        <v>319.497233992515</v>
      </c>
      <c r="U33" s="133">
        <f t="shared" si="37"/>
        <v>318.31733291227</v>
      </c>
      <c r="V33" s="133">
        <f t="shared" si="38"/>
        <v>307.083795620438</v>
      </c>
      <c r="X33" s="106" t="str">
        <f>事故释放率!A10</f>
        <v>Xe-133</v>
      </c>
      <c r="Y33" s="156">
        <f ca="1" t="array" ref="Y33">SUMPRODUCT(Y$5:Y$18,TRANSPOSE(事故释放率!$B10:$O10))</f>
        <v>6.8914605764245e-12</v>
      </c>
      <c r="Z33" s="156">
        <f ca="1" t="array" ref="Z33">SUMPRODUCT(Z$5:Z$18,TRANSPOSE(事故释放率!$B10:$O10))</f>
        <v>4.14726260018318e-12</v>
      </c>
      <c r="AA33" s="156">
        <f ca="1" t="array" ref="AA33">SUMPRODUCT(AA$5:AA$18,TRANSPOSE(事故释放率!$B10:$O10))</f>
        <v>7.62097257958598e-12</v>
      </c>
      <c r="AB33" s="156">
        <f ca="1" t="array" ref="AB33">SUMPRODUCT(AB$5:AB$18,TRANSPOSE(事故释放率!$B10:$O10))</f>
        <v>2.39239365275082e-11</v>
      </c>
      <c r="AC33" s="156">
        <f ca="1" t="array" ref="AC33">SUMPRODUCT(AC$5:AC$18,TRANSPOSE(事故释放率!$B10:$O10))</f>
        <v>3.43341262201314e-11</v>
      </c>
      <c r="AD33" s="156">
        <f ca="1" t="array" ref="AD33">SUMPRODUCT(AD$5:AD$18,TRANSPOSE(事故释放率!$B10:$O10))</f>
        <v>3.32085967922822e-11</v>
      </c>
      <c r="AE33" s="156">
        <f ca="1" t="array" ref="AE33">SUMPRODUCT(AE$5:AE$18,TRANSPOSE(事故释放率!$B10:$O10))</f>
        <v>2.56876275443931e-11</v>
      </c>
      <c r="AG33" s="156">
        <f ca="1">MMULT(事故释放率!$B10:$O10,Y$5:Y$18)</f>
        <v>6.8914605764245e-12</v>
      </c>
      <c r="AH33" s="156">
        <f ca="1">MMULT(事故释放率!$B10:$O10,Z$5:Z$18)</f>
        <v>4.14726260018318e-12</v>
      </c>
      <c r="AI33" s="156">
        <f ca="1">MMULT(事故释放率!$B10:$O10,AA$5:AA$18)</f>
        <v>7.62097257958598e-12</v>
      </c>
      <c r="AJ33" s="156">
        <f ca="1">MMULT(事故释放率!$B10:$O10,AB$5:AB$18)</f>
        <v>2.39239365275082e-11</v>
      </c>
      <c r="AK33" s="156">
        <f ca="1">MMULT(事故释放率!$B10:$O10,AC$5:AC$18)</f>
        <v>3.43341262201314e-11</v>
      </c>
      <c r="AL33" s="156">
        <f ca="1">MMULT(事故释放率!$B10:$O10,AD$5:AD$18)</f>
        <v>3.32085967922822e-11</v>
      </c>
    </row>
    <row r="34" s="91" customFormat="1" spans="1:38">
      <c r="A34" s="132">
        <v>357.5</v>
      </c>
      <c r="B34" s="135">
        <v>396.05</v>
      </c>
      <c r="C34" s="135">
        <v>392.73</v>
      </c>
      <c r="D34" s="135">
        <v>385.02</v>
      </c>
      <c r="E34" s="135">
        <v>371.76</v>
      </c>
      <c r="F34" s="135">
        <v>358.37</v>
      </c>
      <c r="G34" s="135">
        <v>349.43</v>
      </c>
      <c r="H34" s="135">
        <v>346.33</v>
      </c>
      <c r="I34" s="135">
        <v>333.03</v>
      </c>
      <c r="J34" s="133"/>
      <c r="K34" s="132">
        <f t="shared" si="26"/>
        <v>357.5</v>
      </c>
      <c r="L34" s="133">
        <f t="shared" si="28"/>
        <v>400.272848920863</v>
      </c>
      <c r="M34" s="133">
        <f t="shared" si="29"/>
        <v>387.338045372807</v>
      </c>
      <c r="N34" s="133">
        <f t="shared" si="30"/>
        <v>378.956106862102</v>
      </c>
      <c r="O34" s="133">
        <f t="shared" si="31"/>
        <v>371.831647652253</v>
      </c>
      <c r="P34" s="133">
        <f t="shared" si="32"/>
        <v>364.738871144483</v>
      </c>
      <c r="Q34" s="133">
        <f t="shared" si="33"/>
        <v>358.478452191517</v>
      </c>
      <c r="R34" s="133">
        <f t="shared" si="34"/>
        <v>353.810691656249</v>
      </c>
      <c r="S34" s="133">
        <f t="shared" si="35"/>
        <v>349.536065969071</v>
      </c>
      <c r="T34" s="133">
        <f t="shared" si="36"/>
        <v>347.876485810163</v>
      </c>
      <c r="U34" s="133">
        <f t="shared" si="37"/>
        <v>346.377431159032</v>
      </c>
      <c r="V34" s="133">
        <f t="shared" si="38"/>
        <v>334.29204379562</v>
      </c>
      <c r="X34" s="106" t="str">
        <f>事故释放率!A11</f>
        <v>Xe-133m</v>
      </c>
      <c r="Y34" s="156">
        <f ca="1" t="array" ref="Y34">SUMPRODUCT(Y$5:Y$18,TRANSPOSE(事故释放率!$B11:$O11))</f>
        <v>1.07057675436671e-11</v>
      </c>
      <c r="Z34" s="156">
        <f ca="1" t="array" ref="Z34">SUMPRODUCT(Z$5:Z$18,TRANSPOSE(事故释放率!$B11:$O11))</f>
        <v>6.43087964210511e-12</v>
      </c>
      <c r="AA34" s="156">
        <f ca="1" t="array" ref="AA34">SUMPRODUCT(AA$5:AA$18,TRANSPOSE(事故释放率!$B11:$O11))</f>
        <v>1.18393723430488e-11</v>
      </c>
      <c r="AB34" s="156">
        <f ca="1" t="array" ref="AB34">SUMPRODUCT(AB$5:AB$18,TRANSPOSE(事故释放率!$B11:$O11))</f>
        <v>3.81736715509297e-11</v>
      </c>
      <c r="AC34" s="156">
        <f ca="1" t="array" ref="AC34">SUMPRODUCT(AC$5:AC$18,TRANSPOSE(事故释放率!$B11:$O11))</f>
        <v>5.52040966026989e-11</v>
      </c>
      <c r="AD34" s="156">
        <f ca="1" t="array" ref="AD34">SUMPRODUCT(AD$5:AD$18,TRANSPOSE(事故释放率!$B11:$O11))</f>
        <v>5.33873352912567e-11</v>
      </c>
      <c r="AE34" s="156">
        <f ca="1" t="array" ref="AE34">SUMPRODUCT(AE$5:AE$18,TRANSPOSE(事故释放率!$B11:$O11))</f>
        <v>4.07363949807627e-11</v>
      </c>
      <c r="AG34" s="156">
        <f ca="1">MMULT(事故释放率!$B11:$O11,Y$5:Y$18)</f>
        <v>1.07057675436671e-11</v>
      </c>
      <c r="AH34" s="156">
        <f ca="1">MMULT(事故释放率!$B11:$O11,Z$5:Z$18)</f>
        <v>6.43087964210511e-12</v>
      </c>
      <c r="AI34" s="156">
        <f ca="1">MMULT(事故释放率!$B11:$O11,AA$5:AA$18)</f>
        <v>1.18393723430488e-11</v>
      </c>
      <c r="AJ34" s="156">
        <f ca="1">MMULT(事故释放率!$B11:$O11,AB$5:AB$18)</f>
        <v>3.81736715509297e-11</v>
      </c>
      <c r="AK34" s="156">
        <f ca="1">MMULT(事故释放率!$B11:$O11,AC$5:AC$18)</f>
        <v>5.52040966026989e-11</v>
      </c>
      <c r="AL34" s="156">
        <f ca="1">MMULT(事故释放率!$B11:$O11,AD$5:AD$18)</f>
        <v>5.33873352912567e-11</v>
      </c>
    </row>
    <row r="35" s="91" customFormat="1" spans="1:38">
      <c r="A35" s="132">
        <v>412.5</v>
      </c>
      <c r="B35" s="135">
        <v>430.65</v>
      </c>
      <c r="C35" s="135">
        <v>426.62</v>
      </c>
      <c r="D35" s="135">
        <v>417.52</v>
      </c>
      <c r="E35" s="135">
        <v>402.17</v>
      </c>
      <c r="F35" s="135">
        <v>386.87</v>
      </c>
      <c r="G35" s="135">
        <v>376.73</v>
      </c>
      <c r="H35" s="135">
        <v>373.24</v>
      </c>
      <c r="I35" s="135">
        <v>361.52</v>
      </c>
      <c r="J35" s="133"/>
      <c r="K35" s="132">
        <f t="shared" si="26"/>
        <v>412.5</v>
      </c>
      <c r="L35" s="133">
        <f t="shared" si="28"/>
        <v>435.775928057554</v>
      </c>
      <c r="M35" s="133">
        <f t="shared" si="29"/>
        <v>420.255954979577</v>
      </c>
      <c r="N35" s="133">
        <f t="shared" si="30"/>
        <v>410.500334866762</v>
      </c>
      <c r="O35" s="133">
        <f t="shared" si="31"/>
        <v>402.252940532586</v>
      </c>
      <c r="P35" s="133">
        <f t="shared" si="32"/>
        <v>394.147350896982</v>
      </c>
      <c r="Q35" s="133">
        <f t="shared" si="33"/>
        <v>386.993922220329</v>
      </c>
      <c r="R35" s="133">
        <f t="shared" si="34"/>
        <v>381.698703959101</v>
      </c>
      <c r="S35" s="133">
        <f t="shared" si="35"/>
        <v>376.850303011899</v>
      </c>
      <c r="T35" s="133">
        <f t="shared" si="36"/>
        <v>374.981043702409</v>
      </c>
      <c r="U35" s="133">
        <f t="shared" si="37"/>
        <v>373.293398304846</v>
      </c>
      <c r="V35" s="133">
        <f t="shared" si="38"/>
        <v>362.632116788321</v>
      </c>
      <c r="X35" s="106" t="str">
        <f>事故释放率!A12</f>
        <v>Xe-135</v>
      </c>
      <c r="Y35" s="156">
        <f ca="1" t="array" ref="Y35">SUMPRODUCT(Y$5:Y$18,TRANSPOSE(事故释放率!$B12:$O12))</f>
        <v>2.57353332455595e-11</v>
      </c>
      <c r="Z35" s="156">
        <f ca="1" t="array" ref="Z35">SUMPRODUCT(Z$5:Z$18,TRANSPOSE(事故释放率!$B12:$O12))</f>
        <v>1.54290240930241e-11</v>
      </c>
      <c r="AA35" s="156">
        <f ca="1" t="array" ref="AA35">SUMPRODUCT(AA$5:AA$18,TRANSPOSE(事故释放率!$B12:$O12))</f>
        <v>2.84611910143987e-11</v>
      </c>
      <c r="AB35" s="156">
        <f ca="1" t="array" ref="AB35">SUMPRODUCT(AB$5:AB$18,TRANSPOSE(事故释放率!$B12:$O12))</f>
        <v>9.43283465807332e-11</v>
      </c>
      <c r="AC35" s="156">
        <f ca="1" t="array" ref="AC35">SUMPRODUCT(AC$5:AC$18,TRANSPOSE(事故释放率!$B12:$O12))</f>
        <v>1.37450535076701e-10</v>
      </c>
      <c r="AD35" s="156">
        <f ca="1" t="array" ref="AD35">SUMPRODUCT(AD$5:AD$18,TRANSPOSE(事故释放率!$B12:$O12))</f>
        <v>1.32909971192744e-10</v>
      </c>
      <c r="AE35" s="156">
        <f ca="1" t="array" ref="AE35">SUMPRODUCT(AE$5:AE$18,TRANSPOSE(事故释放率!$B12:$O12))</f>
        <v>1.0003701630537e-10</v>
      </c>
      <c r="AG35" s="156">
        <f ca="1">MMULT(事故释放率!$B12:$O12,Y$5:Y$18)</f>
        <v>2.57353332455595e-11</v>
      </c>
      <c r="AH35" s="156">
        <f ca="1">MMULT(事故释放率!$B12:$O12,Z$5:Z$18)</f>
        <v>1.54290240930241e-11</v>
      </c>
      <c r="AI35" s="156">
        <f ca="1">MMULT(事故释放率!$B12:$O12,AA$5:AA$18)</f>
        <v>2.84611910143987e-11</v>
      </c>
      <c r="AJ35" s="156">
        <f ca="1">MMULT(事故释放率!$B12:$O12,AB$5:AB$18)</f>
        <v>9.43283465807332e-11</v>
      </c>
      <c r="AK35" s="156">
        <f ca="1">MMULT(事故释放率!$B12:$O12,AC$5:AC$18)</f>
        <v>1.37450535076701e-10</v>
      </c>
      <c r="AL35" s="156">
        <f ca="1">MMULT(事故释放率!$B12:$O12,AD$5:AD$18)</f>
        <v>1.32909971192744e-10</v>
      </c>
    </row>
    <row r="36" s="91" customFormat="1" spans="1:38">
      <c r="A36" s="132">
        <v>467.5</v>
      </c>
      <c r="B36" s="135">
        <v>464.89</v>
      </c>
      <c r="C36" s="135">
        <v>460.17</v>
      </c>
      <c r="D36" s="135">
        <v>449.67</v>
      </c>
      <c r="E36" s="135">
        <v>432.38</v>
      </c>
      <c r="F36" s="135">
        <v>415.38</v>
      </c>
      <c r="G36" s="135">
        <v>404.06</v>
      </c>
      <c r="H36" s="135">
        <v>400.15</v>
      </c>
      <c r="I36" s="135">
        <v>388.74</v>
      </c>
      <c r="J36" s="133"/>
      <c r="K36" s="132">
        <f t="shared" si="26"/>
        <v>467.5</v>
      </c>
      <c r="L36" s="133">
        <f t="shared" si="28"/>
        <v>470.893568345324</v>
      </c>
      <c r="M36" s="133">
        <f t="shared" si="29"/>
        <v>452.826871130281</v>
      </c>
      <c r="N36" s="133">
        <f t="shared" si="30"/>
        <v>441.763158947643</v>
      </c>
      <c r="O36" s="133">
        <f t="shared" si="31"/>
        <v>432.473422919114</v>
      </c>
      <c r="P36" s="133">
        <f t="shared" si="32"/>
        <v>423.465945441091</v>
      </c>
      <c r="Q36" s="133">
        <f t="shared" si="33"/>
        <v>415.517691355921</v>
      </c>
      <c r="R36" s="133">
        <f t="shared" si="34"/>
        <v>409.606916056906</v>
      </c>
      <c r="S36" s="133">
        <f t="shared" si="35"/>
        <v>404.19430277068</v>
      </c>
      <c r="T36" s="133">
        <f t="shared" si="36"/>
        <v>402.100567586367</v>
      </c>
      <c r="U36" s="133">
        <f t="shared" si="37"/>
        <v>400.209824461876</v>
      </c>
      <c r="V36" s="133">
        <f t="shared" si="38"/>
        <v>389.822700729927</v>
      </c>
      <c r="X36" s="106" t="str">
        <f>事故释放率!A13</f>
        <v>I-131</v>
      </c>
      <c r="Y36" s="156">
        <f ca="1" t="array" ref="Y36">SUMPRODUCT(Y$5:Y$18,TRANSPOSE(事故释放率!$B13:$O13))</f>
        <v>1.51678602422716e-12</v>
      </c>
      <c r="Z36" s="156">
        <f ca="1" t="array" ref="Z36">SUMPRODUCT(Z$5:Z$18,TRANSPOSE(事故释放率!$B13:$O13))</f>
        <v>3.04096462508682e-13</v>
      </c>
      <c r="AA36" s="156">
        <f ca="1" t="array" ref="AA36">SUMPRODUCT(AA$5:AA$18,TRANSPOSE(事故释放率!$B13:$O13))</f>
        <v>1.66634390344169e-12</v>
      </c>
      <c r="AB36" s="156">
        <f ca="1" t="array" ref="AB36">SUMPRODUCT(AB$5:AB$18,TRANSPOSE(事故释放率!$B13:$O13))</f>
        <v>1.53838599507191e-11</v>
      </c>
      <c r="AC36" s="156">
        <f ca="1" t="array" ref="AC36">SUMPRODUCT(AC$5:AC$18,TRANSPOSE(事故释放率!$B13:$O13))</f>
        <v>2.39088186339134e-11</v>
      </c>
      <c r="AD36" s="156">
        <f ca="1" t="array" ref="AD36">SUMPRODUCT(AD$5:AD$18,TRANSPOSE(事故释放率!$B13:$O13))</f>
        <v>2.29840275916626e-11</v>
      </c>
      <c r="AE36" s="156">
        <f ca="1" t="array" ref="AE36">SUMPRODUCT(AE$5:AE$18,TRANSPOSE(事故释放率!$B13:$O13))</f>
        <v>1.71804514897049e-11</v>
      </c>
      <c r="AG36" s="156">
        <f ca="1">MMULT(事故释放率!$B13:$O13,Y$5:Y$18)</f>
        <v>1.51678602422716e-12</v>
      </c>
      <c r="AH36" s="156">
        <f ca="1">MMULT(事故释放率!$B13:$O13,Z$5:Z$18)</f>
        <v>3.04096462508682e-13</v>
      </c>
      <c r="AI36" s="156">
        <f ca="1">MMULT(事故释放率!$B13:$O13,AA$5:AA$18)</f>
        <v>1.66634390344169e-12</v>
      </c>
      <c r="AJ36" s="156">
        <f ca="1">MMULT(事故释放率!$B13:$O13,AB$5:AB$18)</f>
        <v>1.53838599507191e-11</v>
      </c>
      <c r="AK36" s="156">
        <f ca="1">MMULT(事故释放率!$B13:$O13,AC$5:AC$18)</f>
        <v>2.39088186339134e-11</v>
      </c>
      <c r="AL36" s="156">
        <f ca="1">MMULT(事故释放率!$B13:$O13,AD$5:AD$18)</f>
        <v>2.29840275916626e-11</v>
      </c>
    </row>
    <row r="37" s="91" customFormat="1" spans="1:38">
      <c r="A37" s="132">
        <v>522.5</v>
      </c>
      <c r="B37" s="135">
        <v>498.06</v>
      </c>
      <c r="C37" s="135">
        <v>492.69</v>
      </c>
      <c r="D37" s="135">
        <v>480.89</v>
      </c>
      <c r="E37" s="135">
        <v>461.78</v>
      </c>
      <c r="F37" s="135">
        <v>443.22</v>
      </c>
      <c r="G37" s="135">
        <v>430.83</v>
      </c>
      <c r="H37" s="135">
        <v>426.4</v>
      </c>
      <c r="I37" s="135">
        <v>415.57</v>
      </c>
      <c r="J37" s="133"/>
      <c r="K37" s="132">
        <f t="shared" si="26"/>
        <v>522.5</v>
      </c>
      <c r="L37" s="133">
        <f t="shared" si="28"/>
        <v>504.890330935252</v>
      </c>
      <c r="M37" s="133">
        <f t="shared" si="29"/>
        <v>484.43772184165</v>
      </c>
      <c r="N37" s="133">
        <f t="shared" si="30"/>
        <v>472.1508598895</v>
      </c>
      <c r="O37" s="133">
        <f t="shared" si="31"/>
        <v>461.8832569106</v>
      </c>
      <c r="P37" s="133">
        <f t="shared" si="32"/>
        <v>452.047949846273</v>
      </c>
      <c r="Q37" s="133">
        <f t="shared" si="33"/>
        <v>443.370326562699</v>
      </c>
      <c r="R37" s="133">
        <f t="shared" si="34"/>
        <v>436.901227026949</v>
      </c>
      <c r="S37" s="133">
        <f t="shared" si="35"/>
        <v>430.976997467202</v>
      </c>
      <c r="T37" s="133">
        <f t="shared" si="36"/>
        <v>428.609978109362</v>
      </c>
      <c r="U37" s="133">
        <f t="shared" si="37"/>
        <v>426.467780656294</v>
      </c>
      <c r="V37" s="133">
        <f t="shared" si="38"/>
        <v>416.597664233577</v>
      </c>
      <c r="X37" s="106" t="str">
        <f>事故释放率!A14</f>
        <v>I-132</v>
      </c>
      <c r="Y37" s="156">
        <f ca="1" t="array" ref="Y37">SUMPRODUCT(Y$5:Y$18,TRANSPOSE(事故释放率!$B14:$O14))</f>
        <v>1.35366550277358e-11</v>
      </c>
      <c r="Z37" s="156">
        <f ca="1" t="array" ref="Z37">SUMPRODUCT(Z$5:Z$18,TRANSPOSE(事故释放率!$B14:$O14))</f>
        <v>2.7013642237039e-12</v>
      </c>
      <c r="AA37" s="156">
        <f ca="1" t="array" ref="AA37">SUMPRODUCT(AA$5:AA$18,TRANSPOSE(事故释放率!$B14:$O14))</f>
        <v>1.4871625306786e-11</v>
      </c>
      <c r="AB37" s="156">
        <f ca="1" t="array" ref="AB37">SUMPRODUCT(AB$5:AB$18,TRANSPOSE(事故释放率!$B14:$O14))</f>
        <v>1.5259846186717e-10</v>
      </c>
      <c r="AC37" s="156">
        <f ca="1" t="array" ref="AC37">SUMPRODUCT(AC$5:AC$18,TRANSPOSE(事故释放率!$B14:$O14))</f>
        <v>2.41630220655686e-10</v>
      </c>
      <c r="AD37" s="156">
        <f ca="1" t="array" ref="AD37">SUMPRODUCT(AD$5:AD$18,TRANSPOSE(事故释放率!$B14:$O14))</f>
        <v>2.32313078409127e-10</v>
      </c>
      <c r="AE37" s="156">
        <f ca="1" t="array" ref="AE37">SUMPRODUCT(AE$5:AE$18,TRANSPOSE(事故释放率!$B14:$O14))</f>
        <v>1.66161810935878e-10</v>
      </c>
      <c r="AG37" s="156">
        <f ca="1">MMULT(事故释放率!$B14:$O14,Y$5:Y$18)</f>
        <v>1.35366550277358e-11</v>
      </c>
      <c r="AH37" s="156">
        <f ca="1">MMULT(事故释放率!$B14:$O14,Z$5:Z$18)</f>
        <v>2.7013642237039e-12</v>
      </c>
      <c r="AI37" s="156">
        <f ca="1">MMULT(事故释放率!$B14:$O14,AA$5:AA$18)</f>
        <v>1.4871625306786e-11</v>
      </c>
      <c r="AJ37" s="156">
        <f ca="1">MMULT(事故释放率!$B14:$O14,AB$5:AB$18)</f>
        <v>1.5259846186717e-10</v>
      </c>
      <c r="AK37" s="156">
        <f ca="1">MMULT(事故释放率!$B14:$O14,AC$5:AC$18)</f>
        <v>2.41630220655686e-10</v>
      </c>
      <c r="AL37" s="156">
        <f ca="1">MMULT(事故释放率!$B14:$O14,AD$5:AD$18)</f>
        <v>2.32313078409127e-10</v>
      </c>
    </row>
    <row r="38" s="91" customFormat="1" spans="1:38">
      <c r="A38" s="132">
        <v>577.5</v>
      </c>
      <c r="B38" s="135">
        <v>529.83</v>
      </c>
      <c r="C38" s="135">
        <v>523.73</v>
      </c>
      <c r="D38" s="135">
        <v>510.65</v>
      </c>
      <c r="E38" s="135">
        <v>489.93</v>
      </c>
      <c r="F38" s="135">
        <v>470.02</v>
      </c>
      <c r="G38" s="135">
        <v>456.68</v>
      </c>
      <c r="H38" s="135">
        <v>451.45</v>
      </c>
      <c r="I38" s="135">
        <v>439.1</v>
      </c>
      <c r="J38" s="133"/>
      <c r="K38" s="132">
        <f t="shared" si="26"/>
        <v>577.5</v>
      </c>
      <c r="L38" s="133">
        <f t="shared" si="28"/>
        <v>537.588848920863</v>
      </c>
      <c r="M38" s="133">
        <f t="shared" si="29"/>
        <v>514.582559465151</v>
      </c>
      <c r="N38" s="133">
        <f t="shared" si="30"/>
        <v>501.174595338066</v>
      </c>
      <c r="O38" s="133">
        <f t="shared" si="31"/>
        <v>490.041956210761</v>
      </c>
      <c r="P38" s="133">
        <f t="shared" si="32"/>
        <v>479.490069043066</v>
      </c>
      <c r="Q38" s="133">
        <f t="shared" si="33"/>
        <v>470.181260876258</v>
      </c>
      <c r="R38" s="133">
        <f t="shared" si="34"/>
        <v>463.216736766707</v>
      </c>
      <c r="S38" s="133">
        <f t="shared" si="35"/>
        <v>456.838268459441</v>
      </c>
      <c r="T38" s="133">
        <f t="shared" si="36"/>
        <v>454.059071221662</v>
      </c>
      <c r="U38" s="133">
        <f t="shared" si="37"/>
        <v>451.530020955399</v>
      </c>
      <c r="V38" s="133">
        <f t="shared" si="38"/>
        <v>440.271897810219</v>
      </c>
      <c r="X38" s="106" t="str">
        <f>事故释放率!A15</f>
        <v>I-133</v>
      </c>
      <c r="Y38" s="156">
        <f ca="1" t="array" ref="Y38">SUMPRODUCT(Y$5:Y$18,TRANSPOSE(事故释放率!$B15:$O15))</f>
        <v>4.62129883090596e-12</v>
      </c>
      <c r="Z38" s="156">
        <f ca="1" t="array" ref="Z38">SUMPRODUCT(Z$5:Z$18,TRANSPOSE(事故释放率!$B15:$O15))</f>
        <v>9.23274693746802e-13</v>
      </c>
      <c r="AA38" s="156">
        <f ca="1" t="array" ref="AA38">SUMPRODUCT(AA$5:AA$18,TRANSPOSE(事故释放率!$B15:$O15))</f>
        <v>5.07702695770346e-12</v>
      </c>
      <c r="AB38" s="156">
        <f ca="1" t="array" ref="AB38">SUMPRODUCT(AB$5:AB$18,TRANSPOSE(事故释放率!$B15:$O15))</f>
        <v>5.08106326920365e-11</v>
      </c>
      <c r="AC38" s="156">
        <f ca="1" t="array" ref="AC38">SUMPRODUCT(AC$5:AC$18,TRANSPOSE(事故释放率!$B15:$O15))</f>
        <v>8.01172197621864e-11</v>
      </c>
      <c r="AD38" s="156">
        <f ca="1" t="array" ref="AD38">SUMPRODUCT(AD$5:AD$18,TRANSPOSE(事故释放率!$B15:$O15))</f>
        <v>7.70254910237082e-11</v>
      </c>
      <c r="AE38" s="156">
        <f ca="1" t="array" ref="AE38">SUMPRODUCT(AE$5:AE$18,TRANSPOSE(事故释放率!$B15:$O15))</f>
        <v>5.56498074649795e-11</v>
      </c>
      <c r="AG38" s="156">
        <f ca="1">MMULT(事故释放率!$B15:$O15,Y$5:Y$18)</f>
        <v>4.62129883090596e-12</v>
      </c>
      <c r="AH38" s="156">
        <f ca="1">MMULT(事故释放率!$B15:$O15,Z$5:Z$18)</f>
        <v>9.23274693746802e-13</v>
      </c>
      <c r="AI38" s="156">
        <f ca="1">MMULT(事故释放率!$B15:$O15,AA$5:AA$18)</f>
        <v>5.07702695770346e-12</v>
      </c>
      <c r="AJ38" s="156">
        <f ca="1">MMULT(事故释放率!$B15:$O15,AB$5:AB$18)</f>
        <v>5.08106326920365e-11</v>
      </c>
      <c r="AK38" s="156">
        <f ca="1">MMULT(事故释放率!$B15:$O15,AC$5:AC$18)</f>
        <v>8.01172197621864e-11</v>
      </c>
      <c r="AL38" s="156">
        <f ca="1">MMULT(事故释放率!$B15:$O15,AD$5:AD$18)</f>
        <v>7.70254910237082e-11</v>
      </c>
    </row>
    <row r="39" s="91" customFormat="1" spans="1:38">
      <c r="A39" s="132">
        <v>632.5</v>
      </c>
      <c r="B39" s="135">
        <v>559.88</v>
      </c>
      <c r="C39" s="135">
        <v>553.14</v>
      </c>
      <c r="D39" s="135">
        <v>538.9</v>
      </c>
      <c r="E39" s="135">
        <v>516.63</v>
      </c>
      <c r="F39" s="135">
        <v>495.54</v>
      </c>
      <c r="G39" s="135">
        <v>481.31</v>
      </c>
      <c r="H39" s="135">
        <v>475.22</v>
      </c>
      <c r="I39" s="135">
        <v>463.22</v>
      </c>
      <c r="J39" s="133"/>
      <c r="K39" s="132">
        <f t="shared" si="26"/>
        <v>632.5</v>
      </c>
      <c r="L39" s="133">
        <f t="shared" si="28"/>
        <v>568.452892086331</v>
      </c>
      <c r="M39" s="133">
        <f t="shared" si="29"/>
        <v>543.181318561448</v>
      </c>
      <c r="N39" s="133">
        <f t="shared" si="30"/>
        <v>528.71576921712</v>
      </c>
      <c r="O39" s="133">
        <f t="shared" si="31"/>
        <v>516.7503313134</v>
      </c>
      <c r="P39" s="133">
        <f t="shared" si="32"/>
        <v>505.571328785447</v>
      </c>
      <c r="Q39" s="133">
        <f t="shared" si="33"/>
        <v>495.710818276257</v>
      </c>
      <c r="R39" s="133">
        <f t="shared" si="34"/>
        <v>488.282845891323</v>
      </c>
      <c r="S39" s="133">
        <f t="shared" si="35"/>
        <v>481.478827599539</v>
      </c>
      <c r="T39" s="133">
        <f t="shared" si="36"/>
        <v>478.258096317384</v>
      </c>
      <c r="U39" s="133">
        <f t="shared" si="37"/>
        <v>475.313179276937</v>
      </c>
      <c r="V39" s="133">
        <f t="shared" si="38"/>
        <v>464.358686131387</v>
      </c>
      <c r="X39" s="106" t="str">
        <f>事故释放率!A16</f>
        <v>I-134</v>
      </c>
      <c r="Y39" s="156">
        <f ca="1" t="array" ref="Y39">SUMPRODUCT(Y$5:Y$18,TRANSPOSE(事故释放率!$B16:$O16))</f>
        <v>2.08821275271886e-11</v>
      </c>
      <c r="Z39" s="156">
        <f ca="1" t="array" ref="Z39">SUMPRODUCT(Z$5:Z$18,TRANSPOSE(事故释放率!$B16:$O16))</f>
        <v>4.16631811453525e-12</v>
      </c>
      <c r="AA39" s="156">
        <f ca="1" t="array" ref="AA39">SUMPRODUCT(AA$5:AA$18,TRANSPOSE(事故释放率!$B16:$O16))</f>
        <v>2.29415169808668e-11</v>
      </c>
      <c r="AB39" s="156">
        <f ca="1" t="array" ref="AB39">SUMPRODUCT(AB$5:AB$18,TRANSPOSE(事故释放率!$B16:$O16))</f>
        <v>2.36506841429345e-10</v>
      </c>
      <c r="AC39" s="156">
        <f ca="1" t="array" ref="AC39">SUMPRODUCT(AC$5:AC$18,TRANSPOSE(事故释放率!$B16:$O16))</f>
        <v>3.74784268128418e-10</v>
      </c>
      <c r="AD39" s="156">
        <f ca="1" t="array" ref="AD39">SUMPRODUCT(AD$5:AD$18,TRANSPOSE(事故释放率!$B16:$O16))</f>
        <v>3.603348725994e-10</v>
      </c>
      <c r="AE39" s="156">
        <f ca="1" t="array" ref="AE39">SUMPRODUCT(AE$5:AE$18,TRANSPOSE(事故释放率!$B16:$O16))</f>
        <v>2.5725097824566e-10</v>
      </c>
      <c r="AG39" s="156">
        <f ca="1">MMULT(事故释放率!$B16:$O16,Y$5:Y$18)</f>
        <v>2.08821275271886e-11</v>
      </c>
      <c r="AH39" s="156">
        <f ca="1">MMULT(事故释放率!$B16:$O16,Z$5:Z$18)</f>
        <v>4.16631811453525e-12</v>
      </c>
      <c r="AI39" s="156">
        <f ca="1">MMULT(事故释放率!$B16:$O16,AA$5:AA$18)</f>
        <v>2.29415169808668e-11</v>
      </c>
      <c r="AJ39" s="156">
        <f ca="1">MMULT(事故释放率!$B16:$O16,AB$5:AB$18)</f>
        <v>2.36506841429345e-10</v>
      </c>
      <c r="AK39" s="156">
        <f ca="1">MMULT(事故释放率!$B16:$O16,AC$5:AC$18)</f>
        <v>3.74784268128418e-10</v>
      </c>
      <c r="AL39" s="156">
        <f ca="1">MMULT(事故释放率!$B16:$O16,AD$5:AD$18)</f>
        <v>3.603348725994e-10</v>
      </c>
    </row>
    <row r="40" s="91" customFormat="1" ht="13.5" customHeight="1" spans="1:38">
      <c r="A40" s="132">
        <v>687.5</v>
      </c>
      <c r="B40" s="135">
        <v>587.92</v>
      </c>
      <c r="C40" s="135">
        <v>580.58</v>
      </c>
      <c r="D40" s="135">
        <v>565.31</v>
      </c>
      <c r="E40" s="135">
        <v>541.71</v>
      </c>
      <c r="F40" s="135">
        <v>519.53</v>
      </c>
      <c r="G40" s="135">
        <v>504.49</v>
      </c>
      <c r="H40" s="135">
        <v>497.7</v>
      </c>
      <c r="I40" s="135">
        <v>485.92</v>
      </c>
      <c r="J40" s="133"/>
      <c r="K40" s="132">
        <f t="shared" si="26"/>
        <v>687.5</v>
      </c>
      <c r="L40" s="133">
        <f t="shared" si="28"/>
        <v>597.256057553957</v>
      </c>
      <c r="M40" s="133">
        <f t="shared" si="29"/>
        <v>569.900992586609</v>
      </c>
      <c r="N40" s="133">
        <f t="shared" si="30"/>
        <v>554.517550674631</v>
      </c>
      <c r="O40" s="133">
        <f t="shared" si="31"/>
        <v>541.837517691793</v>
      </c>
      <c r="P40" s="133">
        <f t="shared" si="32"/>
        <v>530.079780581376</v>
      </c>
      <c r="Q40" s="133">
        <f t="shared" si="33"/>
        <v>519.709646722019</v>
      </c>
      <c r="R40" s="133">
        <f t="shared" si="34"/>
        <v>511.859754195748</v>
      </c>
      <c r="S40" s="133">
        <f t="shared" si="35"/>
        <v>504.668437603448</v>
      </c>
      <c r="T40" s="133">
        <f t="shared" si="36"/>
        <v>501.087302790647</v>
      </c>
      <c r="U40" s="133">
        <f t="shared" si="37"/>
        <v>497.803889538654</v>
      </c>
      <c r="V40" s="133">
        <f t="shared" si="38"/>
        <v>487.037810218978</v>
      </c>
      <c r="X40" s="106" t="str">
        <f>事故释放率!A17</f>
        <v>I-135</v>
      </c>
      <c r="Y40" s="156">
        <f ca="1" t="array" ref="Y40">SUMPRODUCT(Y$5:Y$18,TRANSPOSE(事故释放率!$B17:$O17))</f>
        <v>8.16581981569396e-12</v>
      </c>
      <c r="Z40" s="156">
        <f ca="1" t="array" ref="Z40">SUMPRODUCT(Z$5:Z$18,TRANSPOSE(事故释放率!$B17:$O17))</f>
        <v>1.63020369521663e-12</v>
      </c>
      <c r="AA40" s="156">
        <f ca="1" t="array" ref="AA40">SUMPRODUCT(AA$5:AA$18,TRANSPOSE(事故释放率!$B17:$O17))</f>
        <v>8.97111236854114e-12</v>
      </c>
      <c r="AB40" s="156">
        <f ca="1" t="array" ref="AB40">SUMPRODUCT(AB$5:AB$18,TRANSPOSE(事故释放率!$B17:$O17))</f>
        <v>9.12723033599264e-11</v>
      </c>
      <c r="AC40" s="156">
        <f ca="1" t="array" ref="AC40">SUMPRODUCT(AC$5:AC$18,TRANSPOSE(事故释放率!$B17:$O17))</f>
        <v>1.44318521305243e-10</v>
      </c>
      <c r="AD40" s="156">
        <f ca="1" t="array" ref="AD40">SUMPRODUCT(AD$5:AD$18,TRANSPOSE(事故释放率!$B17:$O17))</f>
        <v>1.38752182782016e-10</v>
      </c>
      <c r="AE40" s="156">
        <f ca="1" t="array" ref="AE40">SUMPRODUCT(AE$5:AE$18,TRANSPOSE(事故释放率!$B17:$O17))</f>
        <v>9.95810629932858e-11</v>
      </c>
      <c r="AG40" s="156">
        <f ca="1">MMULT(事故释放率!$B17:$O17,Y$5:Y$18)</f>
        <v>8.16581981569396e-12</v>
      </c>
      <c r="AH40" s="156">
        <f ca="1">MMULT(事故释放率!$B17:$O17,Z$5:Z$18)</f>
        <v>1.63020369521663e-12</v>
      </c>
      <c r="AI40" s="156">
        <f ca="1">MMULT(事故释放率!$B17:$O17,AA$5:AA$18)</f>
        <v>8.97111236854114e-12</v>
      </c>
      <c r="AJ40" s="156">
        <f ca="1">MMULT(事故释放率!$B17:$O17,AB$5:AB$18)</f>
        <v>9.12723033599264e-11</v>
      </c>
      <c r="AK40" s="156">
        <f ca="1">MMULT(事故释放率!$B17:$O17,AC$5:AC$18)</f>
        <v>1.44318521305243e-10</v>
      </c>
      <c r="AL40" s="156">
        <f ca="1">MMULT(事故释放率!$B17:$O17,AD$5:AD$18)</f>
        <v>1.38752182782016e-10</v>
      </c>
    </row>
    <row r="41" s="91" customFormat="1" ht="13.5" customHeight="1" spans="1:38">
      <c r="A41" s="132">
        <v>742.5</v>
      </c>
      <c r="B41" s="135">
        <v>613.77</v>
      </c>
      <c r="C41" s="135">
        <v>605.91</v>
      </c>
      <c r="D41" s="135">
        <v>589.69</v>
      </c>
      <c r="E41" s="135">
        <v>564.99</v>
      </c>
      <c r="F41" s="135">
        <v>541.89</v>
      </c>
      <c r="G41" s="135">
        <v>526.15</v>
      </c>
      <c r="H41" s="135">
        <v>518.64</v>
      </c>
      <c r="I41" s="135">
        <v>506.58</v>
      </c>
      <c r="J41" s="133"/>
      <c r="K41" s="132">
        <f t="shared" si="26"/>
        <v>742.5</v>
      </c>
      <c r="L41" s="133">
        <f t="shared" si="28"/>
        <v>623.767467625899</v>
      </c>
      <c r="M41" s="133">
        <f t="shared" si="29"/>
        <v>594.566614260302</v>
      </c>
      <c r="N41" s="133">
        <f t="shared" si="30"/>
        <v>578.394512782347</v>
      </c>
      <c r="O41" s="133">
        <f t="shared" si="31"/>
        <v>565.123461313021</v>
      </c>
      <c r="P41" s="133">
        <f t="shared" si="32"/>
        <v>552.877372922894</v>
      </c>
      <c r="Q41" s="133">
        <f t="shared" si="33"/>
        <v>542.077098254222</v>
      </c>
      <c r="R41" s="133">
        <f t="shared" si="34"/>
        <v>533.862761372412</v>
      </c>
      <c r="S41" s="133">
        <f t="shared" si="35"/>
        <v>526.336742545098</v>
      </c>
      <c r="T41" s="133">
        <f t="shared" si="36"/>
        <v>522.386486591717</v>
      </c>
      <c r="U41" s="133">
        <f t="shared" si="37"/>
        <v>518.754905807849</v>
      </c>
      <c r="V41" s="133">
        <f t="shared" si="38"/>
        <v>507.724379562044</v>
      </c>
      <c r="X41" s="106" t="str">
        <f>事故释放率!A18</f>
        <v>Sr-89</v>
      </c>
      <c r="Y41" s="811">
        <v>9.908e-18</v>
      </c>
      <c r="Z41" s="811">
        <v>7.6433429025333e-20</v>
      </c>
      <c r="AA41" s="811">
        <v>2.039939e-16</v>
      </c>
      <c r="AB41" s="811">
        <v>2.272423325e-13</v>
      </c>
      <c r="AC41" s="811">
        <v>1.2558905e-13</v>
      </c>
      <c r="AD41" s="811">
        <v>5.707801e-14</v>
      </c>
      <c r="AE41" s="811">
        <v>3.851261e-14</v>
      </c>
      <c r="AG41" s="156">
        <f ca="1">MMULT(事故释放率!$B18:$O18,Y$5:Y$18)</f>
        <v>4.950394364e-17</v>
      </c>
      <c r="AH41" s="156">
        <f ca="1">MMULT(事故释放率!$B18:$O18,Z$5:Z$18)</f>
        <v>1.9921411e-19</v>
      </c>
      <c r="AI41" s="156">
        <f ca="1">MMULT(事故释放率!$B18:$O18,AA$5:AA$18)</f>
        <v>5.782295845e-17</v>
      </c>
      <c r="AJ41" s="156">
        <f ca="1">MMULT(事故释放率!$B18:$O18,AB$5:AB$18)</f>
        <v>2.7451671516215e-14</v>
      </c>
      <c r="AK41" s="156">
        <f ca="1">MMULT(事故释放率!$B18:$O18,AC$5:AC$18)</f>
        <v>4.7957758166705e-14</v>
      </c>
      <c r="AL41" s="156">
        <f ca="1">MMULT(事故释放率!$B18:$O18,AD$5:AD$18)</f>
        <v>4.6013357546035e-14</v>
      </c>
    </row>
    <row r="42" s="91" customFormat="1" spans="1:38">
      <c r="A42" s="132">
        <v>797.5</v>
      </c>
      <c r="B42" s="135">
        <v>637.18</v>
      </c>
      <c r="C42" s="135">
        <v>628.84</v>
      </c>
      <c r="D42" s="135">
        <v>611.86</v>
      </c>
      <c r="E42" s="135">
        <v>586.24</v>
      </c>
      <c r="F42" s="135">
        <v>562.42</v>
      </c>
      <c r="G42" s="135">
        <v>546.08</v>
      </c>
      <c r="H42" s="135">
        <v>537.58</v>
      </c>
      <c r="I42" s="135">
        <v>523.48</v>
      </c>
      <c r="J42" s="133"/>
      <c r="K42" s="132">
        <f t="shared" si="26"/>
        <v>797.5</v>
      </c>
      <c r="L42" s="133">
        <f t="shared" si="28"/>
        <v>647.788</v>
      </c>
      <c r="M42" s="133">
        <f t="shared" si="29"/>
        <v>616.965111599255</v>
      </c>
      <c r="N42" s="133">
        <f t="shared" si="30"/>
        <v>600.143790181527</v>
      </c>
      <c r="O42" s="133">
        <f t="shared" si="31"/>
        <v>586.378432341684</v>
      </c>
      <c r="P42" s="133">
        <f t="shared" si="32"/>
        <v>573.749836494517</v>
      </c>
      <c r="Q42" s="133">
        <f t="shared" si="33"/>
        <v>562.61292988812</v>
      </c>
      <c r="R42" s="133">
        <f t="shared" si="34"/>
        <v>554.086767523838</v>
      </c>
      <c r="S42" s="133">
        <f t="shared" si="35"/>
        <v>546.273861066512</v>
      </c>
      <c r="T42" s="133">
        <f t="shared" si="36"/>
        <v>541.820364318188</v>
      </c>
      <c r="U42" s="133">
        <f t="shared" si="37"/>
        <v>537.710053177991</v>
      </c>
      <c r="V42" s="133">
        <f t="shared" si="38"/>
        <v>524.81795620438</v>
      </c>
      <c r="X42" s="106" t="str">
        <f>事故释放率!A19</f>
        <v>Sr-90</v>
      </c>
      <c r="Y42" s="811">
        <v>9.494e-18</v>
      </c>
      <c r="Z42" s="811">
        <v>7.33164217253193e-20</v>
      </c>
      <c r="AA42" s="811">
        <v>1.96348575e-16</v>
      </c>
      <c r="AB42" s="811">
        <v>2.26927515e-13</v>
      </c>
      <c r="AC42" s="811">
        <v>1.28719125e-13</v>
      </c>
      <c r="AD42" s="811">
        <v>5.93434925e-14</v>
      </c>
      <c r="AE42" s="811">
        <v>4.06279875e-14</v>
      </c>
      <c r="AG42" s="156">
        <f ca="1">MMULT(事故释放率!$B19:$O19,Y$5:Y$18)</f>
        <v>4.745742964e-17</v>
      </c>
      <c r="AH42" s="156">
        <f ca="1">MMULT(事故释放率!$B19:$O19,Z$5:Z$18)</f>
        <v>1.9297211e-19</v>
      </c>
      <c r="AI42" s="156">
        <f ca="1">MMULT(事故释放率!$B19:$O19,AA$5:AA$18)</f>
        <v>5.543235845e-17</v>
      </c>
      <c r="AJ42" s="156">
        <f ca="1">MMULT(事故释放率!$B19:$O19,AB$5:AB$18)</f>
        <v>2.6987875088215e-14</v>
      </c>
      <c r="AK42" s="156">
        <f ca="1">MMULT(事故释放率!$B19:$O19,AC$5:AC$18)</f>
        <v>4.7240433816705e-14</v>
      </c>
      <c r="AL42" s="156">
        <f ca="1">MMULT(事故释放率!$B19:$O19,AD$5:AD$18)</f>
        <v>4.5332700372035e-14</v>
      </c>
    </row>
    <row r="43" s="91" customFormat="1" spans="1:38">
      <c r="A43" s="132">
        <v>852.5</v>
      </c>
      <c r="B43" s="135">
        <v>658.02</v>
      </c>
      <c r="C43" s="135">
        <v>649.25</v>
      </c>
      <c r="D43" s="135">
        <v>631.61</v>
      </c>
      <c r="E43" s="135">
        <v>605.32</v>
      </c>
      <c r="F43" s="135">
        <v>580.95</v>
      </c>
      <c r="G43" s="135">
        <v>564.04</v>
      </c>
      <c r="H43" s="135">
        <v>553.48</v>
      </c>
      <c r="I43" s="135">
        <v>533.24</v>
      </c>
      <c r="J43" s="133"/>
      <c r="K43" s="132">
        <f t="shared" si="26"/>
        <v>852.5</v>
      </c>
      <c r="L43" s="133">
        <f t="shared" si="28"/>
        <v>669.174935251799</v>
      </c>
      <c r="M43" s="133">
        <f t="shared" si="29"/>
        <v>636.913543498873</v>
      </c>
      <c r="N43" s="133">
        <f t="shared" si="30"/>
        <v>619.587394374409</v>
      </c>
      <c r="O43" s="133">
        <f t="shared" si="31"/>
        <v>605.462052547341</v>
      </c>
      <c r="P43" s="133">
        <f t="shared" si="32"/>
        <v>592.541440611729</v>
      </c>
      <c r="Q43" s="133">
        <f t="shared" si="33"/>
        <v>581.147384608458</v>
      </c>
      <c r="R43" s="133">
        <f t="shared" si="34"/>
        <v>572.326073367693</v>
      </c>
      <c r="S43" s="133">
        <f t="shared" si="35"/>
        <v>564.240623661855</v>
      </c>
      <c r="T43" s="133">
        <f t="shared" si="36"/>
        <v>558.748029082361</v>
      </c>
      <c r="U43" s="133">
        <f t="shared" si="37"/>
        <v>553.641571948187</v>
      </c>
      <c r="V43" s="133">
        <f t="shared" si="38"/>
        <v>535.160583941606</v>
      </c>
      <c r="X43" s="106" t="str">
        <f>事故释放率!A20</f>
        <v>Cs-134</v>
      </c>
      <c r="Y43" s="811">
        <v>4.063e-14</v>
      </c>
      <c r="Z43" s="811">
        <v>1.2300820951e-15</v>
      </c>
      <c r="AA43" s="811">
        <v>2.0293e-13</v>
      </c>
      <c r="AB43" s="811">
        <v>5.2167025e-11</v>
      </c>
      <c r="AC43" s="811">
        <v>1.8432905e-10</v>
      </c>
      <c r="AD43" s="811">
        <v>1.25674175e-10</v>
      </c>
      <c r="AE43" s="811">
        <v>9.916875e-11</v>
      </c>
      <c r="AG43" s="156">
        <f ca="1">MMULT(事故释放率!$B20:$O20,Y$5:Y$18)</f>
        <v>5.8391407e-14</v>
      </c>
      <c r="AH43" s="156">
        <f ca="1">MMULT(事故释放率!$B20:$O20,Z$5:Z$18)</f>
        <v>1.087668e-15</v>
      </c>
      <c r="AI43" s="156">
        <f ca="1">MMULT(事故释放率!$B20:$O20,AA$5:AA$18)</f>
        <v>6.4218235e-14</v>
      </c>
      <c r="AJ43" s="156">
        <f ca="1">MMULT(事故释放率!$B20:$O20,AB$5:AB$18)</f>
        <v>1.07136342545e-11</v>
      </c>
      <c r="AK43" s="156">
        <f ca="1">MMULT(事故释放率!$B20:$O20,AC$5:AC$18)</f>
        <v>2.03772883165e-11</v>
      </c>
      <c r="AL43" s="156">
        <f ca="1">MMULT(事故释放率!$B20:$O20,AD$5:AD$18)</f>
        <v>2.01243530455e-11</v>
      </c>
    </row>
    <row r="44" s="91" customFormat="1" spans="1:38">
      <c r="A44" s="132">
        <v>907.5</v>
      </c>
      <c r="B44" s="135">
        <v>676.77</v>
      </c>
      <c r="C44" s="135">
        <v>667.6</v>
      </c>
      <c r="D44" s="135">
        <v>649.47</v>
      </c>
      <c r="E44" s="135">
        <v>622.65</v>
      </c>
      <c r="F44" s="135">
        <v>597.9</v>
      </c>
      <c r="G44" s="135">
        <v>580.03</v>
      </c>
      <c r="H44" s="135">
        <v>564.5</v>
      </c>
      <c r="I44" s="135">
        <v>532.89</v>
      </c>
      <c r="J44" s="133"/>
      <c r="K44" s="132">
        <f t="shared" si="26"/>
        <v>907.5</v>
      </c>
      <c r="L44" s="133">
        <f t="shared" si="28"/>
        <v>688.433712230216</v>
      </c>
      <c r="M44" s="133">
        <f t="shared" si="29"/>
        <v>654.920864151619</v>
      </c>
      <c r="N44" s="133">
        <f t="shared" si="30"/>
        <v>637.205021571763</v>
      </c>
      <c r="O44" s="133">
        <f t="shared" si="31"/>
        <v>622.794916292114</v>
      </c>
      <c r="P44" s="133">
        <f t="shared" si="32"/>
        <v>609.672185274529</v>
      </c>
      <c r="Q44" s="133">
        <f t="shared" si="33"/>
        <v>598.100462415238</v>
      </c>
      <c r="R44" s="133">
        <f t="shared" si="34"/>
        <v>588.786483209974</v>
      </c>
      <c r="S44" s="133">
        <f t="shared" si="35"/>
        <v>580.242013296118</v>
      </c>
      <c r="T44" s="133">
        <f t="shared" si="36"/>
        <v>572.247395042525</v>
      </c>
      <c r="U44" s="133">
        <f t="shared" si="37"/>
        <v>564.737614806377</v>
      </c>
      <c r="V44" s="133">
        <f t="shared" si="38"/>
        <v>535.889489051095</v>
      </c>
      <c r="X44" s="106" t="str">
        <f>事故释放率!A21</f>
        <v>Cs-137</v>
      </c>
      <c r="Y44" s="811">
        <v>4.688e-14</v>
      </c>
      <c r="Z44" s="811">
        <v>1.41983710975e-15</v>
      </c>
      <c r="AA44" s="811">
        <v>2.34313e-13</v>
      </c>
      <c r="AB44" s="811">
        <v>5.55031e-11</v>
      </c>
      <c r="AC44" s="811">
        <v>1.84852075e-10</v>
      </c>
      <c r="AD44" s="811">
        <v>1.258406e-10</v>
      </c>
      <c r="AE44" s="811">
        <v>9.9297425e-11</v>
      </c>
      <c r="AG44" s="156">
        <f ca="1">MMULT(事故释放率!$B21:$O21,Y$5:Y$18)</f>
        <v>6.3152471e-14</v>
      </c>
      <c r="AH44" s="156">
        <f ca="1">MMULT(事故释放率!$B21:$O21,Z$5:Z$18)</f>
        <v>1.116399e-15</v>
      </c>
      <c r="AI44" s="156">
        <f ca="1">MMULT(事故释放率!$B21:$O21,AA$5:AA$18)</f>
        <v>6.859938e-14</v>
      </c>
      <c r="AJ44" s="156">
        <f ca="1">MMULT(事故释放率!$B21:$O21,AB$5:AB$18)</f>
        <v>1.1286280906e-11</v>
      </c>
      <c r="AK44" s="156">
        <f ca="1">MMULT(事故释放率!$B21:$O21,AC$5:AC$18)</f>
        <v>2.1373714977e-11</v>
      </c>
      <c r="AL44" s="156">
        <f ca="1">MMULT(事故释放率!$B21:$O21,AD$5:AD$18)</f>
        <v>2.1093990359e-11</v>
      </c>
    </row>
    <row r="45" s="91" customFormat="1" spans="1:38">
      <c r="A45" s="132">
        <v>962.5</v>
      </c>
      <c r="B45" s="135">
        <v>691.6</v>
      </c>
      <c r="C45" s="135">
        <v>682.14</v>
      </c>
      <c r="D45" s="135">
        <v>663.56</v>
      </c>
      <c r="E45" s="135">
        <v>636.39</v>
      </c>
      <c r="F45" s="135">
        <v>611.25</v>
      </c>
      <c r="G45" s="135">
        <v>591.16</v>
      </c>
      <c r="H45" s="135">
        <v>563.71</v>
      </c>
      <c r="I45" s="135">
        <v>510.54</v>
      </c>
      <c r="J45" s="133"/>
      <c r="K45" s="132">
        <f t="shared" si="26"/>
        <v>962.5</v>
      </c>
      <c r="L45" s="133">
        <f t="shared" si="28"/>
        <v>703.632575539568</v>
      </c>
      <c r="M45" s="133">
        <f t="shared" si="29"/>
        <v>669.146158628631</v>
      </c>
      <c r="N45" s="133">
        <f t="shared" si="30"/>
        <v>651.134964060582</v>
      </c>
      <c r="O45" s="133">
        <f t="shared" si="31"/>
        <v>636.536807444323</v>
      </c>
      <c r="P45" s="133">
        <f t="shared" si="32"/>
        <v>623.207686375825</v>
      </c>
      <c r="Q45" s="133">
        <f t="shared" si="33"/>
        <v>611.453621216932</v>
      </c>
      <c r="R45" s="133">
        <f t="shared" si="34"/>
        <v>601.004305970251</v>
      </c>
      <c r="S45" s="133">
        <f t="shared" si="35"/>
        <v>591.39835182535</v>
      </c>
      <c r="T45" s="133">
        <f t="shared" si="36"/>
        <v>577.403882415796</v>
      </c>
      <c r="U45" s="133">
        <f t="shared" si="37"/>
        <v>564.129995263043</v>
      </c>
      <c r="V45" s="133">
        <f t="shared" si="38"/>
        <v>515.585328467153</v>
      </c>
      <c r="X45" s="106" t="str">
        <f>事故释放率!A22</f>
        <v>Ag-110m</v>
      </c>
      <c r="Y45" s="811">
        <v>1.879e-12</v>
      </c>
      <c r="Z45" s="811">
        <v>2.3542314253485e-14</v>
      </c>
      <c r="AA45" s="811">
        <v>2.310464e-11</v>
      </c>
      <c r="AB45" s="811">
        <v>4.4986e-10</v>
      </c>
      <c r="AC45" s="811">
        <v>4.7921125e-9</v>
      </c>
      <c r="AD45" s="811">
        <v>1.358616175e-8</v>
      </c>
      <c r="AE45" s="811">
        <v>2.0853149e-8</v>
      </c>
      <c r="AG45" s="156">
        <f ca="1">MMULT(事故释放率!$B22:$O22,Y$5:Y$18)</f>
        <v>5.8792278e-12</v>
      </c>
      <c r="AH45" s="156">
        <f ca="1">MMULT(事故释放率!$B22:$O22,Z$5:Z$18)</f>
        <v>6.49357e-14</v>
      </c>
      <c r="AI45" s="156">
        <f ca="1">MMULT(事故释放率!$B22:$O22,AA$5:AA$18)</f>
        <v>6.7053965e-12</v>
      </c>
      <c r="AJ45" s="156">
        <f ca="1">MMULT(事故释放率!$B22:$O22,AB$5:AB$18)</f>
        <v>7.3153039455e-10</v>
      </c>
      <c r="AK45" s="156">
        <f ca="1">MMULT(事故释放率!$B22:$O22,AC$5:AC$18)</f>
        <v>1.14353559485e-9</v>
      </c>
      <c r="AL45" s="156">
        <f ca="1">MMULT(事故释放率!$B22:$O22,AD$5:AD$18)</f>
        <v>1.10264598995e-9</v>
      </c>
    </row>
    <row r="46" s="91" customFormat="1" spans="1:38">
      <c r="A46" s="132">
        <v>1017.5</v>
      </c>
      <c r="B46" s="135">
        <v>703.26</v>
      </c>
      <c r="C46" s="135">
        <v>693.29</v>
      </c>
      <c r="D46" s="135">
        <v>675.09</v>
      </c>
      <c r="E46" s="135">
        <v>647.48</v>
      </c>
      <c r="F46" s="135">
        <v>621.18</v>
      </c>
      <c r="G46" s="135">
        <v>594.59</v>
      </c>
      <c r="H46" s="135">
        <v>540.12</v>
      </c>
      <c r="I46" s="135">
        <v>457</v>
      </c>
      <c r="J46" s="133"/>
      <c r="K46" s="132">
        <f t="shared" si="26"/>
        <v>1017.5</v>
      </c>
      <c r="L46" s="133">
        <f t="shared" si="28"/>
        <v>715.94126618705</v>
      </c>
      <c r="M46" s="133">
        <f t="shared" si="29"/>
        <v>680.561909959154</v>
      </c>
      <c r="N46" s="133">
        <f t="shared" si="30"/>
        <v>662.463748903668</v>
      </c>
      <c r="O46" s="133">
        <f t="shared" si="31"/>
        <v>647.629184892814</v>
      </c>
      <c r="P46" s="133">
        <f t="shared" si="32"/>
        <v>633.689433241217</v>
      </c>
      <c r="Q46" s="133">
        <f t="shared" si="33"/>
        <v>621.393016627101</v>
      </c>
      <c r="R46" s="133">
        <f t="shared" si="34"/>
        <v>607.619372610701</v>
      </c>
      <c r="S46" s="133">
        <f t="shared" si="35"/>
        <v>594.90546914067</v>
      </c>
      <c r="T46" s="133">
        <f t="shared" si="36"/>
        <v>567.293252283731</v>
      </c>
      <c r="U46" s="133">
        <f t="shared" si="37"/>
        <v>540.953411365316</v>
      </c>
      <c r="V46" s="133">
        <f t="shared" si="38"/>
        <v>464.887299270073</v>
      </c>
      <c r="X46" s="106" t="str">
        <f>事故释放率!A23</f>
        <v>H-3</v>
      </c>
      <c r="Y46" s="156">
        <f ca="1" t="array" ref="Y46">SUMPRODUCT(Y$5:Y$18,TRANSPOSE(事故释放率!$B23:$O23))</f>
        <v>0</v>
      </c>
      <c r="Z46" s="156">
        <f ca="1" t="array" ref="Z46">SUMPRODUCT(Z$5:Z$18,TRANSPOSE(事故释放率!$B23:$O23))</f>
        <v>0</v>
      </c>
      <c r="AA46" s="156">
        <f ca="1" t="array" ref="AA46">SUMPRODUCT(AA$5:AA$18,TRANSPOSE(事故释放率!$B23:$O23))</f>
        <v>0</v>
      </c>
      <c r="AB46" s="156">
        <f ca="1" t="array" ref="AB46">SUMPRODUCT(AB$5:AB$18,TRANSPOSE(事故释放率!$B23:$O23))</f>
        <v>0</v>
      </c>
      <c r="AC46" s="156">
        <f ca="1" t="array" ref="AC46">SUMPRODUCT(AC$5:AC$18,TRANSPOSE(事故释放率!$B23:$O23))</f>
        <v>0</v>
      </c>
      <c r="AD46" s="156">
        <f ca="1" t="array" ref="AD46">SUMPRODUCT(AD$5:AD$18,TRANSPOSE(事故释放率!$B23:$O23))</f>
        <v>0</v>
      </c>
      <c r="AE46" s="156">
        <f ca="1" t="array" ref="AE46">SUMPRODUCT(AE$5:AE$18,TRANSPOSE(事故释放率!$B23:$O23))</f>
        <v>0</v>
      </c>
      <c r="AG46" s="156">
        <f ca="1">MMULT(事故释放率!$B23:$O23,Y$5:Y$18)</f>
        <v>0</v>
      </c>
      <c r="AH46" s="156">
        <f ca="1">MMULT(事故释放率!$B23:$O23,Z$5:Z$18)</f>
        <v>0</v>
      </c>
      <c r="AI46" s="156">
        <f ca="1">MMULT(事故释放率!$B23:$O23,AA$5:AA$18)</f>
        <v>0</v>
      </c>
      <c r="AJ46" s="156">
        <f ca="1">MMULT(事故释放率!$B23:$O23,AB$5:AB$18)</f>
        <v>0</v>
      </c>
      <c r="AK46" s="156">
        <f ca="1">MMULT(事故释放率!$B23:$O23,AC$5:AC$18)</f>
        <v>0</v>
      </c>
      <c r="AL46" s="156">
        <f ca="1">MMULT(事故释放率!$B23:$O23,AD$5:AD$18)</f>
        <v>0</v>
      </c>
    </row>
    <row r="47" s="91" customFormat="1" spans="1:38">
      <c r="A47" s="132">
        <v>1072.5</v>
      </c>
      <c r="B47" s="135">
        <v>720.29</v>
      </c>
      <c r="C47" s="135">
        <v>713.68</v>
      </c>
      <c r="D47" s="135">
        <v>690.71</v>
      </c>
      <c r="E47" s="135">
        <v>659.04</v>
      </c>
      <c r="F47" s="135">
        <v>626.67</v>
      </c>
      <c r="G47" s="135">
        <v>579.59</v>
      </c>
      <c r="H47" s="135">
        <v>479.24</v>
      </c>
      <c r="I47" s="135">
        <v>371.32</v>
      </c>
      <c r="J47" s="133"/>
      <c r="K47" s="132">
        <f t="shared" si="26"/>
        <v>1072.5</v>
      </c>
      <c r="L47" s="133">
        <f t="shared" si="28"/>
        <v>728.697539568345</v>
      </c>
      <c r="M47" s="133">
        <f t="shared" si="29"/>
        <v>697.616031415482</v>
      </c>
      <c r="N47" s="133">
        <f t="shared" si="30"/>
        <v>676.227081773965</v>
      </c>
      <c r="O47" s="133">
        <f t="shared" si="31"/>
        <v>659.211122258436</v>
      </c>
      <c r="P47" s="133">
        <f t="shared" si="32"/>
        <v>642.066591407536</v>
      </c>
      <c r="Q47" s="133">
        <f t="shared" si="33"/>
        <v>626.932180540656</v>
      </c>
      <c r="R47" s="133">
        <f t="shared" si="34"/>
        <v>602.659682681903</v>
      </c>
      <c r="S47" s="133">
        <f t="shared" si="35"/>
        <v>580.148566646962</v>
      </c>
      <c r="T47" s="133">
        <f t="shared" si="36"/>
        <v>529.301242274139</v>
      </c>
      <c r="U47" s="133">
        <f t="shared" si="37"/>
        <v>480.775392518992</v>
      </c>
      <c r="V47" s="133">
        <f t="shared" si="38"/>
        <v>381.560583941606</v>
      </c>
      <c r="X47" s="106" t="str">
        <f>事故释放率!A24</f>
        <v>C-14</v>
      </c>
      <c r="Y47" s="156">
        <f ca="1" t="array" ref="Y47">SUMPRODUCT(Y$5:Y$18,TRANSPOSE(事故释放率!$B24:$O24))</f>
        <v>0</v>
      </c>
      <c r="Z47" s="156">
        <f ca="1" t="array" ref="Z47">SUMPRODUCT(Z$5:Z$18,TRANSPOSE(事故释放率!$B24:$O24))</f>
        <v>0</v>
      </c>
      <c r="AA47" s="156">
        <f ca="1" t="array" ref="AA47">SUMPRODUCT(AA$5:AA$18,TRANSPOSE(事故释放率!$B24:$O24))</f>
        <v>0</v>
      </c>
      <c r="AB47" s="156">
        <f ca="1" t="array" ref="AB47">SUMPRODUCT(AB$5:AB$18,TRANSPOSE(事故释放率!$B24:$O24))</f>
        <v>0</v>
      </c>
      <c r="AC47" s="156">
        <f ca="1" t="array" ref="AC47">SUMPRODUCT(AC$5:AC$18,TRANSPOSE(事故释放率!$B24:$O24))</f>
        <v>0</v>
      </c>
      <c r="AD47" s="156">
        <f ca="1" t="array" ref="AD47">SUMPRODUCT(AD$5:AD$18,TRANSPOSE(事故释放率!$B24:$O24))</f>
        <v>0</v>
      </c>
      <c r="AE47" s="156">
        <f ca="1" t="array" ref="AE47">SUMPRODUCT(AE$5:AE$18,TRANSPOSE(事故释放率!$B24:$O24))</f>
        <v>0</v>
      </c>
      <c r="AG47" s="156">
        <f ca="1">MMULT(事故释放率!$B24:$O24,Y$5:Y$18)</f>
        <v>0</v>
      </c>
      <c r="AH47" s="156">
        <f ca="1">MMULT(事故释放率!$B24:$O24,Z$5:Z$18)</f>
        <v>0</v>
      </c>
      <c r="AI47" s="156">
        <f ca="1">MMULT(事故释放率!$B24:$O24,AA$5:AA$18)</f>
        <v>0</v>
      </c>
      <c r="AJ47" s="156">
        <f ca="1">MMULT(事故释放率!$B24:$O24,AB$5:AB$18)</f>
        <v>0</v>
      </c>
      <c r="AK47" s="156">
        <f ca="1">MMULT(事故释放率!$B24:$O24,AC$5:AC$18)</f>
        <v>0</v>
      </c>
      <c r="AL47" s="156">
        <f ca="1">MMULT(事故释放率!$B24:$O24,AD$5:AD$18)</f>
        <v>0</v>
      </c>
    </row>
    <row r="48" s="91" customFormat="1" spans="1:38">
      <c r="A48" s="129"/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X48" s="106" t="str">
        <f>事故释放率!A25</f>
        <v>Co-60</v>
      </c>
      <c r="Y48" s="156">
        <f ca="1" t="array" ref="Y48">SUMPRODUCT(Y$5:Y$18,TRANSPOSE(事故释放率!$B25:$O25))</f>
        <v>0</v>
      </c>
      <c r="Z48" s="156">
        <f ca="1" t="array" ref="Z48">SUMPRODUCT(Z$5:Z$18,TRANSPOSE(事故释放率!$B25:$O25))</f>
        <v>0</v>
      </c>
      <c r="AA48" s="156">
        <f ca="1" t="array" ref="AA48">SUMPRODUCT(AA$5:AA$18,TRANSPOSE(事故释放率!$B25:$O25))</f>
        <v>0</v>
      </c>
      <c r="AB48" s="156">
        <f ca="1" t="array" ref="AB48">SUMPRODUCT(AB$5:AB$18,TRANSPOSE(事故释放率!$B25:$O25))</f>
        <v>0</v>
      </c>
      <c r="AC48" s="156">
        <f ca="1" t="array" ref="AC48">SUMPRODUCT(AC$5:AC$18,TRANSPOSE(事故释放率!$B25:$O25))</f>
        <v>0</v>
      </c>
      <c r="AD48" s="156">
        <f ca="1" t="array" ref="AD48">SUMPRODUCT(AD$5:AD$18,TRANSPOSE(事故释放率!$B25:$O25))</f>
        <v>0</v>
      </c>
      <c r="AE48" s="156">
        <f ca="1" t="array" ref="AE48">SUMPRODUCT(AE$5:AE$18,TRANSPOSE(事故释放率!$B25:$O25))</f>
        <v>0</v>
      </c>
      <c r="AG48" s="156">
        <f ca="1">MMULT(事故释放率!$B25:$O25,Y$5:Y$18)</f>
        <v>0</v>
      </c>
      <c r="AH48" s="156">
        <f ca="1">MMULT(事故释放率!$B25:$O25,Z$5:Z$18)</f>
        <v>0</v>
      </c>
      <c r="AI48" s="156">
        <f ca="1">MMULT(事故释放率!$B25:$O25,AA$5:AA$18)</f>
        <v>0</v>
      </c>
      <c r="AJ48" s="156">
        <f ca="1">MMULT(事故释放率!$B25:$O25,AB$5:AB$18)</f>
        <v>0</v>
      </c>
      <c r="AK48" s="156">
        <f ca="1">MMULT(事故释放率!$B25:$O25,AC$5:AC$18)</f>
        <v>0</v>
      </c>
      <c r="AL48" s="156">
        <f ca="1">MMULT(事故释放率!$B25:$O25,AD$5:AD$18)</f>
        <v>0</v>
      </c>
    </row>
    <row r="49" s="91" customFormat="1" spans="1:38">
      <c r="A49" s="129" t="s">
        <v>136</v>
      </c>
      <c r="B49" s="129"/>
      <c r="C49" s="129"/>
      <c r="D49" s="129"/>
      <c r="E49" s="129"/>
      <c r="F49" s="129"/>
      <c r="G49" s="129"/>
      <c r="H49" s="129"/>
      <c r="I49" s="129"/>
      <c r="J49" s="129"/>
      <c r="K49" s="129" t="s">
        <v>136</v>
      </c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X49" s="106" t="str">
        <f>事故释放率!A26</f>
        <v>Ar-41</v>
      </c>
      <c r="Y49" s="156">
        <f ca="1" t="array" ref="Y49">SUMPRODUCT(Y$5:Y$18,TRANSPOSE(事故释放率!$B26:$O26))</f>
        <v>0</v>
      </c>
      <c r="Z49" s="156">
        <f ca="1" t="array" ref="Z49">SUMPRODUCT(Z$5:Z$18,TRANSPOSE(事故释放率!$B26:$O26))</f>
        <v>0</v>
      </c>
      <c r="AA49" s="156">
        <f ca="1" t="array" ref="AA49">SUMPRODUCT(AA$5:AA$18,TRANSPOSE(事故释放率!$B26:$O26))</f>
        <v>0</v>
      </c>
      <c r="AB49" s="156">
        <f ca="1" t="array" ref="AB49">SUMPRODUCT(AB$5:AB$18,TRANSPOSE(事故释放率!$B26:$O26))</f>
        <v>0</v>
      </c>
      <c r="AC49" s="156">
        <f ca="1" t="array" ref="AC49">SUMPRODUCT(AC$5:AC$18,TRANSPOSE(事故释放率!$B26:$O26))</f>
        <v>0</v>
      </c>
      <c r="AD49" s="156">
        <f ca="1" t="array" ref="AD49">SUMPRODUCT(AD$5:AD$18,TRANSPOSE(事故释放率!$B26:$O26))</f>
        <v>0</v>
      </c>
      <c r="AE49" s="156">
        <f ca="1" t="array" ref="AE49">SUMPRODUCT(AE$5:AE$18,TRANSPOSE(事故释放率!$B26:$O26))</f>
        <v>0</v>
      </c>
      <c r="AG49" s="156">
        <f ca="1">MMULT(事故释放率!$B26:$O26,Y$5:Y$18)</f>
        <v>0</v>
      </c>
      <c r="AH49" s="156">
        <f ca="1">MMULT(事故释放率!$B26:$O26,Z$5:Z$18)</f>
        <v>0</v>
      </c>
      <c r="AI49" s="156">
        <f ca="1">MMULT(事故释放率!$B26:$O26,AA$5:AA$18)</f>
        <v>0</v>
      </c>
      <c r="AJ49" s="156">
        <f ca="1">MMULT(事故释放率!$B26:$O26,AB$5:AB$18)</f>
        <v>0</v>
      </c>
      <c r="AK49" s="156">
        <f ca="1">MMULT(事故释放率!$B26:$O26,AC$5:AC$18)</f>
        <v>0</v>
      </c>
      <c r="AL49" s="156">
        <f ca="1">MMULT(事故释放率!$B26:$O26,AD$5:AD$18)</f>
        <v>0</v>
      </c>
    </row>
    <row r="50" s="91" customFormat="1" spans="1:22">
      <c r="A50" s="132" t="s">
        <v>128</v>
      </c>
      <c r="B50" s="133">
        <v>17.68</v>
      </c>
      <c r="C50" s="133">
        <v>31.58</v>
      </c>
      <c r="D50" s="133">
        <v>54.25</v>
      </c>
      <c r="E50" s="133">
        <v>82.31</v>
      </c>
      <c r="F50" s="133">
        <v>106.26</v>
      </c>
      <c r="G50" s="133">
        <v>125.73</v>
      </c>
      <c r="H50" s="133">
        <v>142.56</v>
      </c>
      <c r="I50" s="133">
        <v>150.78</v>
      </c>
      <c r="J50" s="133"/>
      <c r="K50" s="132" t="str">
        <f t="shared" ref="K50:K70" si="39">A50</f>
        <v>R/Z[cm]</v>
      </c>
      <c r="L50" s="141">
        <v>0</v>
      </c>
      <c r="M50" s="141">
        <f t="shared" ref="M50:V50" si="40">SQRT(L50*L50+150*150/10)</f>
        <v>47.4341649025257</v>
      </c>
      <c r="N50" s="141">
        <f t="shared" si="40"/>
        <v>67.0820393249937</v>
      </c>
      <c r="O50" s="141">
        <f t="shared" si="40"/>
        <v>82.1583836257749</v>
      </c>
      <c r="P50" s="141">
        <f t="shared" si="40"/>
        <v>94.8683298050514</v>
      </c>
      <c r="Q50" s="141">
        <f t="shared" si="40"/>
        <v>106.066017177982</v>
      </c>
      <c r="R50" s="141">
        <f t="shared" si="40"/>
        <v>116.189500386223</v>
      </c>
      <c r="S50" s="141">
        <f t="shared" si="40"/>
        <v>125.499003980111</v>
      </c>
      <c r="T50" s="141">
        <f t="shared" si="40"/>
        <v>134.164078649987</v>
      </c>
      <c r="U50" s="141">
        <f t="shared" si="40"/>
        <v>142.302494707577</v>
      </c>
      <c r="V50" s="141">
        <f t="shared" si="40"/>
        <v>150</v>
      </c>
    </row>
    <row r="51" s="91" customFormat="1" spans="1:31">
      <c r="A51" s="132">
        <v>27.5</v>
      </c>
      <c r="B51" s="133">
        <v>562.73</v>
      </c>
      <c r="C51" s="133">
        <v>555.37</v>
      </c>
      <c r="D51" s="133">
        <v>533.78</v>
      </c>
      <c r="E51" s="133">
        <v>488.75</v>
      </c>
      <c r="F51" s="133">
        <v>432.15</v>
      </c>
      <c r="G51" s="133">
        <v>375.94</v>
      </c>
      <c r="H51" s="133">
        <v>320.39</v>
      </c>
      <c r="I51" s="133">
        <v>289.66</v>
      </c>
      <c r="J51" s="133"/>
      <c r="K51" s="132">
        <f t="shared" si="39"/>
        <v>27.5</v>
      </c>
      <c r="L51" s="133">
        <f t="shared" ref="L51:L70" si="41">TREND(B51:C51,B$4:C$4,L$4)</f>
        <v>572.091496402878</v>
      </c>
      <c r="M51" s="133">
        <f t="shared" ref="M51:M70" si="42">TREND(C51:D51,C$4:D$4,M$4)</f>
        <v>540.271128352645</v>
      </c>
      <c r="N51" s="133">
        <f t="shared" ref="N51:N70" si="43">TREND(D51:E51,D$4:E$4,N$4)</f>
        <v>513.187457918586</v>
      </c>
      <c r="O51" s="133">
        <f t="shared" ref="O51:O70" si="44">TREND(D51:E51,D$4:E$4,O$4)</f>
        <v>488.993310239892</v>
      </c>
      <c r="P51" s="133">
        <f t="shared" ref="P51:P70" si="45">TREND(E51:F51,E$4:F$4,P$4)</f>
        <v>459.071441880338</v>
      </c>
      <c r="Q51" s="133">
        <f t="shared" ref="Q51:Q70" si="46">TREND(E51:F51,E$4:F$4,Q$4)</f>
        <v>432.608431220301</v>
      </c>
      <c r="R51" s="133">
        <f t="shared" ref="R51:R70" si="47">TREND(F51:G51,F$4:G$4,R$4)</f>
        <v>403.483476286103</v>
      </c>
      <c r="S51" s="133">
        <f t="shared" ref="S51:S70" si="48">TREND(F51:G51,F$4:G$4,S$4)</f>
        <v>376.606886814481</v>
      </c>
      <c r="T51" s="133">
        <f t="shared" ref="T51:T70" si="49">TREND(G51:H51,G$4:H$4,T$4)</f>
        <v>348.102027985336</v>
      </c>
      <c r="U51" s="133">
        <f t="shared" ref="U51:U70" si="50">TREND(G51:H51,G$4:H$4,U$4)</f>
        <v>321.239935769108</v>
      </c>
      <c r="V51" s="133">
        <f t="shared" ref="V51:V70" si="51">TREND(H51:I51,H$4:I$4,V$4)</f>
        <v>292.57598540146</v>
      </c>
      <c r="X51" s="147" t="s">
        <v>137</v>
      </c>
      <c r="Y51" s="106"/>
      <c r="Z51" s="106" t="s">
        <v>134</v>
      </c>
      <c r="AA51" s="106" t="s">
        <v>136</v>
      </c>
      <c r="AB51" s="106" t="s">
        <v>138</v>
      </c>
      <c r="AC51" s="106" t="s">
        <v>139</v>
      </c>
      <c r="AD51" s="106" t="s">
        <v>140</v>
      </c>
      <c r="AE51" s="106" t="s">
        <v>140</v>
      </c>
    </row>
    <row r="52" s="91" customFormat="1" spans="1:31">
      <c r="A52" s="132">
        <v>82.5</v>
      </c>
      <c r="B52" s="133">
        <v>670.56</v>
      </c>
      <c r="C52" s="133">
        <v>662.73</v>
      </c>
      <c r="D52" s="133">
        <v>639.08</v>
      </c>
      <c r="E52" s="133">
        <v>589.03</v>
      </c>
      <c r="F52" s="133">
        <v>524.46</v>
      </c>
      <c r="G52" s="133">
        <v>452.18</v>
      </c>
      <c r="H52" s="133">
        <v>367.99</v>
      </c>
      <c r="I52" s="133">
        <v>320.94</v>
      </c>
      <c r="J52" s="133"/>
      <c r="K52" s="132">
        <f t="shared" si="39"/>
        <v>82.5</v>
      </c>
      <c r="L52" s="133">
        <f t="shared" si="41"/>
        <v>680.519309352518</v>
      </c>
      <c r="M52" s="133">
        <f t="shared" si="42"/>
        <v>646.190476402967</v>
      </c>
      <c r="N52" s="133">
        <f t="shared" si="43"/>
        <v>616.191775901072</v>
      </c>
      <c r="O52" s="133">
        <f t="shared" si="44"/>
        <v>589.300434765858</v>
      </c>
      <c r="P52" s="133">
        <f t="shared" si="45"/>
        <v>555.172323360661</v>
      </c>
      <c r="Q52" s="133">
        <f t="shared" si="46"/>
        <v>524.982984167754</v>
      </c>
      <c r="R52" s="133">
        <f t="shared" si="47"/>
        <v>487.5979410418</v>
      </c>
      <c r="S52" s="133">
        <f t="shared" si="48"/>
        <v>453.037544546356</v>
      </c>
      <c r="T52" s="133">
        <f t="shared" si="49"/>
        <v>409.989561405678</v>
      </c>
      <c r="U52" s="133">
        <f t="shared" si="50"/>
        <v>369.27813847707</v>
      </c>
      <c r="V52" s="133">
        <f t="shared" si="51"/>
        <v>325.404598540146</v>
      </c>
      <c r="X52" s="106" t="s">
        <v>46</v>
      </c>
      <c r="Y52" s="106"/>
      <c r="Z52" s="106">
        <v>4.11051361007525e-11</v>
      </c>
      <c r="AA52" s="106">
        <v>5.94226240259397e-11</v>
      </c>
      <c r="AB52" s="106">
        <v>1.86472914538439e-10</v>
      </c>
      <c r="AC52" s="106">
        <v>2.36755352559126e-10</v>
      </c>
      <c r="AD52" s="106">
        <v>1.67182311071268e-10</v>
      </c>
      <c r="AE52" s="106">
        <f>AD52</f>
        <v>1.67182311071268e-10</v>
      </c>
    </row>
    <row r="53" s="91" customFormat="1" spans="1:31">
      <c r="A53" s="132">
        <v>137.5</v>
      </c>
      <c r="B53" s="133">
        <v>745.43</v>
      </c>
      <c r="C53" s="133">
        <v>737.43</v>
      </c>
      <c r="D53" s="133">
        <v>712.81</v>
      </c>
      <c r="E53" s="133">
        <v>659.76</v>
      </c>
      <c r="F53" s="133">
        <v>589.51</v>
      </c>
      <c r="G53" s="133">
        <v>507.7</v>
      </c>
      <c r="H53" s="133">
        <v>407.97</v>
      </c>
      <c r="I53" s="133">
        <v>351</v>
      </c>
      <c r="J53" s="133"/>
      <c r="K53" s="132">
        <f t="shared" si="39"/>
        <v>137.5</v>
      </c>
      <c r="L53" s="133">
        <f t="shared" si="41"/>
        <v>755.605539568345</v>
      </c>
      <c r="M53" s="133">
        <f t="shared" si="42"/>
        <v>720.212111164527</v>
      </c>
      <c r="N53" s="133">
        <f t="shared" si="43"/>
        <v>688.54985437666</v>
      </c>
      <c r="O53" s="133">
        <f t="shared" si="44"/>
        <v>660.046644641933</v>
      </c>
      <c r="P53" s="133">
        <f t="shared" si="45"/>
        <v>622.923980425684</v>
      </c>
      <c r="Q53" s="133">
        <f t="shared" si="46"/>
        <v>590.078989279614</v>
      </c>
      <c r="R53" s="133">
        <f t="shared" si="47"/>
        <v>547.787738746951</v>
      </c>
      <c r="S53" s="133">
        <f t="shared" si="48"/>
        <v>508.670610394817</v>
      </c>
      <c r="T53" s="133">
        <f t="shared" si="49"/>
        <v>457.721945112107</v>
      </c>
      <c r="U53" s="133">
        <f t="shared" si="50"/>
        <v>409.495906287186</v>
      </c>
      <c r="V53" s="133">
        <f t="shared" si="51"/>
        <v>356.405912408759</v>
      </c>
      <c r="X53" s="106" t="s">
        <v>113</v>
      </c>
      <c r="Y53" s="106"/>
      <c r="Z53" s="106">
        <v>1.99818539867058e-13</v>
      </c>
      <c r="AA53" s="106">
        <v>1.37950776776289e-12</v>
      </c>
      <c r="AB53" s="106">
        <v>7.14744965698089e-12</v>
      </c>
      <c r="AC53" s="106">
        <v>8.83861020449175e-12</v>
      </c>
      <c r="AD53" s="106">
        <v>6.68630117291299e-12</v>
      </c>
      <c r="AE53" s="106">
        <f t="shared" ref="AE53:AE70" si="52">AD53</f>
        <v>6.68630117291299e-12</v>
      </c>
    </row>
    <row r="54" s="91" customFormat="1" spans="1:31">
      <c r="A54" s="132">
        <v>192.5</v>
      </c>
      <c r="B54" s="133">
        <v>813.06</v>
      </c>
      <c r="C54" s="133">
        <v>804.76</v>
      </c>
      <c r="D54" s="133">
        <v>779.01</v>
      </c>
      <c r="E54" s="133">
        <v>722.95</v>
      </c>
      <c r="F54" s="133">
        <v>647.76</v>
      </c>
      <c r="G54" s="133">
        <v>558.59</v>
      </c>
      <c r="H54" s="133">
        <v>447.05</v>
      </c>
      <c r="I54" s="133">
        <v>382.2</v>
      </c>
      <c r="J54" s="133"/>
      <c r="K54" s="132">
        <f t="shared" si="39"/>
        <v>192.5</v>
      </c>
      <c r="L54" s="133">
        <f t="shared" si="41"/>
        <v>823.617122302158</v>
      </c>
      <c r="M54" s="133">
        <f t="shared" si="42"/>
        <v>786.751850629024</v>
      </c>
      <c r="N54" s="133">
        <f t="shared" si="43"/>
        <v>753.373359780501</v>
      </c>
      <c r="O54" s="133">
        <f t="shared" si="44"/>
        <v>723.252908550929</v>
      </c>
      <c r="P54" s="133">
        <f t="shared" si="45"/>
        <v>683.523661042095</v>
      </c>
      <c r="Q54" s="133">
        <f t="shared" si="46"/>
        <v>648.369000767746</v>
      </c>
      <c r="R54" s="133">
        <f t="shared" si="47"/>
        <v>602.284214204445</v>
      </c>
      <c r="S54" s="133">
        <f t="shared" si="48"/>
        <v>559.647930924164</v>
      </c>
      <c r="T54" s="133">
        <f t="shared" si="49"/>
        <v>502.693557182437</v>
      </c>
      <c r="U54" s="133">
        <f t="shared" si="50"/>
        <v>448.756603702725</v>
      </c>
      <c r="V54" s="133">
        <f t="shared" si="51"/>
        <v>388.353649635036</v>
      </c>
      <c r="X54" s="106" t="s">
        <v>48</v>
      </c>
      <c r="Y54" s="106"/>
      <c r="Z54" s="106">
        <v>2.6419594244047e-11</v>
      </c>
      <c r="AA54" s="106">
        <v>3.81127844916594e-11</v>
      </c>
      <c r="AB54" s="106">
        <v>1.19311794815784e-10</v>
      </c>
      <c r="AC54" s="106">
        <v>1.51417509881657e-10</v>
      </c>
      <c r="AD54" s="106">
        <v>1.06961540928749e-10</v>
      </c>
      <c r="AE54" s="106">
        <f t="shared" si="52"/>
        <v>1.06961540928749e-10</v>
      </c>
    </row>
    <row r="55" s="91" customFormat="1" spans="1:31">
      <c r="A55" s="132">
        <v>241.5</v>
      </c>
      <c r="B55" s="133">
        <v>865.71</v>
      </c>
      <c r="C55" s="133">
        <v>857.33</v>
      </c>
      <c r="D55" s="133">
        <v>831.24</v>
      </c>
      <c r="E55" s="133">
        <v>774.03</v>
      </c>
      <c r="F55" s="133">
        <v>696.46</v>
      </c>
      <c r="G55" s="133">
        <v>602.88</v>
      </c>
      <c r="H55" s="133">
        <v>483.22</v>
      </c>
      <c r="I55" s="133">
        <v>412.41</v>
      </c>
      <c r="J55" s="133"/>
      <c r="K55" s="132">
        <f t="shared" si="39"/>
        <v>241.5</v>
      </c>
      <c r="L55" s="133">
        <f t="shared" si="41"/>
        <v>876.368877697842</v>
      </c>
      <c r="M55" s="133">
        <f t="shared" si="42"/>
        <v>839.084073122766</v>
      </c>
      <c r="N55" s="133">
        <f t="shared" si="43"/>
        <v>805.077456529477</v>
      </c>
      <c r="O55" s="133">
        <f t="shared" si="44"/>
        <v>774.339122336758</v>
      </c>
      <c r="P55" s="133">
        <f t="shared" si="45"/>
        <v>733.355693403848</v>
      </c>
      <c r="Q55" s="133">
        <f t="shared" si="46"/>
        <v>697.088277557575</v>
      </c>
      <c r="R55" s="133">
        <f t="shared" si="47"/>
        <v>648.735159417427</v>
      </c>
      <c r="S55" s="133">
        <f t="shared" si="48"/>
        <v>603.990252056558</v>
      </c>
      <c r="T55" s="133">
        <f t="shared" si="49"/>
        <v>542.914352272282</v>
      </c>
      <c r="U55" s="133">
        <f t="shared" si="50"/>
        <v>485.050842738641</v>
      </c>
      <c r="V55" s="133">
        <f t="shared" si="51"/>
        <v>419.129197080292</v>
      </c>
      <c r="X55" s="106" t="s">
        <v>49</v>
      </c>
      <c r="Y55" s="106"/>
      <c r="Z55" s="106">
        <v>4.92644769644386e-11</v>
      </c>
      <c r="AA55" s="106">
        <v>7.14868249408049e-11</v>
      </c>
      <c r="AB55" s="106">
        <v>2.24734701389283e-10</v>
      </c>
      <c r="AC55" s="106">
        <v>2.85316622439375e-10</v>
      </c>
      <c r="AD55" s="106">
        <v>2.01503744387688e-10</v>
      </c>
      <c r="AE55" s="106">
        <f t="shared" si="52"/>
        <v>2.01503744387688e-10</v>
      </c>
    </row>
    <row r="56" s="91" customFormat="1" spans="1:31">
      <c r="A56" s="132">
        <v>296.5</v>
      </c>
      <c r="B56" s="133">
        <v>912.98</v>
      </c>
      <c r="C56" s="133">
        <v>904.77</v>
      </c>
      <c r="D56" s="133">
        <v>878.86</v>
      </c>
      <c r="E56" s="133">
        <v>821.41</v>
      </c>
      <c r="F56" s="133">
        <v>742.75</v>
      </c>
      <c r="G56" s="133">
        <v>647.41</v>
      </c>
      <c r="H56" s="133">
        <v>526.76</v>
      </c>
      <c r="I56" s="133">
        <v>456.39</v>
      </c>
      <c r="J56" s="133"/>
      <c r="K56" s="132">
        <f t="shared" si="39"/>
        <v>296.5</v>
      </c>
      <c r="L56" s="133">
        <f t="shared" si="41"/>
        <v>923.422647482014</v>
      </c>
      <c r="M56" s="133">
        <f t="shared" si="42"/>
        <v>886.649955331961</v>
      </c>
      <c r="N56" s="133">
        <f t="shared" si="43"/>
        <v>852.587702807524</v>
      </c>
      <c r="O56" s="133">
        <f t="shared" si="44"/>
        <v>821.720419126844</v>
      </c>
      <c r="P56" s="133">
        <f t="shared" si="45"/>
        <v>780.164145199777</v>
      </c>
      <c r="Q56" s="133">
        <f t="shared" si="46"/>
        <v>743.387106003337</v>
      </c>
      <c r="R56" s="133">
        <f t="shared" si="47"/>
        <v>694.12757746161</v>
      </c>
      <c r="S56" s="133">
        <f t="shared" si="48"/>
        <v>648.541133052706</v>
      </c>
      <c r="T56" s="133">
        <f t="shared" si="49"/>
        <v>586.948229998754</v>
      </c>
      <c r="U56" s="133">
        <f t="shared" si="50"/>
        <v>528.605990108783</v>
      </c>
      <c r="V56" s="133">
        <f t="shared" si="51"/>
        <v>463.067445255475</v>
      </c>
      <c r="X56" s="106" t="s">
        <v>50</v>
      </c>
      <c r="Y56" s="106"/>
      <c r="Z56" s="106">
        <v>3.33579682202909e-11</v>
      </c>
      <c r="AA56" s="106">
        <v>4.81587200269075e-11</v>
      </c>
      <c r="AB56" s="106">
        <v>1.50795624765401e-10</v>
      </c>
      <c r="AC56" s="106">
        <v>1.91322368367673e-10</v>
      </c>
      <c r="AD56" s="106">
        <v>1.35154396522124e-10</v>
      </c>
      <c r="AE56" s="106">
        <f t="shared" si="52"/>
        <v>1.35154396522124e-10</v>
      </c>
    </row>
    <row r="57" s="91" customFormat="1" spans="1:31">
      <c r="A57" s="132">
        <v>357.5</v>
      </c>
      <c r="B57" s="133">
        <v>948</v>
      </c>
      <c r="C57" s="133">
        <v>940.03</v>
      </c>
      <c r="D57" s="133">
        <v>914.72</v>
      </c>
      <c r="E57" s="133">
        <v>858.1</v>
      </c>
      <c r="F57" s="133">
        <v>779.37</v>
      </c>
      <c r="G57" s="133">
        <v>682.33</v>
      </c>
      <c r="H57" s="133">
        <v>558.24</v>
      </c>
      <c r="I57" s="133">
        <v>485.15</v>
      </c>
      <c r="J57" s="133"/>
      <c r="K57" s="132">
        <f t="shared" si="39"/>
        <v>357.5</v>
      </c>
      <c r="L57" s="133">
        <f t="shared" si="41"/>
        <v>958.137381294964</v>
      </c>
      <c r="M57" s="133">
        <f t="shared" si="42"/>
        <v>922.329562695945</v>
      </c>
      <c r="N57" s="133">
        <f t="shared" si="43"/>
        <v>888.827267762611</v>
      </c>
      <c r="O57" s="133">
        <f t="shared" si="44"/>
        <v>858.405934394463</v>
      </c>
      <c r="P57" s="133">
        <f t="shared" si="45"/>
        <v>816.81744026924</v>
      </c>
      <c r="Q57" s="133">
        <f t="shared" si="46"/>
        <v>780.007672967744</v>
      </c>
      <c r="R57" s="133">
        <f t="shared" si="47"/>
        <v>729.880594890651</v>
      </c>
      <c r="S57" s="133">
        <f t="shared" si="48"/>
        <v>683.481302196713</v>
      </c>
      <c r="T57" s="133">
        <f t="shared" si="49"/>
        <v>620.144330381644</v>
      </c>
      <c r="U57" s="133">
        <f t="shared" si="50"/>
        <v>560.138623394935</v>
      </c>
      <c r="V57" s="133">
        <f t="shared" si="51"/>
        <v>492.085547445256</v>
      </c>
      <c r="X57" s="106" t="s">
        <v>51</v>
      </c>
      <c r="Y57" s="106"/>
      <c r="Z57" s="106">
        <v>3.29963426067918e-12</v>
      </c>
      <c r="AA57" s="106">
        <v>4.75416075186567e-12</v>
      </c>
      <c r="AB57" s="106">
        <v>1.48862912600972e-11</v>
      </c>
      <c r="AC57" s="106">
        <v>1.88978569787845e-11</v>
      </c>
      <c r="AD57" s="106">
        <v>1.33420701439619e-11</v>
      </c>
      <c r="AE57" s="106">
        <f t="shared" si="52"/>
        <v>1.33420701439619e-11</v>
      </c>
    </row>
    <row r="58" s="91" customFormat="1" spans="1:31">
      <c r="A58" s="132">
        <v>412.5</v>
      </c>
      <c r="B58" s="133">
        <v>963.13</v>
      </c>
      <c r="C58" s="133">
        <v>955.38</v>
      </c>
      <c r="D58" s="133">
        <v>930.71</v>
      </c>
      <c r="E58" s="133">
        <v>875.14</v>
      </c>
      <c r="F58" s="133">
        <v>796.99</v>
      </c>
      <c r="G58" s="133">
        <v>699.72</v>
      </c>
      <c r="H58" s="133">
        <v>574.77</v>
      </c>
      <c r="I58" s="133">
        <v>500.95</v>
      </c>
      <c r="J58" s="133"/>
      <c r="K58" s="132">
        <f t="shared" si="39"/>
        <v>412.5</v>
      </c>
      <c r="L58" s="133">
        <f t="shared" si="41"/>
        <v>972.987553956835</v>
      </c>
      <c r="M58" s="133">
        <f t="shared" si="42"/>
        <v>938.127143884195</v>
      </c>
      <c r="N58" s="133">
        <f t="shared" si="43"/>
        <v>905.297440296155</v>
      </c>
      <c r="O58" s="133">
        <f t="shared" si="44"/>
        <v>875.440260937836</v>
      </c>
      <c r="P58" s="133">
        <f t="shared" si="45"/>
        <v>834.161566836544</v>
      </c>
      <c r="Q58" s="133">
        <f t="shared" si="46"/>
        <v>797.62297526266</v>
      </c>
      <c r="R58" s="133">
        <f t="shared" si="47"/>
        <v>747.383297248697</v>
      </c>
      <c r="S58" s="133">
        <f t="shared" si="48"/>
        <v>700.874030963255</v>
      </c>
      <c r="T58" s="133">
        <f t="shared" si="49"/>
        <v>637.103355477367</v>
      </c>
      <c r="U58" s="133">
        <f t="shared" si="50"/>
        <v>576.681781716473</v>
      </c>
      <c r="V58" s="133">
        <f t="shared" si="51"/>
        <v>507.954817518248</v>
      </c>
      <c r="X58" s="106" t="s">
        <v>52</v>
      </c>
      <c r="Y58" s="106"/>
      <c r="Z58" s="106">
        <v>4.98267059718795e-12</v>
      </c>
      <c r="AA58" s="106">
        <v>7.19116249849785e-12</v>
      </c>
      <c r="AB58" s="106">
        <v>2.24990370413268e-11</v>
      </c>
      <c r="AC58" s="106">
        <v>2.85524831974569e-11</v>
      </c>
      <c r="AD58" s="106">
        <v>2.01702363770091e-11</v>
      </c>
      <c r="AE58" s="106">
        <f t="shared" si="52"/>
        <v>2.01702363770091e-11</v>
      </c>
    </row>
    <row r="59" s="91" customFormat="1" spans="1:31">
      <c r="A59" s="132">
        <v>467.5</v>
      </c>
      <c r="B59" s="133">
        <v>964.64</v>
      </c>
      <c r="C59" s="133">
        <v>957.15</v>
      </c>
      <c r="D59" s="133">
        <v>933.24</v>
      </c>
      <c r="E59" s="133">
        <v>879.02</v>
      </c>
      <c r="F59" s="133">
        <v>802.14</v>
      </c>
      <c r="G59" s="133">
        <v>705.82</v>
      </c>
      <c r="H59" s="133">
        <v>581.8</v>
      </c>
      <c r="I59" s="133">
        <v>508.52</v>
      </c>
      <c r="J59" s="133"/>
      <c r="K59" s="132">
        <f t="shared" si="39"/>
        <v>467.5</v>
      </c>
      <c r="L59" s="133">
        <f t="shared" si="41"/>
        <v>974.166848920863</v>
      </c>
      <c r="M59" s="133">
        <f t="shared" si="42"/>
        <v>940.428646545241</v>
      </c>
      <c r="N59" s="133">
        <f t="shared" si="43"/>
        <v>908.44480498214</v>
      </c>
      <c r="O59" s="133">
        <f t="shared" si="44"/>
        <v>879.312966493602</v>
      </c>
      <c r="P59" s="133">
        <f t="shared" si="45"/>
        <v>838.70749914771</v>
      </c>
      <c r="Q59" s="133">
        <f t="shared" si="46"/>
        <v>802.762688908423</v>
      </c>
      <c r="R59" s="133">
        <f t="shared" si="47"/>
        <v>753.017787508939</v>
      </c>
      <c r="S59" s="133">
        <f t="shared" si="48"/>
        <v>706.962759971016</v>
      </c>
      <c r="T59" s="133">
        <f t="shared" si="49"/>
        <v>643.669409734318</v>
      </c>
      <c r="U59" s="133">
        <f t="shared" si="50"/>
        <v>583.697552368764</v>
      </c>
      <c r="V59" s="133">
        <f t="shared" si="51"/>
        <v>515.473576642336</v>
      </c>
      <c r="X59" s="106" t="s">
        <v>53</v>
      </c>
      <c r="Y59" s="106"/>
      <c r="Z59" s="106">
        <v>1.8972644842218e-11</v>
      </c>
      <c r="AA59" s="106">
        <v>1.97996598400466e-11</v>
      </c>
      <c r="AB59" s="106">
        <v>4.00477476619865e-11</v>
      </c>
      <c r="AC59" s="106">
        <v>4.84075544015621e-11</v>
      </c>
      <c r="AD59" s="106">
        <v>3.52203392582599e-11</v>
      </c>
      <c r="AE59" s="106">
        <f t="shared" si="52"/>
        <v>3.52203392582599e-11</v>
      </c>
    </row>
    <row r="60" s="91" customFormat="1" spans="1:31">
      <c r="A60" s="132">
        <v>522.5</v>
      </c>
      <c r="B60" s="133">
        <v>955</v>
      </c>
      <c r="C60" s="133">
        <v>947.75</v>
      </c>
      <c r="D60" s="133">
        <v>924.49</v>
      </c>
      <c r="E60" s="133">
        <v>871.47</v>
      </c>
      <c r="F60" s="133">
        <v>795.71</v>
      </c>
      <c r="G60" s="133">
        <v>700.15</v>
      </c>
      <c r="H60" s="133">
        <v>577.02</v>
      </c>
      <c r="I60" s="133">
        <v>504.84</v>
      </c>
      <c r="J60" s="133"/>
      <c r="K60" s="132">
        <f t="shared" si="39"/>
        <v>522.5</v>
      </c>
      <c r="L60" s="133">
        <f t="shared" si="41"/>
        <v>964.221582733813</v>
      </c>
      <c r="M60" s="133">
        <f t="shared" si="42"/>
        <v>931.483221189557</v>
      </c>
      <c r="N60" s="133">
        <f t="shared" si="43"/>
        <v>900.243573591904</v>
      </c>
      <c r="O60" s="133">
        <f t="shared" si="44"/>
        <v>871.756482543172</v>
      </c>
      <c r="P60" s="133">
        <f t="shared" si="45"/>
        <v>831.744778036297</v>
      </c>
      <c r="Q60" s="133">
        <f t="shared" si="46"/>
        <v>796.323617477915</v>
      </c>
      <c r="R60" s="133">
        <f t="shared" si="47"/>
        <v>746.975379717133</v>
      </c>
      <c r="S60" s="133">
        <f t="shared" si="48"/>
        <v>701.283743177225</v>
      </c>
      <c r="T60" s="133">
        <f t="shared" si="49"/>
        <v>638.445418646884</v>
      </c>
      <c r="U60" s="133">
        <f t="shared" si="50"/>
        <v>578.903935036009</v>
      </c>
      <c r="V60" s="133">
        <f t="shared" si="51"/>
        <v>511.689197080292</v>
      </c>
      <c r="X60" s="106" t="s">
        <v>54</v>
      </c>
      <c r="Y60" s="106"/>
      <c r="Z60" s="106">
        <v>1.85034551698276e-11</v>
      </c>
      <c r="AA60" s="106">
        <v>2.67201117207332e-11</v>
      </c>
      <c r="AB60" s="106">
        <v>8.3819464165774e-11</v>
      </c>
      <c r="AC60" s="106">
        <v>1.06390285229339e-10</v>
      </c>
      <c r="AD60" s="106">
        <v>7.51282365782513e-11</v>
      </c>
      <c r="AE60" s="106">
        <f t="shared" si="52"/>
        <v>7.51282365782513e-11</v>
      </c>
    </row>
    <row r="61" s="91" customFormat="1" spans="1:31">
      <c r="A61" s="132">
        <v>577.5</v>
      </c>
      <c r="B61" s="133">
        <v>937.67</v>
      </c>
      <c r="C61" s="133">
        <v>930.62</v>
      </c>
      <c r="D61" s="133">
        <v>907.94</v>
      </c>
      <c r="E61" s="133">
        <v>855.74</v>
      </c>
      <c r="F61" s="133">
        <v>779.96</v>
      </c>
      <c r="G61" s="133">
        <v>682.12</v>
      </c>
      <c r="H61" s="133">
        <v>550.06</v>
      </c>
      <c r="I61" s="133">
        <v>469.23</v>
      </c>
      <c r="J61" s="133"/>
      <c r="K61" s="132">
        <f t="shared" si="39"/>
        <v>577.5</v>
      </c>
      <c r="L61" s="133">
        <f t="shared" si="41"/>
        <v>946.637194244604</v>
      </c>
      <c r="M61" s="133">
        <f t="shared" si="42"/>
        <v>914.758841641408</v>
      </c>
      <c r="N61" s="133">
        <f t="shared" si="43"/>
        <v>884.068565475244</v>
      </c>
      <c r="O61" s="133">
        <f t="shared" si="44"/>
        <v>856.022051843712</v>
      </c>
      <c r="P61" s="133">
        <f t="shared" si="45"/>
        <v>816.004290913286</v>
      </c>
      <c r="Q61" s="133">
        <f t="shared" si="46"/>
        <v>780.573779467746</v>
      </c>
      <c r="R61" s="133">
        <f t="shared" si="47"/>
        <v>730.062603092552</v>
      </c>
      <c r="S61" s="133">
        <f t="shared" si="48"/>
        <v>683.280793558598</v>
      </c>
      <c r="T61" s="133">
        <f t="shared" si="49"/>
        <v>615.940295512933</v>
      </c>
      <c r="U61" s="133">
        <f t="shared" si="50"/>
        <v>552.080567374769</v>
      </c>
      <c r="V61" s="133">
        <f t="shared" si="51"/>
        <v>476.9</v>
      </c>
      <c r="X61" s="106" t="s">
        <v>55</v>
      </c>
      <c r="Y61" s="106"/>
      <c r="Z61" s="106">
        <v>1.57805569172969e-12</v>
      </c>
      <c r="AA61" s="106">
        <v>3.9576500717441e-12</v>
      </c>
      <c r="AB61" s="106">
        <v>1.70628045638028e-11</v>
      </c>
      <c r="AC61" s="106">
        <v>2.21600876708805e-11</v>
      </c>
      <c r="AD61" s="106">
        <v>1.54286837073111e-11</v>
      </c>
      <c r="AE61" s="106">
        <f t="shared" si="52"/>
        <v>1.54286837073111e-11</v>
      </c>
    </row>
    <row r="62" s="91" customFormat="1" spans="1:31">
      <c r="A62" s="132">
        <v>632.5</v>
      </c>
      <c r="B62" s="133">
        <v>916.22</v>
      </c>
      <c r="C62" s="133">
        <v>909.46</v>
      </c>
      <c r="D62" s="133">
        <v>887.64</v>
      </c>
      <c r="E62" s="133">
        <v>837.11</v>
      </c>
      <c r="F62" s="133">
        <v>763.2</v>
      </c>
      <c r="G62" s="133">
        <v>667.34</v>
      </c>
      <c r="H62" s="133">
        <v>538.38</v>
      </c>
      <c r="I62" s="133">
        <v>460.34</v>
      </c>
      <c r="J62" s="133"/>
      <c r="K62" s="132">
        <f t="shared" si="39"/>
        <v>632.5</v>
      </c>
      <c r="L62" s="133">
        <f t="shared" si="41"/>
        <v>924.818330935252</v>
      </c>
      <c r="M62" s="133">
        <f t="shared" si="42"/>
        <v>894.200278863118</v>
      </c>
      <c r="N62" s="133">
        <f t="shared" si="43"/>
        <v>864.532268457166</v>
      </c>
      <c r="O62" s="133">
        <f t="shared" si="44"/>
        <v>837.38302834603</v>
      </c>
      <c r="P62" s="133">
        <f t="shared" si="45"/>
        <v>798.354836914766</v>
      </c>
      <c r="Q62" s="133">
        <f t="shared" si="46"/>
        <v>763.798633418595</v>
      </c>
      <c r="R62" s="133">
        <f t="shared" si="47"/>
        <v>714.312382792846</v>
      </c>
      <c r="S62" s="133">
        <f t="shared" si="48"/>
        <v>668.477302437932</v>
      </c>
      <c r="T62" s="133">
        <f t="shared" si="49"/>
        <v>602.713809702771</v>
      </c>
      <c r="U62" s="133">
        <f t="shared" si="50"/>
        <v>540.353136215738</v>
      </c>
      <c r="V62" s="133">
        <f t="shared" si="51"/>
        <v>467.745255474452</v>
      </c>
      <c r="X62" s="106" t="s">
        <v>56</v>
      </c>
      <c r="Y62" s="106"/>
      <c r="Z62" s="106">
        <v>1.43826758464278e-11</v>
      </c>
      <c r="AA62" s="106">
        <v>3.61725076044695e-11</v>
      </c>
      <c r="AB62" s="106">
        <v>1.56140693629632e-10</v>
      </c>
      <c r="AC62" s="106">
        <v>2.02779240545866e-10</v>
      </c>
      <c r="AD62" s="106">
        <v>1.4117492650597e-10</v>
      </c>
      <c r="AE62" s="106">
        <f t="shared" si="52"/>
        <v>1.4117492650597e-10</v>
      </c>
    </row>
    <row r="63" s="91" customFormat="1" ht="13.5" customHeight="1" spans="1:31">
      <c r="A63" s="132">
        <v>687.5</v>
      </c>
      <c r="B63" s="133">
        <v>892.56</v>
      </c>
      <c r="C63" s="133">
        <v>886.12</v>
      </c>
      <c r="D63" s="133">
        <v>865.24</v>
      </c>
      <c r="E63" s="133">
        <v>816.67</v>
      </c>
      <c r="F63" s="133">
        <v>745.32</v>
      </c>
      <c r="G63" s="133">
        <v>652.54</v>
      </c>
      <c r="H63" s="133">
        <v>527.77</v>
      </c>
      <c r="I63" s="133">
        <v>452.4</v>
      </c>
      <c r="J63" s="133"/>
      <c r="K63" s="132">
        <f t="shared" si="39"/>
        <v>687.5</v>
      </c>
      <c r="L63" s="133">
        <f t="shared" si="41"/>
        <v>900.751309352518</v>
      </c>
      <c r="M63" s="133">
        <f t="shared" si="42"/>
        <v>871.51766373336</v>
      </c>
      <c r="N63" s="133">
        <f t="shared" si="43"/>
        <v>843.028590519781</v>
      </c>
      <c r="O63" s="133">
        <f t="shared" si="44"/>
        <v>816.93243789366</v>
      </c>
      <c r="P63" s="133">
        <f t="shared" si="45"/>
        <v>779.257188660108</v>
      </c>
      <c r="Q63" s="133">
        <f t="shared" si="46"/>
        <v>745.897898720291</v>
      </c>
      <c r="R63" s="133">
        <f t="shared" si="47"/>
        <v>698.003151215525</v>
      </c>
      <c r="S63" s="133">
        <f t="shared" si="48"/>
        <v>653.640760694672</v>
      </c>
      <c r="T63" s="133">
        <f t="shared" si="49"/>
        <v>590.013559527099</v>
      </c>
      <c r="U63" s="133">
        <f t="shared" si="50"/>
        <v>529.679027649175</v>
      </c>
      <c r="V63" s="133">
        <f t="shared" si="51"/>
        <v>459.551897810219</v>
      </c>
      <c r="X63" s="106" t="s">
        <v>57</v>
      </c>
      <c r="Y63" s="106"/>
      <c r="Z63" s="106">
        <v>4.80297842444176e-12</v>
      </c>
      <c r="AA63" s="106">
        <v>1.20449332660295e-11</v>
      </c>
      <c r="AB63" s="106">
        <v>5.19529444590167e-11</v>
      </c>
      <c r="AC63" s="106">
        <v>6.74744903324818e-11</v>
      </c>
      <c r="AD63" s="106">
        <v>4.69704866412807e-11</v>
      </c>
      <c r="AE63" s="106">
        <f t="shared" si="52"/>
        <v>4.69704866412807e-11</v>
      </c>
    </row>
    <row r="64" s="91" customFormat="1" ht="13.5" customHeight="1" spans="1:31">
      <c r="A64" s="132">
        <v>742.5</v>
      </c>
      <c r="B64" s="133">
        <v>867.61</v>
      </c>
      <c r="C64" s="133">
        <v>861.44</v>
      </c>
      <c r="D64" s="133">
        <v>841.42</v>
      </c>
      <c r="E64" s="133">
        <v>794.68</v>
      </c>
      <c r="F64" s="133">
        <v>725.8</v>
      </c>
      <c r="G64" s="133">
        <v>636.16</v>
      </c>
      <c r="H64" s="133">
        <v>515.38</v>
      </c>
      <c r="I64" s="133">
        <v>442.47</v>
      </c>
      <c r="J64" s="133"/>
      <c r="K64" s="132">
        <f t="shared" si="39"/>
        <v>742.5</v>
      </c>
      <c r="L64" s="133">
        <f t="shared" si="41"/>
        <v>875.457884892086</v>
      </c>
      <c r="M64" s="133">
        <f t="shared" si="42"/>
        <v>847.43910095507</v>
      </c>
      <c r="N64" s="133">
        <f t="shared" si="43"/>
        <v>820.045462649672</v>
      </c>
      <c r="O64" s="133">
        <f t="shared" si="44"/>
        <v>794.932549869254</v>
      </c>
      <c r="P64" s="133">
        <f t="shared" si="45"/>
        <v>758.562348351902</v>
      </c>
      <c r="Q64" s="133">
        <f t="shared" si="46"/>
        <v>726.357892976225</v>
      </c>
      <c r="R64" s="133">
        <f t="shared" si="47"/>
        <v>680.084519023062</v>
      </c>
      <c r="S64" s="133">
        <f t="shared" si="48"/>
        <v>637.223507099272</v>
      </c>
      <c r="T64" s="133">
        <f t="shared" si="49"/>
        <v>575.633082629502</v>
      </c>
      <c r="U64" s="133">
        <f t="shared" si="50"/>
        <v>517.227979157388</v>
      </c>
      <c r="V64" s="133">
        <f t="shared" si="51"/>
        <v>449.388467153285</v>
      </c>
      <c r="X64" s="106" t="s">
        <v>58</v>
      </c>
      <c r="Y64" s="106"/>
      <c r="Z64" s="106">
        <v>2.31154586582132e-11</v>
      </c>
      <c r="AA64" s="106">
        <v>5.84048334974593e-11</v>
      </c>
      <c r="AB64" s="106">
        <v>2.52882236174517e-10</v>
      </c>
      <c r="AC64" s="106">
        <v>3.28518075175296e-10</v>
      </c>
      <c r="AD64" s="106">
        <v>2.2866514550251e-10</v>
      </c>
      <c r="AE64" s="106">
        <f t="shared" si="52"/>
        <v>2.2866514550251e-10</v>
      </c>
    </row>
    <row r="65" s="91" customFormat="1" spans="1:31">
      <c r="A65" s="132">
        <v>797.5</v>
      </c>
      <c r="B65" s="133">
        <v>840.32</v>
      </c>
      <c r="C65" s="133">
        <v>834.41</v>
      </c>
      <c r="D65" s="133">
        <v>815.23</v>
      </c>
      <c r="E65" s="133">
        <v>770.37</v>
      </c>
      <c r="F65" s="133">
        <v>704.03</v>
      </c>
      <c r="G65" s="133">
        <v>617.39</v>
      </c>
      <c r="H65" s="133">
        <v>500.43</v>
      </c>
      <c r="I65" s="133">
        <v>429.95</v>
      </c>
      <c r="J65" s="133"/>
      <c r="K65" s="132">
        <f t="shared" si="39"/>
        <v>797.5</v>
      </c>
      <c r="L65" s="133">
        <f t="shared" si="41"/>
        <v>847.837179856115</v>
      </c>
      <c r="M65" s="133">
        <f t="shared" si="42"/>
        <v>820.996551264647</v>
      </c>
      <c r="N65" s="133">
        <f t="shared" si="43"/>
        <v>794.715200138303</v>
      </c>
      <c r="O65" s="133">
        <f t="shared" si="44"/>
        <v>770.612391680247</v>
      </c>
      <c r="P65" s="133">
        <f t="shared" si="45"/>
        <v>735.584212974234</v>
      </c>
      <c r="Q65" s="133">
        <f t="shared" si="46"/>
        <v>704.567320267752</v>
      </c>
      <c r="R65" s="133">
        <f t="shared" si="47"/>
        <v>659.844488265931</v>
      </c>
      <c r="S65" s="133">
        <f t="shared" si="48"/>
        <v>618.417914492201</v>
      </c>
      <c r="T65" s="133">
        <f t="shared" si="49"/>
        <v>558.77741301827</v>
      </c>
      <c r="U65" s="133">
        <f t="shared" si="50"/>
        <v>502.219531729161</v>
      </c>
      <c r="V65" s="133">
        <f t="shared" si="51"/>
        <v>436.637883211679</v>
      </c>
      <c r="X65" s="106" t="s">
        <v>59</v>
      </c>
      <c r="Y65" s="106"/>
      <c r="Z65" s="106">
        <v>8.47156505496312e-12</v>
      </c>
      <c r="AA65" s="106">
        <v>2.12180527361187e-11</v>
      </c>
      <c r="AB65" s="106">
        <v>9.14856270766708e-11</v>
      </c>
      <c r="AC65" s="106">
        <v>1.18828903969544e-10</v>
      </c>
      <c r="AD65" s="106">
        <v>8.27302253150026e-11</v>
      </c>
      <c r="AE65" s="106">
        <f t="shared" si="52"/>
        <v>8.27302253150026e-11</v>
      </c>
    </row>
    <row r="66" s="91" customFormat="1" spans="1:31">
      <c r="A66" s="132">
        <v>852.5</v>
      </c>
      <c r="B66" s="133">
        <v>806.67</v>
      </c>
      <c r="C66" s="133">
        <v>801</v>
      </c>
      <c r="D66" s="133">
        <v>782.78</v>
      </c>
      <c r="E66" s="133">
        <v>740.34</v>
      </c>
      <c r="F66" s="133">
        <v>677.31</v>
      </c>
      <c r="G66" s="133">
        <v>594.53</v>
      </c>
      <c r="H66" s="133">
        <v>482.34</v>
      </c>
      <c r="I66" s="133">
        <v>414.6</v>
      </c>
      <c r="J66" s="133"/>
      <c r="K66" s="132">
        <f t="shared" si="39"/>
        <v>852.5</v>
      </c>
      <c r="L66" s="133">
        <f t="shared" si="41"/>
        <v>813.881913669065</v>
      </c>
      <c r="M66" s="133">
        <f t="shared" si="42"/>
        <v>788.257923047022</v>
      </c>
      <c r="N66" s="133">
        <f t="shared" si="43"/>
        <v>763.371883501328</v>
      </c>
      <c r="O66" s="133">
        <f t="shared" si="44"/>
        <v>740.569315713546</v>
      </c>
      <c r="P66" s="133">
        <f t="shared" si="45"/>
        <v>707.289831832468</v>
      </c>
      <c r="Q66" s="133">
        <f t="shared" si="46"/>
        <v>677.820510950805</v>
      </c>
      <c r="R66" s="133">
        <f t="shared" si="47"/>
        <v>635.093048691757</v>
      </c>
      <c r="S66" s="133">
        <f t="shared" si="48"/>
        <v>595.512118671104</v>
      </c>
      <c r="T66" s="133">
        <f t="shared" si="49"/>
        <v>538.30782033618</v>
      </c>
      <c r="U66" s="133">
        <f t="shared" si="50"/>
        <v>484.056548945747</v>
      </c>
      <c r="V66" s="133">
        <f t="shared" si="51"/>
        <v>421.027883211679</v>
      </c>
      <c r="X66" s="106" t="s">
        <v>60</v>
      </c>
      <c r="Y66" s="106"/>
      <c r="Z66" s="106">
        <v>5.03472359982996e-17</v>
      </c>
      <c r="AA66" s="106">
        <v>2.2356421646779e-15</v>
      </c>
      <c r="AB66" s="106">
        <v>2.78288542999111e-14</v>
      </c>
      <c r="AC66" s="106">
        <v>3.74265387582051e-14</v>
      </c>
      <c r="AD66" s="106">
        <v>2.3087234551381e-14</v>
      </c>
      <c r="AE66" s="106">
        <f t="shared" si="52"/>
        <v>2.3087234551381e-14</v>
      </c>
    </row>
    <row r="67" s="91" customFormat="1" spans="1:31">
      <c r="A67" s="132">
        <v>907.5</v>
      </c>
      <c r="B67" s="133">
        <v>762.21</v>
      </c>
      <c r="C67" s="133">
        <v>756.69</v>
      </c>
      <c r="D67" s="133">
        <v>739.45</v>
      </c>
      <c r="E67" s="133">
        <v>700.25</v>
      </c>
      <c r="F67" s="133">
        <v>642.12</v>
      </c>
      <c r="G67" s="133">
        <v>565.05</v>
      </c>
      <c r="H67" s="133">
        <v>459.7</v>
      </c>
      <c r="I67" s="133">
        <v>395.9</v>
      </c>
      <c r="J67" s="133"/>
      <c r="K67" s="132">
        <f t="shared" si="39"/>
        <v>907.5</v>
      </c>
      <c r="L67" s="133">
        <f t="shared" si="41"/>
        <v>769.231122302158</v>
      </c>
      <c r="M67" s="133">
        <f t="shared" si="42"/>
        <v>744.633281741529</v>
      </c>
      <c r="N67" s="133">
        <f t="shared" si="43"/>
        <v>721.523558747692</v>
      </c>
      <c r="O67" s="133">
        <f t="shared" si="44"/>
        <v>700.461809047385</v>
      </c>
      <c r="P67" s="133">
        <f t="shared" si="45"/>
        <v>669.769176970036</v>
      </c>
      <c r="Q67" s="133">
        <f t="shared" si="46"/>
        <v>642.590823442334</v>
      </c>
      <c r="R67" s="133">
        <f t="shared" si="47"/>
        <v>602.815090150685</v>
      </c>
      <c r="S67" s="133">
        <f t="shared" si="48"/>
        <v>565.964374075646</v>
      </c>
      <c r="T67" s="133">
        <f t="shared" si="49"/>
        <v>512.255574226015</v>
      </c>
      <c r="U67" s="133">
        <f t="shared" si="50"/>
        <v>461.311894388399</v>
      </c>
      <c r="V67" s="133">
        <f t="shared" si="51"/>
        <v>401.95401459854</v>
      </c>
      <c r="X67" s="106" t="s">
        <v>61</v>
      </c>
      <c r="Y67" s="106"/>
      <c r="Z67" s="106">
        <v>4.82658092995749e-17</v>
      </c>
      <c r="AA67" s="106">
        <v>2.15550875944154e-15</v>
      </c>
      <c r="AB67" s="106">
        <v>2.73685912414896e-14</v>
      </c>
      <c r="AC67" s="106">
        <v>3.68682932280957e-14</v>
      </c>
      <c r="AD67" s="106">
        <v>2.26260158276777e-14</v>
      </c>
      <c r="AE67" s="106">
        <f t="shared" si="52"/>
        <v>2.26260158276777e-14</v>
      </c>
    </row>
    <row r="68" s="91" customFormat="1" spans="1:31">
      <c r="A68" s="132">
        <v>962.5</v>
      </c>
      <c r="B68" s="133">
        <v>704.73</v>
      </c>
      <c r="C68" s="133">
        <v>698.87</v>
      </c>
      <c r="D68" s="133">
        <v>681.93</v>
      </c>
      <c r="E68" s="133">
        <v>646.2</v>
      </c>
      <c r="F68" s="133">
        <v>594.79</v>
      </c>
      <c r="G68" s="133">
        <v>526.24</v>
      </c>
      <c r="H68" s="133">
        <v>431.76</v>
      </c>
      <c r="I68" s="133">
        <v>374.43</v>
      </c>
      <c r="J68" s="133"/>
      <c r="K68" s="132">
        <f t="shared" si="39"/>
        <v>962.5</v>
      </c>
      <c r="L68" s="133">
        <f t="shared" si="41"/>
        <v>712.183582733813</v>
      </c>
      <c r="M68" s="133">
        <f t="shared" si="42"/>
        <v>687.023085423521</v>
      </c>
      <c r="N68" s="133">
        <f t="shared" si="43"/>
        <v>665.590414644262</v>
      </c>
      <c r="O68" s="133">
        <f t="shared" si="44"/>
        <v>646.393059624058</v>
      </c>
      <c r="P68" s="133">
        <f t="shared" si="45"/>
        <v>619.242850301558</v>
      </c>
      <c r="Q68" s="133">
        <f t="shared" si="46"/>
        <v>595.206394859288</v>
      </c>
      <c r="R68" s="133">
        <f t="shared" si="47"/>
        <v>559.830202800434</v>
      </c>
      <c r="S68" s="133">
        <f t="shared" si="48"/>
        <v>527.053291071565</v>
      </c>
      <c r="T68" s="133">
        <f t="shared" si="49"/>
        <v>478.892896562638</v>
      </c>
      <c r="U68" s="133">
        <f t="shared" si="50"/>
        <v>433.205579324309</v>
      </c>
      <c r="V68" s="133">
        <f t="shared" si="51"/>
        <v>379.870072992701</v>
      </c>
      <c r="X68" s="106" t="s">
        <v>62</v>
      </c>
      <c r="Y68" s="106"/>
      <c r="Z68" s="106">
        <v>5.84048026907429e-14</v>
      </c>
      <c r="AA68" s="106">
        <v>4.57137500218556e-13</v>
      </c>
      <c r="AB68" s="106">
        <v>1.15064187560738e-11</v>
      </c>
      <c r="AC68" s="106">
        <v>1.58215895156746e-11</v>
      </c>
      <c r="AD68" s="106">
        <v>7.82214422538453e-12</v>
      </c>
      <c r="AE68" s="106">
        <f t="shared" si="52"/>
        <v>7.82214422538453e-12</v>
      </c>
    </row>
    <row r="69" s="91" customFormat="1" spans="1:31">
      <c r="A69" s="132">
        <v>1017.5</v>
      </c>
      <c r="B69" s="133">
        <v>638.96</v>
      </c>
      <c r="C69" s="133">
        <v>631.45</v>
      </c>
      <c r="D69" s="133">
        <v>612.92</v>
      </c>
      <c r="E69" s="133">
        <v>579.76</v>
      </c>
      <c r="F69" s="133">
        <v>535.53</v>
      </c>
      <c r="G69" s="133">
        <v>478.12</v>
      </c>
      <c r="H69" s="133">
        <v>400.39</v>
      </c>
      <c r="I69" s="133">
        <v>353.49</v>
      </c>
      <c r="J69" s="133"/>
      <c r="K69" s="132">
        <f t="shared" si="39"/>
        <v>1017.5</v>
      </c>
      <c r="L69" s="133">
        <f t="shared" si="41"/>
        <v>648.512287769784</v>
      </c>
      <c r="M69" s="133">
        <f t="shared" si="42"/>
        <v>618.491125908963</v>
      </c>
      <c r="N69" s="133">
        <f t="shared" si="43"/>
        <v>597.755694083507</v>
      </c>
      <c r="O69" s="133">
        <f t="shared" si="44"/>
        <v>579.939173163553</v>
      </c>
      <c r="P69" s="133">
        <f t="shared" si="45"/>
        <v>556.567727462321</v>
      </c>
      <c r="Q69" s="133">
        <f t="shared" si="46"/>
        <v>535.88824051014</v>
      </c>
      <c r="R69" s="133">
        <f t="shared" si="47"/>
        <v>506.251488588956</v>
      </c>
      <c r="S69" s="133">
        <f t="shared" si="48"/>
        <v>478.801123857309</v>
      </c>
      <c r="T69" s="133">
        <f t="shared" si="49"/>
        <v>439.166884523855</v>
      </c>
      <c r="U69" s="133">
        <f t="shared" si="50"/>
        <v>401.579298061796</v>
      </c>
      <c r="V69" s="133">
        <f t="shared" si="51"/>
        <v>357.940364963504</v>
      </c>
      <c r="X69" s="106" t="s">
        <v>63</v>
      </c>
      <c r="Y69" s="106"/>
      <c r="Z69" s="106">
        <v>6.31790396790471e-14</v>
      </c>
      <c r="AA69" s="106">
        <v>5.22444226796823e-13</v>
      </c>
      <c r="AB69" s="106">
        <v>1.20999364708387e-11</v>
      </c>
      <c r="AC69" s="106">
        <v>1.66019813810874e-11</v>
      </c>
      <c r="AD69" s="106">
        <v>8.30341004740706e-12</v>
      </c>
      <c r="AE69" s="106">
        <f t="shared" si="52"/>
        <v>8.30341004740706e-12</v>
      </c>
    </row>
    <row r="70" s="91" customFormat="1" spans="1:31">
      <c r="A70" s="132">
        <v>1072.5</v>
      </c>
      <c r="B70" s="133">
        <v>556.51</v>
      </c>
      <c r="C70" s="133">
        <v>544.12</v>
      </c>
      <c r="D70" s="133">
        <v>521.81</v>
      </c>
      <c r="E70" s="133">
        <v>495.48</v>
      </c>
      <c r="F70" s="133">
        <v>462.95</v>
      </c>
      <c r="G70" s="133">
        <v>421.76</v>
      </c>
      <c r="H70" s="133">
        <v>371.14</v>
      </c>
      <c r="I70" s="133">
        <v>342.35</v>
      </c>
      <c r="J70" s="133"/>
      <c r="K70" s="132">
        <f t="shared" si="39"/>
        <v>1072.5</v>
      </c>
      <c r="L70" s="133">
        <f t="shared" si="41"/>
        <v>572.269366906475</v>
      </c>
      <c r="M70" s="133">
        <f t="shared" si="42"/>
        <v>528.517599515865</v>
      </c>
      <c r="N70" s="133">
        <f t="shared" si="43"/>
        <v>509.769102087417</v>
      </c>
      <c r="O70" s="133">
        <f t="shared" si="44"/>
        <v>495.622268679022</v>
      </c>
      <c r="P70" s="133">
        <f t="shared" si="45"/>
        <v>478.422694423452</v>
      </c>
      <c r="Q70" s="133">
        <f t="shared" si="46"/>
        <v>463.2134764593</v>
      </c>
      <c r="R70" s="133">
        <f t="shared" si="47"/>
        <v>441.943522295403</v>
      </c>
      <c r="S70" s="133">
        <f t="shared" si="48"/>
        <v>422.24868649508</v>
      </c>
      <c r="T70" s="133">
        <f t="shared" si="49"/>
        <v>396.392616680787</v>
      </c>
      <c r="U70" s="133">
        <f t="shared" si="50"/>
        <v>371.914504925873</v>
      </c>
      <c r="V70" s="133">
        <f t="shared" si="51"/>
        <v>345.081897810219</v>
      </c>
      <c r="X70" s="106" t="s">
        <v>64</v>
      </c>
      <c r="Y70" s="106"/>
      <c r="Z70" s="106">
        <v>5.96074638841644e-12</v>
      </c>
      <c r="AA70" s="106">
        <v>1.39713934614089e-10</v>
      </c>
      <c r="AB70" s="106">
        <v>7.46035813813931e-10</v>
      </c>
      <c r="AC70" s="106">
        <v>8.90491596059069e-10</v>
      </c>
      <c r="AD70" s="106">
        <v>7.19562442501229e-10</v>
      </c>
      <c r="AE70" s="106">
        <f t="shared" si="52"/>
        <v>7.19562442501229e-10</v>
      </c>
    </row>
    <row r="71" s="91" customFormat="1" spans="1:22">
      <c r="A71" s="129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</row>
    <row r="72" s="91" customFormat="1" spans="1:22">
      <c r="A72" s="129" t="s">
        <v>138</v>
      </c>
      <c r="B72" s="129"/>
      <c r="C72" s="129"/>
      <c r="D72" s="129"/>
      <c r="E72" s="129"/>
      <c r="F72" s="129"/>
      <c r="G72" s="129"/>
      <c r="H72" s="129"/>
      <c r="I72" s="129"/>
      <c r="J72" s="129"/>
      <c r="K72" s="129" t="s">
        <v>138</v>
      </c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</row>
    <row r="73" s="91" customFormat="1" spans="1:31">
      <c r="A73" s="132" t="s">
        <v>128</v>
      </c>
      <c r="B73" s="133">
        <v>17.68</v>
      </c>
      <c r="C73" s="133">
        <v>31.58</v>
      </c>
      <c r="D73" s="133">
        <v>54.25</v>
      </c>
      <c r="E73" s="133">
        <v>82.31</v>
      </c>
      <c r="F73" s="133">
        <v>106.26</v>
      </c>
      <c r="G73" s="133">
        <v>125.73</v>
      </c>
      <c r="H73" s="133">
        <v>142.56</v>
      </c>
      <c r="I73" s="133">
        <v>150.78</v>
      </c>
      <c r="J73" s="133"/>
      <c r="K73" s="132" t="str">
        <f t="shared" ref="K73:K93" si="53">A73</f>
        <v>R/Z[cm]</v>
      </c>
      <c r="L73" s="141">
        <v>0</v>
      </c>
      <c r="M73" s="141">
        <f t="shared" ref="M73:V73" si="54">SQRT(L73*L73+150*150/10)</f>
        <v>47.4341649025257</v>
      </c>
      <c r="N73" s="141">
        <f t="shared" si="54"/>
        <v>67.0820393249937</v>
      </c>
      <c r="O73" s="141">
        <f t="shared" si="54"/>
        <v>82.1583836257749</v>
      </c>
      <c r="P73" s="141">
        <f t="shared" si="54"/>
        <v>94.8683298050514</v>
      </c>
      <c r="Q73" s="141">
        <f t="shared" si="54"/>
        <v>106.066017177982</v>
      </c>
      <c r="R73" s="141">
        <f t="shared" si="54"/>
        <v>116.189500386223</v>
      </c>
      <c r="S73" s="141">
        <f t="shared" si="54"/>
        <v>125.499003980111</v>
      </c>
      <c r="T73" s="141">
        <f t="shared" si="54"/>
        <v>134.164078649987</v>
      </c>
      <c r="U73" s="141">
        <f t="shared" si="54"/>
        <v>142.302494707577</v>
      </c>
      <c r="V73" s="141">
        <f t="shared" si="54"/>
        <v>150</v>
      </c>
      <c r="X73" s="147" t="s">
        <v>141</v>
      </c>
      <c r="Y73" s="106"/>
      <c r="Z73" s="106" t="s">
        <v>134</v>
      </c>
      <c r="AA73" s="106" t="s">
        <v>136</v>
      </c>
      <c r="AB73" s="106" t="s">
        <v>138</v>
      </c>
      <c r="AC73" s="106" t="s">
        <v>139</v>
      </c>
      <c r="AD73" s="106" t="s">
        <v>140</v>
      </c>
      <c r="AE73" s="106" t="s">
        <v>142</v>
      </c>
    </row>
    <row r="74" s="91" customFormat="1" spans="1:31">
      <c r="A74" s="132">
        <v>27.5</v>
      </c>
      <c r="B74" s="133">
        <v>652.62</v>
      </c>
      <c r="C74" s="133">
        <v>645.86</v>
      </c>
      <c r="D74" s="133">
        <v>625.41</v>
      </c>
      <c r="E74" s="133">
        <v>582.86</v>
      </c>
      <c r="F74" s="133">
        <v>528.36</v>
      </c>
      <c r="G74" s="133">
        <v>466.91</v>
      </c>
      <c r="H74" s="133">
        <v>396.84</v>
      </c>
      <c r="I74" s="133">
        <v>359.04</v>
      </c>
      <c r="J74" s="133"/>
      <c r="K74" s="132">
        <f t="shared" si="53"/>
        <v>27.5</v>
      </c>
      <c r="L74" s="133">
        <f t="shared" ref="L74:L93" si="55">TREND(B74:C74,B$4:C$4,L$4)</f>
        <v>661.218330935252</v>
      </c>
      <c r="M74" s="133">
        <f t="shared" ref="M74:M93" si="56">TREND(C74:D74,C$4:D$4,M$4)</f>
        <v>631.558382344215</v>
      </c>
      <c r="N74" s="133">
        <f t="shared" ref="N74:N93" si="57">TREND(D74:E74,D$4:E$4,N$4)</f>
        <v>605.9515797121</v>
      </c>
      <c r="O74" s="133">
        <f t="shared" ref="O74:O93" si="58">TREND(D74:E74,D$4:E$4,O$4)</f>
        <v>583.089910075669</v>
      </c>
      <c r="P74" s="133">
        <f t="shared" ref="P74:P93" si="59">TREND(E74:F74,E$4:F$4,P$4)</f>
        <v>554.282589796438</v>
      </c>
      <c r="Q74" s="133">
        <f t="shared" ref="Q74:Q93" si="60">TREND(E74:F74,E$4:F$4,Q$4)</f>
        <v>528.801422288099</v>
      </c>
      <c r="R74" s="133">
        <f t="shared" ref="R74:R93" si="61">TREND(F74:G74,F$4:G$4,R$4)</f>
        <v>497.021130008558</v>
      </c>
      <c r="S74" s="133">
        <f t="shared" ref="S74:S93" si="62">TREND(F74:G74,F$4:G$4,S$4)</f>
        <v>467.639055234831</v>
      </c>
      <c r="T74" s="133">
        <f t="shared" ref="T74:T93" si="63">TREND(G74:H74,G$4:H$4,T$4)</f>
        <v>431.795567973582</v>
      </c>
      <c r="U74" s="133">
        <f t="shared" ref="U74:U93" si="64">TREND(G74:H74,G$4:H$4,U$4)</f>
        <v>397.912097197865</v>
      </c>
      <c r="V74" s="133">
        <f t="shared" ref="V74:V93" si="65">TREND(H74:I74,H$4:I$4,V$4)</f>
        <v>362.626861313869</v>
      </c>
      <c r="X74" s="106" t="s">
        <v>46</v>
      </c>
      <c r="Y74" s="106"/>
      <c r="Z74" s="160">
        <f ca="1" t="shared" ref="Z74:Z92" si="66">Z27/Z52</f>
        <v>0.833442222654287</v>
      </c>
      <c r="AA74" s="160">
        <f ca="1" t="shared" ref="AA74:AE74" si="67">AA27/AA52</f>
        <v>1.06715158216801</v>
      </c>
      <c r="AB74" s="160">
        <f ca="1" t="shared" si="67"/>
        <v>1.13874814337369</v>
      </c>
      <c r="AC74" s="160">
        <f ca="1" t="shared" si="67"/>
        <v>1.3101610109895</v>
      </c>
      <c r="AD74" s="160">
        <f ca="1" t="shared" si="67"/>
        <v>1.79413157280079</v>
      </c>
      <c r="AE74" s="160">
        <f ca="1" t="shared" si="67"/>
        <v>1.34421672866071</v>
      </c>
    </row>
    <row r="75" s="91" customFormat="1" spans="1:31">
      <c r="A75" s="132">
        <v>82.5</v>
      </c>
      <c r="B75" s="133">
        <v>890.32</v>
      </c>
      <c r="C75" s="133">
        <v>879.36</v>
      </c>
      <c r="D75" s="133">
        <v>846.54</v>
      </c>
      <c r="E75" s="133">
        <v>779.06</v>
      </c>
      <c r="F75" s="133">
        <v>694.21</v>
      </c>
      <c r="G75" s="133">
        <v>600.38</v>
      </c>
      <c r="H75" s="133">
        <v>492.27</v>
      </c>
      <c r="I75" s="133">
        <v>432.49</v>
      </c>
      <c r="J75" s="133"/>
      <c r="K75" s="132">
        <f t="shared" si="53"/>
        <v>82.5</v>
      </c>
      <c r="L75" s="133">
        <f t="shared" si="55"/>
        <v>904.260489208633</v>
      </c>
      <c r="M75" s="133">
        <f t="shared" si="56"/>
        <v>856.40747719008</v>
      </c>
      <c r="N75" s="133">
        <f t="shared" si="57"/>
        <v>815.680911844242</v>
      </c>
      <c r="O75" s="133">
        <f t="shared" si="58"/>
        <v>779.424614145855</v>
      </c>
      <c r="P75" s="133">
        <f t="shared" si="59"/>
        <v>734.568380628033</v>
      </c>
      <c r="Q75" s="133">
        <f t="shared" si="60"/>
        <v>694.897241855876</v>
      </c>
      <c r="R75" s="133">
        <f t="shared" si="61"/>
        <v>646.357661980521</v>
      </c>
      <c r="S75" s="133">
        <f t="shared" si="62"/>
        <v>601.493218107147</v>
      </c>
      <c r="T75" s="133">
        <f t="shared" si="63"/>
        <v>546.20244546345</v>
      </c>
      <c r="U75" s="133">
        <f t="shared" si="64"/>
        <v>493.924123420312</v>
      </c>
      <c r="V75" s="133">
        <f t="shared" si="65"/>
        <v>438.162554744525</v>
      </c>
      <c r="X75" s="106" t="s">
        <v>113</v>
      </c>
      <c r="Y75" s="106"/>
      <c r="Z75" s="160">
        <f ca="1" t="shared" si="66"/>
        <v>0.283603813928892</v>
      </c>
      <c r="AA75" s="160">
        <f ca="1" t="shared" ref="AA75:AE75" si="68">AA28/AA53</f>
        <v>0.161182854635595</v>
      </c>
      <c r="AB75" s="160">
        <f ca="1" t="shared" si="68"/>
        <v>0.9847110560794</v>
      </c>
      <c r="AC75" s="160">
        <f ca="1" t="shared" si="68"/>
        <v>1.26593685445182</v>
      </c>
      <c r="AD75" s="160">
        <f ca="1" t="shared" si="68"/>
        <v>1.60849863352991</v>
      </c>
      <c r="AE75" s="160">
        <f ca="1" t="shared" si="68"/>
        <v>1.23114702540593</v>
      </c>
    </row>
    <row r="76" s="91" customFormat="1" spans="1:31">
      <c r="A76" s="132">
        <v>137.5</v>
      </c>
      <c r="B76" s="133">
        <v>1031.19</v>
      </c>
      <c r="C76" s="133">
        <v>1018.23</v>
      </c>
      <c r="D76" s="133">
        <v>979.34</v>
      </c>
      <c r="E76" s="133">
        <v>899.53</v>
      </c>
      <c r="F76" s="133">
        <v>799.6</v>
      </c>
      <c r="G76" s="133">
        <v>689.97</v>
      </c>
      <c r="H76" s="133">
        <v>565.09</v>
      </c>
      <c r="I76" s="133">
        <v>496.37</v>
      </c>
      <c r="J76" s="133"/>
      <c r="K76" s="132">
        <f t="shared" si="53"/>
        <v>137.5</v>
      </c>
      <c r="L76" s="133">
        <f t="shared" si="55"/>
        <v>1047.67437410072</v>
      </c>
      <c r="M76" s="133">
        <f t="shared" si="56"/>
        <v>991.032449357776</v>
      </c>
      <c r="N76" s="133">
        <f t="shared" si="57"/>
        <v>942.842314378911</v>
      </c>
      <c r="O76" s="133">
        <f t="shared" si="58"/>
        <v>899.961236736525</v>
      </c>
      <c r="P76" s="133">
        <f t="shared" si="59"/>
        <v>847.13108987813</v>
      </c>
      <c r="Q76" s="133">
        <f t="shared" si="60"/>
        <v>800.409382188069</v>
      </c>
      <c r="R76" s="133">
        <f t="shared" si="61"/>
        <v>743.689823968075</v>
      </c>
      <c r="S76" s="133">
        <f t="shared" si="62"/>
        <v>691.270672504386</v>
      </c>
      <c r="T76" s="133">
        <f t="shared" si="63"/>
        <v>627.38843483004</v>
      </c>
      <c r="U76" s="133">
        <f t="shared" si="64"/>
        <v>567.000710690302</v>
      </c>
      <c r="V76" s="133">
        <f t="shared" si="65"/>
        <v>502.890875912409</v>
      </c>
      <c r="X76" s="106" t="s">
        <v>48</v>
      </c>
      <c r="Y76" s="106"/>
      <c r="Z76" s="160">
        <f ca="1" t="shared" si="66"/>
        <v>0.833318559498306</v>
      </c>
      <c r="AA76" s="160">
        <f ca="1" t="shared" ref="AA76:AE76" si="69">AA29/AA54</f>
        <v>1.06884615636092</v>
      </c>
      <c r="AB76" s="160">
        <f ca="1" t="shared" si="69"/>
        <v>1.13781612788598</v>
      </c>
      <c r="AC76" s="160">
        <f ca="1" t="shared" si="69"/>
        <v>1.30797268964942</v>
      </c>
      <c r="AD76" s="160">
        <f ca="1" t="shared" si="69"/>
        <v>1.79050996841</v>
      </c>
      <c r="AE76" s="160">
        <f ca="1" t="shared" si="69"/>
        <v>1.344646541666</v>
      </c>
    </row>
    <row r="77" s="91" customFormat="1" spans="1:31">
      <c r="A77" s="132">
        <v>192.5</v>
      </c>
      <c r="B77" s="133">
        <v>1142.31</v>
      </c>
      <c r="C77" s="133">
        <v>1127.88</v>
      </c>
      <c r="D77" s="133">
        <v>1084.66</v>
      </c>
      <c r="E77" s="133">
        <v>996.49</v>
      </c>
      <c r="F77" s="133">
        <v>886.72</v>
      </c>
      <c r="G77" s="133">
        <v>766.58</v>
      </c>
      <c r="H77" s="133">
        <v>630.85</v>
      </c>
      <c r="I77" s="133">
        <v>556.3</v>
      </c>
      <c r="J77" s="133"/>
      <c r="K77" s="132">
        <f t="shared" si="53"/>
        <v>192.5</v>
      </c>
      <c r="L77" s="133">
        <f t="shared" si="55"/>
        <v>1160.6641294964</v>
      </c>
      <c r="M77" s="133">
        <f t="shared" si="56"/>
        <v>1097.65428288103</v>
      </c>
      <c r="N77" s="133">
        <f t="shared" si="57"/>
        <v>1044.33922639755</v>
      </c>
      <c r="O77" s="133">
        <f t="shared" si="58"/>
        <v>996.966408257856</v>
      </c>
      <c r="P77" s="133">
        <f t="shared" si="59"/>
        <v>938.931425356973</v>
      </c>
      <c r="Q77" s="133">
        <f t="shared" si="60"/>
        <v>887.609081184672</v>
      </c>
      <c r="R77" s="133">
        <f t="shared" si="61"/>
        <v>825.449831720556</v>
      </c>
      <c r="S77" s="133">
        <f t="shared" si="62"/>
        <v>768.005365271157</v>
      </c>
      <c r="T77" s="133">
        <f t="shared" si="63"/>
        <v>698.56113516561</v>
      </c>
      <c r="U77" s="133">
        <f t="shared" si="64"/>
        <v>632.926719746914</v>
      </c>
      <c r="V77" s="133">
        <f t="shared" si="65"/>
        <v>563.374087591241</v>
      </c>
      <c r="X77" s="106" t="s">
        <v>49</v>
      </c>
      <c r="Y77" s="106"/>
      <c r="Z77" s="160">
        <f ca="1" t="shared" si="66"/>
        <v>0.830689138261911</v>
      </c>
      <c r="AA77" s="160">
        <f ca="1" t="shared" ref="AA77:AE77" si="70">AA30/AA55</f>
        <v>1.05973962598411</v>
      </c>
      <c r="AB77" s="160">
        <f ca="1" t="shared" si="70"/>
        <v>1.13040901337124</v>
      </c>
      <c r="AC77" s="160">
        <f ca="1" t="shared" si="70"/>
        <v>1.30113962531356</v>
      </c>
      <c r="AD77" s="160">
        <f ca="1" t="shared" si="70"/>
        <v>1.78149752462949</v>
      </c>
      <c r="AE77" s="160">
        <f ca="1" t="shared" si="70"/>
        <v>1.33383752401997</v>
      </c>
    </row>
    <row r="78" s="91" customFormat="1" spans="1:31">
      <c r="A78" s="132">
        <v>241.5</v>
      </c>
      <c r="B78" s="133">
        <v>1227.1</v>
      </c>
      <c r="C78" s="133">
        <v>1211.82</v>
      </c>
      <c r="D78" s="133">
        <v>1165.94</v>
      </c>
      <c r="E78" s="133">
        <v>1072.58</v>
      </c>
      <c r="F78" s="133">
        <v>957.19</v>
      </c>
      <c r="G78" s="133">
        <v>831.41</v>
      </c>
      <c r="H78" s="133">
        <v>689.18</v>
      </c>
      <c r="I78" s="133">
        <v>610.26</v>
      </c>
      <c r="J78" s="133"/>
      <c r="K78" s="132">
        <f t="shared" si="53"/>
        <v>241.5</v>
      </c>
      <c r="L78" s="133">
        <f t="shared" si="55"/>
        <v>1246.53528057554</v>
      </c>
      <c r="M78" s="133">
        <f t="shared" si="56"/>
        <v>1179.73402356736</v>
      </c>
      <c r="N78" s="133">
        <f t="shared" si="57"/>
        <v>1123.24580216032</v>
      </c>
      <c r="O78" s="133">
        <f t="shared" si="58"/>
        <v>1073.08445134347</v>
      </c>
      <c r="P78" s="133">
        <f t="shared" si="59"/>
        <v>1012.07454379103</v>
      </c>
      <c r="Q78" s="133">
        <f t="shared" si="60"/>
        <v>958.124600327042</v>
      </c>
      <c r="R78" s="133">
        <f t="shared" si="61"/>
        <v>893.043489543962</v>
      </c>
      <c r="S78" s="133">
        <f t="shared" si="62"/>
        <v>832.90227937245</v>
      </c>
      <c r="T78" s="133">
        <f t="shared" si="63"/>
        <v>760.133766703048</v>
      </c>
      <c r="U78" s="133">
        <f t="shared" si="64"/>
        <v>691.356172177143</v>
      </c>
      <c r="V78" s="133">
        <f t="shared" si="65"/>
        <v>617.748759124088</v>
      </c>
      <c r="X78" s="106" t="s">
        <v>50</v>
      </c>
      <c r="Y78" s="106"/>
      <c r="Z78" s="160">
        <f ca="1" t="shared" si="66"/>
        <v>0.827177802225772</v>
      </c>
      <c r="AA78" s="160">
        <f ca="1" t="shared" ref="AA78:AE78" si="71">AA31/AA56</f>
        <v>1.06037938483608</v>
      </c>
      <c r="AB78" s="160">
        <f ca="1" t="shared" si="71"/>
        <v>1.13162464061912</v>
      </c>
      <c r="AC78" s="160">
        <f ca="1" t="shared" si="71"/>
        <v>1.30215536273598</v>
      </c>
      <c r="AD78" s="160">
        <f ca="1" t="shared" si="71"/>
        <v>1.78247161014373</v>
      </c>
      <c r="AE78" s="160">
        <f ca="1" t="shared" si="71"/>
        <v>1.33683735919451</v>
      </c>
    </row>
    <row r="79" s="91" customFormat="1" spans="1:31">
      <c r="A79" s="132">
        <v>296.5</v>
      </c>
      <c r="B79" s="133">
        <v>1302.72</v>
      </c>
      <c r="C79" s="133">
        <v>1287.1</v>
      </c>
      <c r="D79" s="133">
        <v>1239.79</v>
      </c>
      <c r="E79" s="133">
        <v>1143</v>
      </c>
      <c r="F79" s="133">
        <v>1024.07</v>
      </c>
      <c r="G79" s="133">
        <v>896.66</v>
      </c>
      <c r="H79" s="133">
        <v>756.52</v>
      </c>
      <c r="I79" s="133">
        <v>680.4</v>
      </c>
      <c r="J79" s="133"/>
      <c r="K79" s="132">
        <f t="shared" si="53"/>
        <v>296.5</v>
      </c>
      <c r="L79" s="133">
        <f t="shared" si="55"/>
        <v>1322.58774100719</v>
      </c>
      <c r="M79" s="133">
        <f t="shared" si="56"/>
        <v>1254.01395934987</v>
      </c>
      <c r="N79" s="133">
        <f t="shared" si="57"/>
        <v>1195.52723855074</v>
      </c>
      <c r="O79" s="133">
        <f t="shared" si="58"/>
        <v>1143.52298463511</v>
      </c>
      <c r="P79" s="133">
        <f t="shared" si="59"/>
        <v>1080.63832301817</v>
      </c>
      <c r="Q79" s="133">
        <f t="shared" si="60"/>
        <v>1025.03327252704</v>
      </c>
      <c r="R79" s="133">
        <f t="shared" si="61"/>
        <v>959.092206255336</v>
      </c>
      <c r="S79" s="133">
        <f t="shared" si="62"/>
        <v>898.171618022292</v>
      </c>
      <c r="T79" s="133">
        <f t="shared" si="63"/>
        <v>826.431135947164</v>
      </c>
      <c r="U79" s="133">
        <f t="shared" si="64"/>
        <v>758.664194395731</v>
      </c>
      <c r="V79" s="133">
        <f t="shared" si="65"/>
        <v>687.623065693431</v>
      </c>
      <c r="X79" s="106" t="s">
        <v>51</v>
      </c>
      <c r="Y79" s="106"/>
      <c r="Z79" s="160">
        <f ca="1" t="shared" si="66"/>
        <v>0.833593700429444</v>
      </c>
      <c r="AA79" s="160">
        <f ca="1" t="shared" ref="AA79:AE79" si="72">AA32/AA57</f>
        <v>1.06031598256758</v>
      </c>
      <c r="AB79" s="160">
        <f ca="1" t="shared" si="72"/>
        <v>1.02258873869069</v>
      </c>
      <c r="AC79" s="160">
        <f ca="1" t="shared" si="72"/>
        <v>1.14286523759926</v>
      </c>
      <c r="AD79" s="160">
        <f ca="1" t="shared" si="72"/>
        <v>1.56609416788</v>
      </c>
      <c r="AE79" s="160">
        <f ca="1" t="shared" si="72"/>
        <v>1.23598146429069</v>
      </c>
    </row>
    <row r="80" s="91" customFormat="1" spans="1:31">
      <c r="A80" s="132">
        <v>357.5</v>
      </c>
      <c r="B80" s="133">
        <v>1359.36</v>
      </c>
      <c r="C80" s="133">
        <v>1343.48</v>
      </c>
      <c r="D80" s="133">
        <v>1295.41</v>
      </c>
      <c r="E80" s="133">
        <v>1196.41</v>
      </c>
      <c r="F80" s="133">
        <v>1074.42</v>
      </c>
      <c r="G80" s="133">
        <v>944.4</v>
      </c>
      <c r="H80" s="133">
        <v>801.93</v>
      </c>
      <c r="I80" s="133">
        <v>723.98</v>
      </c>
      <c r="J80" s="133"/>
      <c r="K80" s="132">
        <f t="shared" si="53"/>
        <v>357.5</v>
      </c>
      <c r="L80" s="133">
        <f t="shared" si="55"/>
        <v>1379.55844604317</v>
      </c>
      <c r="M80" s="133">
        <f t="shared" si="56"/>
        <v>1309.86245668882</v>
      </c>
      <c r="N80" s="133">
        <f t="shared" si="57"/>
        <v>1250.13658969443</v>
      </c>
      <c r="O80" s="133">
        <f t="shared" si="58"/>
        <v>1196.94492591049</v>
      </c>
      <c r="P80" s="133">
        <f t="shared" si="59"/>
        <v>1132.44379319757</v>
      </c>
      <c r="Q80" s="133">
        <f t="shared" si="60"/>
        <v>1075.4080569711</v>
      </c>
      <c r="R80" s="133">
        <f t="shared" si="61"/>
        <v>1008.11113301404</v>
      </c>
      <c r="S80" s="133">
        <f t="shared" si="62"/>
        <v>945.942583590443</v>
      </c>
      <c r="T80" s="133">
        <f t="shared" si="63"/>
        <v>873.003494636738</v>
      </c>
      <c r="U80" s="133">
        <f t="shared" si="64"/>
        <v>804.109844266874</v>
      </c>
      <c r="V80" s="133">
        <f t="shared" si="65"/>
        <v>731.376715328467</v>
      </c>
      <c r="X80" s="106" t="s">
        <v>52</v>
      </c>
      <c r="Y80" s="106"/>
      <c r="Z80" s="160">
        <f ca="1" t="shared" si="66"/>
        <v>0.832337301712008</v>
      </c>
      <c r="AA80" s="160">
        <f ca="1" t="shared" ref="AA80:AE80" si="73">AA33/AA58</f>
        <v>1.05976920715919</v>
      </c>
      <c r="AB80" s="160">
        <f ca="1" t="shared" si="73"/>
        <v>1.06333157652766</v>
      </c>
      <c r="AC80" s="160">
        <f ca="1" t="shared" si="73"/>
        <v>1.20249177567818</v>
      </c>
      <c r="AD80" s="160">
        <f ca="1" t="shared" si="73"/>
        <v>1.64641584617892</v>
      </c>
      <c r="AE80" s="160">
        <f ca="1" t="shared" si="73"/>
        <v>1.27354122501375</v>
      </c>
    </row>
    <row r="81" s="91" customFormat="1" spans="1:31">
      <c r="A81" s="132">
        <v>412.5</v>
      </c>
      <c r="B81" s="133">
        <v>1382.33</v>
      </c>
      <c r="C81" s="133">
        <v>1366.34</v>
      </c>
      <c r="D81" s="133">
        <v>1317.99</v>
      </c>
      <c r="E81" s="133">
        <v>1218.32</v>
      </c>
      <c r="F81" s="133">
        <v>1095.31</v>
      </c>
      <c r="G81" s="133">
        <v>964.49</v>
      </c>
      <c r="H81" s="133">
        <v>821.7</v>
      </c>
      <c r="I81" s="133">
        <v>743.52</v>
      </c>
      <c r="J81" s="133"/>
      <c r="K81" s="132">
        <f t="shared" si="53"/>
        <v>412.5</v>
      </c>
      <c r="L81" s="133">
        <f t="shared" si="55"/>
        <v>1402.66835971223</v>
      </c>
      <c r="M81" s="133">
        <f t="shared" si="56"/>
        <v>1332.52663991896</v>
      </c>
      <c r="N81" s="133">
        <f t="shared" si="57"/>
        <v>1272.41019388731</v>
      </c>
      <c r="O81" s="133">
        <f t="shared" si="58"/>
        <v>1218.85854611614</v>
      </c>
      <c r="P81" s="133">
        <f t="shared" si="59"/>
        <v>1153.81894992403</v>
      </c>
      <c r="Q81" s="133">
        <f t="shared" si="60"/>
        <v>1096.30631845246</v>
      </c>
      <c r="R81" s="133">
        <f t="shared" si="61"/>
        <v>1028.59314121594</v>
      </c>
      <c r="S81" s="133">
        <f t="shared" si="62"/>
        <v>966.042074952329</v>
      </c>
      <c r="T81" s="133">
        <f t="shared" si="63"/>
        <v>892.933131881658</v>
      </c>
      <c r="U81" s="133">
        <f t="shared" si="64"/>
        <v>823.884740386516</v>
      </c>
      <c r="V81" s="133">
        <f t="shared" si="65"/>
        <v>750.938540145986</v>
      </c>
      <c r="X81" s="106" t="s">
        <v>53</v>
      </c>
      <c r="Y81" s="106"/>
      <c r="Z81" s="160">
        <f ca="1" t="shared" si="66"/>
        <v>0.338955358917334</v>
      </c>
      <c r="AA81" s="160">
        <f ca="1" t="shared" ref="AA81:AE81" si="74">AA34/AA59</f>
        <v>0.597958370936382</v>
      </c>
      <c r="AB81" s="160">
        <f ca="1" t="shared" si="74"/>
        <v>0.953203957264351</v>
      </c>
      <c r="AC81" s="160">
        <f ca="1" t="shared" si="74"/>
        <v>1.14040251124352</v>
      </c>
      <c r="AD81" s="160">
        <f ca="1" t="shared" si="74"/>
        <v>1.51580979671388</v>
      </c>
      <c r="AE81" s="160">
        <f ca="1" t="shared" si="74"/>
        <v>1.15661563286075</v>
      </c>
    </row>
    <row r="82" s="91" customFormat="1" spans="1:31">
      <c r="A82" s="132">
        <v>467.5</v>
      </c>
      <c r="B82" s="133">
        <v>1380.6</v>
      </c>
      <c r="C82" s="133">
        <v>1364.67</v>
      </c>
      <c r="D82" s="133">
        <v>1316.47</v>
      </c>
      <c r="E82" s="133">
        <v>1217.08</v>
      </c>
      <c r="F82" s="133">
        <v>1094.51</v>
      </c>
      <c r="G82" s="133">
        <v>964.42</v>
      </c>
      <c r="H82" s="133">
        <v>822.92</v>
      </c>
      <c r="I82" s="133">
        <v>745.65</v>
      </c>
      <c r="J82" s="133"/>
      <c r="K82" s="132">
        <f t="shared" si="53"/>
        <v>467.5</v>
      </c>
      <c r="L82" s="133">
        <f t="shared" si="55"/>
        <v>1400.86204316547</v>
      </c>
      <c r="M82" s="133">
        <f t="shared" si="56"/>
        <v>1330.96154175996</v>
      </c>
      <c r="N82" s="133">
        <f t="shared" si="57"/>
        <v>1271.01823989625</v>
      </c>
      <c r="O82" s="133">
        <f t="shared" si="58"/>
        <v>1217.61703319438</v>
      </c>
      <c r="P82" s="133">
        <f t="shared" si="59"/>
        <v>1152.80966663027</v>
      </c>
      <c r="Q82" s="133">
        <f t="shared" si="60"/>
        <v>1095.50275467619</v>
      </c>
      <c r="R82" s="133">
        <f t="shared" si="61"/>
        <v>1028.16543373171</v>
      </c>
      <c r="S82" s="133">
        <f t="shared" si="62"/>
        <v>965.963414084608</v>
      </c>
      <c r="T82" s="133">
        <f t="shared" si="63"/>
        <v>893.509594238074</v>
      </c>
      <c r="U82" s="133">
        <f t="shared" si="64"/>
        <v>825.08500290421</v>
      </c>
      <c r="V82" s="133">
        <f t="shared" si="65"/>
        <v>752.982189781022</v>
      </c>
      <c r="X82" s="106" t="s">
        <v>54</v>
      </c>
      <c r="Y82" s="106"/>
      <c r="Z82" s="160">
        <f ca="1" t="shared" si="66"/>
        <v>0.833845568377045</v>
      </c>
      <c r="AA82" s="160">
        <f ca="1" t="shared" ref="AA82:AE82" si="75">AA35/AA60</f>
        <v>1.06515988076182</v>
      </c>
      <c r="AB82" s="160">
        <f ca="1" t="shared" si="75"/>
        <v>1.12537520395233</v>
      </c>
      <c r="AC82" s="160">
        <f ca="1" t="shared" si="75"/>
        <v>1.29194629735607</v>
      </c>
      <c r="AD82" s="160">
        <f ca="1" t="shared" si="75"/>
        <v>1.76910809099464</v>
      </c>
      <c r="AE82" s="160">
        <f ca="1" t="shared" si="75"/>
        <v>1.33155017156798</v>
      </c>
    </row>
    <row r="83" s="91" customFormat="1" spans="1:31">
      <c r="A83" s="132">
        <v>522.5</v>
      </c>
      <c r="B83" s="133">
        <v>1356.93</v>
      </c>
      <c r="C83" s="133">
        <v>1341.07</v>
      </c>
      <c r="D83" s="133">
        <v>1293.06</v>
      </c>
      <c r="E83" s="133">
        <v>1194.1</v>
      </c>
      <c r="F83" s="133">
        <v>1072.18</v>
      </c>
      <c r="G83" s="133">
        <v>942.64</v>
      </c>
      <c r="H83" s="133">
        <v>802.2</v>
      </c>
      <c r="I83" s="133">
        <v>726.54</v>
      </c>
      <c r="J83" s="133"/>
      <c r="K83" s="132">
        <f t="shared" si="53"/>
        <v>522.5</v>
      </c>
      <c r="L83" s="133">
        <f t="shared" si="55"/>
        <v>1377.10300719424</v>
      </c>
      <c r="M83" s="133">
        <f t="shared" si="56"/>
        <v>1307.49441742522</v>
      </c>
      <c r="N83" s="133">
        <f t="shared" si="57"/>
        <v>1247.80488198142</v>
      </c>
      <c r="O83" s="133">
        <f t="shared" si="58"/>
        <v>1194.63470977881</v>
      </c>
      <c r="P83" s="133">
        <f t="shared" si="59"/>
        <v>1130.17049812811</v>
      </c>
      <c r="Q83" s="133">
        <f t="shared" si="60"/>
        <v>1073.1674900067</v>
      </c>
      <c r="R83" s="133">
        <f t="shared" si="61"/>
        <v>1006.1159280929</v>
      </c>
      <c r="S83" s="133">
        <f t="shared" si="62"/>
        <v>944.176888773312</v>
      </c>
      <c r="T83" s="133">
        <f t="shared" si="63"/>
        <v>872.260795864277</v>
      </c>
      <c r="U83" s="133">
        <f t="shared" si="64"/>
        <v>804.348784507895</v>
      </c>
      <c r="V83" s="133">
        <f t="shared" si="65"/>
        <v>733.719416058394</v>
      </c>
      <c r="X83" s="106" t="s">
        <v>55</v>
      </c>
      <c r="Y83" s="106"/>
      <c r="Z83" s="160">
        <f ca="1" t="shared" si="66"/>
        <v>0.192703251287263</v>
      </c>
      <c r="AA83" s="160">
        <f ca="1" t="shared" ref="AA83:AE83" si="76">AA36/AA61</f>
        <v>0.421043769215136</v>
      </c>
      <c r="AB83" s="160">
        <f ca="1" t="shared" si="76"/>
        <v>0.901602072109212</v>
      </c>
      <c r="AC83" s="160">
        <f ca="1" t="shared" si="76"/>
        <v>1.07891353991937</v>
      </c>
      <c r="AD83" s="160">
        <f ca="1" t="shared" si="76"/>
        <v>1.489694651059</v>
      </c>
      <c r="AE83" s="160">
        <f ca="1" t="shared" si="76"/>
        <v>1.1135396781492</v>
      </c>
    </row>
    <row r="84" s="91" customFormat="1" spans="1:31">
      <c r="A84" s="132">
        <v>577.5</v>
      </c>
      <c r="B84" s="133">
        <v>1317.02</v>
      </c>
      <c r="C84" s="133">
        <v>1301.26</v>
      </c>
      <c r="D84" s="133">
        <v>1253.45</v>
      </c>
      <c r="E84" s="133">
        <v>1155.05</v>
      </c>
      <c r="F84" s="133">
        <v>1033.09</v>
      </c>
      <c r="G84" s="133">
        <v>900.63</v>
      </c>
      <c r="H84" s="133">
        <v>750.54</v>
      </c>
      <c r="I84" s="133">
        <v>666.33</v>
      </c>
      <c r="J84" s="133"/>
      <c r="K84" s="132">
        <f t="shared" si="53"/>
        <v>577.5</v>
      </c>
      <c r="L84" s="133">
        <f t="shared" si="55"/>
        <v>1337.06581294964</v>
      </c>
      <c r="M84" s="133">
        <f t="shared" si="56"/>
        <v>1267.82428654655</v>
      </c>
      <c r="N84" s="133">
        <f t="shared" si="57"/>
        <v>1208.45097399931</v>
      </c>
      <c r="O84" s="133">
        <f t="shared" si="58"/>
        <v>1155.58168393527</v>
      </c>
      <c r="P84" s="133">
        <f t="shared" si="59"/>
        <v>1091.09952388208</v>
      </c>
      <c r="Q84" s="133">
        <f t="shared" si="60"/>
        <v>1034.07781398636</v>
      </c>
      <c r="R84" s="133">
        <f t="shared" si="61"/>
        <v>965.536758029839</v>
      </c>
      <c r="S84" s="133">
        <f t="shared" si="62"/>
        <v>902.201532244194</v>
      </c>
      <c r="T84" s="133">
        <f t="shared" si="63"/>
        <v>825.414856531396</v>
      </c>
      <c r="U84" s="133">
        <f t="shared" si="64"/>
        <v>752.83643311585</v>
      </c>
      <c r="V84" s="133">
        <f t="shared" si="65"/>
        <v>674.320729927007</v>
      </c>
      <c r="X84" s="106" t="s">
        <v>56</v>
      </c>
      <c r="Y84" s="106"/>
      <c r="Z84" s="160">
        <f ca="1" t="shared" si="66"/>
        <v>0.187820698495046</v>
      </c>
      <c r="AA84" s="160">
        <f ca="1" t="shared" ref="AA84:AE84" si="77">AA37/AA62</f>
        <v>0.411130615256223</v>
      </c>
      <c r="AB84" s="160">
        <f ca="1" t="shared" si="77"/>
        <v>0.977313846377141</v>
      </c>
      <c r="AC84" s="160">
        <f ca="1" t="shared" si="77"/>
        <v>1.19159249243283</v>
      </c>
      <c r="AD84" s="160">
        <f ca="1" t="shared" si="77"/>
        <v>1.64556897006285</v>
      </c>
      <c r="AE84" s="160">
        <f ca="1" t="shared" si="77"/>
        <v>1.17699236718818</v>
      </c>
    </row>
    <row r="85" s="91" customFormat="1" spans="1:31">
      <c r="A85" s="132">
        <v>632.5</v>
      </c>
      <c r="B85" s="133">
        <v>1268.28</v>
      </c>
      <c r="C85" s="133">
        <v>1252.94</v>
      </c>
      <c r="D85" s="133">
        <v>1206.42</v>
      </c>
      <c r="E85" s="133">
        <v>1111.06</v>
      </c>
      <c r="F85" s="133">
        <v>992.78</v>
      </c>
      <c r="G85" s="133">
        <v>863.7</v>
      </c>
      <c r="H85" s="133">
        <v>718.12</v>
      </c>
      <c r="I85" s="133">
        <v>637.73</v>
      </c>
      <c r="J85" s="133"/>
      <c r="K85" s="132">
        <f t="shared" si="53"/>
        <v>632.5</v>
      </c>
      <c r="L85" s="133">
        <f t="shared" si="55"/>
        <v>1287.7915971223</v>
      </c>
      <c r="M85" s="133">
        <f t="shared" si="56"/>
        <v>1220.40644237911</v>
      </c>
      <c r="N85" s="133">
        <f t="shared" si="57"/>
        <v>1162.81118781071</v>
      </c>
      <c r="O85" s="133">
        <f t="shared" si="58"/>
        <v>1111.57525792752</v>
      </c>
      <c r="P85" s="133">
        <f t="shared" si="59"/>
        <v>1049.03915451601</v>
      </c>
      <c r="Q85" s="133">
        <f t="shared" si="60"/>
        <v>993.738007857548</v>
      </c>
      <c r="R85" s="133">
        <f t="shared" si="61"/>
        <v>926.950523376805</v>
      </c>
      <c r="S85" s="133">
        <f t="shared" si="62"/>
        <v>865.231431240228</v>
      </c>
      <c r="T85" s="133">
        <f t="shared" si="63"/>
        <v>790.744969110805</v>
      </c>
      <c r="U85" s="133">
        <f t="shared" si="64"/>
        <v>720.347428429645</v>
      </c>
      <c r="V85" s="133">
        <f t="shared" si="65"/>
        <v>645.358248175182</v>
      </c>
      <c r="X85" s="106" t="s">
        <v>57</v>
      </c>
      <c r="Y85" s="106"/>
      <c r="Z85" s="160">
        <f ca="1" t="shared" si="66"/>
        <v>0.19222961507559</v>
      </c>
      <c r="AA85" s="160">
        <f ca="1" t="shared" ref="AA85:AE85" si="78">AA38/AA63</f>
        <v>0.421507271611232</v>
      </c>
      <c r="AB85" s="160">
        <f ca="1" t="shared" si="78"/>
        <v>0.978012569280239</v>
      </c>
      <c r="AC85" s="160">
        <f ca="1" t="shared" si="78"/>
        <v>1.18737050650412</v>
      </c>
      <c r="AD85" s="160">
        <f ca="1" t="shared" si="78"/>
        <v>1.63986998073836</v>
      </c>
      <c r="AE85" s="160">
        <f ca="1" t="shared" si="78"/>
        <v>1.18478243348816</v>
      </c>
    </row>
    <row r="86" s="91" customFormat="1" ht="13.5" customHeight="1" spans="1:31">
      <c r="A86" s="132">
        <v>687.5</v>
      </c>
      <c r="B86" s="133">
        <v>1213.96</v>
      </c>
      <c r="C86" s="133">
        <v>1199.28</v>
      </c>
      <c r="D86" s="133">
        <v>1154.94</v>
      </c>
      <c r="E86" s="133">
        <v>1064.13</v>
      </c>
      <c r="F86" s="133">
        <v>951.05</v>
      </c>
      <c r="G86" s="133">
        <v>827.12</v>
      </c>
      <c r="H86" s="133">
        <v>687.29</v>
      </c>
      <c r="I86" s="133">
        <v>610.27</v>
      </c>
      <c r="J86" s="133"/>
      <c r="K86" s="132">
        <f t="shared" si="53"/>
        <v>687.5</v>
      </c>
      <c r="L86" s="133">
        <f t="shared" si="55"/>
        <v>1232.63211510791</v>
      </c>
      <c r="M86" s="133">
        <f t="shared" si="56"/>
        <v>1168.27101580159</v>
      </c>
      <c r="N86" s="133">
        <f t="shared" si="57"/>
        <v>1113.41193545607</v>
      </c>
      <c r="O86" s="133">
        <f t="shared" si="58"/>
        <v>1064.6206729488</v>
      </c>
      <c r="P86" s="133">
        <f t="shared" si="59"/>
        <v>1004.83580649874</v>
      </c>
      <c r="Q86" s="133">
        <f t="shared" si="60"/>
        <v>951.965890501619</v>
      </c>
      <c r="R86" s="133">
        <f t="shared" si="61"/>
        <v>887.846970577065</v>
      </c>
      <c r="S86" s="133">
        <f t="shared" si="62"/>
        <v>828.59033059809</v>
      </c>
      <c r="T86" s="133">
        <f t="shared" si="63"/>
        <v>757.046487366148</v>
      </c>
      <c r="U86" s="133">
        <f t="shared" si="64"/>
        <v>689.429451279828</v>
      </c>
      <c r="V86" s="133">
        <f t="shared" si="65"/>
        <v>617.578467153285</v>
      </c>
      <c r="X86" s="106" t="s">
        <v>58</v>
      </c>
      <c r="Y86" s="106"/>
      <c r="Z86" s="160">
        <f ca="1" t="shared" si="66"/>
        <v>0.180239474203767</v>
      </c>
      <c r="AA86" s="160">
        <f ca="1" t="shared" ref="AA86:AE86" si="79">AA39/AA64</f>
        <v>0.392801684502101</v>
      </c>
      <c r="AB86" s="160">
        <f ca="1" t="shared" si="79"/>
        <v>0.935244978085881</v>
      </c>
      <c r="AC86" s="160">
        <f ca="1" t="shared" si="79"/>
        <v>1.14083302091806</v>
      </c>
      <c r="AD86" s="160">
        <f ca="1" t="shared" si="79"/>
        <v>1.57581896360958</v>
      </c>
      <c r="AE86" s="160">
        <f ca="1" t="shared" si="79"/>
        <v>1.12501176198205</v>
      </c>
    </row>
    <row r="87" s="91" customFormat="1" ht="13.5" customHeight="1" spans="1:31">
      <c r="A87" s="132">
        <v>742.5</v>
      </c>
      <c r="B87" s="133">
        <v>1155.09</v>
      </c>
      <c r="C87" s="133">
        <v>1141.22</v>
      </c>
      <c r="D87" s="133">
        <v>1099.42</v>
      </c>
      <c r="E87" s="133">
        <v>1013.55</v>
      </c>
      <c r="F87" s="133">
        <v>906.04</v>
      </c>
      <c r="G87" s="133">
        <v>787.86</v>
      </c>
      <c r="H87" s="133">
        <v>654.15</v>
      </c>
      <c r="I87" s="133">
        <v>580.48</v>
      </c>
      <c r="J87" s="133"/>
      <c r="K87" s="132">
        <f t="shared" si="53"/>
        <v>742.5</v>
      </c>
      <c r="L87" s="133">
        <f t="shared" si="55"/>
        <v>1172.73184172662</v>
      </c>
      <c r="M87" s="133">
        <f t="shared" si="56"/>
        <v>1111.98735364245</v>
      </c>
      <c r="N87" s="133">
        <f t="shared" si="57"/>
        <v>1060.1510328996</v>
      </c>
      <c r="O87" s="133">
        <f t="shared" si="58"/>
        <v>1014.0139806862</v>
      </c>
      <c r="P87" s="133">
        <f t="shared" si="59"/>
        <v>957.176470257158</v>
      </c>
      <c r="Q87" s="133">
        <f t="shared" si="60"/>
        <v>906.910776333826</v>
      </c>
      <c r="R87" s="133">
        <f t="shared" si="61"/>
        <v>845.769411625898</v>
      </c>
      <c r="S87" s="133">
        <f t="shared" si="62"/>
        <v>789.262111434538</v>
      </c>
      <c r="T87" s="133">
        <f t="shared" si="63"/>
        <v>720.853425057052</v>
      </c>
      <c r="U87" s="133">
        <f t="shared" si="64"/>
        <v>656.195812991674</v>
      </c>
      <c r="V87" s="133">
        <f t="shared" si="65"/>
        <v>587.470583941606</v>
      </c>
      <c r="X87" s="106" t="s">
        <v>59</v>
      </c>
      <c r="Y87" s="106"/>
      <c r="Z87" s="160">
        <f ca="1" t="shared" si="66"/>
        <v>0.192432411796397</v>
      </c>
      <c r="AA87" s="160">
        <f ca="1" t="shared" ref="AA87:AE87" si="80">AA40/AA65</f>
        <v>0.422805640089203</v>
      </c>
      <c r="AB87" s="160">
        <f ca="1" t="shared" si="80"/>
        <v>0.997668226982086</v>
      </c>
      <c r="AC87" s="160">
        <f ca="1" t="shared" si="80"/>
        <v>1.21450687908585</v>
      </c>
      <c r="AD87" s="160">
        <f ca="1" t="shared" si="80"/>
        <v>1.67716432843867</v>
      </c>
      <c r="AE87" s="160">
        <f ca="1" t="shared" si="80"/>
        <v>1.20368417484809</v>
      </c>
    </row>
    <row r="88" s="91" customFormat="1" spans="1:31">
      <c r="A88" s="132">
        <v>797.5</v>
      </c>
      <c r="B88" s="133">
        <v>1092.33</v>
      </c>
      <c r="C88" s="133">
        <v>1079.38</v>
      </c>
      <c r="D88" s="133">
        <v>1040.26</v>
      </c>
      <c r="E88" s="133">
        <v>959.49</v>
      </c>
      <c r="F88" s="133">
        <v>857.87</v>
      </c>
      <c r="G88" s="133">
        <v>745.94</v>
      </c>
      <c r="H88" s="133">
        <v>618.85</v>
      </c>
      <c r="I88" s="133">
        <v>548.76</v>
      </c>
      <c r="J88" s="133"/>
      <c r="K88" s="132">
        <f t="shared" si="53"/>
        <v>797.5</v>
      </c>
      <c r="L88" s="133">
        <f t="shared" si="55"/>
        <v>1108.80165467626</v>
      </c>
      <c r="M88" s="133">
        <f t="shared" si="56"/>
        <v>1052.02159986825</v>
      </c>
      <c r="N88" s="133">
        <f t="shared" si="57"/>
        <v>1003.3232994911</v>
      </c>
      <c r="O88" s="133">
        <f t="shared" si="58"/>
        <v>959.92642389687</v>
      </c>
      <c r="P88" s="133">
        <f t="shared" si="59"/>
        <v>906.204927983744</v>
      </c>
      <c r="Q88" s="133">
        <f t="shared" si="60"/>
        <v>858.693070328746</v>
      </c>
      <c r="R88" s="133">
        <f t="shared" si="61"/>
        <v>800.786847548542</v>
      </c>
      <c r="S88" s="133">
        <f t="shared" si="62"/>
        <v>747.267960169807</v>
      </c>
      <c r="T88" s="133">
        <f t="shared" si="63"/>
        <v>682.250929552769</v>
      </c>
      <c r="U88" s="133">
        <f t="shared" si="64"/>
        <v>620.794524516579</v>
      </c>
      <c r="V88" s="133">
        <f t="shared" si="65"/>
        <v>555.410875912409</v>
      </c>
      <c r="X88" s="106" t="s">
        <v>60</v>
      </c>
      <c r="Y88" s="106"/>
      <c r="Z88" s="160">
        <f t="shared" si="66"/>
        <v>0.00151812562318047</v>
      </c>
      <c r="AA88" s="160">
        <f t="shared" ref="AA88:AE88" si="81">AA41/AA66</f>
        <v>0.0912462214315905</v>
      </c>
      <c r="AB88" s="160">
        <f t="shared" si="81"/>
        <v>8.16570923297859</v>
      </c>
      <c r="AC88" s="160">
        <f t="shared" si="81"/>
        <v>3.35561487027616</v>
      </c>
      <c r="AD88" s="160">
        <f t="shared" si="81"/>
        <v>2.47227574497812</v>
      </c>
      <c r="AE88" s="160">
        <f t="shared" si="81"/>
        <v>1.66813439324184</v>
      </c>
    </row>
    <row r="89" s="91" customFormat="1" spans="1:31">
      <c r="A89" s="132">
        <v>852.5</v>
      </c>
      <c r="B89" s="133">
        <v>1025.24</v>
      </c>
      <c r="C89" s="133">
        <v>1013.26</v>
      </c>
      <c r="D89" s="133">
        <v>976.95</v>
      </c>
      <c r="E89" s="133">
        <v>901.67</v>
      </c>
      <c r="F89" s="133">
        <v>806.59</v>
      </c>
      <c r="G89" s="133">
        <v>701.76</v>
      </c>
      <c r="H89" s="133">
        <v>582.18</v>
      </c>
      <c r="I89" s="133">
        <v>516.07</v>
      </c>
      <c r="J89" s="133"/>
      <c r="K89" s="132">
        <f t="shared" si="53"/>
        <v>852.5</v>
      </c>
      <c r="L89" s="133">
        <f t="shared" si="55"/>
        <v>1040.4778705036</v>
      </c>
      <c r="M89" s="133">
        <f t="shared" si="56"/>
        <v>987.866761022907</v>
      </c>
      <c r="N89" s="133">
        <f t="shared" si="57"/>
        <v>942.523915880773</v>
      </c>
      <c r="O89" s="133">
        <f t="shared" si="58"/>
        <v>902.076759823652</v>
      </c>
      <c r="P89" s="133">
        <f t="shared" si="59"/>
        <v>851.814217208172</v>
      </c>
      <c r="Q89" s="133">
        <f t="shared" si="60"/>
        <v>807.360099654174</v>
      </c>
      <c r="R89" s="133">
        <f t="shared" si="61"/>
        <v>753.127774756666</v>
      </c>
      <c r="S89" s="133">
        <f t="shared" si="62"/>
        <v>703.003724333073</v>
      </c>
      <c r="T89" s="133">
        <f t="shared" si="63"/>
        <v>641.834442961052</v>
      </c>
      <c r="U89" s="133">
        <f t="shared" si="64"/>
        <v>584.009618708731</v>
      </c>
      <c r="V89" s="133">
        <f t="shared" si="65"/>
        <v>522.343211678832</v>
      </c>
      <c r="X89" s="106" t="s">
        <v>61</v>
      </c>
      <c r="Y89" s="106"/>
      <c r="Z89" s="160">
        <f t="shared" si="66"/>
        <v>0.00151901362039246</v>
      </c>
      <c r="AA89" s="160">
        <f t="shared" ref="AA89:AE89" si="82">AA42/AA67</f>
        <v>0.0910915226579135</v>
      </c>
      <c r="AB89" s="160">
        <f t="shared" si="82"/>
        <v>8.29153071846781</v>
      </c>
      <c r="AC89" s="160">
        <f t="shared" si="82"/>
        <v>3.49132313241745</v>
      </c>
      <c r="AD89" s="160">
        <f t="shared" si="82"/>
        <v>2.62279903594017</v>
      </c>
      <c r="AE89" s="160">
        <f t="shared" si="82"/>
        <v>1.79563153360394</v>
      </c>
    </row>
    <row r="90" s="91" customFormat="1" spans="1:31">
      <c r="A90" s="132">
        <v>907.5</v>
      </c>
      <c r="B90" s="133">
        <v>951.87</v>
      </c>
      <c r="C90" s="133">
        <v>940.89</v>
      </c>
      <c r="D90" s="133">
        <v>907.6</v>
      </c>
      <c r="E90" s="133">
        <v>838.62</v>
      </c>
      <c r="F90" s="133">
        <v>751.44</v>
      </c>
      <c r="G90" s="133">
        <v>655</v>
      </c>
      <c r="H90" s="133">
        <v>544.26</v>
      </c>
      <c r="I90" s="133">
        <v>482.9</v>
      </c>
      <c r="J90" s="133"/>
      <c r="K90" s="132">
        <f t="shared" si="53"/>
        <v>907.5</v>
      </c>
      <c r="L90" s="133">
        <f t="shared" si="55"/>
        <v>965.835928057554</v>
      </c>
      <c r="M90" s="133">
        <f t="shared" si="56"/>
        <v>917.608784754959</v>
      </c>
      <c r="N90" s="133">
        <f t="shared" si="57"/>
        <v>876.054951082036</v>
      </c>
      <c r="O90" s="133">
        <f t="shared" si="58"/>
        <v>838.992719083893</v>
      </c>
      <c r="P90" s="133">
        <f t="shared" si="59"/>
        <v>792.906630797312</v>
      </c>
      <c r="Q90" s="133">
        <f t="shared" si="60"/>
        <v>752.146113671128</v>
      </c>
      <c r="R90" s="133">
        <f t="shared" si="61"/>
        <v>702.256588739225</v>
      </c>
      <c r="S90" s="133">
        <f t="shared" si="62"/>
        <v>656.144183675299</v>
      </c>
      <c r="T90" s="133">
        <f t="shared" si="63"/>
        <v>599.504464070137</v>
      </c>
      <c r="U90" s="133">
        <f t="shared" si="64"/>
        <v>545.954363403619</v>
      </c>
      <c r="V90" s="133">
        <f t="shared" si="65"/>
        <v>488.722481751825</v>
      </c>
      <c r="X90" s="106" t="s">
        <v>62</v>
      </c>
      <c r="Y90" s="106"/>
      <c r="Z90" s="160">
        <f t="shared" si="66"/>
        <v>0.0210613175360486</v>
      </c>
      <c r="AA90" s="160">
        <f t="shared" ref="AA90:AE90" si="83">AA43/AA68</f>
        <v>0.443914576911716</v>
      </c>
      <c r="AB90" s="160">
        <f t="shared" si="83"/>
        <v>4.53373252841706</v>
      </c>
      <c r="AC90" s="160">
        <f t="shared" si="83"/>
        <v>11.6504760673625</v>
      </c>
      <c r="AD90" s="160">
        <f t="shared" si="83"/>
        <v>16.0664609829311</v>
      </c>
      <c r="AE90" s="160">
        <f t="shared" si="83"/>
        <v>12.6779495676104</v>
      </c>
    </row>
    <row r="91" s="91" customFormat="1" spans="1:31">
      <c r="A91" s="132">
        <v>962.5</v>
      </c>
      <c r="B91" s="133">
        <v>866.35</v>
      </c>
      <c r="C91" s="133">
        <v>856.4</v>
      </c>
      <c r="D91" s="133">
        <v>826.5</v>
      </c>
      <c r="E91" s="133">
        <v>765.32</v>
      </c>
      <c r="F91" s="133">
        <v>688.42</v>
      </c>
      <c r="G91" s="133">
        <v>602.96</v>
      </c>
      <c r="H91" s="133">
        <v>504.16</v>
      </c>
      <c r="I91" s="133">
        <v>449.28</v>
      </c>
      <c r="J91" s="133"/>
      <c r="K91" s="132">
        <f t="shared" si="53"/>
        <v>962.5</v>
      </c>
      <c r="L91" s="133">
        <f t="shared" si="55"/>
        <v>879.00582733813</v>
      </c>
      <c r="M91" s="133">
        <f t="shared" si="56"/>
        <v>835.489566361468</v>
      </c>
      <c r="N91" s="133">
        <f t="shared" si="57"/>
        <v>798.521947045506</v>
      </c>
      <c r="O91" s="133">
        <f t="shared" si="58"/>
        <v>765.650573406097</v>
      </c>
      <c r="P91" s="133">
        <f t="shared" si="59"/>
        <v>724.997012024699</v>
      </c>
      <c r="Q91" s="133">
        <f t="shared" si="60"/>
        <v>689.042850898254</v>
      </c>
      <c r="R91" s="133">
        <f t="shared" si="61"/>
        <v>644.836276168127</v>
      </c>
      <c r="S91" s="133">
        <f t="shared" si="62"/>
        <v>603.97391473342</v>
      </c>
      <c r="T91" s="133">
        <f t="shared" si="63"/>
        <v>553.447999369058</v>
      </c>
      <c r="U91" s="133">
        <f t="shared" si="64"/>
        <v>505.671676939476</v>
      </c>
      <c r="V91" s="133">
        <f t="shared" si="65"/>
        <v>454.487591240876</v>
      </c>
      <c r="X91" s="106" t="s">
        <v>63</v>
      </c>
      <c r="Y91" s="106"/>
      <c r="Z91" s="160">
        <f t="shared" si="66"/>
        <v>0.0224732303144025</v>
      </c>
      <c r="AA91" s="160">
        <f t="shared" ref="AA91:AE91" si="84">AA44/AA69</f>
        <v>0.448493806576455</v>
      </c>
      <c r="AB91" s="160">
        <f t="shared" si="84"/>
        <v>4.58705714147876</v>
      </c>
      <c r="AC91" s="160">
        <f t="shared" si="84"/>
        <v>11.1343381706583</v>
      </c>
      <c r="AD91" s="160">
        <f t="shared" si="84"/>
        <v>15.1552915346264</v>
      </c>
      <c r="AE91" s="160">
        <f t="shared" si="84"/>
        <v>11.9586319877106</v>
      </c>
    </row>
    <row r="92" s="91" customFormat="1" spans="1:31">
      <c r="A92" s="132">
        <v>1017.5</v>
      </c>
      <c r="B92" s="133">
        <v>753.61</v>
      </c>
      <c r="C92" s="133">
        <v>744.56</v>
      </c>
      <c r="D92" s="133">
        <v>718.68</v>
      </c>
      <c r="E92" s="133">
        <v>668.18</v>
      </c>
      <c r="F92" s="133">
        <v>605.88</v>
      </c>
      <c r="G92" s="133">
        <v>537.03</v>
      </c>
      <c r="H92" s="133">
        <v>457.84</v>
      </c>
      <c r="I92" s="133">
        <v>413.77</v>
      </c>
      <c r="J92" s="133"/>
      <c r="K92" s="132">
        <f t="shared" si="53"/>
        <v>1017.5</v>
      </c>
      <c r="L92" s="133">
        <f t="shared" si="55"/>
        <v>765.121079136691</v>
      </c>
      <c r="M92" s="133">
        <f t="shared" si="56"/>
        <v>726.46093570016</v>
      </c>
      <c r="N92" s="133">
        <f t="shared" si="57"/>
        <v>695.58598767241</v>
      </c>
      <c r="O92" s="133">
        <f t="shared" si="58"/>
        <v>668.452866247269</v>
      </c>
      <c r="P92" s="133">
        <f t="shared" si="59"/>
        <v>635.512611822351</v>
      </c>
      <c r="Q92" s="133">
        <f t="shared" si="60"/>
        <v>606.384598321992</v>
      </c>
      <c r="R92" s="133">
        <f t="shared" si="61"/>
        <v>570.767205876147</v>
      </c>
      <c r="S92" s="133">
        <f t="shared" si="62"/>
        <v>537.846850332272</v>
      </c>
      <c r="T92" s="133">
        <f t="shared" si="63"/>
        <v>497.345229453803</v>
      </c>
      <c r="U92" s="133">
        <f t="shared" si="64"/>
        <v>459.051636607663</v>
      </c>
      <c r="V92" s="133">
        <f t="shared" si="65"/>
        <v>417.951824817518</v>
      </c>
      <c r="X92" s="106" t="s">
        <v>64</v>
      </c>
      <c r="Y92" s="106"/>
      <c r="Z92" s="160">
        <f t="shared" si="66"/>
        <v>0.00394955811225838</v>
      </c>
      <c r="AA92" s="160">
        <f t="shared" ref="AA92:AE92" si="85">AA45/AA70</f>
        <v>0.165371049522143</v>
      </c>
      <c r="AB92" s="160">
        <f t="shared" si="85"/>
        <v>0.603000541891143</v>
      </c>
      <c r="AC92" s="160">
        <f t="shared" si="85"/>
        <v>5.38142361051785</v>
      </c>
      <c r="AD92" s="160">
        <f t="shared" si="85"/>
        <v>18.8811435221298</v>
      </c>
      <c r="AE92" s="160">
        <f t="shared" si="85"/>
        <v>28.9803188275274</v>
      </c>
    </row>
    <row r="93" s="91" customFormat="1" spans="1:22">
      <c r="A93" s="132">
        <v>1072.5</v>
      </c>
      <c r="B93" s="133">
        <v>568.95</v>
      </c>
      <c r="C93" s="133">
        <v>558.8</v>
      </c>
      <c r="D93" s="133">
        <v>539.51</v>
      </c>
      <c r="E93" s="133">
        <v>510.11</v>
      </c>
      <c r="F93" s="133">
        <v>475.09</v>
      </c>
      <c r="G93" s="133">
        <v>436.66</v>
      </c>
      <c r="H93" s="133">
        <v>395.79</v>
      </c>
      <c r="I93" s="133">
        <v>374.5</v>
      </c>
      <c r="J93" s="133"/>
      <c r="K93" s="132">
        <f t="shared" si="53"/>
        <v>1072.5</v>
      </c>
      <c r="L93" s="133">
        <f t="shared" si="55"/>
        <v>581.860215827338</v>
      </c>
      <c r="M93" s="133">
        <f t="shared" si="56"/>
        <v>545.309623247917</v>
      </c>
      <c r="N93" s="133">
        <f t="shared" si="57"/>
        <v>526.065169060769</v>
      </c>
      <c r="O93" s="133">
        <f t="shared" si="58"/>
        <v>510.268856785539</v>
      </c>
      <c r="P93" s="133">
        <f t="shared" si="59"/>
        <v>491.747047608647</v>
      </c>
      <c r="Q93" s="133">
        <f t="shared" si="60"/>
        <v>475.373644193197</v>
      </c>
      <c r="R93" s="133">
        <f t="shared" si="61"/>
        <v>455.491093998843</v>
      </c>
      <c r="S93" s="133">
        <f t="shared" si="62"/>
        <v>437.115941296575</v>
      </c>
      <c r="T93" s="133">
        <f t="shared" si="63"/>
        <v>416.17866937463</v>
      </c>
      <c r="U93" s="133">
        <f t="shared" si="64"/>
        <v>396.41532628053</v>
      </c>
      <c r="V93" s="133">
        <f t="shared" si="65"/>
        <v>376.520218978102</v>
      </c>
    </row>
    <row r="94" s="91" customFormat="1" spans="1:22">
      <c r="A94" s="129"/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</row>
    <row r="95" s="91" customFormat="1" spans="1:22">
      <c r="A95" s="129" t="s">
        <v>139</v>
      </c>
      <c r="B95" s="129"/>
      <c r="C95" s="129"/>
      <c r="D95" s="129"/>
      <c r="E95" s="129"/>
      <c r="F95" s="129"/>
      <c r="G95" s="129"/>
      <c r="H95" s="129"/>
      <c r="I95" s="129"/>
      <c r="J95" s="129"/>
      <c r="K95" s="129" t="s">
        <v>139</v>
      </c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</row>
    <row r="96" s="91" customFormat="1" spans="1:24">
      <c r="A96" s="132" t="s">
        <v>128</v>
      </c>
      <c r="B96" s="133">
        <v>17.68</v>
      </c>
      <c r="C96" s="133">
        <v>31.58</v>
      </c>
      <c r="D96" s="133">
        <v>54.25</v>
      </c>
      <c r="E96" s="133">
        <v>82.31</v>
      </c>
      <c r="F96" s="133">
        <v>106.26</v>
      </c>
      <c r="G96" s="133">
        <v>125.73</v>
      </c>
      <c r="H96" s="133">
        <v>142.56</v>
      </c>
      <c r="I96" s="133">
        <v>150.78</v>
      </c>
      <c r="J96" s="133"/>
      <c r="K96" s="132" t="str">
        <f t="shared" ref="K96:K116" si="86">A96</f>
        <v>R/Z[cm]</v>
      </c>
      <c r="L96" s="141">
        <v>0</v>
      </c>
      <c r="M96" s="141">
        <f t="shared" ref="M96:V96" si="87">SQRT(L96*L96+150*150/10)</f>
        <v>47.4341649025257</v>
      </c>
      <c r="N96" s="141">
        <f t="shared" si="87"/>
        <v>67.0820393249937</v>
      </c>
      <c r="O96" s="141">
        <f t="shared" si="87"/>
        <v>82.1583836257749</v>
      </c>
      <c r="P96" s="141">
        <f t="shared" si="87"/>
        <v>94.8683298050514</v>
      </c>
      <c r="Q96" s="141">
        <f t="shared" si="87"/>
        <v>106.066017177982</v>
      </c>
      <c r="R96" s="141">
        <f t="shared" si="87"/>
        <v>116.189500386223</v>
      </c>
      <c r="S96" s="141">
        <f t="shared" si="87"/>
        <v>125.499003980111</v>
      </c>
      <c r="T96" s="141">
        <f t="shared" si="87"/>
        <v>134.164078649987</v>
      </c>
      <c r="U96" s="141">
        <f t="shared" si="87"/>
        <v>142.302494707577</v>
      </c>
      <c r="V96" s="141">
        <f t="shared" si="87"/>
        <v>150</v>
      </c>
      <c r="X96" s="373" t="s">
        <v>143</v>
      </c>
    </row>
    <row r="97" s="91" customFormat="1" spans="1:25">
      <c r="A97" s="132">
        <v>27.5</v>
      </c>
      <c r="B97" s="133">
        <v>682.43</v>
      </c>
      <c r="C97" s="133">
        <v>675.91</v>
      </c>
      <c r="D97" s="133">
        <v>656.37</v>
      </c>
      <c r="E97" s="133">
        <v>616.36</v>
      </c>
      <c r="F97" s="133">
        <v>566.31</v>
      </c>
      <c r="G97" s="133">
        <v>511.65</v>
      </c>
      <c r="H97" s="133">
        <v>451.64</v>
      </c>
      <c r="I97" s="133">
        <v>419.94</v>
      </c>
      <c r="J97" s="133"/>
      <c r="K97" s="132">
        <f t="shared" si="86"/>
        <v>27.5</v>
      </c>
      <c r="L97" s="133">
        <f t="shared" ref="L97:L116" si="88">TREND(B97:C97,B$4:C$4,L$4)</f>
        <v>690.723064748201</v>
      </c>
      <c r="M97" s="133">
        <f t="shared" ref="M97:M116" si="89">TREND(C97:D97,C$4:D$4,M$4)</f>
        <v>662.244786846257</v>
      </c>
      <c r="N97" s="133">
        <f t="shared" ref="N97:N116" si="90">TREND(D97:E97,D$4:E$4,N$4)</f>
        <v>638.073139936101</v>
      </c>
      <c r="O97" s="133">
        <f t="shared" ref="O97:O116" si="91">TREND(D97:E97,D$4:E$4,O$4)</f>
        <v>616.576185713925</v>
      </c>
      <c r="P97" s="133">
        <f t="shared" ref="P97:P116" si="92">TREND(E97:F97,E$4:F$4,P$4)</f>
        <v>590.115974666271</v>
      </c>
      <c r="Q97" s="133">
        <f t="shared" ref="Q97:Q116" si="93">TREND(E97:F97,E$4:F$4,Q$4)</f>
        <v>566.715379550814</v>
      </c>
      <c r="R97" s="133">
        <f t="shared" ref="R97:R116" si="94">TREND(F97:G97,F$4:G$4,R$4)</f>
        <v>538.433960394919</v>
      </c>
      <c r="S97" s="133">
        <f t="shared" ref="S97:S116" si="95">TREND(F97:G97,F$4:G$4,S$4)</f>
        <v>512.298497300828</v>
      </c>
      <c r="T97" s="133">
        <f t="shared" ref="T97:T116" si="96">TREND(G97:H97,G$4:H$4,T$4)</f>
        <v>481.576972086409</v>
      </c>
      <c r="U97" s="133">
        <f t="shared" ref="U97:U116" si="97">TREND(G97:H97,G$4:H$4,U$4)</f>
        <v>452.558175436619</v>
      </c>
      <c r="V97" s="133">
        <f t="shared" ref="V97:V116" si="98">TREND(H97:I97,H$4:I$4,V$4)</f>
        <v>422.94802919708</v>
      </c>
      <c r="X97" s="91" t="s">
        <v>144</v>
      </c>
      <c r="Y97" s="91" t="s">
        <v>145</v>
      </c>
    </row>
    <row r="98" s="91" customFormat="1" spans="1:27">
      <c r="A98" s="132">
        <v>82.5</v>
      </c>
      <c r="B98" s="133">
        <v>934.86</v>
      </c>
      <c r="C98" s="133">
        <v>924.17</v>
      </c>
      <c r="D98" s="133">
        <v>892.45</v>
      </c>
      <c r="E98" s="133">
        <v>828</v>
      </c>
      <c r="F98" s="133">
        <v>748.16</v>
      </c>
      <c r="G98" s="133">
        <v>661.98</v>
      </c>
      <c r="H98" s="133">
        <v>566.46</v>
      </c>
      <c r="I98" s="133">
        <v>514.36</v>
      </c>
      <c r="J98" s="133"/>
      <c r="K98" s="132">
        <f t="shared" si="86"/>
        <v>82.5</v>
      </c>
      <c r="L98" s="133">
        <f t="shared" si="88"/>
        <v>948.457064748202</v>
      </c>
      <c r="M98" s="133">
        <f t="shared" si="89"/>
        <v>901.986757357384</v>
      </c>
      <c r="N98" s="133">
        <f t="shared" si="90"/>
        <v>862.976552583897</v>
      </c>
      <c r="O98" s="133">
        <f t="shared" si="91"/>
        <v>828.348242171019</v>
      </c>
      <c r="P98" s="133">
        <f t="shared" si="92"/>
        <v>786.135404942159</v>
      </c>
      <c r="Q98" s="133">
        <f t="shared" si="93"/>
        <v>748.806663403336</v>
      </c>
      <c r="R98" s="133">
        <f t="shared" si="94"/>
        <v>704.209083549838</v>
      </c>
      <c r="S98" s="133">
        <f t="shared" si="95"/>
        <v>663.002456959117</v>
      </c>
      <c r="T98" s="133">
        <f t="shared" si="96"/>
        <v>614.111717608628</v>
      </c>
      <c r="U98" s="133">
        <f t="shared" si="97"/>
        <v>567.921491713146</v>
      </c>
      <c r="V98" s="133">
        <f t="shared" si="98"/>
        <v>519.303795620438</v>
      </c>
      <c r="X98" s="91">
        <v>0.005</v>
      </c>
      <c r="Y98" s="126">
        <v>1703.2</v>
      </c>
      <c r="Z98" s="91">
        <f t="shared" ref="Z98:Z111" si="99">X98*3600</f>
        <v>18</v>
      </c>
      <c r="AA98" s="154">
        <f t="shared" ref="AA98:AA111" si="100">Y98/752034</f>
        <v>0.00226479121954592</v>
      </c>
    </row>
    <row r="99" s="91" customFormat="1" spans="1:27">
      <c r="A99" s="132">
        <v>137.5</v>
      </c>
      <c r="B99" s="133">
        <v>1085.11</v>
      </c>
      <c r="C99" s="133">
        <v>1072.51</v>
      </c>
      <c r="D99" s="133">
        <v>1035.04</v>
      </c>
      <c r="E99" s="133">
        <v>959.25</v>
      </c>
      <c r="F99" s="133">
        <v>866.05</v>
      </c>
      <c r="G99" s="133">
        <v>766.11</v>
      </c>
      <c r="H99" s="133">
        <v>656.84</v>
      </c>
      <c r="I99" s="133">
        <v>597.64</v>
      </c>
      <c r="J99" s="133"/>
      <c r="K99" s="132">
        <f t="shared" si="86"/>
        <v>137.5</v>
      </c>
      <c r="L99" s="133">
        <f t="shared" si="88"/>
        <v>1101.13647482014</v>
      </c>
      <c r="M99" s="133">
        <f t="shared" si="89"/>
        <v>1046.3055201192</v>
      </c>
      <c r="N99" s="133">
        <f t="shared" si="90"/>
        <v>1000.38068922162</v>
      </c>
      <c r="O99" s="133">
        <f t="shared" si="91"/>
        <v>959.659515502585</v>
      </c>
      <c r="P99" s="133">
        <f t="shared" si="92"/>
        <v>910.380006771157</v>
      </c>
      <c r="Q99" s="133">
        <f t="shared" si="93"/>
        <v>866.804872610107</v>
      </c>
      <c r="R99" s="133">
        <f t="shared" si="94"/>
        <v>815.081624622543</v>
      </c>
      <c r="S99" s="133">
        <f t="shared" si="95"/>
        <v>767.295708383548</v>
      </c>
      <c r="T99" s="133">
        <f t="shared" si="96"/>
        <v>711.351130476285</v>
      </c>
      <c r="U99" s="133">
        <f t="shared" si="97"/>
        <v>658.511871854014</v>
      </c>
      <c r="V99" s="133">
        <f t="shared" si="98"/>
        <v>603.257518248175</v>
      </c>
      <c r="X99" s="91">
        <v>0.01</v>
      </c>
      <c r="Y99" s="126">
        <v>3402.5</v>
      </c>
      <c r="Z99" s="91">
        <f t="shared" si="99"/>
        <v>36</v>
      </c>
      <c r="AA99" s="154">
        <f t="shared" si="100"/>
        <v>0.00452439650334958</v>
      </c>
    </row>
    <row r="100" s="91" customFormat="1" spans="1:27">
      <c r="A100" s="132">
        <v>192.5</v>
      </c>
      <c r="B100" s="133">
        <v>1200.9</v>
      </c>
      <c r="C100" s="133">
        <v>1187.03</v>
      </c>
      <c r="D100" s="133">
        <v>1145.77</v>
      </c>
      <c r="E100" s="133">
        <v>1062.66</v>
      </c>
      <c r="F100" s="133">
        <v>961.43</v>
      </c>
      <c r="G100" s="133">
        <v>853.81</v>
      </c>
      <c r="H100" s="133">
        <v>737.06</v>
      </c>
      <c r="I100" s="133">
        <v>673.8</v>
      </c>
      <c r="J100" s="133"/>
      <c r="K100" s="132">
        <f t="shared" si="86"/>
        <v>192.5</v>
      </c>
      <c r="L100" s="133">
        <f t="shared" si="88"/>
        <v>1218.54184172662</v>
      </c>
      <c r="M100" s="133">
        <f t="shared" si="89"/>
        <v>1158.17500027004</v>
      </c>
      <c r="N100" s="133">
        <f t="shared" si="90"/>
        <v>1107.76320070206</v>
      </c>
      <c r="O100" s="133">
        <f t="shared" si="91"/>
        <v>1063.10906760021</v>
      </c>
      <c r="P100" s="133">
        <f t="shared" si="92"/>
        <v>1009.57942688245</v>
      </c>
      <c r="Q100" s="133">
        <f t="shared" si="93"/>
        <v>962.249911527051</v>
      </c>
      <c r="R100" s="133">
        <f t="shared" si="94"/>
        <v>906.544903360798</v>
      </c>
      <c r="S100" s="133">
        <f t="shared" si="95"/>
        <v>855.086825457649</v>
      </c>
      <c r="T100" s="133">
        <f t="shared" si="96"/>
        <v>795.302651076291</v>
      </c>
      <c r="U100" s="133">
        <f t="shared" si="97"/>
        <v>738.846318650646</v>
      </c>
      <c r="V100" s="133">
        <f t="shared" si="98"/>
        <v>679.802773722628</v>
      </c>
      <c r="X100" s="91">
        <v>0.02</v>
      </c>
      <c r="Y100" s="126">
        <v>6788.8</v>
      </c>
      <c r="Z100" s="91">
        <f t="shared" si="99"/>
        <v>72</v>
      </c>
      <c r="AA100" s="154">
        <f t="shared" si="100"/>
        <v>0.00902725142746206</v>
      </c>
    </row>
    <row r="101" s="91" customFormat="1" spans="1:27">
      <c r="A101" s="132">
        <v>241.5</v>
      </c>
      <c r="B101" s="133">
        <v>1286.68</v>
      </c>
      <c r="C101" s="133">
        <v>1272.33</v>
      </c>
      <c r="D101" s="133">
        <v>1229.34</v>
      </c>
      <c r="E101" s="133">
        <v>1142.38</v>
      </c>
      <c r="F101" s="133">
        <v>1036.82</v>
      </c>
      <c r="G101" s="133">
        <v>925.59</v>
      </c>
      <c r="H101" s="133">
        <v>805.01</v>
      </c>
      <c r="I101" s="133">
        <v>738.71</v>
      </c>
      <c r="J101" s="133"/>
      <c r="K101" s="132">
        <f t="shared" si="86"/>
        <v>241.5</v>
      </c>
      <c r="L101" s="133">
        <f t="shared" si="88"/>
        <v>1304.93237410072</v>
      </c>
      <c r="M101" s="133">
        <f t="shared" si="89"/>
        <v>1242.26513237055</v>
      </c>
      <c r="N101" s="133">
        <f t="shared" si="90"/>
        <v>1189.57256807906</v>
      </c>
      <c r="O101" s="133">
        <f t="shared" si="91"/>
        <v>1142.84987027451</v>
      </c>
      <c r="P101" s="133">
        <f t="shared" si="92"/>
        <v>1087.02896475068</v>
      </c>
      <c r="Q101" s="133">
        <f t="shared" si="93"/>
        <v>1037.67498232535</v>
      </c>
      <c r="R101" s="133">
        <f t="shared" si="94"/>
        <v>980.093840371878</v>
      </c>
      <c r="S101" s="133">
        <f t="shared" si="95"/>
        <v>926.909655228157</v>
      </c>
      <c r="T101" s="133">
        <f t="shared" si="96"/>
        <v>865.163309351427</v>
      </c>
      <c r="U101" s="133">
        <f t="shared" si="97"/>
        <v>806.854919082612</v>
      </c>
      <c r="V101" s="133">
        <f t="shared" si="98"/>
        <v>745.001240875912</v>
      </c>
      <c r="X101" s="91">
        <v>0.05</v>
      </c>
      <c r="Y101" s="126">
        <v>16849</v>
      </c>
      <c r="Z101" s="91">
        <f t="shared" si="99"/>
        <v>180</v>
      </c>
      <c r="AA101" s="154">
        <f t="shared" si="100"/>
        <v>0.0224045721337067</v>
      </c>
    </row>
    <row r="102" s="91" customFormat="1" spans="1:27">
      <c r="A102" s="132">
        <v>296.5</v>
      </c>
      <c r="B102" s="133">
        <v>1362.02</v>
      </c>
      <c r="C102" s="133">
        <v>1347.52</v>
      </c>
      <c r="D102" s="133">
        <v>1304.02</v>
      </c>
      <c r="E102" s="133">
        <v>1215.47</v>
      </c>
      <c r="F102" s="133">
        <v>1107.84</v>
      </c>
      <c r="G102" s="133">
        <v>996.17</v>
      </c>
      <c r="H102" s="133">
        <v>878.93</v>
      </c>
      <c r="I102" s="133">
        <v>815.89</v>
      </c>
      <c r="J102" s="133"/>
      <c r="K102" s="132">
        <f t="shared" si="86"/>
        <v>296.5</v>
      </c>
      <c r="L102" s="133">
        <f t="shared" si="88"/>
        <v>1380.46316546763</v>
      </c>
      <c r="M102" s="133">
        <f t="shared" si="89"/>
        <v>1317.09846611117</v>
      </c>
      <c r="N102" s="133">
        <f t="shared" si="90"/>
        <v>1263.52544967113</v>
      </c>
      <c r="O102" s="133">
        <f t="shared" si="91"/>
        <v>1215.94846150882</v>
      </c>
      <c r="P102" s="133">
        <f t="shared" si="92"/>
        <v>1159.03354751909</v>
      </c>
      <c r="Q102" s="133">
        <f t="shared" si="93"/>
        <v>1108.71174827281</v>
      </c>
      <c r="R102" s="133">
        <f t="shared" si="94"/>
        <v>1050.88944488292</v>
      </c>
      <c r="S102" s="133">
        <f t="shared" si="95"/>
        <v>997.494875477194</v>
      </c>
      <c r="T102" s="133">
        <f t="shared" si="96"/>
        <v>937.417095607575</v>
      </c>
      <c r="U102" s="133">
        <f t="shared" si="97"/>
        <v>880.723815833848</v>
      </c>
      <c r="V102" s="133">
        <f t="shared" si="98"/>
        <v>821.871897810219</v>
      </c>
      <c r="X102" s="91">
        <v>0.1</v>
      </c>
      <c r="Y102" s="126">
        <v>33293</v>
      </c>
      <c r="Z102" s="91">
        <f t="shared" si="99"/>
        <v>360</v>
      </c>
      <c r="AA102" s="154">
        <f t="shared" si="100"/>
        <v>0.0442706047864857</v>
      </c>
    </row>
    <row r="103" s="91" customFormat="1" spans="1:27">
      <c r="A103" s="132">
        <v>357.5</v>
      </c>
      <c r="B103" s="133">
        <v>1419.11</v>
      </c>
      <c r="C103" s="133">
        <v>1404.48</v>
      </c>
      <c r="D103" s="133">
        <v>1360.59</v>
      </c>
      <c r="E103" s="133">
        <v>1271.24</v>
      </c>
      <c r="F103" s="133">
        <v>1162.08</v>
      </c>
      <c r="G103" s="133">
        <v>1048.52</v>
      </c>
      <c r="H103" s="133">
        <v>930.02</v>
      </c>
      <c r="I103" s="133">
        <v>865.99</v>
      </c>
      <c r="J103" s="133"/>
      <c r="K103" s="132">
        <f t="shared" si="86"/>
        <v>357.5</v>
      </c>
      <c r="L103" s="133">
        <f t="shared" si="88"/>
        <v>1437.71851798561</v>
      </c>
      <c r="M103" s="133">
        <f t="shared" si="89"/>
        <v>1373.78572132458</v>
      </c>
      <c r="N103" s="133">
        <f t="shared" si="90"/>
        <v>1319.72960393128</v>
      </c>
      <c r="O103" s="133">
        <f t="shared" si="91"/>
        <v>1271.72278414245</v>
      </c>
      <c r="P103" s="133">
        <f t="shared" si="92"/>
        <v>1214.00128260879</v>
      </c>
      <c r="Q103" s="133">
        <f t="shared" si="93"/>
        <v>1162.96414049484</v>
      </c>
      <c r="R103" s="133">
        <f t="shared" si="94"/>
        <v>1104.16556425992</v>
      </c>
      <c r="S103" s="133">
        <f t="shared" si="95"/>
        <v>1049.86729881965</v>
      </c>
      <c r="T103" s="133">
        <f t="shared" si="96"/>
        <v>989.135667259447</v>
      </c>
      <c r="U103" s="133">
        <f t="shared" si="97"/>
        <v>931.833094304939</v>
      </c>
      <c r="V103" s="133">
        <f t="shared" si="98"/>
        <v>872.065839416058</v>
      </c>
      <c r="X103" s="91">
        <v>0.5</v>
      </c>
      <c r="Y103" s="126">
        <v>151720</v>
      </c>
      <c r="Z103" s="91">
        <f t="shared" si="99"/>
        <v>1800</v>
      </c>
      <c r="AA103" s="154">
        <f t="shared" si="100"/>
        <v>0.201746197645319</v>
      </c>
    </row>
    <row r="104" s="91" customFormat="1" spans="1:27">
      <c r="A104" s="132">
        <v>412.5</v>
      </c>
      <c r="B104" s="133">
        <v>1442.77</v>
      </c>
      <c r="C104" s="133">
        <v>1428.1</v>
      </c>
      <c r="D104" s="133">
        <v>1384.06</v>
      </c>
      <c r="E104" s="133">
        <v>1294.58</v>
      </c>
      <c r="F104" s="133">
        <v>1185.1</v>
      </c>
      <c r="G104" s="133">
        <v>1071.04</v>
      </c>
      <c r="H104" s="133">
        <v>952.46</v>
      </c>
      <c r="I104" s="133">
        <v>888.39</v>
      </c>
      <c r="J104" s="133"/>
      <c r="K104" s="132">
        <f t="shared" si="86"/>
        <v>412.5</v>
      </c>
      <c r="L104" s="133">
        <f t="shared" si="88"/>
        <v>1461.42939568345</v>
      </c>
      <c r="M104" s="133">
        <f t="shared" si="89"/>
        <v>1397.30081948358</v>
      </c>
      <c r="N104" s="133">
        <f t="shared" si="90"/>
        <v>1343.14015399856</v>
      </c>
      <c r="O104" s="133">
        <f t="shared" si="91"/>
        <v>1295.06348657041</v>
      </c>
      <c r="P104" s="133">
        <f t="shared" si="92"/>
        <v>1237.17348864063</v>
      </c>
      <c r="Q104" s="133">
        <f t="shared" si="93"/>
        <v>1185.98673233213</v>
      </c>
      <c r="R104" s="133">
        <f t="shared" si="94"/>
        <v>1126.9305693861</v>
      </c>
      <c r="S104" s="133">
        <f t="shared" si="95"/>
        <v>1072.39323092083</v>
      </c>
      <c r="T104" s="133">
        <f t="shared" si="96"/>
        <v>1011.61557657068</v>
      </c>
      <c r="U104" s="133">
        <f t="shared" si="97"/>
        <v>954.274318334849</v>
      </c>
      <c r="V104" s="133">
        <f t="shared" si="98"/>
        <v>894.469635036496</v>
      </c>
      <c r="X104" s="91">
        <v>1</v>
      </c>
      <c r="Y104" s="126">
        <v>272900</v>
      </c>
      <c r="Z104" s="91">
        <f t="shared" si="99"/>
        <v>3600</v>
      </c>
      <c r="AA104" s="154">
        <f t="shared" si="100"/>
        <v>0.362882529247348</v>
      </c>
    </row>
    <row r="105" s="91" customFormat="1" spans="1:27">
      <c r="A105" s="132">
        <v>467.5</v>
      </c>
      <c r="B105" s="133">
        <v>1441.61</v>
      </c>
      <c r="C105" s="133">
        <v>1426.97</v>
      </c>
      <c r="D105" s="133">
        <v>1383.03</v>
      </c>
      <c r="E105" s="133">
        <v>1293.73</v>
      </c>
      <c r="F105" s="133">
        <v>1184.59</v>
      </c>
      <c r="G105" s="133">
        <v>1071.16</v>
      </c>
      <c r="H105" s="133">
        <v>953.65</v>
      </c>
      <c r="I105" s="133">
        <v>890.32</v>
      </c>
      <c r="J105" s="133"/>
      <c r="K105" s="132">
        <f t="shared" si="86"/>
        <v>467.5</v>
      </c>
      <c r="L105" s="133">
        <f t="shared" si="88"/>
        <v>1460.23123741007</v>
      </c>
      <c r="M105" s="133">
        <f t="shared" si="89"/>
        <v>1396.24075404424</v>
      </c>
      <c r="N105" s="133">
        <f t="shared" si="90"/>
        <v>1342.19246929002</v>
      </c>
      <c r="O105" s="133">
        <f t="shared" si="91"/>
        <v>1294.21251397784</v>
      </c>
      <c r="P105" s="133">
        <f t="shared" si="92"/>
        <v>1236.5017697318</v>
      </c>
      <c r="Q105" s="133">
        <f t="shared" si="93"/>
        <v>1185.47397850501</v>
      </c>
      <c r="R105" s="133">
        <f t="shared" si="94"/>
        <v>1126.74186292711</v>
      </c>
      <c r="S105" s="133">
        <f t="shared" si="95"/>
        <v>1072.50575647334</v>
      </c>
      <c r="T105" s="133">
        <f t="shared" si="96"/>
        <v>1012.27178953298</v>
      </c>
      <c r="U105" s="133">
        <f t="shared" si="97"/>
        <v>955.447946934796</v>
      </c>
      <c r="V105" s="133">
        <f t="shared" si="98"/>
        <v>896.329416058394</v>
      </c>
      <c r="X105" s="91">
        <v>3</v>
      </c>
      <c r="Y105" s="126">
        <v>560470</v>
      </c>
      <c r="Z105" s="91">
        <f t="shared" si="99"/>
        <v>10800</v>
      </c>
      <c r="AA105" s="154">
        <f t="shared" si="100"/>
        <v>0.7452721552483</v>
      </c>
    </row>
    <row r="106" s="91" customFormat="1" spans="1:27">
      <c r="A106" s="132">
        <v>522.5</v>
      </c>
      <c r="B106" s="133">
        <v>1417.77</v>
      </c>
      <c r="C106" s="133">
        <v>1403.12</v>
      </c>
      <c r="D106" s="133">
        <v>1359.14</v>
      </c>
      <c r="E106" s="133">
        <v>1269.63</v>
      </c>
      <c r="F106" s="133">
        <v>1160.4</v>
      </c>
      <c r="G106" s="133">
        <v>1047.26</v>
      </c>
      <c r="H106" s="133">
        <v>930.58</v>
      </c>
      <c r="I106" s="133">
        <v>868.55</v>
      </c>
      <c r="J106" s="133"/>
      <c r="K106" s="132">
        <f t="shared" si="86"/>
        <v>522.5</v>
      </c>
      <c r="L106" s="133">
        <f t="shared" si="88"/>
        <v>1436.40395683453</v>
      </c>
      <c r="M106" s="133">
        <f t="shared" si="89"/>
        <v>1372.36278021998</v>
      </c>
      <c r="N106" s="133">
        <f t="shared" si="90"/>
        <v>1318.20643478331</v>
      </c>
      <c r="O106" s="133">
        <f t="shared" si="91"/>
        <v>1270.11364866917</v>
      </c>
      <c r="P106" s="133">
        <f t="shared" si="92"/>
        <v>1212.35457767826</v>
      </c>
      <c r="Q106" s="133">
        <f t="shared" si="93"/>
        <v>1161.28470745925</v>
      </c>
      <c r="R106" s="133">
        <f t="shared" si="94"/>
        <v>1102.69975995392</v>
      </c>
      <c r="S106" s="133">
        <f t="shared" si="95"/>
        <v>1048.60231585466</v>
      </c>
      <c r="T106" s="133">
        <f t="shared" si="96"/>
        <v>988.787730428965</v>
      </c>
      <c r="U106" s="133">
        <f t="shared" si="97"/>
        <v>932.365247624475</v>
      </c>
      <c r="V106" s="133">
        <f t="shared" si="98"/>
        <v>874.436058394161</v>
      </c>
      <c r="X106" s="91">
        <v>5</v>
      </c>
      <c r="Y106" s="126">
        <v>676410</v>
      </c>
      <c r="Z106" s="91">
        <f t="shared" si="99"/>
        <v>18000</v>
      </c>
      <c r="AA106" s="154">
        <f t="shared" si="100"/>
        <v>0.899440716776103</v>
      </c>
    </row>
    <row r="107" s="91" customFormat="1" spans="1:27">
      <c r="A107" s="132">
        <v>577.5</v>
      </c>
      <c r="B107" s="133">
        <v>1376.62</v>
      </c>
      <c r="C107" s="133">
        <v>1361.93</v>
      </c>
      <c r="D107" s="133">
        <v>1317.82</v>
      </c>
      <c r="E107" s="133">
        <v>1227.7</v>
      </c>
      <c r="F107" s="133">
        <v>1117.31</v>
      </c>
      <c r="G107" s="133">
        <v>1001.27</v>
      </c>
      <c r="H107" s="133">
        <v>876.13</v>
      </c>
      <c r="I107" s="133">
        <v>806.67</v>
      </c>
      <c r="J107" s="133"/>
      <c r="K107" s="132">
        <f t="shared" si="86"/>
        <v>577.5</v>
      </c>
      <c r="L107" s="133">
        <f t="shared" si="88"/>
        <v>1395.30483453237</v>
      </c>
      <c r="M107" s="133">
        <f t="shared" si="89"/>
        <v>1331.08186529112</v>
      </c>
      <c r="N107" s="133">
        <f t="shared" si="90"/>
        <v>1276.60747740668</v>
      </c>
      <c r="O107" s="133">
        <f t="shared" si="91"/>
        <v>1228.1869446773</v>
      </c>
      <c r="P107" s="133">
        <f t="shared" si="92"/>
        <v>1169.81632454365</v>
      </c>
      <c r="Q107" s="133">
        <f t="shared" si="93"/>
        <v>1118.20410286942</v>
      </c>
      <c r="R107" s="133">
        <f t="shared" si="94"/>
        <v>1058.13078968581</v>
      </c>
      <c r="S107" s="133">
        <f t="shared" si="95"/>
        <v>1002.64672204149</v>
      </c>
      <c r="T107" s="133">
        <f t="shared" si="96"/>
        <v>938.558140091538</v>
      </c>
      <c r="U107" s="133">
        <f t="shared" si="97"/>
        <v>878.044688787511</v>
      </c>
      <c r="V107" s="133">
        <f t="shared" si="98"/>
        <v>813.261094890511</v>
      </c>
      <c r="X107" s="91">
        <v>7</v>
      </c>
      <c r="Y107" s="126">
        <v>722840</v>
      </c>
      <c r="Z107" s="91">
        <f t="shared" si="99"/>
        <v>25200</v>
      </c>
      <c r="AA107" s="154">
        <f t="shared" si="100"/>
        <v>0.961179946651348</v>
      </c>
    </row>
    <row r="108" s="91" customFormat="1" spans="1:27">
      <c r="A108" s="132">
        <v>632.5</v>
      </c>
      <c r="B108" s="133">
        <v>1325.59</v>
      </c>
      <c r="C108" s="133">
        <v>1311.16</v>
      </c>
      <c r="D108" s="133">
        <v>1267.77</v>
      </c>
      <c r="E108" s="133">
        <v>1179.27</v>
      </c>
      <c r="F108" s="133">
        <v>1071.37</v>
      </c>
      <c r="G108" s="133">
        <v>957.99</v>
      </c>
      <c r="H108" s="133">
        <v>836.08</v>
      </c>
      <c r="I108" s="133">
        <v>769.54</v>
      </c>
      <c r="J108" s="133"/>
      <c r="K108" s="132">
        <f t="shared" si="86"/>
        <v>632.5</v>
      </c>
      <c r="L108" s="133">
        <f t="shared" si="88"/>
        <v>1343.9441294964</v>
      </c>
      <c r="M108" s="133">
        <f t="shared" si="89"/>
        <v>1280.8153941279</v>
      </c>
      <c r="N108" s="133">
        <f t="shared" si="90"/>
        <v>1227.29831502987</v>
      </c>
      <c r="O108" s="133">
        <f t="shared" si="91"/>
        <v>1179.74819134422</v>
      </c>
      <c r="P108" s="133">
        <f t="shared" si="92"/>
        <v>1122.69197135845</v>
      </c>
      <c r="Q108" s="133">
        <f t="shared" si="93"/>
        <v>1072.24393513552</v>
      </c>
      <c r="R108" s="133">
        <f t="shared" si="94"/>
        <v>1013.54736241449</v>
      </c>
      <c r="S108" s="133">
        <f t="shared" si="95"/>
        <v>959.335163263224</v>
      </c>
      <c r="T108" s="133">
        <f t="shared" si="96"/>
        <v>896.896801650626</v>
      </c>
      <c r="U108" s="133">
        <f t="shared" si="97"/>
        <v>837.945268579874</v>
      </c>
      <c r="V108" s="133">
        <f t="shared" si="98"/>
        <v>775.85401459854</v>
      </c>
      <c r="X108" s="91">
        <v>8</v>
      </c>
      <c r="Y108" s="126">
        <v>734220</v>
      </c>
      <c r="Z108" s="91">
        <f t="shared" si="99"/>
        <v>28800</v>
      </c>
      <c r="AA108" s="154">
        <f t="shared" si="100"/>
        <v>0.976312241201861</v>
      </c>
    </row>
    <row r="109" s="91" customFormat="1" ht="13.5" customHeight="1" spans="1:27">
      <c r="A109" s="132">
        <v>687.5</v>
      </c>
      <c r="B109" s="133">
        <v>1268.24</v>
      </c>
      <c r="C109" s="133">
        <v>1254.27</v>
      </c>
      <c r="D109" s="133">
        <v>1212.22</v>
      </c>
      <c r="E109" s="133">
        <v>1126.96</v>
      </c>
      <c r="F109" s="133">
        <v>1023.32</v>
      </c>
      <c r="G109" s="133">
        <v>913.92</v>
      </c>
      <c r="H109" s="133">
        <v>795.86</v>
      </c>
      <c r="I109" s="133">
        <v>731.63</v>
      </c>
      <c r="J109" s="133"/>
      <c r="K109" s="132">
        <f t="shared" si="86"/>
        <v>687.5</v>
      </c>
      <c r="L109" s="133">
        <f t="shared" si="88"/>
        <v>1286.00903597122</v>
      </c>
      <c r="M109" s="133">
        <f t="shared" si="89"/>
        <v>1224.86251724079</v>
      </c>
      <c r="N109" s="133">
        <f t="shared" si="90"/>
        <v>1173.22999027623</v>
      </c>
      <c r="O109" s="133">
        <f t="shared" si="91"/>
        <v>1127.42068467806</v>
      </c>
      <c r="P109" s="133">
        <f t="shared" si="92"/>
        <v>1072.61572855969</v>
      </c>
      <c r="Q109" s="133">
        <f t="shared" si="93"/>
        <v>1024.15943130163</v>
      </c>
      <c r="R109" s="133">
        <f t="shared" si="94"/>
        <v>967.527121610029</v>
      </c>
      <c r="S109" s="133">
        <f t="shared" si="95"/>
        <v>915.217943737844</v>
      </c>
      <c r="T109" s="133">
        <f t="shared" si="96"/>
        <v>854.756166047682</v>
      </c>
      <c r="U109" s="133">
        <f t="shared" si="97"/>
        <v>797.666362140431</v>
      </c>
      <c r="V109" s="133">
        <f t="shared" si="98"/>
        <v>737.724817518248</v>
      </c>
      <c r="X109" s="91">
        <v>9</v>
      </c>
      <c r="Y109" s="126">
        <v>740840</v>
      </c>
      <c r="Z109" s="91">
        <f t="shared" si="99"/>
        <v>32400</v>
      </c>
      <c r="AA109" s="154">
        <f t="shared" si="100"/>
        <v>0.98511503469258</v>
      </c>
    </row>
    <row r="110" s="91" customFormat="1" ht="13.5" customHeight="1" spans="1:27">
      <c r="A110" s="132">
        <v>742.5</v>
      </c>
      <c r="B110" s="133">
        <v>1205.55</v>
      </c>
      <c r="C110" s="133">
        <v>1192.13</v>
      </c>
      <c r="D110" s="133">
        <v>1151.96</v>
      </c>
      <c r="E110" s="133">
        <v>1070.76</v>
      </c>
      <c r="F110" s="133">
        <v>971.77</v>
      </c>
      <c r="G110" s="133">
        <v>866.54</v>
      </c>
      <c r="H110" s="133">
        <v>752.47</v>
      </c>
      <c r="I110" s="133">
        <v>690.52</v>
      </c>
      <c r="J110" s="133"/>
      <c r="K110" s="132">
        <f t="shared" si="86"/>
        <v>742.5</v>
      </c>
      <c r="L110" s="133">
        <f t="shared" si="88"/>
        <v>1222.6194676259</v>
      </c>
      <c r="M110" s="133">
        <f t="shared" si="89"/>
        <v>1164.03728698128</v>
      </c>
      <c r="N110" s="133">
        <f t="shared" si="90"/>
        <v>1114.82665740593</v>
      </c>
      <c r="O110" s="133">
        <f t="shared" si="91"/>
        <v>1071.19874731244</v>
      </c>
      <c r="P110" s="133">
        <f t="shared" si="92"/>
        <v>1018.85398465962</v>
      </c>
      <c r="Q110" s="133">
        <f t="shared" si="93"/>
        <v>972.571768666035</v>
      </c>
      <c r="R110" s="133">
        <f t="shared" si="94"/>
        <v>918.103778857617</v>
      </c>
      <c r="S110" s="133">
        <f t="shared" si="95"/>
        <v>867.788470014016</v>
      </c>
      <c r="T110" s="133">
        <f t="shared" si="96"/>
        <v>809.375689150086</v>
      </c>
      <c r="U110" s="133">
        <f t="shared" si="97"/>
        <v>754.215313648644</v>
      </c>
      <c r="V110" s="133">
        <f t="shared" si="98"/>
        <v>696.398467153285</v>
      </c>
      <c r="X110" s="91">
        <v>10</v>
      </c>
      <c r="Y110" s="126">
        <v>743040</v>
      </c>
      <c r="Z110" s="91">
        <f t="shared" si="99"/>
        <v>36000</v>
      </c>
      <c r="AA110" s="154">
        <f t="shared" si="100"/>
        <v>0.988040434342064</v>
      </c>
    </row>
    <row r="111" s="91" customFormat="1" spans="1:27">
      <c r="A111" s="132">
        <v>797.5</v>
      </c>
      <c r="B111" s="133">
        <v>1138.34</v>
      </c>
      <c r="C111" s="133">
        <v>1125.68</v>
      </c>
      <c r="D111" s="133">
        <v>1087.84</v>
      </c>
      <c r="E111" s="133">
        <v>1011.12</v>
      </c>
      <c r="F111" s="133">
        <v>916.93</v>
      </c>
      <c r="G111" s="133">
        <v>816.13</v>
      </c>
      <c r="H111" s="133">
        <v>706.39</v>
      </c>
      <c r="I111" s="133">
        <v>646.86</v>
      </c>
      <c r="J111" s="133"/>
      <c r="K111" s="132">
        <f t="shared" si="86"/>
        <v>797.5</v>
      </c>
      <c r="L111" s="133">
        <f t="shared" si="88"/>
        <v>1154.44279136691</v>
      </c>
      <c r="M111" s="133">
        <f t="shared" si="89"/>
        <v>1099.21676224475</v>
      </c>
      <c r="N111" s="133">
        <f t="shared" si="90"/>
        <v>1052.75539354906</v>
      </c>
      <c r="O111" s="133">
        <f t="shared" si="91"/>
        <v>1011.53454056417</v>
      </c>
      <c r="P111" s="133">
        <f t="shared" si="92"/>
        <v>961.730894182138</v>
      </c>
      <c r="Q111" s="133">
        <f t="shared" si="93"/>
        <v>917.692891106717</v>
      </c>
      <c r="R111" s="133">
        <f t="shared" si="94"/>
        <v>865.523033439588</v>
      </c>
      <c r="S111" s="133">
        <f t="shared" si="95"/>
        <v>817.325911597575</v>
      </c>
      <c r="T111" s="133">
        <f t="shared" si="96"/>
        <v>761.135597679761</v>
      </c>
      <c r="U111" s="133">
        <f t="shared" si="97"/>
        <v>708.069063029738</v>
      </c>
      <c r="V111" s="133">
        <f t="shared" si="98"/>
        <v>652.508832116788</v>
      </c>
      <c r="X111" s="91">
        <v>20</v>
      </c>
      <c r="Y111" s="126">
        <v>743040</v>
      </c>
      <c r="Z111" s="91">
        <f t="shared" si="99"/>
        <v>72000</v>
      </c>
      <c r="AA111" s="154">
        <f t="shared" si="100"/>
        <v>0.988040434342064</v>
      </c>
    </row>
    <row r="112" s="91" customFormat="1" spans="1:25">
      <c r="A112" s="132">
        <v>852.5</v>
      </c>
      <c r="B112" s="133">
        <v>1066.49</v>
      </c>
      <c r="C112" s="133">
        <v>1054.72</v>
      </c>
      <c r="D112" s="133">
        <v>1019.45</v>
      </c>
      <c r="E112" s="133">
        <v>947.53</v>
      </c>
      <c r="F112" s="133">
        <v>858.61</v>
      </c>
      <c r="G112" s="133">
        <v>763.04</v>
      </c>
      <c r="H112" s="133">
        <v>658.38</v>
      </c>
      <c r="I112" s="133">
        <v>601.5</v>
      </c>
      <c r="J112" s="133"/>
      <c r="K112" s="132">
        <f t="shared" si="86"/>
        <v>852.5</v>
      </c>
      <c r="L112" s="133">
        <f t="shared" si="88"/>
        <v>1081.46076258993</v>
      </c>
      <c r="M112" s="133">
        <f t="shared" si="89"/>
        <v>1030.05408045381</v>
      </c>
      <c r="N112" s="133">
        <f t="shared" si="90"/>
        <v>986.560467988113</v>
      </c>
      <c r="O112" s="133">
        <f t="shared" si="91"/>
        <v>947.918604762447</v>
      </c>
      <c r="P112" s="133">
        <f t="shared" si="92"/>
        <v>900.9042510954</v>
      </c>
      <c r="Q112" s="133">
        <f t="shared" si="93"/>
        <v>859.330206786381</v>
      </c>
      <c r="R112" s="133">
        <f t="shared" si="94"/>
        <v>809.870279819657</v>
      </c>
      <c r="S112" s="133">
        <f t="shared" si="95"/>
        <v>764.173861819248</v>
      </c>
      <c r="T112" s="133">
        <f t="shared" si="96"/>
        <v>710.591356416656</v>
      </c>
      <c r="U112" s="133">
        <f t="shared" si="97"/>
        <v>659.981337130421</v>
      </c>
      <c r="V112" s="133">
        <f t="shared" si="98"/>
        <v>606.897372262774</v>
      </c>
      <c r="Y112" s="126"/>
    </row>
    <row r="113" s="91" customFormat="1" spans="1:22">
      <c r="A113" s="132">
        <v>907.5</v>
      </c>
      <c r="B113" s="133">
        <v>987.27</v>
      </c>
      <c r="C113" s="133">
        <v>976.46</v>
      </c>
      <c r="D113" s="133">
        <v>944</v>
      </c>
      <c r="E113" s="133">
        <v>877.66</v>
      </c>
      <c r="F113" s="133">
        <v>795.3</v>
      </c>
      <c r="G113" s="133">
        <v>706.42</v>
      </c>
      <c r="H113" s="133">
        <v>608.19</v>
      </c>
      <c r="I113" s="133">
        <v>554.59</v>
      </c>
      <c r="J113" s="133"/>
      <c r="K113" s="132">
        <f t="shared" si="86"/>
        <v>907.5</v>
      </c>
      <c r="L113" s="133">
        <f t="shared" si="88"/>
        <v>1001.01969784173</v>
      </c>
      <c r="M113" s="133">
        <f t="shared" si="89"/>
        <v>953.75924160847</v>
      </c>
      <c r="N113" s="133">
        <f t="shared" si="90"/>
        <v>913.662242023518</v>
      </c>
      <c r="O113" s="133">
        <f t="shared" si="91"/>
        <v>878.018454392947</v>
      </c>
      <c r="P113" s="133">
        <f t="shared" si="92"/>
        <v>834.474027442838</v>
      </c>
      <c r="Q113" s="133">
        <f t="shared" si="93"/>
        <v>795.967074121979</v>
      </c>
      <c r="R113" s="133">
        <f t="shared" si="94"/>
        <v>749.972111231255</v>
      </c>
      <c r="S113" s="133">
        <f t="shared" si="95"/>
        <v>707.47449030548</v>
      </c>
      <c r="T113" s="133">
        <f t="shared" si="96"/>
        <v>657.193645526544</v>
      </c>
      <c r="U113" s="133">
        <f t="shared" si="97"/>
        <v>609.692955726364</v>
      </c>
      <c r="V113" s="133">
        <f t="shared" si="98"/>
        <v>559.676131386861</v>
      </c>
    </row>
    <row r="114" s="91" customFormat="1" spans="1:22">
      <c r="A114" s="132">
        <v>962.5</v>
      </c>
      <c r="B114" s="133">
        <v>892.86</v>
      </c>
      <c r="C114" s="133">
        <v>883.09</v>
      </c>
      <c r="D114" s="133">
        <v>853.95</v>
      </c>
      <c r="E114" s="133">
        <v>794.93</v>
      </c>
      <c r="F114" s="133">
        <v>721.97</v>
      </c>
      <c r="G114" s="133">
        <v>642.81</v>
      </c>
      <c r="H114" s="133">
        <v>554.24</v>
      </c>
      <c r="I114" s="133">
        <v>505.65</v>
      </c>
      <c r="J114" s="133"/>
      <c r="K114" s="132">
        <f t="shared" si="86"/>
        <v>962.5</v>
      </c>
      <c r="L114" s="133">
        <f t="shared" si="88"/>
        <v>905.286877697842</v>
      </c>
      <c r="M114" s="133">
        <f t="shared" si="89"/>
        <v>862.711069022514</v>
      </c>
      <c r="N114" s="133">
        <f t="shared" si="90"/>
        <v>826.959730543082</v>
      </c>
      <c r="O114" s="133">
        <f t="shared" si="91"/>
        <v>795.248902295323</v>
      </c>
      <c r="P114" s="133">
        <f t="shared" si="92"/>
        <v>756.672975257764</v>
      </c>
      <c r="Q114" s="133">
        <f t="shared" si="93"/>
        <v>722.560938901646</v>
      </c>
      <c r="R114" s="133">
        <f t="shared" si="94"/>
        <v>681.599211578152</v>
      </c>
      <c r="S114" s="133">
        <f t="shared" si="95"/>
        <v>643.749170258571</v>
      </c>
      <c r="T114" s="133">
        <f t="shared" si="96"/>
        <v>598.424596195521</v>
      </c>
      <c r="U114" s="133">
        <f t="shared" si="97"/>
        <v>555.59515411467</v>
      </c>
      <c r="V114" s="133">
        <f t="shared" si="98"/>
        <v>510.260729927007</v>
      </c>
    </row>
    <row r="115" s="91" customFormat="1" spans="1:22">
      <c r="A115" s="132">
        <v>1017.5</v>
      </c>
      <c r="B115" s="133">
        <v>766.8</v>
      </c>
      <c r="C115" s="133">
        <v>758.11</v>
      </c>
      <c r="D115" s="133">
        <v>733.29</v>
      </c>
      <c r="E115" s="133">
        <v>685.08</v>
      </c>
      <c r="F115" s="133">
        <v>626.52</v>
      </c>
      <c r="G115" s="133">
        <v>563.22</v>
      </c>
      <c r="H115" s="133">
        <v>492.35</v>
      </c>
      <c r="I115" s="133">
        <v>453.32</v>
      </c>
      <c r="J115" s="133"/>
      <c r="K115" s="132">
        <f t="shared" si="86"/>
        <v>1017.5</v>
      </c>
      <c r="L115" s="133">
        <f t="shared" si="88"/>
        <v>777.853179856115</v>
      </c>
      <c r="M115" s="133">
        <f t="shared" si="89"/>
        <v>740.752242043199</v>
      </c>
      <c r="N115" s="133">
        <f t="shared" si="90"/>
        <v>711.24322110271</v>
      </c>
      <c r="O115" s="133">
        <f t="shared" si="91"/>
        <v>685.340492708531</v>
      </c>
      <c r="P115" s="133">
        <f t="shared" si="92"/>
        <v>654.373703825311</v>
      </c>
      <c r="Q115" s="133">
        <f t="shared" si="93"/>
        <v>626.99430622369</v>
      </c>
      <c r="R115" s="133">
        <f t="shared" si="94"/>
        <v>594.237648975455</v>
      </c>
      <c r="S115" s="133">
        <f t="shared" si="95"/>
        <v>563.971004009191</v>
      </c>
      <c r="T115" s="133">
        <f t="shared" si="96"/>
        <v>527.704661085882</v>
      </c>
      <c r="U115" s="133">
        <f t="shared" si="97"/>
        <v>493.43433749697</v>
      </c>
      <c r="V115" s="133">
        <f t="shared" si="98"/>
        <v>457.023576642336</v>
      </c>
    </row>
    <row r="116" s="91" customFormat="1" spans="1:22">
      <c r="A116" s="132">
        <v>1072.5</v>
      </c>
      <c r="B116" s="133">
        <v>566.21</v>
      </c>
      <c r="C116" s="133">
        <v>556.9</v>
      </c>
      <c r="D116" s="133">
        <v>539.49</v>
      </c>
      <c r="E116" s="133">
        <v>512.42</v>
      </c>
      <c r="F116" s="133">
        <v>480.83</v>
      </c>
      <c r="G116" s="133">
        <v>447.27</v>
      </c>
      <c r="H116" s="133">
        <v>413.11</v>
      </c>
      <c r="I116" s="133">
        <v>395.91</v>
      </c>
      <c r="J116" s="133"/>
      <c r="K116" s="132">
        <f t="shared" si="86"/>
        <v>1072.5</v>
      </c>
      <c r="L116" s="133">
        <f t="shared" si="88"/>
        <v>578.051784172662</v>
      </c>
      <c r="M116" s="133">
        <f t="shared" si="89"/>
        <v>544.7243929884</v>
      </c>
      <c r="N116" s="133">
        <f t="shared" si="90"/>
        <v>527.110694778062</v>
      </c>
      <c r="O116" s="133">
        <f t="shared" si="91"/>
        <v>512.56626711512</v>
      </c>
      <c r="P116" s="133">
        <f t="shared" si="92"/>
        <v>495.855589204945</v>
      </c>
      <c r="Q116" s="133">
        <f t="shared" si="93"/>
        <v>481.085862937267</v>
      </c>
      <c r="R116" s="133">
        <f t="shared" si="94"/>
        <v>463.714744069767</v>
      </c>
      <c r="S116" s="133">
        <f t="shared" si="95"/>
        <v>447.668162631097</v>
      </c>
      <c r="T116" s="133">
        <f t="shared" si="96"/>
        <v>430.151275895213</v>
      </c>
      <c r="U116" s="133">
        <f t="shared" si="97"/>
        <v>413.632660771787</v>
      </c>
      <c r="V116" s="133">
        <f t="shared" si="98"/>
        <v>397.542116788321</v>
      </c>
    </row>
    <row r="117" s="91" customFormat="1" spans="1:22">
      <c r="A117" s="129"/>
      <c r="B117" s="129"/>
      <c r="C117" s="129"/>
      <c r="D117" s="129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</row>
    <row r="118" s="91" customFormat="1" spans="1:22">
      <c r="A118" s="129" t="s">
        <v>140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 t="s">
        <v>140</v>
      </c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</row>
    <row r="119" s="91" customFormat="1" spans="1:22">
      <c r="A119" s="132" t="s">
        <v>128</v>
      </c>
      <c r="B119" s="133">
        <v>17.68</v>
      </c>
      <c r="C119" s="133">
        <v>31.58</v>
      </c>
      <c r="D119" s="133">
        <v>54.25</v>
      </c>
      <c r="E119" s="133">
        <v>82.31</v>
      </c>
      <c r="F119" s="133">
        <v>106.26</v>
      </c>
      <c r="G119" s="133">
        <v>125.73</v>
      </c>
      <c r="H119" s="133">
        <v>142.56</v>
      </c>
      <c r="I119" s="133">
        <v>150.78</v>
      </c>
      <c r="J119" s="133"/>
      <c r="K119" s="132" t="str">
        <f t="shared" ref="K119:K139" si="101">A119</f>
        <v>R/Z[cm]</v>
      </c>
      <c r="L119" s="141">
        <v>0</v>
      </c>
      <c r="M119" s="141">
        <f t="shared" ref="M119:V119" si="102">SQRT(L119*L119+150*150/10)</f>
        <v>47.4341649025257</v>
      </c>
      <c r="N119" s="141">
        <f t="shared" si="102"/>
        <v>67.0820393249937</v>
      </c>
      <c r="O119" s="141">
        <f t="shared" si="102"/>
        <v>82.1583836257749</v>
      </c>
      <c r="P119" s="141">
        <f t="shared" si="102"/>
        <v>94.8683298050514</v>
      </c>
      <c r="Q119" s="141">
        <f t="shared" si="102"/>
        <v>106.066017177982</v>
      </c>
      <c r="R119" s="141">
        <f t="shared" si="102"/>
        <v>116.189500386223</v>
      </c>
      <c r="S119" s="141">
        <f t="shared" si="102"/>
        <v>125.499003980111</v>
      </c>
      <c r="T119" s="141">
        <f t="shared" si="102"/>
        <v>134.164078649987</v>
      </c>
      <c r="U119" s="141">
        <f t="shared" si="102"/>
        <v>142.302494707577</v>
      </c>
      <c r="V119" s="141">
        <f t="shared" si="102"/>
        <v>150</v>
      </c>
    </row>
    <row r="120" s="91" customFormat="1" spans="1:22">
      <c r="A120" s="132">
        <v>27.5</v>
      </c>
      <c r="B120" s="133">
        <v>680.9</v>
      </c>
      <c r="C120" s="133">
        <v>675.06</v>
      </c>
      <c r="D120" s="133">
        <v>657.59</v>
      </c>
      <c r="E120" s="133">
        <v>622</v>
      </c>
      <c r="F120" s="133">
        <v>577.82</v>
      </c>
      <c r="G120" s="133">
        <v>530.12</v>
      </c>
      <c r="H120" s="133">
        <v>478.39</v>
      </c>
      <c r="I120" s="133">
        <v>451.08</v>
      </c>
      <c r="J120" s="133"/>
      <c r="K120" s="132">
        <f t="shared" si="101"/>
        <v>27.5</v>
      </c>
      <c r="L120" s="133">
        <f t="shared" ref="L120:L139" si="103">TREND(B120:C120,B$4:C$4,L$4)</f>
        <v>688.328143884892</v>
      </c>
      <c r="M120" s="133">
        <f t="shared" ref="M120:M139" si="104">TREND(C120:D120,C$4:D$4,M$4)</f>
        <v>662.842432252002</v>
      </c>
      <c r="N120" s="133">
        <f t="shared" ref="N120:N139" si="105">TREND(D120:E120,D$4:E$4,N$4)</f>
        <v>641.314437648734</v>
      </c>
      <c r="O120" s="133">
        <f t="shared" ref="O120:O139" si="106">TREND(D120:E120,D$4:E$4,O$4)</f>
        <v>622.192303163174</v>
      </c>
      <c r="P120" s="133">
        <f t="shared" ref="P120:P139" si="107">TREND(E120:F120,E$4:F$4,P$4)</f>
        <v>598.833945269847</v>
      </c>
      <c r="Q120" s="133">
        <f t="shared" ref="Q120:Q139" si="108">TREND(E120:F120,E$4:F$4,Q$4)</f>
        <v>578.177835535564</v>
      </c>
      <c r="R120" s="133">
        <f t="shared" ref="R120:R139" si="109">TREND(F120:G120,F$4:G$4,R$4)</f>
        <v>553.493489038376</v>
      </c>
      <c r="S120" s="133">
        <f t="shared" ref="S120:S139" si="110">TREND(F120:G120,F$4:G$4,S$4)</f>
        <v>530.685922452424</v>
      </c>
      <c r="T120" s="133">
        <f t="shared" ref="T120:T139" si="111">TREND(G120:H120,G$4:H$4,T$4)</f>
        <v>504.196358374103</v>
      </c>
      <c r="U120" s="133">
        <f t="shared" ref="U120:U139" si="112">TREND(G120:H120,G$4:H$4,U$4)</f>
        <v>479.181488340882</v>
      </c>
      <c r="V120" s="133">
        <f t="shared" ref="V120:V139" si="113">TREND(H120:I120,H$4:I$4,V$4)</f>
        <v>453.671459854015</v>
      </c>
    </row>
    <row r="121" s="91" customFormat="1" spans="1:22">
      <c r="A121" s="132">
        <v>82.5</v>
      </c>
      <c r="B121" s="133">
        <v>924.13</v>
      </c>
      <c r="C121" s="133">
        <v>914.42</v>
      </c>
      <c r="D121" s="133">
        <v>885.69</v>
      </c>
      <c r="E121" s="133">
        <v>827.46</v>
      </c>
      <c r="F121" s="133">
        <v>755.58</v>
      </c>
      <c r="G121" s="133">
        <v>678.47</v>
      </c>
      <c r="H121" s="133">
        <v>594.02</v>
      </c>
      <c r="I121" s="133">
        <v>548.05</v>
      </c>
      <c r="J121" s="133"/>
      <c r="K121" s="132">
        <f t="shared" si="101"/>
        <v>82.5</v>
      </c>
      <c r="L121" s="133">
        <f t="shared" si="103"/>
        <v>936.480561151079</v>
      </c>
      <c r="M121" s="133">
        <f t="shared" si="104"/>
        <v>894.327800721237</v>
      </c>
      <c r="N121" s="133">
        <f t="shared" si="105"/>
        <v>859.061003211177</v>
      </c>
      <c r="O121" s="133">
        <f t="shared" si="106"/>
        <v>827.774633694623</v>
      </c>
      <c r="P121" s="133">
        <f t="shared" si="107"/>
        <v>789.76927990033</v>
      </c>
      <c r="Q121" s="133">
        <f t="shared" si="108"/>
        <v>756.162191450799</v>
      </c>
      <c r="R121" s="133">
        <f t="shared" si="109"/>
        <v>716.25469056078</v>
      </c>
      <c r="S121" s="133">
        <f t="shared" si="110"/>
        <v>679.38484864374</v>
      </c>
      <c r="T121" s="133">
        <f t="shared" si="111"/>
        <v>636.149266667176</v>
      </c>
      <c r="U121" s="133">
        <f t="shared" si="112"/>
        <v>595.312116574279</v>
      </c>
      <c r="V121" s="133">
        <f t="shared" si="113"/>
        <v>552.412116788321</v>
      </c>
    </row>
    <row r="122" s="91" customFormat="1" spans="1:22">
      <c r="A122" s="132">
        <v>137.5</v>
      </c>
      <c r="B122" s="133">
        <v>1070.67</v>
      </c>
      <c r="C122" s="133">
        <v>1059.24</v>
      </c>
      <c r="D122" s="133">
        <v>1025.31</v>
      </c>
      <c r="E122" s="133">
        <v>956.76</v>
      </c>
      <c r="F122" s="133">
        <v>872.71</v>
      </c>
      <c r="G122" s="133">
        <v>783.14</v>
      </c>
      <c r="H122" s="133">
        <v>686.35</v>
      </c>
      <c r="I122" s="133">
        <v>634.05</v>
      </c>
      <c r="J122" s="133"/>
      <c r="K122" s="132">
        <f t="shared" si="101"/>
        <v>137.5</v>
      </c>
      <c r="L122" s="133">
        <f t="shared" si="103"/>
        <v>1085.20830215827</v>
      </c>
      <c r="M122" s="133">
        <f t="shared" si="104"/>
        <v>1035.51120356671</v>
      </c>
      <c r="N122" s="133">
        <f t="shared" si="105"/>
        <v>993.961593167202</v>
      </c>
      <c r="O122" s="133">
        <f t="shared" si="106"/>
        <v>957.130395668323</v>
      </c>
      <c r="P122" s="133">
        <f t="shared" si="107"/>
        <v>912.687865548452</v>
      </c>
      <c r="Q122" s="133">
        <f t="shared" si="108"/>
        <v>873.390762262656</v>
      </c>
      <c r="R122" s="133">
        <f t="shared" si="109"/>
        <v>827.030218305396</v>
      </c>
      <c r="S122" s="133">
        <f t="shared" si="110"/>
        <v>784.202676605107</v>
      </c>
      <c r="T122" s="133">
        <f t="shared" si="111"/>
        <v>734.635277924404</v>
      </c>
      <c r="U122" s="133">
        <f t="shared" si="112"/>
        <v>687.830923187975</v>
      </c>
      <c r="V122" s="133">
        <f t="shared" si="113"/>
        <v>639.012773722628</v>
      </c>
    </row>
    <row r="123" s="91" customFormat="1" spans="1:22">
      <c r="A123" s="132">
        <v>192.5</v>
      </c>
      <c r="B123" s="133">
        <v>1183.46</v>
      </c>
      <c r="C123" s="133">
        <v>1170.91</v>
      </c>
      <c r="D123" s="133">
        <v>1133.64</v>
      </c>
      <c r="E123" s="133">
        <v>1058.66</v>
      </c>
      <c r="F123" s="133">
        <v>967.6</v>
      </c>
      <c r="G123" s="133">
        <v>871.43</v>
      </c>
      <c r="H123" s="133">
        <v>768.26</v>
      </c>
      <c r="I123" s="133">
        <v>712.42</v>
      </c>
      <c r="J123" s="133"/>
      <c r="K123" s="132">
        <f t="shared" si="101"/>
        <v>192.5</v>
      </c>
      <c r="L123" s="133">
        <f t="shared" si="103"/>
        <v>1199.42287769784</v>
      </c>
      <c r="M123" s="133">
        <f t="shared" si="104"/>
        <v>1144.84538924053</v>
      </c>
      <c r="N123" s="133">
        <f t="shared" si="105"/>
        <v>1099.35110803321</v>
      </c>
      <c r="O123" s="133">
        <f t="shared" si="106"/>
        <v>1059.06513883604</v>
      </c>
      <c r="P123" s="133">
        <f t="shared" si="107"/>
        <v>1010.91212893328</v>
      </c>
      <c r="Q123" s="133">
        <f t="shared" si="108"/>
        <v>968.337539698244</v>
      </c>
      <c r="R123" s="133">
        <f t="shared" si="109"/>
        <v>918.554285971083</v>
      </c>
      <c r="S123" s="133">
        <f t="shared" si="110"/>
        <v>872.570980340662</v>
      </c>
      <c r="T123" s="133">
        <f t="shared" si="111"/>
        <v>819.728045494997</v>
      </c>
      <c r="U123" s="133">
        <f t="shared" si="112"/>
        <v>769.838539573338</v>
      </c>
      <c r="V123" s="133">
        <f t="shared" si="113"/>
        <v>717.718686131387</v>
      </c>
    </row>
    <row r="124" s="91" customFormat="1" spans="1:22">
      <c r="A124" s="132">
        <v>241.5</v>
      </c>
      <c r="B124" s="133">
        <v>1266.99</v>
      </c>
      <c r="C124" s="133">
        <v>1254.01</v>
      </c>
      <c r="D124" s="133">
        <v>1215.21</v>
      </c>
      <c r="E124" s="133">
        <v>1136.93</v>
      </c>
      <c r="F124" s="133">
        <v>1042.2</v>
      </c>
      <c r="G124" s="133">
        <v>943.01</v>
      </c>
      <c r="H124" s="133">
        <v>836.69</v>
      </c>
      <c r="I124" s="133">
        <v>778.29</v>
      </c>
      <c r="J124" s="133"/>
      <c r="K124" s="132">
        <f t="shared" si="101"/>
        <v>241.5</v>
      </c>
      <c r="L124" s="133">
        <f t="shared" si="103"/>
        <v>1283.49981294964</v>
      </c>
      <c r="M124" s="133">
        <f t="shared" si="104"/>
        <v>1226.87539046237</v>
      </c>
      <c r="N124" s="133">
        <f t="shared" si="105"/>
        <v>1179.41199435636</v>
      </c>
      <c r="O124" s="133">
        <f t="shared" si="106"/>
        <v>1137.35296969973</v>
      </c>
      <c r="P124" s="133">
        <f t="shared" si="107"/>
        <v>1087.25774186086</v>
      </c>
      <c r="Q124" s="133">
        <f t="shared" si="108"/>
        <v>1042.96726483214</v>
      </c>
      <c r="R124" s="133">
        <f t="shared" si="109"/>
        <v>991.614116933261</v>
      </c>
      <c r="S124" s="133">
        <f t="shared" si="110"/>
        <v>944.18681023178</v>
      </c>
      <c r="T124" s="133">
        <f t="shared" si="111"/>
        <v>889.729474624679</v>
      </c>
      <c r="U124" s="133">
        <f t="shared" si="112"/>
        <v>838.316735751064</v>
      </c>
      <c r="V124" s="133">
        <f t="shared" si="113"/>
        <v>783.831605839416</v>
      </c>
    </row>
    <row r="125" s="91" customFormat="1" spans="1:22">
      <c r="A125" s="132">
        <v>296.5</v>
      </c>
      <c r="B125" s="133">
        <v>1340.43</v>
      </c>
      <c r="C125" s="133">
        <v>1327.36</v>
      </c>
      <c r="D125" s="133">
        <v>1288.2</v>
      </c>
      <c r="E125" s="133">
        <v>1208.67</v>
      </c>
      <c r="F125" s="133">
        <v>1112.34</v>
      </c>
      <c r="G125" s="133">
        <v>1012.97</v>
      </c>
      <c r="H125" s="133">
        <v>909.75</v>
      </c>
      <c r="I125" s="133">
        <v>854.34</v>
      </c>
      <c r="J125" s="133"/>
      <c r="K125" s="132">
        <f t="shared" si="101"/>
        <v>296.5</v>
      </c>
      <c r="L125" s="133">
        <f t="shared" si="103"/>
        <v>1357.05428776978</v>
      </c>
      <c r="M125" s="133">
        <f t="shared" si="104"/>
        <v>1299.97362604398</v>
      </c>
      <c r="N125" s="133">
        <f t="shared" si="105"/>
        <v>1251.83036038786</v>
      </c>
      <c r="O125" s="133">
        <f t="shared" si="106"/>
        <v>1209.09972381476</v>
      </c>
      <c r="P125" s="133">
        <f t="shared" si="107"/>
        <v>1158.15877202002</v>
      </c>
      <c r="Q125" s="133">
        <f t="shared" si="108"/>
        <v>1113.12022401858</v>
      </c>
      <c r="R125" s="133">
        <f t="shared" si="109"/>
        <v>1061.66231877869</v>
      </c>
      <c r="S125" s="133">
        <f t="shared" si="110"/>
        <v>1014.1489457882</v>
      </c>
      <c r="T125" s="133">
        <f t="shared" si="111"/>
        <v>961.242988814516</v>
      </c>
      <c r="U125" s="133">
        <f t="shared" si="112"/>
        <v>911.329304592032</v>
      </c>
      <c r="V125" s="133">
        <f t="shared" si="113"/>
        <v>859.597883211679</v>
      </c>
    </row>
    <row r="126" s="91" customFormat="1" spans="1:22">
      <c r="A126" s="132">
        <v>357.5</v>
      </c>
      <c r="B126" s="133">
        <v>1396.62</v>
      </c>
      <c r="C126" s="133">
        <v>1383.48</v>
      </c>
      <c r="D126" s="133">
        <v>1344.06</v>
      </c>
      <c r="E126" s="133">
        <v>1263.98</v>
      </c>
      <c r="F126" s="133">
        <v>1166.45</v>
      </c>
      <c r="G126" s="133">
        <v>1065.51</v>
      </c>
      <c r="H126" s="133">
        <v>961.18</v>
      </c>
      <c r="I126" s="133">
        <v>904.89</v>
      </c>
      <c r="J126" s="133"/>
      <c r="K126" s="132">
        <f t="shared" si="101"/>
        <v>357.5</v>
      </c>
      <c r="L126" s="133">
        <f t="shared" si="103"/>
        <v>1413.33332374101</v>
      </c>
      <c r="M126" s="133">
        <f t="shared" si="104"/>
        <v>1355.91179618626</v>
      </c>
      <c r="N126" s="133">
        <f t="shared" si="105"/>
        <v>1307.43884144171</v>
      </c>
      <c r="O126" s="133">
        <f t="shared" si="106"/>
        <v>1264.41269562537</v>
      </c>
      <c r="P126" s="133">
        <f t="shared" si="107"/>
        <v>1212.83954463939</v>
      </c>
      <c r="Q126" s="133">
        <f t="shared" si="108"/>
        <v>1167.23994340841</v>
      </c>
      <c r="R126" s="133">
        <f t="shared" si="109"/>
        <v>1114.97163487492</v>
      </c>
      <c r="S126" s="133">
        <f t="shared" si="110"/>
        <v>1066.7075725859</v>
      </c>
      <c r="T126" s="133">
        <f t="shared" si="111"/>
        <v>1013.22673050783</v>
      </c>
      <c r="U126" s="133">
        <f t="shared" si="112"/>
        <v>962.77628800704</v>
      </c>
      <c r="V126" s="133">
        <f t="shared" si="113"/>
        <v>910.231386861314</v>
      </c>
    </row>
    <row r="127" s="91" customFormat="1" spans="1:22">
      <c r="A127" s="132">
        <v>412.5</v>
      </c>
      <c r="B127" s="133">
        <v>1420.78</v>
      </c>
      <c r="C127" s="133">
        <v>1407.6</v>
      </c>
      <c r="D127" s="133">
        <v>1368.1</v>
      </c>
      <c r="E127" s="133">
        <v>1287.97</v>
      </c>
      <c r="F127" s="133">
        <v>1190.23</v>
      </c>
      <c r="G127" s="133">
        <v>1088.88</v>
      </c>
      <c r="H127" s="133">
        <v>984.44</v>
      </c>
      <c r="I127" s="133">
        <v>928.06</v>
      </c>
      <c r="J127" s="133"/>
      <c r="K127" s="132">
        <f t="shared" si="101"/>
        <v>412.5</v>
      </c>
      <c r="L127" s="133">
        <f t="shared" si="103"/>
        <v>1437.54420143885</v>
      </c>
      <c r="M127" s="133">
        <f t="shared" si="104"/>
        <v>1379.97584853773</v>
      </c>
      <c r="N127" s="133">
        <f t="shared" si="105"/>
        <v>1331.45597608297</v>
      </c>
      <c r="O127" s="133">
        <f t="shared" si="106"/>
        <v>1288.40296578997</v>
      </c>
      <c r="P127" s="133">
        <f t="shared" si="107"/>
        <v>1236.71942984778</v>
      </c>
      <c r="Q127" s="133">
        <f t="shared" si="108"/>
        <v>1191.02164430163</v>
      </c>
      <c r="R127" s="133">
        <f t="shared" si="109"/>
        <v>1138.5425390784</v>
      </c>
      <c r="S127" s="133">
        <f t="shared" si="110"/>
        <v>1090.08243690887</v>
      </c>
      <c r="T127" s="133">
        <f t="shared" si="111"/>
        <v>1036.54160581077</v>
      </c>
      <c r="U127" s="133">
        <f t="shared" si="112"/>
        <v>986.037971048167</v>
      </c>
      <c r="V127" s="133">
        <f t="shared" si="113"/>
        <v>933.409927007299</v>
      </c>
    </row>
    <row r="128" s="91" customFormat="1" spans="1:22">
      <c r="A128" s="132">
        <v>467.5</v>
      </c>
      <c r="B128" s="133">
        <v>1421.16</v>
      </c>
      <c r="C128" s="133">
        <v>1408.01</v>
      </c>
      <c r="D128" s="133">
        <v>1368.58</v>
      </c>
      <c r="E128" s="133">
        <v>1288.59</v>
      </c>
      <c r="F128" s="133">
        <v>1191.13</v>
      </c>
      <c r="G128" s="133">
        <v>1090.31</v>
      </c>
      <c r="H128" s="133">
        <v>986.77</v>
      </c>
      <c r="I128" s="133">
        <v>931.01</v>
      </c>
      <c r="J128" s="133"/>
      <c r="K128" s="132">
        <f t="shared" si="101"/>
        <v>467.5</v>
      </c>
      <c r="L128" s="133">
        <f t="shared" si="103"/>
        <v>1437.88604316547</v>
      </c>
      <c r="M128" s="133">
        <f t="shared" si="104"/>
        <v>1380.43480273019</v>
      </c>
      <c r="N128" s="133">
        <f t="shared" si="105"/>
        <v>1331.99999908745</v>
      </c>
      <c r="O128" s="133">
        <f t="shared" si="106"/>
        <v>1289.02220932909</v>
      </c>
      <c r="P128" s="133">
        <f t="shared" si="107"/>
        <v>1237.48624956992</v>
      </c>
      <c r="Q128" s="133">
        <f t="shared" si="108"/>
        <v>1191.919376444</v>
      </c>
      <c r="R128" s="133">
        <f t="shared" si="109"/>
        <v>1139.71283364464</v>
      </c>
      <c r="S128" s="133">
        <f t="shared" si="110"/>
        <v>1091.50614888162</v>
      </c>
      <c r="T128" s="133">
        <f t="shared" si="111"/>
        <v>1038.42262605944</v>
      </c>
      <c r="U128" s="133">
        <f t="shared" si="112"/>
        <v>988.354200711674</v>
      </c>
      <c r="V128" s="133">
        <f t="shared" si="113"/>
        <v>936.301094890511</v>
      </c>
    </row>
    <row r="129" s="91" customFormat="1" spans="1:22">
      <c r="A129" s="132">
        <v>522.5</v>
      </c>
      <c r="B129" s="133">
        <v>1399.58</v>
      </c>
      <c r="C129" s="133">
        <v>1386.4</v>
      </c>
      <c r="D129" s="133">
        <v>1346.87</v>
      </c>
      <c r="E129" s="133">
        <v>1266.56</v>
      </c>
      <c r="F129" s="133">
        <v>1168.86</v>
      </c>
      <c r="G129" s="133">
        <v>1068.16</v>
      </c>
      <c r="H129" s="133">
        <v>965.36</v>
      </c>
      <c r="I129" s="133">
        <v>910.77</v>
      </c>
      <c r="J129" s="133"/>
      <c r="K129" s="132">
        <f t="shared" si="101"/>
        <v>522.5</v>
      </c>
      <c r="L129" s="133">
        <f t="shared" si="103"/>
        <v>1416.34420143885</v>
      </c>
      <c r="M129" s="133">
        <f t="shared" si="104"/>
        <v>1358.75486816953</v>
      </c>
      <c r="N129" s="133">
        <f t="shared" si="105"/>
        <v>1310.14366079151</v>
      </c>
      <c r="O129" s="133">
        <f t="shared" si="106"/>
        <v>1266.99393838254</v>
      </c>
      <c r="P129" s="133">
        <f t="shared" si="107"/>
        <v>1215.3304040938</v>
      </c>
      <c r="Q129" s="133">
        <f t="shared" si="108"/>
        <v>1169.65132032197</v>
      </c>
      <c r="R129" s="133">
        <f t="shared" si="109"/>
        <v>1117.50403241435</v>
      </c>
      <c r="S129" s="133">
        <f t="shared" si="110"/>
        <v>1069.35472517734</v>
      </c>
      <c r="T129" s="133">
        <f t="shared" si="111"/>
        <v>1016.64346493056</v>
      </c>
      <c r="U129" s="133">
        <f t="shared" si="112"/>
        <v>966.932878435002</v>
      </c>
      <c r="V129" s="133">
        <f t="shared" si="113"/>
        <v>915.950072992701</v>
      </c>
    </row>
    <row r="130" s="91" customFormat="1" spans="1:22">
      <c r="A130" s="132">
        <v>577.5</v>
      </c>
      <c r="B130" s="133">
        <v>1360.92</v>
      </c>
      <c r="C130" s="133">
        <v>1347.66</v>
      </c>
      <c r="D130" s="133">
        <v>1307.88</v>
      </c>
      <c r="E130" s="133">
        <v>1226.78</v>
      </c>
      <c r="F130" s="133">
        <v>1127.71</v>
      </c>
      <c r="G130" s="133">
        <v>1024.16</v>
      </c>
      <c r="H130" s="133">
        <v>913.8</v>
      </c>
      <c r="I130" s="133">
        <v>852.63</v>
      </c>
      <c r="J130" s="133"/>
      <c r="K130" s="132">
        <f t="shared" si="101"/>
        <v>577.5</v>
      </c>
      <c r="L130" s="133">
        <f t="shared" si="103"/>
        <v>1377.78595683453</v>
      </c>
      <c r="M130" s="133">
        <f t="shared" si="104"/>
        <v>1319.84003176787</v>
      </c>
      <c r="N130" s="133">
        <f t="shared" si="105"/>
        <v>1270.79238812341</v>
      </c>
      <c r="O130" s="133">
        <f t="shared" si="106"/>
        <v>1227.21820698324</v>
      </c>
      <c r="P130" s="133">
        <f t="shared" si="107"/>
        <v>1174.83203616758</v>
      </c>
      <c r="Q130" s="133">
        <f t="shared" si="108"/>
        <v>1128.51241662536</v>
      </c>
      <c r="R130" s="133">
        <f t="shared" si="109"/>
        <v>1074.90056163362</v>
      </c>
      <c r="S130" s="133">
        <f t="shared" si="110"/>
        <v>1025.38853815406</v>
      </c>
      <c r="T130" s="133">
        <f t="shared" si="111"/>
        <v>968.854894841794</v>
      </c>
      <c r="U130" s="133">
        <f t="shared" si="112"/>
        <v>915.488549261544</v>
      </c>
      <c r="V130" s="133">
        <f t="shared" si="113"/>
        <v>858.434452554745</v>
      </c>
    </row>
    <row r="131" s="91" customFormat="1" spans="1:22">
      <c r="A131" s="132">
        <v>632.5</v>
      </c>
      <c r="B131" s="133">
        <v>1312.09</v>
      </c>
      <c r="C131" s="133">
        <v>1299.02</v>
      </c>
      <c r="D131" s="133">
        <v>1259.73</v>
      </c>
      <c r="E131" s="133">
        <v>1179.79</v>
      </c>
      <c r="F131" s="133">
        <v>1082.65</v>
      </c>
      <c r="G131" s="133">
        <v>981.31</v>
      </c>
      <c r="H131" s="133">
        <v>873.7</v>
      </c>
      <c r="I131" s="133">
        <v>815.03</v>
      </c>
      <c r="J131" s="133"/>
      <c r="K131" s="132">
        <f t="shared" si="101"/>
        <v>632.5</v>
      </c>
      <c r="L131" s="133">
        <f t="shared" si="103"/>
        <v>1328.71428776978</v>
      </c>
      <c r="M131" s="133">
        <f t="shared" si="104"/>
        <v>1271.54271111512</v>
      </c>
      <c r="N131" s="133">
        <f t="shared" si="105"/>
        <v>1223.17286444619</v>
      </c>
      <c r="O131" s="133">
        <f t="shared" si="106"/>
        <v>1180.22193916449</v>
      </c>
      <c r="P131" s="133">
        <f t="shared" si="107"/>
        <v>1128.85404353809</v>
      </c>
      <c r="Q131" s="133">
        <f t="shared" si="108"/>
        <v>1083.43678460671</v>
      </c>
      <c r="R131" s="133">
        <f t="shared" si="109"/>
        <v>1030.96763897587</v>
      </c>
      <c r="S131" s="133">
        <f t="shared" si="110"/>
        <v>982.512318266847</v>
      </c>
      <c r="T131" s="133">
        <f t="shared" si="111"/>
        <v>927.383012268263</v>
      </c>
      <c r="U131" s="133">
        <f t="shared" si="112"/>
        <v>875.346473233371</v>
      </c>
      <c r="V131" s="133">
        <f t="shared" si="113"/>
        <v>820.597226277372</v>
      </c>
    </row>
    <row r="132" s="91" customFormat="1" ht="13.5" customHeight="1" spans="1:22">
      <c r="A132" s="132">
        <v>687.5</v>
      </c>
      <c r="B132" s="133">
        <v>1256.48</v>
      </c>
      <c r="C132" s="133">
        <v>1243.76</v>
      </c>
      <c r="D132" s="133">
        <v>1205.56</v>
      </c>
      <c r="E132" s="133">
        <v>1128.26</v>
      </c>
      <c r="F132" s="133">
        <v>1034.65</v>
      </c>
      <c r="G132" s="133">
        <v>936.6</v>
      </c>
      <c r="H132" s="133">
        <v>832.08</v>
      </c>
      <c r="I132" s="133">
        <v>775.25</v>
      </c>
      <c r="J132" s="133"/>
      <c r="K132" s="132">
        <f t="shared" si="101"/>
        <v>687.5</v>
      </c>
      <c r="L132" s="133">
        <f t="shared" si="103"/>
        <v>1272.65910791367</v>
      </c>
      <c r="M132" s="133">
        <f t="shared" si="104"/>
        <v>1217.04499782636</v>
      </c>
      <c r="N132" s="133">
        <f t="shared" si="105"/>
        <v>1170.21015538767</v>
      </c>
      <c r="O132" s="133">
        <f t="shared" si="106"/>
        <v>1128.67767447354</v>
      </c>
      <c r="P132" s="133">
        <f t="shared" si="107"/>
        <v>1079.17502074944</v>
      </c>
      <c r="Q132" s="133">
        <f t="shared" si="108"/>
        <v>1035.40819340163</v>
      </c>
      <c r="R132" s="133">
        <f t="shared" si="109"/>
        <v>984.645505245551</v>
      </c>
      <c r="S132" s="133">
        <f t="shared" si="110"/>
        <v>937.763285041093</v>
      </c>
      <c r="T132" s="133">
        <f t="shared" si="111"/>
        <v>884.221515122004</v>
      </c>
      <c r="U132" s="133">
        <f t="shared" si="112"/>
        <v>833.679195078078</v>
      </c>
      <c r="V132" s="133">
        <f t="shared" si="113"/>
        <v>780.642627737226</v>
      </c>
    </row>
    <row r="133" s="91" customFormat="1" ht="13.5" customHeight="1" spans="1:22">
      <c r="A133" s="132">
        <v>742.5</v>
      </c>
      <c r="B133" s="133">
        <v>1195.07</v>
      </c>
      <c r="C133" s="133">
        <v>1182.81</v>
      </c>
      <c r="D133" s="133">
        <v>1146.19</v>
      </c>
      <c r="E133" s="133">
        <v>1072.28</v>
      </c>
      <c r="F133" s="133">
        <v>982.54</v>
      </c>
      <c r="G133" s="133">
        <v>887.88</v>
      </c>
      <c r="H133" s="133">
        <v>786.39</v>
      </c>
      <c r="I133" s="133">
        <v>731.3</v>
      </c>
      <c r="J133" s="133"/>
      <c r="K133" s="132">
        <f t="shared" si="101"/>
        <v>742.5</v>
      </c>
      <c r="L133" s="133">
        <f t="shared" si="103"/>
        <v>1210.66401438849</v>
      </c>
      <c r="M133" s="133">
        <f t="shared" si="104"/>
        <v>1157.19996388485</v>
      </c>
      <c r="N133" s="133">
        <f t="shared" si="105"/>
        <v>1112.39042671025</v>
      </c>
      <c r="O133" s="133">
        <f t="shared" si="106"/>
        <v>1072.67935731358</v>
      </c>
      <c r="P133" s="133">
        <f t="shared" si="107"/>
        <v>1025.22427905197</v>
      </c>
      <c r="Q133" s="133">
        <f t="shared" si="108"/>
        <v>983.266848369431</v>
      </c>
      <c r="R133" s="133">
        <f t="shared" si="109"/>
        <v>934.264370489994</v>
      </c>
      <c r="S133" s="133">
        <f t="shared" si="110"/>
        <v>889.003065395103</v>
      </c>
      <c r="T133" s="133">
        <f t="shared" si="111"/>
        <v>837.019949959167</v>
      </c>
      <c r="U133" s="133">
        <f t="shared" si="112"/>
        <v>787.942834945217</v>
      </c>
      <c r="V133" s="133">
        <f t="shared" si="113"/>
        <v>736.527518248175</v>
      </c>
    </row>
    <row r="134" s="91" customFormat="1" spans="1:22">
      <c r="A134" s="132">
        <v>797.5</v>
      </c>
      <c r="B134" s="133">
        <v>1128.72</v>
      </c>
      <c r="C134" s="133">
        <v>1117.12</v>
      </c>
      <c r="D134" s="133">
        <v>1082.47</v>
      </c>
      <c r="E134" s="133">
        <v>1012.31</v>
      </c>
      <c r="F134" s="133">
        <v>926.52</v>
      </c>
      <c r="G134" s="133">
        <v>835.38</v>
      </c>
      <c r="H134" s="133">
        <v>737.2</v>
      </c>
      <c r="I134" s="133">
        <v>684</v>
      </c>
      <c r="J134" s="133"/>
      <c r="K134" s="132">
        <f t="shared" si="101"/>
        <v>797.5</v>
      </c>
      <c r="L134" s="133">
        <f t="shared" si="103"/>
        <v>1143.4745323741</v>
      </c>
      <c r="M134" s="133">
        <f t="shared" si="104"/>
        <v>1092.88767472993</v>
      </c>
      <c r="N134" s="133">
        <f t="shared" si="105"/>
        <v>1050.38532861577</v>
      </c>
      <c r="O134" s="133">
        <f t="shared" si="106"/>
        <v>1012.68909496848</v>
      </c>
      <c r="P134" s="133">
        <f t="shared" si="107"/>
        <v>967.32548584654</v>
      </c>
      <c r="Q134" s="133">
        <f t="shared" si="108"/>
        <v>927.214855377909</v>
      </c>
      <c r="R134" s="133">
        <f t="shared" si="109"/>
        <v>880.039534401627</v>
      </c>
      <c r="S134" s="133">
        <f t="shared" si="110"/>
        <v>836.461303402807</v>
      </c>
      <c r="T134" s="133">
        <f t="shared" si="111"/>
        <v>786.178702207026</v>
      </c>
      <c r="U134" s="133">
        <f t="shared" si="112"/>
        <v>738.70219070767</v>
      </c>
      <c r="V134" s="133">
        <f t="shared" si="113"/>
        <v>689.048175182482</v>
      </c>
    </row>
    <row r="135" s="91" customFormat="1" spans="1:22">
      <c r="A135" s="132">
        <v>852.5</v>
      </c>
      <c r="B135" s="133">
        <v>1057.35</v>
      </c>
      <c r="C135" s="133">
        <v>1046.51</v>
      </c>
      <c r="D135" s="133">
        <v>1014.03</v>
      </c>
      <c r="E135" s="133">
        <v>947.93</v>
      </c>
      <c r="F135" s="133">
        <v>866.51</v>
      </c>
      <c r="G135" s="133">
        <v>779.54</v>
      </c>
      <c r="H135" s="133">
        <v>685.34</v>
      </c>
      <c r="I135" s="133">
        <v>634.26</v>
      </c>
      <c r="J135" s="133"/>
      <c r="K135" s="132">
        <f t="shared" si="101"/>
        <v>852.5</v>
      </c>
      <c r="L135" s="133">
        <f t="shared" si="103"/>
        <v>1071.13785611511</v>
      </c>
      <c r="M135" s="133">
        <f t="shared" si="104"/>
        <v>1023.79525469634</v>
      </c>
      <c r="N135" s="133">
        <f t="shared" si="105"/>
        <v>983.801995745471</v>
      </c>
      <c r="O135" s="133">
        <f t="shared" si="106"/>
        <v>948.287157602861</v>
      </c>
      <c r="P135" s="133">
        <f t="shared" si="107"/>
        <v>905.236922224331</v>
      </c>
      <c r="Q135" s="133">
        <f t="shared" si="108"/>
        <v>867.169460599946</v>
      </c>
      <c r="R135" s="133">
        <f t="shared" si="109"/>
        <v>822.156191649216</v>
      </c>
      <c r="S135" s="133">
        <f t="shared" si="110"/>
        <v>780.571829678979</v>
      </c>
      <c r="T135" s="133">
        <f t="shared" si="111"/>
        <v>732.333213973333</v>
      </c>
      <c r="U135" s="133">
        <f t="shared" si="112"/>
        <v>686.781295219622</v>
      </c>
      <c r="V135" s="133">
        <f t="shared" si="113"/>
        <v>639.10700729927</v>
      </c>
    </row>
    <row r="136" s="91" customFormat="1" spans="1:22">
      <c r="A136" s="132">
        <v>907.5</v>
      </c>
      <c r="B136" s="133">
        <v>978.37</v>
      </c>
      <c r="C136" s="133">
        <v>968.36</v>
      </c>
      <c r="D136" s="133">
        <v>938.31</v>
      </c>
      <c r="E136" s="133">
        <v>877.02</v>
      </c>
      <c r="F136" s="133">
        <v>801.19</v>
      </c>
      <c r="G136" s="133">
        <v>719.82</v>
      </c>
      <c r="H136" s="133">
        <v>630.86</v>
      </c>
      <c r="I136" s="133">
        <v>582.44</v>
      </c>
      <c r="J136" s="133"/>
      <c r="K136" s="132">
        <f t="shared" si="101"/>
        <v>907.5</v>
      </c>
      <c r="L136" s="133">
        <f t="shared" si="103"/>
        <v>991.102143884892</v>
      </c>
      <c r="M136" s="133">
        <f t="shared" si="104"/>
        <v>947.344664520472</v>
      </c>
      <c r="N136" s="133">
        <f t="shared" si="105"/>
        <v>910.281643256277</v>
      </c>
      <c r="O136" s="133">
        <f t="shared" si="106"/>
        <v>877.35116776822</v>
      </c>
      <c r="P136" s="133">
        <f t="shared" si="107"/>
        <v>837.25807310576</v>
      </c>
      <c r="Q136" s="133">
        <f t="shared" si="108"/>
        <v>801.804184442322</v>
      </c>
      <c r="R136" s="133">
        <f t="shared" si="109"/>
        <v>759.692134235905</v>
      </c>
      <c r="S136" s="133">
        <f t="shared" si="110"/>
        <v>720.78539014578</v>
      </c>
      <c r="T136" s="133">
        <f t="shared" si="111"/>
        <v>675.239154087767</v>
      </c>
      <c r="U136" s="133">
        <f t="shared" si="112"/>
        <v>632.221121260484</v>
      </c>
      <c r="V136" s="133">
        <f t="shared" si="113"/>
        <v>587.034598540146</v>
      </c>
    </row>
    <row r="137" s="91" customFormat="1" spans="1:22">
      <c r="A137" s="132">
        <v>962.5</v>
      </c>
      <c r="B137" s="133">
        <v>884.46</v>
      </c>
      <c r="C137" s="133">
        <v>875.38</v>
      </c>
      <c r="D137" s="133">
        <v>848.31</v>
      </c>
      <c r="E137" s="133">
        <v>793.57</v>
      </c>
      <c r="F137" s="133">
        <v>726.08</v>
      </c>
      <c r="G137" s="133">
        <v>653.26</v>
      </c>
      <c r="H137" s="133">
        <v>572.59</v>
      </c>
      <c r="I137" s="133">
        <v>528.43</v>
      </c>
      <c r="J137" s="133"/>
      <c r="K137" s="132">
        <f t="shared" si="101"/>
        <v>962.5</v>
      </c>
      <c r="L137" s="133">
        <f t="shared" si="103"/>
        <v>896.009237410072</v>
      </c>
      <c r="M137" s="133">
        <f t="shared" si="104"/>
        <v>856.448714428259</v>
      </c>
      <c r="N137" s="133">
        <f t="shared" si="105"/>
        <v>823.277005251242</v>
      </c>
      <c r="O137" s="133">
        <f t="shared" si="106"/>
        <v>793.865776205456</v>
      </c>
      <c r="P137" s="133">
        <f t="shared" si="107"/>
        <v>758.181203401131</v>
      </c>
      <c r="Q137" s="133">
        <f t="shared" si="108"/>
        <v>726.626634683006</v>
      </c>
      <c r="R137" s="133">
        <f t="shared" si="109"/>
        <v>688.942546578083</v>
      </c>
      <c r="S137" s="133">
        <f t="shared" si="110"/>
        <v>654.123951215629</v>
      </c>
      <c r="T137" s="133">
        <f t="shared" si="111"/>
        <v>612.833551711558</v>
      </c>
      <c r="U137" s="133">
        <f t="shared" si="112"/>
        <v>573.824281161008</v>
      </c>
      <c r="V137" s="133">
        <f t="shared" si="113"/>
        <v>532.620364963504</v>
      </c>
    </row>
    <row r="138" s="91" customFormat="1" spans="1:22">
      <c r="A138" s="132">
        <v>1017.5</v>
      </c>
      <c r="B138" s="133">
        <v>760.16</v>
      </c>
      <c r="C138" s="133">
        <v>752.1</v>
      </c>
      <c r="D138" s="133">
        <v>729.06</v>
      </c>
      <c r="E138" s="133">
        <v>684.31</v>
      </c>
      <c r="F138" s="133">
        <v>630.05</v>
      </c>
      <c r="G138" s="133">
        <v>571.73</v>
      </c>
      <c r="H138" s="133">
        <v>506.96</v>
      </c>
      <c r="I138" s="133">
        <v>471.34</v>
      </c>
      <c r="J138" s="133"/>
      <c r="K138" s="132">
        <f t="shared" si="101"/>
        <v>1017.5</v>
      </c>
      <c r="L138" s="133">
        <f t="shared" si="103"/>
        <v>770.411856115108</v>
      </c>
      <c r="M138" s="133">
        <f t="shared" si="104"/>
        <v>735.987077223018</v>
      </c>
      <c r="N138" s="133">
        <f t="shared" si="105"/>
        <v>708.595503927531</v>
      </c>
      <c r="O138" s="133">
        <f t="shared" si="106"/>
        <v>684.551797318124</v>
      </c>
      <c r="P138" s="133">
        <f t="shared" si="107"/>
        <v>655.858435272564</v>
      </c>
      <c r="Q138" s="133">
        <f t="shared" si="108"/>
        <v>630.489478410133</v>
      </c>
      <c r="R138" s="133">
        <f t="shared" si="109"/>
        <v>600.307397918619</v>
      </c>
      <c r="S138" s="133">
        <f t="shared" si="110"/>
        <v>572.421920281454</v>
      </c>
      <c r="T138" s="133">
        <f t="shared" si="111"/>
        <v>539.271576104594</v>
      </c>
      <c r="U138" s="133">
        <f t="shared" si="112"/>
        <v>507.951005216294</v>
      </c>
      <c r="V138" s="133">
        <f t="shared" si="113"/>
        <v>474.72</v>
      </c>
    </row>
    <row r="139" s="91" customFormat="1" spans="1:22">
      <c r="A139" s="132">
        <v>1072.5</v>
      </c>
      <c r="B139" s="133">
        <v>564.69</v>
      </c>
      <c r="C139" s="133">
        <v>556.13</v>
      </c>
      <c r="D139" s="133">
        <v>540.27</v>
      </c>
      <c r="E139" s="133">
        <v>515.26</v>
      </c>
      <c r="F139" s="133">
        <v>486.13</v>
      </c>
      <c r="G139" s="133">
        <v>455.49</v>
      </c>
      <c r="H139" s="133">
        <v>424.76</v>
      </c>
      <c r="I139" s="133">
        <v>409.46</v>
      </c>
      <c r="J139" s="133"/>
      <c r="K139" s="132">
        <f t="shared" si="101"/>
        <v>1072.5</v>
      </c>
      <c r="L139" s="133">
        <f t="shared" si="103"/>
        <v>575.57782733813</v>
      </c>
      <c r="M139" s="133">
        <f t="shared" si="104"/>
        <v>545.038378678692</v>
      </c>
      <c r="N139" s="133">
        <f t="shared" si="105"/>
        <v>528.832747558158</v>
      </c>
      <c r="O139" s="133">
        <f t="shared" si="106"/>
        <v>515.395136333549</v>
      </c>
      <c r="P139" s="133">
        <f t="shared" si="107"/>
        <v>499.985505335234</v>
      </c>
      <c r="Q139" s="133">
        <f t="shared" si="108"/>
        <v>486.365938188116</v>
      </c>
      <c r="R139" s="133">
        <f t="shared" si="109"/>
        <v>470.503914132827</v>
      </c>
      <c r="S139" s="133">
        <f t="shared" si="110"/>
        <v>455.853519160215</v>
      </c>
      <c r="T139" s="133">
        <f t="shared" si="111"/>
        <v>440.090164176226</v>
      </c>
      <c r="U139" s="133">
        <f t="shared" si="112"/>
        <v>425.230180489374</v>
      </c>
      <c r="V139" s="133">
        <f t="shared" si="113"/>
        <v>410.911824817518</v>
      </c>
    </row>
    <row r="140" s="91" customFormat="1" spans="1:22">
      <c r="A140" s="129"/>
      <c r="B140" s="129"/>
      <c r="C140" s="129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</row>
    <row r="141" s="91" customFormat="1" spans="1:22">
      <c r="A141" s="129" t="s">
        <v>142</v>
      </c>
      <c r="B141" s="129"/>
      <c r="C141" s="129"/>
      <c r="D141" s="129"/>
      <c r="E141" s="129"/>
      <c r="F141" s="129"/>
      <c r="G141" s="129"/>
      <c r="H141" s="129"/>
      <c r="I141" s="129"/>
      <c r="J141" s="129"/>
      <c r="K141" s="129" t="s">
        <v>142</v>
      </c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</row>
    <row r="142" s="91" customFormat="1" spans="1:22">
      <c r="A142" s="132" t="s">
        <v>128</v>
      </c>
      <c r="B142" s="133">
        <v>17.68</v>
      </c>
      <c r="C142" s="133">
        <v>31.58</v>
      </c>
      <c r="D142" s="133">
        <v>54.25</v>
      </c>
      <c r="E142" s="133">
        <v>82.31</v>
      </c>
      <c r="F142" s="133">
        <v>106.26</v>
      </c>
      <c r="G142" s="133">
        <v>125.73</v>
      </c>
      <c r="H142" s="133">
        <v>142.56</v>
      </c>
      <c r="I142" s="133">
        <v>150.78</v>
      </c>
      <c r="J142" s="133"/>
      <c r="K142" s="132" t="str">
        <f t="shared" ref="K142:K162" si="114">A142</f>
        <v>R/Z[cm]</v>
      </c>
      <c r="L142" s="141">
        <v>0</v>
      </c>
      <c r="M142" s="141">
        <f t="shared" ref="M142:V142" si="115">SQRT(L142*L142+150*150/10)</f>
        <v>47.4341649025257</v>
      </c>
      <c r="N142" s="141">
        <f t="shared" si="115"/>
        <v>67.0820393249937</v>
      </c>
      <c r="O142" s="141">
        <f t="shared" si="115"/>
        <v>82.1583836257749</v>
      </c>
      <c r="P142" s="141">
        <f t="shared" si="115"/>
        <v>94.8683298050514</v>
      </c>
      <c r="Q142" s="141">
        <f t="shared" si="115"/>
        <v>106.066017177982</v>
      </c>
      <c r="R142" s="141">
        <f t="shared" si="115"/>
        <v>116.189500386223</v>
      </c>
      <c r="S142" s="141">
        <f t="shared" si="115"/>
        <v>125.499003980111</v>
      </c>
      <c r="T142" s="141">
        <f t="shared" si="115"/>
        <v>134.164078649987</v>
      </c>
      <c r="U142" s="141">
        <f t="shared" si="115"/>
        <v>142.302494707577</v>
      </c>
      <c r="V142" s="141">
        <f t="shared" si="115"/>
        <v>150</v>
      </c>
    </row>
    <row r="143" s="91" customFormat="1" spans="1:22">
      <c r="A143" s="132">
        <v>27.5</v>
      </c>
      <c r="B143" s="133">
        <v>674.59</v>
      </c>
      <c r="C143" s="133">
        <v>669.2</v>
      </c>
      <c r="D143" s="133">
        <v>653.11</v>
      </c>
      <c r="E143" s="133">
        <v>620.38</v>
      </c>
      <c r="F143" s="133">
        <v>579.85</v>
      </c>
      <c r="G143" s="133">
        <v>536.28</v>
      </c>
      <c r="H143" s="133">
        <v>489.16</v>
      </c>
      <c r="I143" s="133">
        <v>464.21</v>
      </c>
      <c r="J143" s="133"/>
      <c r="K143" s="132">
        <f t="shared" si="114"/>
        <v>27.5</v>
      </c>
      <c r="L143" s="133">
        <f t="shared" ref="L143:L162" si="116">TREND(B143:C143,B$4:C$4,L$4)</f>
        <v>681.445769784173</v>
      </c>
      <c r="M143" s="133">
        <f t="shared" ref="M143:M162" si="117">TREND(C143:D143,C$4:D$4,M$4)</f>
        <v>657.947529189165</v>
      </c>
      <c r="N143" s="133">
        <f t="shared" ref="N143:N162" si="118">TREND(D143:E143,D$4:E$4,N$4)</f>
        <v>638.142336168673</v>
      </c>
      <c r="O143" s="133">
        <f t="shared" ref="O143:O162" si="119">TREND(D143:E143,D$4:E$4,O$4)</f>
        <v>620.556849747982</v>
      </c>
      <c r="P143" s="133">
        <f t="shared" ref="P143:P162" si="120">TREND(E143:F143,E$4:F$4,P$4)</f>
        <v>599.12784521926</v>
      </c>
      <c r="Q143" s="133">
        <f t="shared" ref="Q143:Q162" si="121">TREND(E143:F143,E$4:F$4,Q$4)</f>
        <v>580.178272391498</v>
      </c>
      <c r="R143" s="133">
        <f t="shared" ref="R143:R162" si="122">TREND(F143:G143,F$4:G$4,R$4)</f>
        <v>557.62974669606</v>
      </c>
      <c r="S143" s="133">
        <f t="shared" ref="S143:S162" si="123">TREND(F143:G143,F$4:G$4,S$4)</f>
        <v>536.79692329669</v>
      </c>
      <c r="T143" s="133">
        <f t="shared" ref="T143:T162" si="124">TREND(G143:H143,G$4:H$4,T$4)</f>
        <v>512.666584314474</v>
      </c>
      <c r="U143" s="133">
        <f t="shared" ref="U143:U162" si="125">TREND(G143:H143,G$4:H$4,U$4)</f>
        <v>489.880953617289</v>
      </c>
      <c r="V143" s="133">
        <f t="shared" ref="V143:V162" si="126">TREND(H143:I143,H$4:I$4,V$4)</f>
        <v>466.577518248175</v>
      </c>
    </row>
    <row r="144" s="91" customFormat="1" spans="1:22">
      <c r="A144" s="132">
        <v>82.5</v>
      </c>
      <c r="B144" s="133">
        <v>906.24</v>
      </c>
      <c r="C144" s="133">
        <v>897.21</v>
      </c>
      <c r="D144" s="133">
        <v>870.52</v>
      </c>
      <c r="E144" s="133">
        <v>816.46</v>
      </c>
      <c r="F144" s="133">
        <v>749.76</v>
      </c>
      <c r="G144" s="133">
        <v>678.33</v>
      </c>
      <c r="H144" s="133">
        <v>600.37</v>
      </c>
      <c r="I144" s="133">
        <v>557.93</v>
      </c>
      <c r="J144" s="133"/>
      <c r="K144" s="132">
        <f t="shared" si="114"/>
        <v>82.5</v>
      </c>
      <c r="L144" s="133">
        <f t="shared" si="116"/>
        <v>917.72564028777</v>
      </c>
      <c r="M144" s="133">
        <f t="shared" si="117"/>
        <v>878.544465758782</v>
      </c>
      <c r="N144" s="133">
        <f t="shared" si="118"/>
        <v>845.797974130108</v>
      </c>
      <c r="O144" s="133">
        <f t="shared" si="119"/>
        <v>816.752101966879</v>
      </c>
      <c r="P144" s="133">
        <f t="shared" si="120"/>
        <v>781.485444760045</v>
      </c>
      <c r="Q144" s="133">
        <f t="shared" si="121"/>
        <v>750.300236084701</v>
      </c>
      <c r="R144" s="133">
        <f t="shared" si="122"/>
        <v>713.331432327279</v>
      </c>
      <c r="S144" s="133">
        <f t="shared" si="123"/>
        <v>679.177459974353</v>
      </c>
      <c r="T144" s="133">
        <f t="shared" si="124"/>
        <v>639.261623793641</v>
      </c>
      <c r="U144" s="133">
        <f t="shared" si="125"/>
        <v>601.562817147789</v>
      </c>
      <c r="V144" s="133">
        <f t="shared" si="126"/>
        <v>561.957153284671</v>
      </c>
    </row>
    <row r="145" s="91" customFormat="1" spans="1:22">
      <c r="A145" s="132">
        <v>137.5</v>
      </c>
      <c r="B145" s="133">
        <v>1046.4</v>
      </c>
      <c r="C145" s="133">
        <v>1035.78</v>
      </c>
      <c r="D145" s="133">
        <v>1004.25</v>
      </c>
      <c r="E145" s="133">
        <v>940.49</v>
      </c>
      <c r="F145" s="133">
        <v>862.27</v>
      </c>
      <c r="G145" s="133">
        <v>779.05</v>
      </c>
      <c r="H145" s="133">
        <v>689.43</v>
      </c>
      <c r="I145" s="133">
        <v>641.02</v>
      </c>
      <c r="J145" s="133"/>
      <c r="K145" s="132">
        <f t="shared" si="114"/>
        <v>137.5</v>
      </c>
      <c r="L145" s="133">
        <f t="shared" si="116"/>
        <v>1059.90802877698</v>
      </c>
      <c r="M145" s="133">
        <f t="shared" si="117"/>
        <v>1013.72963302264</v>
      </c>
      <c r="N145" s="133">
        <f t="shared" si="118"/>
        <v>975.092094534512</v>
      </c>
      <c r="O145" s="133">
        <f t="shared" si="119"/>
        <v>940.834513899522</v>
      </c>
      <c r="P145" s="133">
        <f t="shared" si="120"/>
        <v>899.474861906008</v>
      </c>
      <c r="Q145" s="133">
        <f t="shared" si="121"/>
        <v>862.903542227066</v>
      </c>
      <c r="R145" s="133">
        <f t="shared" si="122"/>
        <v>819.828653202802</v>
      </c>
      <c r="S145" s="133">
        <f t="shared" si="123"/>
        <v>780.037338920141</v>
      </c>
      <c r="T145" s="133">
        <f t="shared" si="124"/>
        <v>734.138405905415</v>
      </c>
      <c r="U145" s="133">
        <f t="shared" si="125"/>
        <v>690.801219507245</v>
      </c>
      <c r="V145" s="133">
        <f t="shared" si="126"/>
        <v>645.613649635036</v>
      </c>
    </row>
    <row r="146" s="91" customFormat="1" spans="1:22">
      <c r="A146" s="132">
        <v>192.5</v>
      </c>
      <c r="B146" s="133">
        <v>1154.06</v>
      </c>
      <c r="C146" s="133">
        <v>1142.39</v>
      </c>
      <c r="D146" s="133">
        <v>1107.77</v>
      </c>
      <c r="E146" s="133">
        <v>1038.12</v>
      </c>
      <c r="F146" s="133">
        <v>953.42</v>
      </c>
      <c r="G146" s="133">
        <v>864</v>
      </c>
      <c r="H146" s="133">
        <v>768.35</v>
      </c>
      <c r="I146" s="133">
        <v>716.61</v>
      </c>
      <c r="J146" s="133"/>
      <c r="K146" s="132">
        <f t="shared" si="114"/>
        <v>192.5</v>
      </c>
      <c r="L146" s="133">
        <f t="shared" si="116"/>
        <v>1168.90356834532</v>
      </c>
      <c r="M146" s="133">
        <f t="shared" si="117"/>
        <v>1118.17865509813</v>
      </c>
      <c r="N146" s="133">
        <f t="shared" si="118"/>
        <v>1075.91855527492</v>
      </c>
      <c r="O146" s="133">
        <f t="shared" si="119"/>
        <v>1038.49633928955</v>
      </c>
      <c r="P146" s="133">
        <f t="shared" si="120"/>
        <v>993.707034050612</v>
      </c>
      <c r="Q146" s="133">
        <f t="shared" si="121"/>
        <v>954.106026932147</v>
      </c>
      <c r="R146" s="133">
        <f t="shared" si="122"/>
        <v>907.816716767539</v>
      </c>
      <c r="S146" s="133">
        <f t="shared" si="123"/>
        <v>865.060896974753</v>
      </c>
      <c r="T146" s="133">
        <f t="shared" si="124"/>
        <v>816.066570239377</v>
      </c>
      <c r="U146" s="133">
        <f t="shared" si="125"/>
        <v>769.81348076175</v>
      </c>
      <c r="V146" s="133">
        <f t="shared" si="126"/>
        <v>721.519635036496</v>
      </c>
    </row>
    <row r="147" s="91" customFormat="1" spans="1:22">
      <c r="A147" s="132">
        <v>241.5</v>
      </c>
      <c r="B147" s="133">
        <v>1234.05</v>
      </c>
      <c r="C147" s="133">
        <v>1221.92</v>
      </c>
      <c r="D147" s="133">
        <v>1185.74</v>
      </c>
      <c r="E147" s="133">
        <v>1112.94</v>
      </c>
      <c r="F147" s="133">
        <v>1024.94</v>
      </c>
      <c r="G147" s="133">
        <v>932.73</v>
      </c>
      <c r="H147" s="133">
        <v>834.06</v>
      </c>
      <c r="I147" s="133">
        <v>779.9</v>
      </c>
      <c r="J147" s="133"/>
      <c r="K147" s="132">
        <f t="shared" si="114"/>
        <v>241.5</v>
      </c>
      <c r="L147" s="133">
        <f t="shared" si="116"/>
        <v>1249.4786618705</v>
      </c>
      <c r="M147" s="133">
        <f t="shared" si="117"/>
        <v>1196.61767595177</v>
      </c>
      <c r="N147" s="133">
        <f t="shared" si="118"/>
        <v>1152.44803767429</v>
      </c>
      <c r="O147" s="133">
        <f t="shared" si="119"/>
        <v>1113.33335965943</v>
      </c>
      <c r="P147" s="133">
        <f t="shared" si="120"/>
        <v>1066.79665875388</v>
      </c>
      <c r="Q147" s="133">
        <f t="shared" si="121"/>
        <v>1025.65275525418</v>
      </c>
      <c r="R147" s="133">
        <f t="shared" si="122"/>
        <v>977.913845371671</v>
      </c>
      <c r="S147" s="133">
        <f t="shared" si="123"/>
        <v>933.823998099329</v>
      </c>
      <c r="T147" s="133">
        <f t="shared" si="124"/>
        <v>883.283146738309</v>
      </c>
      <c r="U147" s="133">
        <f t="shared" si="125"/>
        <v>835.569687890872</v>
      </c>
      <c r="V147" s="133">
        <f t="shared" si="126"/>
        <v>785.039270072993</v>
      </c>
    </row>
    <row r="148" s="91" customFormat="1" spans="1:22">
      <c r="A148" s="132">
        <v>296.5</v>
      </c>
      <c r="B148" s="133">
        <v>1304.7</v>
      </c>
      <c r="C148" s="133">
        <v>1292.49</v>
      </c>
      <c r="D148" s="133">
        <v>1255.89</v>
      </c>
      <c r="E148" s="133">
        <v>1181.71</v>
      </c>
      <c r="F148" s="133">
        <v>1092.16</v>
      </c>
      <c r="G148" s="133">
        <v>999.88</v>
      </c>
      <c r="H148" s="133">
        <v>904.04</v>
      </c>
      <c r="I148" s="133">
        <v>852.58</v>
      </c>
      <c r="J148" s="133"/>
      <c r="K148" s="132">
        <f t="shared" si="114"/>
        <v>296.5</v>
      </c>
      <c r="L148" s="133">
        <f t="shared" si="116"/>
        <v>1320.23041726619</v>
      </c>
      <c r="M148" s="133">
        <f t="shared" si="117"/>
        <v>1266.89395079698</v>
      </c>
      <c r="N148" s="133">
        <f t="shared" si="118"/>
        <v>1221.96695377306</v>
      </c>
      <c r="O148" s="133">
        <f t="shared" si="119"/>
        <v>1182.11081620242</v>
      </c>
      <c r="P148" s="133">
        <f t="shared" si="120"/>
        <v>1134.75390672057</v>
      </c>
      <c r="Q148" s="133">
        <f t="shared" si="121"/>
        <v>1092.88530946604</v>
      </c>
      <c r="R148" s="133">
        <f t="shared" si="122"/>
        <v>1045.09814608934</v>
      </c>
      <c r="S148" s="133">
        <f t="shared" si="123"/>
        <v>1000.97482859349</v>
      </c>
      <c r="T148" s="133">
        <f t="shared" si="124"/>
        <v>951.851354853548</v>
      </c>
      <c r="U148" s="133">
        <f t="shared" si="125"/>
        <v>905.506387832788</v>
      </c>
      <c r="V148" s="133">
        <f t="shared" si="126"/>
        <v>857.463065693431</v>
      </c>
    </row>
    <row r="149" s="91" customFormat="1" spans="1:22">
      <c r="A149" s="132">
        <v>357.5</v>
      </c>
      <c r="B149" s="133">
        <v>1359.1</v>
      </c>
      <c r="C149" s="133">
        <v>1346.83</v>
      </c>
      <c r="D149" s="133">
        <v>1310.03</v>
      </c>
      <c r="E149" s="133">
        <v>1235.22</v>
      </c>
      <c r="F149" s="133">
        <v>1144.39</v>
      </c>
      <c r="G149" s="133">
        <v>1050.66</v>
      </c>
      <c r="H149" s="133">
        <v>953.76</v>
      </c>
      <c r="I149" s="133">
        <v>901.45</v>
      </c>
      <c r="J149" s="133"/>
      <c r="K149" s="132">
        <f t="shared" si="114"/>
        <v>357.5</v>
      </c>
      <c r="L149" s="133">
        <f t="shared" si="116"/>
        <v>1374.70673381295</v>
      </c>
      <c r="M149" s="133">
        <f t="shared" si="117"/>
        <v>1321.09408167565</v>
      </c>
      <c r="N149" s="133">
        <f t="shared" si="118"/>
        <v>1275.81885025293</v>
      </c>
      <c r="O149" s="133">
        <f t="shared" si="119"/>
        <v>1235.6242202764</v>
      </c>
      <c r="P149" s="133">
        <f t="shared" si="120"/>
        <v>1187.5927308479</v>
      </c>
      <c r="Q149" s="133">
        <f t="shared" si="121"/>
        <v>1145.12567681519</v>
      </c>
      <c r="R149" s="133">
        <f t="shared" si="122"/>
        <v>1096.58866095528</v>
      </c>
      <c r="S149" s="133">
        <f t="shared" si="123"/>
        <v>1051.77203168691</v>
      </c>
      <c r="T149" s="133">
        <f t="shared" si="124"/>
        <v>1002.10015322735</v>
      </c>
      <c r="U149" s="133">
        <f t="shared" si="125"/>
        <v>955.242606229102</v>
      </c>
      <c r="V149" s="133">
        <f t="shared" si="126"/>
        <v>906.413722627737</v>
      </c>
    </row>
    <row r="150" s="91" customFormat="1" spans="1:22">
      <c r="A150" s="132">
        <v>412.5</v>
      </c>
      <c r="B150" s="133">
        <v>1383.13</v>
      </c>
      <c r="C150" s="133">
        <v>1370.83</v>
      </c>
      <c r="D150" s="133">
        <v>1333.96</v>
      </c>
      <c r="E150" s="133">
        <v>1259.08</v>
      </c>
      <c r="F150" s="133">
        <v>1167.97</v>
      </c>
      <c r="G150" s="133">
        <v>1073.81</v>
      </c>
      <c r="H150" s="133">
        <v>976.78</v>
      </c>
      <c r="I150" s="133">
        <v>924.35</v>
      </c>
      <c r="J150" s="133"/>
      <c r="K150" s="132">
        <f t="shared" si="114"/>
        <v>412.5</v>
      </c>
      <c r="L150" s="133">
        <f t="shared" si="116"/>
        <v>1398.77489208633</v>
      </c>
      <c r="M150" s="133">
        <f t="shared" si="117"/>
        <v>1345.04512748319</v>
      </c>
      <c r="N150" s="133">
        <f t="shared" si="118"/>
        <v>1299.71683875069</v>
      </c>
      <c r="O150" s="133">
        <f t="shared" si="119"/>
        <v>1259.48459850684</v>
      </c>
      <c r="P150" s="133">
        <f t="shared" si="120"/>
        <v>1211.30591112575</v>
      </c>
      <c r="Q150" s="133">
        <f t="shared" si="121"/>
        <v>1168.70794467282</v>
      </c>
      <c r="R150" s="133">
        <f t="shared" si="122"/>
        <v>1119.94936536381</v>
      </c>
      <c r="S150" s="133">
        <f t="shared" si="123"/>
        <v>1074.92713329392</v>
      </c>
      <c r="T150" s="133">
        <f t="shared" si="124"/>
        <v>1025.18500585809</v>
      </c>
      <c r="U150" s="133">
        <f t="shared" si="125"/>
        <v>978.264595277706</v>
      </c>
      <c r="V150" s="133">
        <f t="shared" si="126"/>
        <v>929.325109489051</v>
      </c>
    </row>
    <row r="151" s="91" customFormat="1" spans="1:22">
      <c r="A151" s="132">
        <v>467.5</v>
      </c>
      <c r="B151" s="133">
        <v>1384.62</v>
      </c>
      <c r="C151" s="133">
        <v>1372.35</v>
      </c>
      <c r="D151" s="133">
        <v>1335.54</v>
      </c>
      <c r="E151" s="133">
        <v>1260.78</v>
      </c>
      <c r="F151" s="133">
        <v>1169.9</v>
      </c>
      <c r="G151" s="133">
        <v>1076.19</v>
      </c>
      <c r="H151" s="133">
        <v>979.95</v>
      </c>
      <c r="I151" s="133">
        <v>928.08</v>
      </c>
      <c r="J151" s="133"/>
      <c r="K151" s="132">
        <f t="shared" si="114"/>
        <v>467.5</v>
      </c>
      <c r="L151" s="133">
        <f t="shared" si="116"/>
        <v>1400.22673381295</v>
      </c>
      <c r="M151" s="133">
        <f t="shared" si="117"/>
        <v>1346.60708821959</v>
      </c>
      <c r="N151" s="133">
        <f t="shared" si="118"/>
        <v>1301.35171561167</v>
      </c>
      <c r="O151" s="133">
        <f t="shared" si="119"/>
        <v>1261.1839501118</v>
      </c>
      <c r="P151" s="133">
        <f t="shared" si="120"/>
        <v>1213.12651304037</v>
      </c>
      <c r="Q151" s="133">
        <f t="shared" si="121"/>
        <v>1170.63608178977</v>
      </c>
      <c r="R151" s="133">
        <f t="shared" si="122"/>
        <v>1122.10886075024</v>
      </c>
      <c r="S151" s="133">
        <f t="shared" si="123"/>
        <v>1077.30179440286</v>
      </c>
      <c r="T151" s="133">
        <f t="shared" si="124"/>
        <v>1027.9609014097</v>
      </c>
      <c r="U151" s="133">
        <f t="shared" si="125"/>
        <v>981.42250798234</v>
      </c>
      <c r="V151" s="133">
        <f t="shared" si="126"/>
        <v>933.00197080292</v>
      </c>
    </row>
    <row r="152" s="91" customFormat="1" spans="1:22">
      <c r="A152" s="132">
        <v>522.5</v>
      </c>
      <c r="B152" s="133">
        <v>1365.19</v>
      </c>
      <c r="C152" s="133">
        <v>1352.88</v>
      </c>
      <c r="D152" s="133">
        <v>1315.93</v>
      </c>
      <c r="E152" s="133">
        <v>1240.84</v>
      </c>
      <c r="F152" s="133">
        <v>1149.72</v>
      </c>
      <c r="G152" s="133">
        <v>1056.09</v>
      </c>
      <c r="H152" s="133">
        <v>960.52</v>
      </c>
      <c r="I152" s="133">
        <v>909.73</v>
      </c>
      <c r="J152" s="133"/>
      <c r="K152" s="132">
        <f t="shared" si="114"/>
        <v>522.5</v>
      </c>
      <c r="L152" s="133">
        <f t="shared" si="116"/>
        <v>1380.84761151079</v>
      </c>
      <c r="M152" s="133">
        <f t="shared" si="117"/>
        <v>1327.03917983466</v>
      </c>
      <c r="N152" s="133">
        <f t="shared" si="118"/>
        <v>1281.59080424399</v>
      </c>
      <c r="O152" s="133">
        <f t="shared" si="119"/>
        <v>1241.24573319817</v>
      </c>
      <c r="P152" s="133">
        <f t="shared" si="120"/>
        <v>1193.06066756425</v>
      </c>
      <c r="Q152" s="133">
        <f t="shared" si="121"/>
        <v>1150.45802566774</v>
      </c>
      <c r="R152" s="133">
        <f t="shared" si="122"/>
        <v>1101.96965993005</v>
      </c>
      <c r="S152" s="133">
        <f t="shared" si="123"/>
        <v>1057.20084526668</v>
      </c>
      <c r="T152" s="133">
        <f t="shared" si="124"/>
        <v>1008.19666092815</v>
      </c>
      <c r="U152" s="133">
        <f t="shared" si="125"/>
        <v>961.982256731839</v>
      </c>
      <c r="V152" s="133">
        <f t="shared" si="126"/>
        <v>914.549489051095</v>
      </c>
    </row>
    <row r="153" s="91" customFormat="1" spans="1:22">
      <c r="A153" s="132">
        <v>577.5</v>
      </c>
      <c r="B153" s="133">
        <v>1329.26</v>
      </c>
      <c r="C153" s="133">
        <v>1316.86</v>
      </c>
      <c r="D153" s="133">
        <v>1279.61</v>
      </c>
      <c r="E153" s="133">
        <v>1203.73</v>
      </c>
      <c r="F153" s="133">
        <v>1111.32</v>
      </c>
      <c r="G153" s="133">
        <v>1014.93</v>
      </c>
      <c r="H153" s="133">
        <v>912.29</v>
      </c>
      <c r="I153" s="133">
        <v>855.38</v>
      </c>
      <c r="J153" s="133"/>
      <c r="K153" s="132">
        <f t="shared" si="114"/>
        <v>577.5</v>
      </c>
      <c r="L153" s="133">
        <f t="shared" si="116"/>
        <v>1345.03208633094</v>
      </c>
      <c r="M153" s="133">
        <f t="shared" si="117"/>
        <v>1290.80937615266</v>
      </c>
      <c r="N153" s="133">
        <f t="shared" si="118"/>
        <v>1244.90953157589</v>
      </c>
      <c r="O153" s="133">
        <f t="shared" si="119"/>
        <v>1204.14000179887</v>
      </c>
      <c r="P153" s="133">
        <f t="shared" si="120"/>
        <v>1155.27424813007</v>
      </c>
      <c r="Q153" s="133">
        <f t="shared" si="121"/>
        <v>1112.0684740118</v>
      </c>
      <c r="R153" s="133">
        <f t="shared" si="122"/>
        <v>1062.16208822661</v>
      </c>
      <c r="S153" s="133">
        <f t="shared" si="123"/>
        <v>1016.07359046518</v>
      </c>
      <c r="T153" s="133">
        <f t="shared" si="124"/>
        <v>963.493646308098</v>
      </c>
      <c r="U153" s="133">
        <f t="shared" si="125"/>
        <v>913.860430375181</v>
      </c>
      <c r="V153" s="133">
        <f t="shared" si="126"/>
        <v>860.780218978102</v>
      </c>
    </row>
    <row r="154" s="91" customFormat="1" spans="1:22">
      <c r="A154" s="132">
        <v>632.5</v>
      </c>
      <c r="B154" s="133">
        <v>1283.21</v>
      </c>
      <c r="C154" s="133">
        <v>1270.94</v>
      </c>
      <c r="D154" s="133">
        <v>1234.1</v>
      </c>
      <c r="E154" s="133">
        <v>1159.36</v>
      </c>
      <c r="F154" s="133">
        <v>1068.74</v>
      </c>
      <c r="G154" s="133">
        <v>974.26</v>
      </c>
      <c r="H154" s="133">
        <v>874.1</v>
      </c>
      <c r="I154" s="133">
        <v>819.5</v>
      </c>
      <c r="J154" s="133"/>
      <c r="K154" s="132">
        <f t="shared" si="114"/>
        <v>632.5</v>
      </c>
      <c r="L154" s="133">
        <f t="shared" si="116"/>
        <v>1298.81673381295</v>
      </c>
      <c r="M154" s="133">
        <f t="shared" si="117"/>
        <v>1245.17610785139</v>
      </c>
      <c r="N154" s="133">
        <f t="shared" si="118"/>
        <v>1199.92086175517</v>
      </c>
      <c r="O154" s="133">
        <f t="shared" si="119"/>
        <v>1159.76384204596</v>
      </c>
      <c r="P154" s="133">
        <f t="shared" si="120"/>
        <v>1111.84284563951</v>
      </c>
      <c r="Q154" s="133">
        <f t="shared" si="121"/>
        <v>1069.47397592197</v>
      </c>
      <c r="R154" s="133">
        <f t="shared" si="122"/>
        <v>1020.55616864457</v>
      </c>
      <c r="S154" s="133">
        <f t="shared" si="123"/>
        <v>975.380929838679</v>
      </c>
      <c r="T154" s="133">
        <f t="shared" si="124"/>
        <v>924.066457659968</v>
      </c>
      <c r="U154" s="133">
        <f t="shared" si="125"/>
        <v>875.632485447955</v>
      </c>
      <c r="V154" s="133">
        <f t="shared" si="126"/>
        <v>824.68102189781</v>
      </c>
    </row>
    <row r="155" s="91" customFormat="1" ht="13.5" customHeight="1" spans="1:22">
      <c r="A155" s="132">
        <v>687.5</v>
      </c>
      <c r="B155" s="133">
        <v>1230.18</v>
      </c>
      <c r="C155" s="133">
        <v>1218.24</v>
      </c>
      <c r="D155" s="133">
        <v>1182.45</v>
      </c>
      <c r="E155" s="133">
        <v>1110.2</v>
      </c>
      <c r="F155" s="133">
        <v>1022.77</v>
      </c>
      <c r="G155" s="133">
        <v>931.2</v>
      </c>
      <c r="H155" s="133">
        <v>833.81</v>
      </c>
      <c r="I155" s="133">
        <v>780.87</v>
      </c>
      <c r="J155" s="133"/>
      <c r="K155" s="132">
        <f t="shared" si="114"/>
        <v>687.5</v>
      </c>
      <c r="L155" s="133">
        <f t="shared" si="116"/>
        <v>1245.36699280576</v>
      </c>
      <c r="M155" s="133">
        <f t="shared" si="117"/>
        <v>1193.21042073836</v>
      </c>
      <c r="N155" s="133">
        <f t="shared" si="118"/>
        <v>1149.40955662043</v>
      </c>
      <c r="O155" s="133">
        <f t="shared" si="119"/>
        <v>1110.59038784882</v>
      </c>
      <c r="P155" s="133">
        <f t="shared" si="120"/>
        <v>1064.35554175968</v>
      </c>
      <c r="Q155" s="133">
        <f t="shared" si="121"/>
        <v>1023.47813854401</v>
      </c>
      <c r="R155" s="133">
        <f t="shared" si="122"/>
        <v>976.070238810149</v>
      </c>
      <c r="S155" s="133">
        <f t="shared" si="123"/>
        <v>932.286405009821</v>
      </c>
      <c r="T155" s="133">
        <f t="shared" si="124"/>
        <v>882.394597758629</v>
      </c>
      <c r="U155" s="133">
        <f t="shared" si="125"/>
        <v>835.300103412304</v>
      </c>
      <c r="V155" s="133">
        <f t="shared" si="126"/>
        <v>785.893503649635</v>
      </c>
    </row>
    <row r="156" s="91" customFormat="1" ht="13.5" customHeight="1" spans="1:22">
      <c r="A156" s="132">
        <v>742.5</v>
      </c>
      <c r="B156" s="133">
        <v>1171.22</v>
      </c>
      <c r="C156" s="133">
        <v>1159.74</v>
      </c>
      <c r="D156" s="133">
        <v>1125.48</v>
      </c>
      <c r="E156" s="133">
        <v>1056.32</v>
      </c>
      <c r="F156" s="133">
        <v>972.29</v>
      </c>
      <c r="G156" s="133">
        <v>883.73</v>
      </c>
      <c r="H156" s="133">
        <v>789.03</v>
      </c>
      <c r="I156" s="133">
        <v>737.64</v>
      </c>
      <c r="J156" s="133"/>
      <c r="K156" s="132">
        <f t="shared" si="114"/>
        <v>742.5</v>
      </c>
      <c r="L156" s="133">
        <f t="shared" si="116"/>
        <v>1185.82189928058</v>
      </c>
      <c r="M156" s="133">
        <f t="shared" si="117"/>
        <v>1135.78041951652</v>
      </c>
      <c r="N156" s="133">
        <f t="shared" si="118"/>
        <v>1093.85263579057</v>
      </c>
      <c r="O156" s="133">
        <f t="shared" si="119"/>
        <v>1056.69369167646</v>
      </c>
      <c r="P156" s="133">
        <f t="shared" si="120"/>
        <v>1012.25835267146</v>
      </c>
      <c r="Q156" s="133">
        <f t="shared" si="121"/>
        <v>972.970600272825</v>
      </c>
      <c r="R156" s="133">
        <f t="shared" si="122"/>
        <v>927.125307950495</v>
      </c>
      <c r="S156" s="133">
        <f t="shared" si="123"/>
        <v>884.780693760726</v>
      </c>
      <c r="T156" s="133">
        <f t="shared" si="124"/>
        <v>836.27264716852</v>
      </c>
      <c r="U156" s="133">
        <f t="shared" si="125"/>
        <v>790.478945406563</v>
      </c>
      <c r="V156" s="133">
        <f t="shared" si="126"/>
        <v>742.516423357664</v>
      </c>
    </row>
    <row r="157" s="91" customFormat="1" spans="1:22">
      <c r="A157" s="132">
        <v>797.5</v>
      </c>
      <c r="B157" s="133">
        <v>1107.28</v>
      </c>
      <c r="C157" s="133">
        <v>1096.41</v>
      </c>
      <c r="D157" s="133">
        <v>1063.93</v>
      </c>
      <c r="E157" s="133">
        <v>998.1</v>
      </c>
      <c r="F157" s="133">
        <v>917.58</v>
      </c>
      <c r="G157" s="133">
        <v>832.13</v>
      </c>
      <c r="H157" s="133">
        <v>740.38</v>
      </c>
      <c r="I157" s="133">
        <v>690.65</v>
      </c>
      <c r="J157" s="133"/>
      <c r="K157" s="132">
        <f t="shared" si="114"/>
        <v>797.5</v>
      </c>
      <c r="L157" s="133">
        <f t="shared" si="116"/>
        <v>1121.10601438849</v>
      </c>
      <c r="M157" s="133">
        <f t="shared" si="117"/>
        <v>1073.69525469634</v>
      </c>
      <c r="N157" s="133">
        <f t="shared" si="118"/>
        <v>1033.82546868267</v>
      </c>
      <c r="O157" s="133">
        <f t="shared" si="119"/>
        <v>998.455698714014</v>
      </c>
      <c r="P157" s="133">
        <f t="shared" si="120"/>
        <v>955.878842759802</v>
      </c>
      <c r="Q157" s="133">
        <f t="shared" si="121"/>
        <v>918.232171057573</v>
      </c>
      <c r="R157" s="133">
        <f t="shared" si="122"/>
        <v>874.001376065603</v>
      </c>
      <c r="S157" s="133">
        <f t="shared" si="123"/>
        <v>833.143796091396</v>
      </c>
      <c r="T157" s="133">
        <f t="shared" si="124"/>
        <v>786.150991316914</v>
      </c>
      <c r="U157" s="133">
        <f t="shared" si="125"/>
        <v>741.783809303613</v>
      </c>
      <c r="V157" s="133">
        <f t="shared" si="126"/>
        <v>695.368905109489</v>
      </c>
    </row>
    <row r="158" s="91" customFormat="1" spans="1:22">
      <c r="A158" s="132">
        <v>852.5</v>
      </c>
      <c r="B158" s="133">
        <v>1038.17</v>
      </c>
      <c r="C158" s="133">
        <v>1027.97</v>
      </c>
      <c r="D158" s="133">
        <v>997.43</v>
      </c>
      <c r="E158" s="133">
        <v>935.22</v>
      </c>
      <c r="F158" s="133">
        <v>858.61</v>
      </c>
      <c r="G158" s="133">
        <v>776.93</v>
      </c>
      <c r="H158" s="133">
        <v>688.74</v>
      </c>
      <c r="I158" s="133">
        <v>640.92</v>
      </c>
      <c r="J158" s="133"/>
      <c r="K158" s="132">
        <f t="shared" si="114"/>
        <v>852.5</v>
      </c>
      <c r="L158" s="133">
        <f t="shared" si="116"/>
        <v>1051.14381294964</v>
      </c>
      <c r="M158" s="133">
        <f t="shared" si="117"/>
        <v>1006.61198517322</v>
      </c>
      <c r="N158" s="133">
        <f t="shared" si="118"/>
        <v>968.980920655458</v>
      </c>
      <c r="O158" s="133">
        <f t="shared" si="119"/>
        <v>935.556138796883</v>
      </c>
      <c r="P158" s="133">
        <f t="shared" si="120"/>
        <v>895.049075308351</v>
      </c>
      <c r="Q158" s="133">
        <f t="shared" si="121"/>
        <v>859.230502045712</v>
      </c>
      <c r="R158" s="133">
        <f t="shared" si="122"/>
        <v>816.954037414142</v>
      </c>
      <c r="S158" s="133">
        <f t="shared" si="123"/>
        <v>777.899068048511</v>
      </c>
      <c r="T158" s="133">
        <f t="shared" si="124"/>
        <v>732.735026967178</v>
      </c>
      <c r="U158" s="133">
        <f t="shared" si="125"/>
        <v>690.089339972595</v>
      </c>
      <c r="V158" s="133">
        <f t="shared" si="126"/>
        <v>645.457664233577</v>
      </c>
    </row>
    <row r="159" s="91" customFormat="1" spans="1:22">
      <c r="A159" s="132">
        <v>907.5</v>
      </c>
      <c r="B159" s="133">
        <v>961.46</v>
      </c>
      <c r="C159" s="133">
        <v>952.01</v>
      </c>
      <c r="D159" s="133">
        <v>923.66</v>
      </c>
      <c r="E159" s="133">
        <v>865.83</v>
      </c>
      <c r="F159" s="133">
        <v>794.34</v>
      </c>
      <c r="G159" s="133">
        <v>717.78</v>
      </c>
      <c r="H159" s="133">
        <v>634.35</v>
      </c>
      <c r="I159" s="133">
        <v>588.95</v>
      </c>
      <c r="J159" s="133"/>
      <c r="K159" s="132">
        <f t="shared" si="114"/>
        <v>907.5</v>
      </c>
      <c r="L159" s="133">
        <f t="shared" si="116"/>
        <v>973.479856115108</v>
      </c>
      <c r="M159" s="133">
        <f t="shared" si="117"/>
        <v>932.18355205176</v>
      </c>
      <c r="N159" s="133">
        <f t="shared" si="118"/>
        <v>897.213926081098</v>
      </c>
      <c r="O159" s="133">
        <f t="shared" si="119"/>
        <v>866.142472377813</v>
      </c>
      <c r="P159" s="133">
        <f t="shared" si="120"/>
        <v>828.343778799035</v>
      </c>
      <c r="Q159" s="133">
        <f t="shared" si="121"/>
        <v>794.919032649105</v>
      </c>
      <c r="R159" s="133">
        <f t="shared" si="122"/>
        <v>755.295184921972</v>
      </c>
      <c r="S159" s="133">
        <f t="shared" si="123"/>
        <v>718.688323332444</v>
      </c>
      <c r="T159" s="133">
        <f t="shared" si="124"/>
        <v>675.970422948993</v>
      </c>
      <c r="U159" s="133">
        <f t="shared" si="125"/>
        <v>635.62651019292</v>
      </c>
      <c r="V159" s="133">
        <f t="shared" si="126"/>
        <v>593.25802919708</v>
      </c>
    </row>
    <row r="160" s="91" customFormat="1" spans="1:22">
      <c r="A160" s="132">
        <v>962.5</v>
      </c>
      <c r="B160" s="133">
        <v>870.3</v>
      </c>
      <c r="C160" s="133">
        <v>861.71</v>
      </c>
      <c r="D160" s="133">
        <v>836.14</v>
      </c>
      <c r="E160" s="133">
        <v>784.43</v>
      </c>
      <c r="F160" s="133">
        <v>720.73</v>
      </c>
      <c r="G160" s="133">
        <v>652.1</v>
      </c>
      <c r="H160" s="133">
        <v>576.31</v>
      </c>
      <c r="I160" s="133">
        <v>534.85</v>
      </c>
      <c r="J160" s="133"/>
      <c r="K160" s="132">
        <f t="shared" si="114"/>
        <v>962.5</v>
      </c>
      <c r="L160" s="133">
        <f t="shared" si="116"/>
        <v>881.225985611511</v>
      </c>
      <c r="M160" s="133">
        <f t="shared" si="117"/>
        <v>843.827732838219</v>
      </c>
      <c r="N160" s="133">
        <f t="shared" si="118"/>
        <v>812.492645990897</v>
      </c>
      <c r="O160" s="133">
        <f t="shared" si="119"/>
        <v>784.709404230619</v>
      </c>
      <c r="P160" s="133">
        <f t="shared" si="120"/>
        <v>751.028513211617</v>
      </c>
      <c r="Q160" s="133">
        <f t="shared" si="121"/>
        <v>721.245937610127</v>
      </c>
      <c r="R160" s="133">
        <f t="shared" si="122"/>
        <v>685.729403620624</v>
      </c>
      <c r="S160" s="133">
        <f t="shared" si="123"/>
        <v>652.914240207753</v>
      </c>
      <c r="T160" s="133">
        <f t="shared" si="124"/>
        <v>614.119083726527</v>
      </c>
      <c r="U160" s="133">
        <f t="shared" si="125"/>
        <v>577.469615336467</v>
      </c>
      <c r="V160" s="133">
        <f t="shared" si="126"/>
        <v>538.784160583942</v>
      </c>
    </row>
    <row r="161" s="91" customFormat="1" spans="1:22">
      <c r="A161" s="132">
        <v>1017.5</v>
      </c>
      <c r="B161" s="133">
        <v>750.1</v>
      </c>
      <c r="C161" s="133">
        <v>742.5</v>
      </c>
      <c r="D161" s="133">
        <v>720.78</v>
      </c>
      <c r="E161" s="133">
        <v>678.53</v>
      </c>
      <c r="F161" s="133">
        <v>627.31</v>
      </c>
      <c r="G161" s="133">
        <v>572.32</v>
      </c>
      <c r="H161" s="133">
        <v>511.44</v>
      </c>
      <c r="I161" s="133">
        <v>477.96</v>
      </c>
      <c r="J161" s="133"/>
      <c r="K161" s="132">
        <f t="shared" si="114"/>
        <v>1017.5</v>
      </c>
      <c r="L161" s="133">
        <f t="shared" si="116"/>
        <v>759.766762589928</v>
      </c>
      <c r="M161" s="133">
        <f t="shared" si="117"/>
        <v>727.310213423782</v>
      </c>
      <c r="N161" s="133">
        <f t="shared" si="118"/>
        <v>701.458771864541</v>
      </c>
      <c r="O161" s="133">
        <f t="shared" si="119"/>
        <v>678.758289088062</v>
      </c>
      <c r="P161" s="133">
        <f t="shared" si="120"/>
        <v>651.672477970157</v>
      </c>
      <c r="Q161" s="133">
        <f t="shared" si="121"/>
        <v>627.724855955898</v>
      </c>
      <c r="R161" s="133">
        <f t="shared" si="122"/>
        <v>599.265663778204</v>
      </c>
      <c r="S161" s="133">
        <f t="shared" si="123"/>
        <v>572.972412487605</v>
      </c>
      <c r="T161" s="133">
        <f t="shared" si="124"/>
        <v>541.810985846035</v>
      </c>
      <c r="U161" s="133">
        <f t="shared" si="125"/>
        <v>512.371486761896</v>
      </c>
      <c r="V161" s="133">
        <f t="shared" si="126"/>
        <v>481.136934306569</v>
      </c>
    </row>
    <row r="162" s="91" customFormat="1" spans="1:22">
      <c r="A162" s="132">
        <v>1072.5</v>
      </c>
      <c r="B162" s="133">
        <v>562.27</v>
      </c>
      <c r="C162" s="133">
        <v>554.24</v>
      </c>
      <c r="D162" s="133">
        <v>539.41</v>
      </c>
      <c r="E162" s="133">
        <v>515.88</v>
      </c>
      <c r="F162" s="133">
        <v>488.44</v>
      </c>
      <c r="G162" s="133">
        <v>459.63</v>
      </c>
      <c r="H162" s="133">
        <v>430.87</v>
      </c>
      <c r="I162" s="133">
        <v>416.57</v>
      </c>
      <c r="J162" s="133"/>
      <c r="K162" s="132">
        <f t="shared" si="114"/>
        <v>1072.5</v>
      </c>
      <c r="L162" s="133">
        <f t="shared" si="116"/>
        <v>572.483697841727</v>
      </c>
      <c r="M162" s="133">
        <f t="shared" si="117"/>
        <v>543.868704653531</v>
      </c>
      <c r="N162" s="133">
        <f t="shared" si="118"/>
        <v>528.649562176867</v>
      </c>
      <c r="O162" s="133">
        <f t="shared" si="119"/>
        <v>516.007139461351</v>
      </c>
      <c r="P162" s="133">
        <f t="shared" si="120"/>
        <v>501.49166722962</v>
      </c>
      <c r="Q162" s="133">
        <f t="shared" si="121"/>
        <v>488.662250047439</v>
      </c>
      <c r="R162" s="133">
        <f t="shared" si="122"/>
        <v>473.747195370977</v>
      </c>
      <c r="S162" s="133">
        <f t="shared" si="123"/>
        <v>459.971807669902</v>
      </c>
      <c r="T162" s="133">
        <f t="shared" si="124"/>
        <v>445.217397387187</v>
      </c>
      <c r="U162" s="133">
        <f t="shared" si="125"/>
        <v>431.310038752827</v>
      </c>
      <c r="V162" s="133">
        <f t="shared" si="126"/>
        <v>417.926934306569</v>
      </c>
    </row>
  </sheetData>
  <conditionalFormatting sqref="J5:J24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8:J47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:I2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U24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I4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8:U47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1:J70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1:U7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4:J93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74:U93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7:J11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97:U11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0:J139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0:U13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3:J16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43:U16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S77"/>
  <sheetViews>
    <sheetView zoomScale="115" zoomScaleNormal="115" topLeftCell="AA1" workbookViewId="0">
      <selection activeCell="AS1" sqref="AS$1:AS$1048576"/>
    </sheetView>
  </sheetViews>
  <sheetFormatPr defaultColWidth="9" defaultRowHeight="12.75"/>
  <cols>
    <col min="1" max="1" width="9.025" style="391" customWidth="1"/>
    <col min="2" max="2" width="19.0166666666667" style="390" customWidth="1"/>
    <col min="3" max="3" width="7.825" style="390" customWidth="1"/>
    <col min="4" max="4" width="5.65" style="390" customWidth="1"/>
    <col min="5" max="5" width="6.625" style="390" customWidth="1"/>
    <col min="6" max="6" width="3.58333333333333" style="390" customWidth="1"/>
    <col min="7" max="7" width="9.00833333333333" style="392" customWidth="1"/>
    <col min="8" max="12" width="9.00833333333333" style="390" customWidth="1"/>
    <col min="13" max="13" width="9.55833333333333" style="390" customWidth="1"/>
    <col min="14" max="14" width="9.00833333333333" style="390" customWidth="1"/>
    <col min="15" max="15" width="9.00833333333333" style="390" hidden="1" customWidth="1"/>
    <col min="16" max="16" width="1.84166666666667" style="390" customWidth="1"/>
    <col min="17" max="17" width="9.00833333333333" style="392" hidden="1" customWidth="1"/>
    <col min="18" max="22" width="9.00833333333333" style="390" customWidth="1"/>
    <col min="23" max="23" width="9.55833333333333" style="390" customWidth="1"/>
    <col min="24" max="24" width="9.00833333333333" style="390" customWidth="1"/>
    <col min="25" max="25" width="3.475" style="393" customWidth="1"/>
    <col min="26" max="26" width="7.5" style="394" customWidth="1"/>
    <col min="27" max="35" width="8.81666666666667" style="390" customWidth="1"/>
    <col min="36" max="36" width="7.93333333333333" style="390" customWidth="1"/>
    <col min="37" max="37" width="7.39166666666667" style="390" customWidth="1"/>
    <col min="38" max="39" width="8.81666666666667" style="390" customWidth="1"/>
    <col min="40" max="40" width="7.60833333333333" style="390" customWidth="1"/>
    <col min="41" max="42" width="8.81666666666667" style="390" customWidth="1"/>
    <col min="43" max="46" width="9.35" style="390" customWidth="1"/>
    <col min="47" max="47" width="7.93333333333333" style="390" customWidth="1"/>
    <col min="48" max="54" width="8.15833333333333" style="394" customWidth="1"/>
    <col min="55" max="55" width="9.11666666666667" style="394" customWidth="1"/>
    <col min="56" max="173" width="8.15833333333333" style="394" customWidth="1"/>
    <col min="174" max="174" width="8.15833333333333" style="393" customWidth="1"/>
    <col min="175" max="176" width="10.375" style="390"/>
    <col min="177" max="179" width="9.375" style="390"/>
    <col min="180" max="184" width="9" style="390"/>
    <col min="185" max="185" width="11.125" style="390"/>
    <col min="186" max="186" width="9" style="390"/>
    <col min="187" max="188" width="10.375" style="390"/>
    <col min="189" max="193" width="9.375" style="390"/>
    <col min="194" max="194" width="8.125" style="390" customWidth="1"/>
    <col min="195" max="196" width="5.625" style="390" customWidth="1"/>
    <col min="197" max="197" width="4.875" style="390" customWidth="1"/>
    <col min="198" max="198" width="5.75" style="390" customWidth="1"/>
    <col min="199" max="199" width="8.125" style="390" customWidth="1"/>
    <col min="200" max="200" width="11.125" style="390"/>
    <col min="201" max="201" width="12.625" style="390"/>
    <col min="202" max="16384" width="9" style="390"/>
  </cols>
  <sheetData>
    <row r="1" ht="13.5" spans="1:194">
      <c r="A1" s="395" t="s">
        <v>154</v>
      </c>
      <c r="B1" s="396" t="s">
        <v>155</v>
      </c>
      <c r="G1" s="397"/>
      <c r="H1" s="398" t="s">
        <v>156</v>
      </c>
      <c r="I1" s="398" t="s">
        <v>157</v>
      </c>
      <c r="J1" s="388"/>
      <c r="K1" s="388"/>
      <c r="L1" s="388"/>
      <c r="M1" s="388"/>
      <c r="N1" s="388"/>
      <c r="O1" s="388"/>
      <c r="Q1" s="397"/>
      <c r="R1" s="398" t="s">
        <v>158</v>
      </c>
      <c r="S1" s="388"/>
      <c r="T1" s="388"/>
      <c r="U1" s="388"/>
      <c r="V1" s="388"/>
      <c r="W1" s="388"/>
      <c r="X1" s="388"/>
      <c r="Y1" s="478"/>
      <c r="AA1" s="479" t="s">
        <v>159</v>
      </c>
      <c r="AB1" s="480"/>
      <c r="AC1" s="480"/>
      <c r="AD1" s="480"/>
      <c r="AE1" s="480"/>
      <c r="AF1" s="481" t="s">
        <v>156</v>
      </c>
      <c r="AG1" s="480"/>
      <c r="AH1" s="507"/>
      <c r="AI1" s="508"/>
      <c r="AJ1" s="480"/>
      <c r="AK1" s="508"/>
      <c r="AL1" s="508"/>
      <c r="AM1" s="508"/>
      <c r="AN1" s="508"/>
      <c r="AO1" s="508"/>
      <c r="AP1" s="534" t="s">
        <v>160</v>
      </c>
      <c r="AQ1" s="535"/>
      <c r="AR1" s="536"/>
      <c r="AS1" s="537"/>
      <c r="AT1" s="538"/>
      <c r="AU1" s="539"/>
      <c r="AV1" s="536" t="s">
        <v>161</v>
      </c>
      <c r="AW1" s="538"/>
      <c r="AX1" s="538"/>
      <c r="AY1" s="538"/>
      <c r="AZ1" s="538"/>
      <c r="BA1" s="538"/>
      <c r="BB1" s="538"/>
      <c r="BC1" s="538"/>
      <c r="BD1" s="538"/>
      <c r="BE1" s="538"/>
      <c r="BF1" s="538"/>
      <c r="BG1" s="538"/>
      <c r="BH1" s="538"/>
      <c r="BI1" s="538"/>
      <c r="BJ1" s="538"/>
      <c r="BK1" s="538"/>
      <c r="BL1" s="538"/>
      <c r="BM1" s="538"/>
      <c r="BN1" s="538"/>
      <c r="BO1" s="538"/>
      <c r="BP1" s="538"/>
      <c r="BQ1" s="538"/>
      <c r="BR1" s="538"/>
      <c r="BS1" s="538"/>
      <c r="BT1" s="538"/>
      <c r="BU1" s="538"/>
      <c r="BV1" s="538"/>
      <c r="BW1" s="538"/>
      <c r="BX1" s="538"/>
      <c r="BY1" s="538"/>
      <c r="BZ1" s="538"/>
      <c r="CA1" s="538"/>
      <c r="CB1" s="538"/>
      <c r="CC1" s="538"/>
      <c r="CD1" s="538"/>
      <c r="CE1" s="538"/>
      <c r="CF1" s="538"/>
      <c r="CG1" s="538"/>
      <c r="CH1" s="538"/>
      <c r="CI1" s="538"/>
      <c r="CJ1" s="538"/>
      <c r="CK1" s="538"/>
      <c r="CL1" s="538"/>
      <c r="CM1" s="538"/>
      <c r="CN1" s="538"/>
      <c r="CO1" s="538"/>
      <c r="CP1" s="538"/>
      <c r="CQ1" s="538"/>
      <c r="CR1" s="538"/>
      <c r="CS1" s="538"/>
      <c r="CT1" s="538"/>
      <c r="CU1" s="538"/>
      <c r="CV1" s="538"/>
      <c r="CW1" s="538"/>
      <c r="CX1" s="538"/>
      <c r="CY1" s="538"/>
      <c r="CZ1" s="538"/>
      <c r="DA1" s="538"/>
      <c r="DB1" s="538"/>
      <c r="DC1" s="538"/>
      <c r="DD1" s="538"/>
      <c r="DE1" s="538"/>
      <c r="DF1" s="538"/>
      <c r="DG1" s="538"/>
      <c r="DH1" s="538"/>
      <c r="DI1" s="538"/>
      <c r="DJ1" s="538"/>
      <c r="DK1" s="538"/>
      <c r="DL1" s="538"/>
      <c r="DM1" s="538"/>
      <c r="DN1" s="538"/>
      <c r="DO1" s="538"/>
      <c r="DP1" s="538"/>
      <c r="DQ1" s="538"/>
      <c r="DR1" s="538"/>
      <c r="DS1" s="538"/>
      <c r="DT1" s="538"/>
      <c r="DU1" s="538"/>
      <c r="DV1" s="538"/>
      <c r="DW1" s="538"/>
      <c r="DX1" s="538"/>
      <c r="DY1" s="538"/>
      <c r="DZ1" s="538"/>
      <c r="EA1" s="538"/>
      <c r="EB1" s="538"/>
      <c r="EC1" s="538"/>
      <c r="ED1" s="538"/>
      <c r="EE1" s="538"/>
      <c r="EF1" s="538"/>
      <c r="EG1" s="538"/>
      <c r="EH1" s="538"/>
      <c r="EI1" s="538"/>
      <c r="EJ1" s="538"/>
      <c r="EK1" s="538"/>
      <c r="EL1" s="538"/>
      <c r="EM1" s="538"/>
      <c r="EN1" s="538"/>
      <c r="EO1" s="538"/>
      <c r="EP1" s="538"/>
      <c r="EQ1" s="538"/>
      <c r="ER1" s="538"/>
      <c r="ES1" s="538"/>
      <c r="ET1" s="538"/>
      <c r="EU1" s="538"/>
      <c r="EV1" s="538"/>
      <c r="EW1" s="538"/>
      <c r="EX1" s="538"/>
      <c r="EY1" s="538"/>
      <c r="EZ1" s="538"/>
      <c r="FA1" s="538"/>
      <c r="FB1" s="538"/>
      <c r="FC1" s="538"/>
      <c r="FD1" s="538"/>
      <c r="FE1" s="538"/>
      <c r="FF1" s="538"/>
      <c r="FG1" s="538"/>
      <c r="FH1" s="538"/>
      <c r="FI1" s="538"/>
      <c r="FJ1" s="538"/>
      <c r="FK1" s="538"/>
      <c r="FL1" s="538"/>
      <c r="FM1" s="538"/>
      <c r="FN1" s="538"/>
      <c r="FO1" s="538"/>
      <c r="FP1" s="538"/>
      <c r="FQ1" s="538"/>
      <c r="FR1" s="604"/>
      <c r="FS1" s="390" t="s">
        <v>162</v>
      </c>
      <c r="FX1" s="611" t="s">
        <v>163</v>
      </c>
      <c r="GE1" s="390" t="s">
        <v>164</v>
      </c>
      <c r="GL1" s="611" t="s">
        <v>163</v>
      </c>
    </row>
    <row r="2" spans="1:174">
      <c r="A2" s="399" t="s">
        <v>165</v>
      </c>
      <c r="B2" s="400" t="s">
        <v>310</v>
      </c>
      <c r="G2" s="401"/>
      <c r="H2" s="388"/>
      <c r="I2" s="388"/>
      <c r="J2" s="388"/>
      <c r="K2" s="388"/>
      <c r="L2" s="388"/>
      <c r="M2" s="388"/>
      <c r="N2" s="388"/>
      <c r="O2" s="388"/>
      <c r="Q2" s="401"/>
      <c r="R2" s="388"/>
      <c r="S2" s="388"/>
      <c r="T2" s="388"/>
      <c r="U2" s="388"/>
      <c r="V2" s="388"/>
      <c r="W2" s="388"/>
      <c r="X2" s="388"/>
      <c r="Y2" s="478"/>
      <c r="AA2" s="482"/>
      <c r="AB2" s="388"/>
      <c r="AC2" s="388"/>
      <c r="AD2" s="388"/>
      <c r="AE2" s="483"/>
      <c r="AF2" s="484"/>
      <c r="AG2" s="388"/>
      <c r="AH2" s="509"/>
      <c r="AJ2" s="388"/>
      <c r="AO2" s="540"/>
      <c r="AP2" s="541"/>
      <c r="AQ2" s="542"/>
      <c r="AR2" s="543" t="s">
        <v>167</v>
      </c>
      <c r="AS2" s="544"/>
      <c r="AT2" s="545" t="s">
        <v>168</v>
      </c>
      <c r="AU2" s="546"/>
      <c r="AV2" s="547" t="s">
        <v>169</v>
      </c>
      <c r="AW2" s="573" t="s">
        <v>170</v>
      </c>
      <c r="AX2" s="573" t="s">
        <v>171</v>
      </c>
      <c r="AY2" s="538"/>
      <c r="AZ2" s="538"/>
      <c r="BA2" s="574" t="s">
        <v>172</v>
      </c>
      <c r="BB2" s="574" t="s">
        <v>173</v>
      </c>
      <c r="BC2" s="574" t="s">
        <v>174</v>
      </c>
      <c r="BD2" s="538"/>
      <c r="BE2" s="538"/>
      <c r="BF2" s="538"/>
      <c r="BG2" s="538"/>
      <c r="BH2" s="538"/>
      <c r="BI2" s="538"/>
      <c r="BJ2" s="538"/>
      <c r="BK2" s="538"/>
      <c r="BL2" s="538"/>
      <c r="BM2" s="538"/>
      <c r="BN2" s="538"/>
      <c r="BO2" s="538"/>
      <c r="BP2" s="588"/>
      <c r="BQ2" s="589" t="s">
        <v>175</v>
      </c>
      <c r="BR2" s="573" t="s">
        <v>170</v>
      </c>
      <c r="BS2" s="573" t="s">
        <v>171</v>
      </c>
      <c r="BT2" s="573"/>
      <c r="BU2" s="538"/>
      <c r="BV2" s="574" t="s">
        <v>172</v>
      </c>
      <c r="BW2" s="574" t="s">
        <v>173</v>
      </c>
      <c r="BX2" s="574" t="s">
        <v>174</v>
      </c>
      <c r="BY2" s="538"/>
      <c r="BZ2" s="538"/>
      <c r="CA2" s="538"/>
      <c r="CB2" s="538"/>
      <c r="CC2" s="538"/>
      <c r="CD2" s="538"/>
      <c r="CE2" s="538"/>
      <c r="CF2" s="538"/>
      <c r="CG2" s="538"/>
      <c r="CH2" s="538"/>
      <c r="CI2" s="538"/>
      <c r="CJ2" s="538"/>
      <c r="CK2" s="588"/>
      <c r="CL2" s="589" t="s">
        <v>176</v>
      </c>
      <c r="CM2" s="573" t="s">
        <v>170</v>
      </c>
      <c r="CN2" s="573" t="s">
        <v>171</v>
      </c>
      <c r="CO2" s="538"/>
      <c r="CP2" s="538"/>
      <c r="CQ2" s="574" t="s">
        <v>172</v>
      </c>
      <c r="CR2" s="574" t="s">
        <v>173</v>
      </c>
      <c r="CS2" s="574" t="s">
        <v>174</v>
      </c>
      <c r="CT2" s="538"/>
      <c r="CU2" s="538"/>
      <c r="CV2" s="538"/>
      <c r="CW2" s="538"/>
      <c r="CX2" s="538"/>
      <c r="CY2" s="538"/>
      <c r="CZ2" s="538"/>
      <c r="DA2" s="538"/>
      <c r="DB2" s="538"/>
      <c r="DC2" s="538"/>
      <c r="DD2" s="538"/>
      <c r="DE2" s="538"/>
      <c r="DF2" s="588"/>
      <c r="DG2" s="589" t="s">
        <v>177</v>
      </c>
      <c r="DH2" s="573" t="s">
        <v>170</v>
      </c>
      <c r="DI2" s="573" t="s">
        <v>171</v>
      </c>
      <c r="DJ2" s="538"/>
      <c r="DK2" s="538"/>
      <c r="DL2" s="574" t="s">
        <v>172</v>
      </c>
      <c r="DM2" s="574" t="s">
        <v>173</v>
      </c>
      <c r="DN2" s="574" t="s">
        <v>174</v>
      </c>
      <c r="DO2" s="538"/>
      <c r="DP2" s="538"/>
      <c r="DQ2" s="538"/>
      <c r="DR2" s="538"/>
      <c r="DS2" s="538"/>
      <c r="DT2" s="538"/>
      <c r="DU2" s="538"/>
      <c r="DV2" s="538"/>
      <c r="DW2" s="538"/>
      <c r="DX2" s="538"/>
      <c r="DY2" s="538"/>
      <c r="DZ2" s="538"/>
      <c r="EA2" s="588"/>
      <c r="EB2" s="589" t="s">
        <v>178</v>
      </c>
      <c r="EC2" s="573" t="s">
        <v>170</v>
      </c>
      <c r="ED2" s="573" t="s">
        <v>171</v>
      </c>
      <c r="EE2" s="538"/>
      <c r="EF2" s="538"/>
      <c r="EG2" s="574" t="s">
        <v>172</v>
      </c>
      <c r="EH2" s="574" t="s">
        <v>173</v>
      </c>
      <c r="EI2" s="574" t="s">
        <v>174</v>
      </c>
      <c r="EJ2" s="538"/>
      <c r="EK2" s="538"/>
      <c r="EL2" s="538"/>
      <c r="EM2" s="538"/>
      <c r="EN2" s="538"/>
      <c r="EO2" s="538"/>
      <c r="EP2" s="538"/>
      <c r="EQ2" s="538"/>
      <c r="ER2" s="538"/>
      <c r="ES2" s="538"/>
      <c r="ET2" s="538"/>
      <c r="EU2" s="538"/>
      <c r="EV2" s="588"/>
      <c r="EW2" s="589" t="s">
        <v>179</v>
      </c>
      <c r="EX2" s="573" t="s">
        <v>170</v>
      </c>
      <c r="EY2" s="573" t="s">
        <v>171</v>
      </c>
      <c r="EZ2" s="538"/>
      <c r="FA2" s="538"/>
      <c r="FB2" s="574" t="s">
        <v>172</v>
      </c>
      <c r="FC2" s="574" t="s">
        <v>173</v>
      </c>
      <c r="FD2" s="574" t="s">
        <v>174</v>
      </c>
      <c r="FE2" s="538"/>
      <c r="FF2" s="538"/>
      <c r="FG2" s="538"/>
      <c r="FH2" s="538"/>
      <c r="FI2" s="538"/>
      <c r="FJ2" s="538"/>
      <c r="FK2" s="538"/>
      <c r="FL2" s="538"/>
      <c r="FM2" s="538"/>
      <c r="FN2" s="538"/>
      <c r="FO2" s="538"/>
      <c r="FP2" s="538"/>
      <c r="FQ2" s="588"/>
      <c r="FR2" s="604"/>
    </row>
    <row r="3" spans="7:174">
      <c r="G3" s="401"/>
      <c r="H3" s="388"/>
      <c r="I3" s="388"/>
      <c r="J3" s="388"/>
      <c r="K3" s="388"/>
      <c r="L3" s="388"/>
      <c r="M3" s="388"/>
      <c r="N3" s="388"/>
      <c r="O3" s="388"/>
      <c r="Q3" s="401"/>
      <c r="R3" s="388"/>
      <c r="S3" s="388"/>
      <c r="T3" s="388"/>
      <c r="U3" s="388"/>
      <c r="V3" s="388"/>
      <c r="W3" s="388"/>
      <c r="X3" s="388"/>
      <c r="Y3" s="478"/>
      <c r="Z3" s="485"/>
      <c r="AA3" s="486"/>
      <c r="AB3" s="388"/>
      <c r="AC3" s="388"/>
      <c r="AD3" s="388"/>
      <c r="AE3" s="483"/>
      <c r="AF3" s="487" t="s">
        <v>180</v>
      </c>
      <c r="AG3" s="510"/>
      <c r="AH3" s="511" t="s">
        <v>181</v>
      </c>
      <c r="AI3" s="512"/>
      <c r="AJ3" s="513"/>
      <c r="AK3" s="512"/>
      <c r="AL3" s="512"/>
      <c r="AM3" s="512"/>
      <c r="AN3" s="512"/>
      <c r="AO3" s="548"/>
      <c r="AP3" s="549"/>
      <c r="AQ3" s="510"/>
      <c r="AR3" s="550">
        <f>C14</f>
        <v>0</v>
      </c>
      <c r="AS3" s="513"/>
      <c r="AT3" s="551">
        <f>C15</f>
        <v>0</v>
      </c>
      <c r="AU3" s="552"/>
      <c r="AV3" s="553">
        <f>AX3-AW3</f>
        <v>2</v>
      </c>
      <c r="AW3" s="553">
        <v>0</v>
      </c>
      <c r="AX3" s="553">
        <v>2</v>
      </c>
      <c r="AY3" s="575"/>
      <c r="AZ3" s="575"/>
      <c r="BA3" s="553">
        <f>$C$17</f>
        <v>0.00159901742569031</v>
      </c>
      <c r="BB3" s="576">
        <f ca="1">$C$18</f>
        <v>0.01</v>
      </c>
      <c r="BC3" s="577">
        <f>$C$19</f>
        <v>1e+20</v>
      </c>
      <c r="BD3" s="578"/>
      <c r="BE3" s="578"/>
      <c r="BF3" s="578"/>
      <c r="BG3" s="578"/>
      <c r="BH3" s="578"/>
      <c r="BI3" s="578"/>
      <c r="BJ3" s="578"/>
      <c r="BK3" s="578"/>
      <c r="BL3" s="578"/>
      <c r="BM3" s="578"/>
      <c r="BN3" s="575"/>
      <c r="BO3" s="575"/>
      <c r="BP3" s="590"/>
      <c r="BQ3" s="591">
        <f>BS3-BR3</f>
        <v>6</v>
      </c>
      <c r="BR3" s="553">
        <v>2</v>
      </c>
      <c r="BS3" s="553">
        <v>8</v>
      </c>
      <c r="BT3" s="553"/>
      <c r="BU3" s="575"/>
      <c r="BV3" s="553">
        <f>$C$20</f>
        <v>0.00159901742569031</v>
      </c>
      <c r="BW3" s="576">
        <f ca="1">$C$21</f>
        <v>0.456917291923662</v>
      </c>
      <c r="BX3" s="577">
        <f>$C$22</f>
        <v>1e+20</v>
      </c>
      <c r="BY3" s="578"/>
      <c r="BZ3" s="578"/>
      <c r="CA3" s="578"/>
      <c r="CB3" s="578"/>
      <c r="CC3" s="578"/>
      <c r="CD3" s="578"/>
      <c r="CE3" s="578"/>
      <c r="CF3" s="578"/>
      <c r="CG3" s="578"/>
      <c r="CH3" s="578"/>
      <c r="CI3" s="575"/>
      <c r="CJ3" s="575"/>
      <c r="CK3" s="590"/>
      <c r="CL3" s="591">
        <f>CN3-CM3</f>
        <v>16</v>
      </c>
      <c r="CM3" s="553">
        <v>8</v>
      </c>
      <c r="CN3" s="553">
        <v>24</v>
      </c>
      <c r="CO3" s="575"/>
      <c r="CP3" s="575"/>
      <c r="CQ3" s="553">
        <f>$C$23</f>
        <v>0</v>
      </c>
      <c r="CR3" s="576">
        <f ca="1">$C$24</f>
        <v>0.330071491132861</v>
      </c>
      <c r="CS3" s="577">
        <f>$C$25</f>
        <v>1e+20</v>
      </c>
      <c r="CT3" s="578"/>
      <c r="CU3" s="578"/>
      <c r="CV3" s="578"/>
      <c r="CW3" s="578"/>
      <c r="CX3" s="578"/>
      <c r="CY3" s="578"/>
      <c r="CZ3" s="578"/>
      <c r="DA3" s="578"/>
      <c r="DB3" s="578"/>
      <c r="DC3" s="578"/>
      <c r="DD3" s="575"/>
      <c r="DE3" s="575"/>
      <c r="DF3" s="590"/>
      <c r="DG3" s="591">
        <f>DI3-DH3</f>
        <v>24</v>
      </c>
      <c r="DH3" s="553">
        <v>24</v>
      </c>
      <c r="DI3" s="553">
        <v>48</v>
      </c>
      <c r="DJ3" s="575"/>
      <c r="DK3" s="575"/>
      <c r="DL3" s="553">
        <f>$C$26</f>
        <v>0</v>
      </c>
      <c r="DM3" s="576">
        <f ca="1">$C$27</f>
        <v>0.0838589630528763</v>
      </c>
      <c r="DN3" s="577">
        <f>$C$28</f>
        <v>1e+20</v>
      </c>
      <c r="DO3" s="578"/>
      <c r="DP3" s="578"/>
      <c r="DQ3" s="578"/>
      <c r="DR3" s="578"/>
      <c r="DS3" s="578"/>
      <c r="DT3" s="578"/>
      <c r="DU3" s="578"/>
      <c r="DV3" s="578"/>
      <c r="DW3" s="578"/>
      <c r="DX3" s="578"/>
      <c r="DY3" s="575"/>
      <c r="DZ3" s="575"/>
      <c r="EA3" s="590"/>
      <c r="EB3" s="591">
        <f>ED3-EC3</f>
        <v>48</v>
      </c>
      <c r="EC3" s="553">
        <v>48</v>
      </c>
      <c r="ED3" s="553">
        <v>96</v>
      </c>
      <c r="EE3" s="575"/>
      <c r="EF3" s="575"/>
      <c r="EG3" s="553">
        <f>$C$29</f>
        <v>0</v>
      </c>
      <c r="EH3" s="576">
        <f ca="1">$C$30</f>
        <v>0.01</v>
      </c>
      <c r="EI3" s="577">
        <f>$C$31</f>
        <v>1e+20</v>
      </c>
      <c r="EJ3" s="578"/>
      <c r="EK3" s="578"/>
      <c r="EL3" s="578"/>
      <c r="EM3" s="578"/>
      <c r="EN3" s="578"/>
      <c r="EO3" s="578"/>
      <c r="EP3" s="578"/>
      <c r="EQ3" s="578"/>
      <c r="ER3" s="578"/>
      <c r="ES3" s="578"/>
      <c r="ET3" s="575"/>
      <c r="EU3" s="575"/>
      <c r="EV3" s="590"/>
      <c r="EW3" s="591">
        <f>EY3-EX3</f>
        <v>624</v>
      </c>
      <c r="EX3" s="553">
        <v>96</v>
      </c>
      <c r="EY3" s="553">
        <f>30*24</f>
        <v>720</v>
      </c>
      <c r="EZ3" s="575"/>
      <c r="FA3" s="575"/>
      <c r="FB3" s="553">
        <f>$C$32</f>
        <v>0</v>
      </c>
      <c r="FC3" s="576">
        <f ca="1">$C$33</f>
        <v>0.01</v>
      </c>
      <c r="FD3" s="577">
        <f>$C$34</f>
        <v>1e+20</v>
      </c>
      <c r="FE3" s="578"/>
      <c r="FF3" s="578"/>
      <c r="FG3" s="578"/>
      <c r="FH3" s="578"/>
      <c r="FI3" s="578"/>
      <c r="FJ3" s="578"/>
      <c r="FK3" s="578"/>
      <c r="FL3" s="578"/>
      <c r="FM3" s="578"/>
      <c r="FN3" s="578"/>
      <c r="FO3" s="575"/>
      <c r="FP3" s="575"/>
      <c r="FQ3" s="590"/>
      <c r="FR3" s="604"/>
    </row>
    <row r="4" s="387" customFormat="1" ht="60" spans="1:201">
      <c r="A4" s="402" t="s">
        <v>182</v>
      </c>
      <c r="B4" s="403" t="s">
        <v>183</v>
      </c>
      <c r="C4" s="403" t="s">
        <v>184</v>
      </c>
      <c r="D4" s="403" t="s">
        <v>185</v>
      </c>
      <c r="E4" s="403" t="s">
        <v>186</v>
      </c>
      <c r="G4" s="404" t="s">
        <v>35</v>
      </c>
      <c r="H4" s="405" t="s">
        <v>160</v>
      </c>
      <c r="I4" s="448" t="s">
        <v>187</v>
      </c>
      <c r="J4" s="448" t="s">
        <v>188</v>
      </c>
      <c r="K4" s="448" t="s">
        <v>189</v>
      </c>
      <c r="L4" s="448" t="s">
        <v>190</v>
      </c>
      <c r="M4" s="448" t="s">
        <v>191</v>
      </c>
      <c r="N4" s="405" t="s">
        <v>192</v>
      </c>
      <c r="O4" s="449" t="s">
        <v>193</v>
      </c>
      <c r="Q4" s="476" t="str">
        <f t="shared" ref="Q4:Q27" si="0">G4</f>
        <v>核素</v>
      </c>
      <c r="R4" s="405" t="s">
        <v>160</v>
      </c>
      <c r="S4" s="448" t="s">
        <v>187</v>
      </c>
      <c r="T4" s="448" t="s">
        <v>188</v>
      </c>
      <c r="U4" s="448" t="s">
        <v>189</v>
      </c>
      <c r="V4" s="448" t="s">
        <v>190</v>
      </c>
      <c r="W4" s="448" t="s">
        <v>191</v>
      </c>
      <c r="X4" s="405" t="s">
        <v>192</v>
      </c>
      <c r="Y4" s="488"/>
      <c r="Z4" s="489" t="s">
        <v>194</v>
      </c>
      <c r="AA4" s="490" t="s">
        <v>195</v>
      </c>
      <c r="AB4" s="491" t="s">
        <v>40</v>
      </c>
      <c r="AC4" s="491" t="s">
        <v>196</v>
      </c>
      <c r="AD4" s="491" t="s">
        <v>42</v>
      </c>
      <c r="AE4" s="491" t="s">
        <v>43</v>
      </c>
      <c r="AF4" s="492" t="s">
        <v>197</v>
      </c>
      <c r="AG4" s="514" t="s">
        <v>198</v>
      </c>
      <c r="AH4" s="515" t="s">
        <v>199</v>
      </c>
      <c r="AI4" s="514" t="s">
        <v>200</v>
      </c>
      <c r="AJ4" s="516" t="s">
        <v>201</v>
      </c>
      <c r="AK4" s="514" t="s">
        <v>202</v>
      </c>
      <c r="AL4" s="514" t="s">
        <v>203</v>
      </c>
      <c r="AM4" s="517" t="s">
        <v>204</v>
      </c>
      <c r="AN4" s="514" t="s">
        <v>205</v>
      </c>
      <c r="AO4" s="514" t="s">
        <v>206</v>
      </c>
      <c r="AP4" s="554" t="s">
        <v>207</v>
      </c>
      <c r="AQ4" s="555" t="s">
        <v>208</v>
      </c>
      <c r="AR4" s="556" t="s">
        <v>209</v>
      </c>
      <c r="AS4" s="557" t="s">
        <v>210</v>
      </c>
      <c r="AT4" s="556" t="s">
        <v>211</v>
      </c>
      <c r="AU4" s="558" t="s">
        <v>212</v>
      </c>
      <c r="AV4" s="559" t="s">
        <v>213</v>
      </c>
      <c r="AW4" s="559" t="s">
        <v>214</v>
      </c>
      <c r="AX4" s="559" t="s">
        <v>215</v>
      </c>
      <c r="AY4" s="579" t="s">
        <v>216</v>
      </c>
      <c r="AZ4" s="559" t="s">
        <v>217</v>
      </c>
      <c r="BA4" s="559" t="s">
        <v>218</v>
      </c>
      <c r="BB4" s="559" t="s">
        <v>219</v>
      </c>
      <c r="BC4" s="559" t="s">
        <v>220</v>
      </c>
      <c r="BD4" s="559" t="s">
        <v>221</v>
      </c>
      <c r="BE4" s="559" t="s">
        <v>222</v>
      </c>
      <c r="BF4" s="559" t="s">
        <v>223</v>
      </c>
      <c r="BG4" s="559" t="s">
        <v>224</v>
      </c>
      <c r="BH4" s="559" t="s">
        <v>225</v>
      </c>
      <c r="BI4" s="559" t="s">
        <v>226</v>
      </c>
      <c r="BJ4" s="559" t="s">
        <v>227</v>
      </c>
      <c r="BK4" s="559" t="s">
        <v>228</v>
      </c>
      <c r="BL4" s="579" t="s">
        <v>229</v>
      </c>
      <c r="BM4" s="559" t="s">
        <v>230</v>
      </c>
      <c r="BN4" s="559" t="s">
        <v>231</v>
      </c>
      <c r="BO4" s="559" t="s">
        <v>232</v>
      </c>
      <c r="BP4" s="592" t="s">
        <v>233</v>
      </c>
      <c r="BQ4" s="593" t="s">
        <v>213</v>
      </c>
      <c r="BR4" s="559" t="s">
        <v>214</v>
      </c>
      <c r="BS4" s="559" t="s">
        <v>215</v>
      </c>
      <c r="BT4" s="579" t="s">
        <v>216</v>
      </c>
      <c r="BU4" s="559" t="s">
        <v>217</v>
      </c>
      <c r="BV4" s="559" t="s">
        <v>218</v>
      </c>
      <c r="BW4" s="559" t="s">
        <v>219</v>
      </c>
      <c r="BX4" s="559" t="s">
        <v>220</v>
      </c>
      <c r="BY4" s="559" t="s">
        <v>221</v>
      </c>
      <c r="BZ4" s="559" t="s">
        <v>222</v>
      </c>
      <c r="CA4" s="559" t="s">
        <v>223</v>
      </c>
      <c r="CB4" s="559" t="s">
        <v>224</v>
      </c>
      <c r="CC4" s="559" t="s">
        <v>225</v>
      </c>
      <c r="CD4" s="559" t="s">
        <v>226</v>
      </c>
      <c r="CE4" s="559" t="s">
        <v>227</v>
      </c>
      <c r="CF4" s="559" t="s">
        <v>228</v>
      </c>
      <c r="CG4" s="579" t="s">
        <v>229</v>
      </c>
      <c r="CH4" s="559" t="s">
        <v>230</v>
      </c>
      <c r="CI4" s="559" t="s">
        <v>231</v>
      </c>
      <c r="CJ4" s="559" t="s">
        <v>232</v>
      </c>
      <c r="CK4" s="592" t="s">
        <v>233</v>
      </c>
      <c r="CL4" s="593" t="s">
        <v>213</v>
      </c>
      <c r="CM4" s="559" t="s">
        <v>214</v>
      </c>
      <c r="CN4" s="559" t="s">
        <v>215</v>
      </c>
      <c r="CO4" s="579" t="s">
        <v>216</v>
      </c>
      <c r="CP4" s="559" t="s">
        <v>217</v>
      </c>
      <c r="CQ4" s="559" t="s">
        <v>218</v>
      </c>
      <c r="CR4" s="559" t="s">
        <v>219</v>
      </c>
      <c r="CS4" s="559" t="s">
        <v>220</v>
      </c>
      <c r="CT4" s="559" t="s">
        <v>221</v>
      </c>
      <c r="CU4" s="559" t="s">
        <v>222</v>
      </c>
      <c r="CV4" s="559" t="s">
        <v>223</v>
      </c>
      <c r="CW4" s="559" t="s">
        <v>224</v>
      </c>
      <c r="CX4" s="559" t="s">
        <v>225</v>
      </c>
      <c r="CY4" s="559" t="s">
        <v>226</v>
      </c>
      <c r="CZ4" s="559" t="s">
        <v>227</v>
      </c>
      <c r="DA4" s="559" t="s">
        <v>228</v>
      </c>
      <c r="DB4" s="579" t="s">
        <v>229</v>
      </c>
      <c r="DC4" s="559" t="s">
        <v>230</v>
      </c>
      <c r="DD4" s="559" t="s">
        <v>231</v>
      </c>
      <c r="DE4" s="559" t="s">
        <v>232</v>
      </c>
      <c r="DF4" s="592" t="s">
        <v>233</v>
      </c>
      <c r="DG4" s="593" t="s">
        <v>213</v>
      </c>
      <c r="DH4" s="559" t="s">
        <v>214</v>
      </c>
      <c r="DI4" s="559" t="s">
        <v>215</v>
      </c>
      <c r="DJ4" s="579" t="s">
        <v>216</v>
      </c>
      <c r="DK4" s="559" t="s">
        <v>217</v>
      </c>
      <c r="DL4" s="559" t="s">
        <v>218</v>
      </c>
      <c r="DM4" s="559" t="s">
        <v>219</v>
      </c>
      <c r="DN4" s="559" t="s">
        <v>220</v>
      </c>
      <c r="DO4" s="559" t="s">
        <v>221</v>
      </c>
      <c r="DP4" s="559" t="s">
        <v>222</v>
      </c>
      <c r="DQ4" s="559" t="s">
        <v>223</v>
      </c>
      <c r="DR4" s="559" t="s">
        <v>224</v>
      </c>
      <c r="DS4" s="559" t="s">
        <v>225</v>
      </c>
      <c r="DT4" s="559" t="s">
        <v>226</v>
      </c>
      <c r="DU4" s="559" t="s">
        <v>227</v>
      </c>
      <c r="DV4" s="559" t="s">
        <v>228</v>
      </c>
      <c r="DW4" s="579" t="s">
        <v>229</v>
      </c>
      <c r="DX4" s="559" t="s">
        <v>230</v>
      </c>
      <c r="DY4" s="559" t="s">
        <v>231</v>
      </c>
      <c r="DZ4" s="559" t="s">
        <v>232</v>
      </c>
      <c r="EA4" s="592" t="s">
        <v>233</v>
      </c>
      <c r="EB4" s="593" t="s">
        <v>213</v>
      </c>
      <c r="EC4" s="559" t="s">
        <v>214</v>
      </c>
      <c r="ED4" s="559" t="s">
        <v>215</v>
      </c>
      <c r="EE4" s="579" t="s">
        <v>216</v>
      </c>
      <c r="EF4" s="559" t="s">
        <v>217</v>
      </c>
      <c r="EG4" s="559" t="s">
        <v>218</v>
      </c>
      <c r="EH4" s="559" t="s">
        <v>219</v>
      </c>
      <c r="EI4" s="559" t="s">
        <v>220</v>
      </c>
      <c r="EJ4" s="559" t="s">
        <v>221</v>
      </c>
      <c r="EK4" s="559" t="s">
        <v>222</v>
      </c>
      <c r="EL4" s="559" t="s">
        <v>223</v>
      </c>
      <c r="EM4" s="559" t="s">
        <v>224</v>
      </c>
      <c r="EN4" s="559" t="s">
        <v>225</v>
      </c>
      <c r="EO4" s="559" t="s">
        <v>226</v>
      </c>
      <c r="EP4" s="559" t="s">
        <v>227</v>
      </c>
      <c r="EQ4" s="559" t="s">
        <v>228</v>
      </c>
      <c r="ER4" s="579" t="s">
        <v>229</v>
      </c>
      <c r="ES4" s="559" t="s">
        <v>230</v>
      </c>
      <c r="ET4" s="559" t="s">
        <v>231</v>
      </c>
      <c r="EU4" s="559" t="s">
        <v>232</v>
      </c>
      <c r="EV4" s="592" t="s">
        <v>233</v>
      </c>
      <c r="EW4" s="593" t="s">
        <v>213</v>
      </c>
      <c r="EX4" s="559" t="s">
        <v>214</v>
      </c>
      <c r="EY4" s="559" t="s">
        <v>215</v>
      </c>
      <c r="EZ4" s="579" t="s">
        <v>216</v>
      </c>
      <c r="FA4" s="559" t="s">
        <v>217</v>
      </c>
      <c r="FB4" s="559" t="s">
        <v>218</v>
      </c>
      <c r="FC4" s="559" t="s">
        <v>219</v>
      </c>
      <c r="FD4" s="559" t="s">
        <v>220</v>
      </c>
      <c r="FE4" s="559" t="s">
        <v>221</v>
      </c>
      <c r="FF4" s="559" t="s">
        <v>222</v>
      </c>
      <c r="FG4" s="559" t="s">
        <v>223</v>
      </c>
      <c r="FH4" s="559" t="s">
        <v>224</v>
      </c>
      <c r="FI4" s="559" t="s">
        <v>225</v>
      </c>
      <c r="FJ4" s="559" t="s">
        <v>226</v>
      </c>
      <c r="FK4" s="559" t="s">
        <v>227</v>
      </c>
      <c r="FL4" s="559" t="s">
        <v>228</v>
      </c>
      <c r="FM4" s="579" t="s">
        <v>229</v>
      </c>
      <c r="FN4" s="559" t="s">
        <v>230</v>
      </c>
      <c r="FO4" s="559" t="s">
        <v>231</v>
      </c>
      <c r="FP4" s="559" t="s">
        <v>232</v>
      </c>
      <c r="FQ4" s="592" t="s">
        <v>233</v>
      </c>
      <c r="FR4" s="605"/>
      <c r="FS4" s="606" t="s">
        <v>160</v>
      </c>
      <c r="FT4" s="607" t="s">
        <v>234</v>
      </c>
      <c r="FU4" s="607" t="s">
        <v>235</v>
      </c>
      <c r="FV4" s="607" t="s">
        <v>236</v>
      </c>
      <c r="FW4" s="612" t="s">
        <v>237</v>
      </c>
      <c r="FX4" s="606" t="s">
        <v>160</v>
      </c>
      <c r="FY4" s="607" t="s">
        <v>234</v>
      </c>
      <c r="FZ4" s="607" t="s">
        <v>235</v>
      </c>
      <c r="GA4" s="607" t="s">
        <v>236</v>
      </c>
      <c r="GB4" s="613" t="s">
        <v>238</v>
      </c>
      <c r="GC4" s="616" t="s">
        <v>192</v>
      </c>
      <c r="GE4" s="606" t="s">
        <v>239</v>
      </c>
      <c r="GF4" s="607" t="s">
        <v>234</v>
      </c>
      <c r="GG4" s="607" t="s">
        <v>235</v>
      </c>
      <c r="GH4" s="607" t="s">
        <v>240</v>
      </c>
      <c r="GI4" s="607" t="s">
        <v>241</v>
      </c>
      <c r="GJ4" s="607" t="s">
        <v>242</v>
      </c>
      <c r="GK4" s="612" t="s">
        <v>243</v>
      </c>
      <c r="GL4" s="606" t="s">
        <v>239</v>
      </c>
      <c r="GM4" s="607" t="s">
        <v>234</v>
      </c>
      <c r="GN4" s="607" t="s">
        <v>235</v>
      </c>
      <c r="GO4" s="607" t="s">
        <v>244</v>
      </c>
      <c r="GP4" s="607" t="s">
        <v>242</v>
      </c>
      <c r="GQ4" s="612" t="s">
        <v>243</v>
      </c>
      <c r="GR4" s="387" t="s">
        <v>245</v>
      </c>
      <c r="GS4" s="387" t="s">
        <v>246</v>
      </c>
    </row>
    <row r="5" spans="1:201">
      <c r="A5" s="406" t="s">
        <v>247</v>
      </c>
      <c r="B5" s="407" t="s">
        <v>248</v>
      </c>
      <c r="C5" s="408">
        <v>1</v>
      </c>
      <c r="D5" s="409" t="s">
        <v>249</v>
      </c>
      <c r="E5" s="410"/>
      <c r="G5" s="411" t="s">
        <v>46</v>
      </c>
      <c r="H5" s="412">
        <f ca="1" t="shared" ref="H5:H27" si="1">AU5</f>
        <v>0</v>
      </c>
      <c r="I5" s="412">
        <f ca="1" t="shared" ref="I5:I27" si="2">BP5</f>
        <v>10168007270.2434</v>
      </c>
      <c r="J5" s="412">
        <f ca="1" t="shared" ref="J5:J27" si="3">CK5</f>
        <v>5923424882.55171</v>
      </c>
      <c r="K5" s="412">
        <f ca="1" t="shared" ref="K5:K27" si="4">DF5</f>
        <v>142808229.050885</v>
      </c>
      <c r="L5" s="412">
        <f ca="1" t="shared" ref="L5:L27" si="5">EA5+EV5</f>
        <v>329887.193346679</v>
      </c>
      <c r="M5" s="412">
        <f ca="1" t="shared" ref="M5:M27" si="6">FQ5</f>
        <v>1.45320301558961e-8</v>
      </c>
      <c r="N5" s="412">
        <f ca="1" t="shared" ref="N5:N27" si="7">SUM(H5:M5)</f>
        <v>16234570269.0393</v>
      </c>
      <c r="O5" s="450">
        <f ca="1" t="shared" ref="O5:O27" si="8">AS5</f>
        <v>0</v>
      </c>
      <c r="P5" s="451"/>
      <c r="Q5" s="477" t="str">
        <f t="shared" si="0"/>
        <v>Kr-83m</v>
      </c>
      <c r="R5" s="412">
        <f ca="1" t="shared" ref="R5:R27" si="9">H5</f>
        <v>0</v>
      </c>
      <c r="S5" s="412">
        <f ca="1">I5*(1-过滤效率!$B2)</f>
        <v>10168007270.2434</v>
      </c>
      <c r="T5" s="412">
        <f ca="1">J5*(1-过滤效率!$B2)</f>
        <v>5923424882.55171</v>
      </c>
      <c r="U5" s="412">
        <f ca="1">K5*(1-过滤效率!$B2)</f>
        <v>142808229.050885</v>
      </c>
      <c r="V5" s="412">
        <f ca="1">L5*(1-过滤效率!$B2)</f>
        <v>329887.193346679</v>
      </c>
      <c r="W5" s="412">
        <f ca="1">M5*(1-过滤效率!$B2)</f>
        <v>1.45320301558961e-8</v>
      </c>
      <c r="X5" s="412">
        <f ca="1" t="shared" ref="X5:X27" si="10">SUM(R5:W5)</f>
        <v>16234570269.0393</v>
      </c>
      <c r="Y5" s="493"/>
      <c r="Z5" s="494">
        <f>VLOOKUP(G5,衰变常数!$A$1:$H$3800,7,FALSE)</f>
        <v>0.000105213597534903</v>
      </c>
      <c r="AA5" s="495">
        <f>正常源项!C2</f>
        <v>2.35e+16</v>
      </c>
      <c r="AB5" s="496">
        <f>正常源项!F2</f>
        <v>0</v>
      </c>
      <c r="AC5" s="496">
        <f>正常源项!I2</f>
        <v>4250000000</v>
      </c>
      <c r="AD5" s="496">
        <f>正常源项!L2</f>
        <v>179000000</v>
      </c>
      <c r="AE5" s="497"/>
      <c r="AF5" s="498"/>
      <c r="AG5" s="483"/>
      <c r="AH5" s="518"/>
      <c r="AI5" s="483"/>
      <c r="AK5" s="519"/>
      <c r="AL5" s="519">
        <f t="shared" ref="AL5:AL18" si="11">AA5*0.0000007*0.000209</f>
        <v>3438050</v>
      </c>
      <c r="AM5" s="520">
        <f t="shared" ref="AM5:AM18" si="12">(0.00016*2%+0.00026*2%)/2*AA5</f>
        <v>98700000000</v>
      </c>
      <c r="AN5" s="519">
        <f ca="1">MAX(INDIRECT("'"&amp;$B$2&amp;"-事故进程'!Y"&amp;(ROW()+22)),INDIRECT("'"&amp;$B$2&amp;"-事故进程'!Z"&amp;(ROW()+22)),INDIRECT("'"&amp;$B$2&amp;"-事故进程'!AA"&amp;(ROW()+22)))</f>
        <v>6.34129472458561e-11</v>
      </c>
      <c r="AO5" s="519">
        <f ca="1" t="shared" ref="AO5:AO23" si="13">AA5*(EXP(-Z5*$C$12*3600)-EXP(-(Z5+AN5)*$C$12*3600))</f>
        <v>0</v>
      </c>
      <c r="AP5" s="560">
        <f t="shared" ref="AP5:AP27" si="14">AA5*EXP(-Z5*$C$12*3600)</f>
        <v>2.35e+16</v>
      </c>
      <c r="AQ5" s="561">
        <f ca="1">(AC5*$C$5+AD5*$C$8+AF5+AG5+AI5+(AL5+AM5)*$C$10)*EXP(-Z5*$C$12*3600)+AO5*$C$11</f>
        <v>4429000000</v>
      </c>
      <c r="AR5" s="562">
        <f ca="1">AQ5*(1-AR$3)</f>
        <v>4429000000</v>
      </c>
      <c r="AS5" s="563">
        <f ca="1" t="shared" ref="AS5:AS27" si="15">(AQ5-AR5)+AB5*EXP(-Z5*$C$12*3600)</f>
        <v>0</v>
      </c>
      <c r="AT5" s="562">
        <f ca="1">AS5*(1-AT$3)</f>
        <v>0</v>
      </c>
      <c r="AU5" s="564">
        <f ca="1" t="shared" ref="AU5:AU27" si="16">AS5-AT5</f>
        <v>0</v>
      </c>
      <c r="AV5" s="565">
        <f>AV$3*3600</f>
        <v>7200</v>
      </c>
      <c r="AW5" s="580">
        <f>AP5*EXP(-Z5*AW$3*3600)</f>
        <v>2.35e+16</v>
      </c>
      <c r="AX5" s="580">
        <f ca="1" t="shared" ref="AX5:AX27" si="17">AR5</f>
        <v>4429000000</v>
      </c>
      <c r="AY5" s="581">
        <f ca="1" t="shared" ref="AY5:AY27" si="18">AT5</f>
        <v>0</v>
      </c>
      <c r="AZ5" s="580">
        <v>0</v>
      </c>
      <c r="BA5" s="580">
        <f ca="1">MAX(INDIRECT("'"&amp;$B$2&amp;"-事故进程'!Y"&amp;(ROW()+22)),INDIRECT("'"&amp;$B$2&amp;"-事故进程'!Z"&amp;(ROW()+22)))</f>
        <v>5.73335971691486e-11</v>
      </c>
      <c r="BB5" s="580">
        <f ca="1">SUM(BA$3,-LN(1-BB$3)/AV5)</f>
        <v>0.00160041330566996</v>
      </c>
      <c r="BC5" s="580">
        <f>BC$3/24/3600</f>
        <v>1157407407407410</v>
      </c>
      <c r="BD5" s="582">
        <f ca="1" t="shared" ref="BD5:BD27" si="19">EXP(-AV5*($Z5+BA5))</f>
        <v>0.46881909258106</v>
      </c>
      <c r="BE5" s="582">
        <f ca="1" t="shared" ref="BE5:BE27" si="20">EXP(-AV5*($Z5+BB5))</f>
        <v>4.64131093249407e-6</v>
      </c>
      <c r="BF5" s="582">
        <f t="shared" ref="BF5:BF27" si="21">EXP(-AV5*($Z5+BC5))</f>
        <v>0</v>
      </c>
      <c r="BG5" s="582">
        <f ca="1" t="shared" ref="BG5:BG27" si="22">AW5*BA5+AX5*(BA5-BB5)</f>
        <v>-5740890.74340677</v>
      </c>
      <c r="BH5" s="582">
        <f ca="1" t="shared" ref="BH5:BH27" si="23">(AW5*BB5*BA5/(BA5-BC5)+AX5*BB5)/(BB5-BC5)+AY5</f>
        <v>-6.1242311786218e-9</v>
      </c>
      <c r="BI5" s="582">
        <f ca="1" t="shared" ref="BI5:BI27" si="24">IF(BB5=0,0,BB5/(BB5-BA5))</f>
        <v>1.00000003582425</v>
      </c>
      <c r="BJ5" s="580">
        <f ca="1" t="shared" ref="BJ5:BJ27" si="25">AW5*BD5</f>
        <v>1.10172486756549e+16</v>
      </c>
      <c r="BK5" s="580">
        <f ca="1" t="shared" ref="BK5:BK27" si="26">BA5/(BB5-BA5)*BJ5+(AX5-AW5*BA5/(BB5-BA5))*BE5</f>
        <v>394701270.686145</v>
      </c>
      <c r="BL5" s="586">
        <f ca="1" t="shared" ref="BL5:BL27" si="27">BF5*BH5+BI5*(BE5*BG5/(BB5-BC5)-BJ5*BA5/(BA5-BC5))</f>
        <v>5.45775982880499e-10</v>
      </c>
      <c r="BM5" s="594">
        <f ca="1" t="shared" ref="BM5:BM27" si="28">(AW5+AX5+AY5+AZ5)*EXP(-$Z5*AV5)-BJ5-BK5-BL5</f>
        <v>6229641467.31386</v>
      </c>
      <c r="BN5" s="580">
        <f ca="1" t="shared" ref="BN5:BN27" si="29">AW5*BA5/($Z5+BA5)*(1-BD5)</f>
        <v>6802168757.34564</v>
      </c>
      <c r="BO5" s="580">
        <f ca="1" t="shared" ref="BO5:BO27" si="30">BI5*(BN5-(1-BE5)*BG5/($Z5+BB5))</f>
        <v>10168007270.2434</v>
      </c>
      <c r="BP5" s="595">
        <f ca="1" t="shared" ref="BP5:BP27" si="31">BC5*(1-BF5)*BH5/($Z5+BC5)+BC5*BI5*((1-BE5)*BG5/($Z5+BB5)/(BB5-BC5)-BN5/(BA5-BC5))</f>
        <v>10168007270.2434</v>
      </c>
      <c r="BQ5" s="596">
        <f>BQ$3*3600</f>
        <v>21600</v>
      </c>
      <c r="BR5" s="580">
        <f ca="1" t="shared" ref="BR5:BU5" si="32">BJ5</f>
        <v>1.10172486756549e+16</v>
      </c>
      <c r="BS5" s="580">
        <f ca="1" t="shared" si="32"/>
        <v>394701270.686145</v>
      </c>
      <c r="BT5" s="581">
        <f ca="1" t="shared" si="32"/>
        <v>5.45775982880499e-10</v>
      </c>
      <c r="BU5" s="580">
        <f ca="1" t="shared" si="32"/>
        <v>6229641467.31386</v>
      </c>
      <c r="BV5" s="580">
        <f ca="1">MAX(INDIRECT("'"&amp;$B$2&amp;"-事故进程'!Z"&amp;(ROW()+22)),INDIRECT("'"&amp;$B$2&amp;"-事故进程'!AA"&amp;(ROW()+22)))</f>
        <v>6.34129472458561e-11</v>
      </c>
      <c r="BW5" s="580">
        <f ca="1">SUM(BV$3,-LN(1-BW$3)/BQ5)</f>
        <v>0.00162728102077123</v>
      </c>
      <c r="BX5" s="580">
        <f>BX$3/24/3600</f>
        <v>1157407407407410</v>
      </c>
      <c r="BY5" s="582">
        <f ca="1" t="shared" ref="BY5:BY27" si="33">EXP(-BQ5*($Z5+BV5))</f>
        <v>0.103042363780429</v>
      </c>
      <c r="BZ5" s="582">
        <f ca="1" t="shared" ref="BZ5:BZ27" si="34">EXP(-BQ5*($Z5+BW5))</f>
        <v>5.5960602618748e-17</v>
      </c>
      <c r="CA5" s="582">
        <f t="shared" ref="CA5:CA27" si="35">EXP(-BQ5*($Z5+BX5))</f>
        <v>0</v>
      </c>
      <c r="CB5" s="582">
        <f ca="1" t="shared" ref="CB5:CB27" si="36">BR5*BV5+BS5*(BV5-BW5)</f>
        <v>56346.3474311016</v>
      </c>
      <c r="CC5" s="582">
        <f ca="1" t="shared" ref="CC5:CC27" si="37">(BR5*BW5*BV5/(BV5-BX5)+BS5*BW5)/(BW5-BX5)+BT5</f>
        <v>-9.16247919534112e-12</v>
      </c>
      <c r="CD5" s="582">
        <f ca="1" t="shared" ref="CD5:CD27" si="38">IF(BW5=0,0,BW5/(BW5-BV5))</f>
        <v>1.00000003896865</v>
      </c>
      <c r="CE5" s="580">
        <f ca="1" t="shared" ref="CE5:CE27" si="39">BR5*BY5</f>
        <v>1135243345896280</v>
      </c>
      <c r="CF5" s="580">
        <f ca="1" t="shared" ref="CF5:CF27" si="40">BV5/(BW5-BV5)*CE5+(BS5-BR5*BV5/(BW5-BV5))*BZ5</f>
        <v>44238904.2156536</v>
      </c>
      <c r="CG5" s="586">
        <f ca="1" t="shared" ref="CG5:CG27" si="41">CA5*CC5+CD5*(BZ5*CB5/(BW5-BX5)-CE5*BV5/(BV5-BX5))</f>
        <v>6.219860763731e-11</v>
      </c>
      <c r="CH5" s="594">
        <f ca="1" t="shared" ref="CH5:CH27" si="42">(BR5+BS5+BT5+BU5)*EXP(-$Z5*BQ5)-CE5-CF5-CG5</f>
        <v>2193316160.03435</v>
      </c>
      <c r="CI5" s="580">
        <f ca="1" t="shared" ref="CI5:CI27" si="43">BR5*BV5/($Z5+BV5)*(1-BY5)</f>
        <v>5955947897.01171</v>
      </c>
      <c r="CJ5" s="580">
        <f ca="1" t="shared" ref="CJ5:CJ27" si="44">CD5*(CI5-(1-BZ5)*CB5/($Z5+BW5))</f>
        <v>5923424882.55171</v>
      </c>
      <c r="CK5" s="595">
        <f ca="1" t="shared" ref="CK5:CK27" si="45">BX5*(1-CA5)*CC5/($Z5+BX5)+BX5*CD5*((1-BZ5)*CB5/($Z5+BW5)/(BW5-BX5)-CI5/(BV5-BX5))</f>
        <v>5923424882.55171</v>
      </c>
      <c r="CL5" s="596">
        <f>CL$3*3600</f>
        <v>57600</v>
      </c>
      <c r="CM5" s="580">
        <f ca="1" t="shared" ref="CM5:CP5" si="46">CE5</f>
        <v>1135243345896280</v>
      </c>
      <c r="CN5" s="580">
        <f ca="1" t="shared" si="46"/>
        <v>44238904.2156536</v>
      </c>
      <c r="CO5" s="581">
        <f ca="1" t="shared" si="46"/>
        <v>6.219860763731e-11</v>
      </c>
      <c r="CP5" s="580">
        <f ca="1" t="shared" si="46"/>
        <v>2193316160.03435</v>
      </c>
      <c r="CQ5" s="580">
        <f ca="1">MAX(INDIRECT("'"&amp;$B$2&amp;"-事故进程'!AA"&amp;(ROW()+22)),INDIRECT("'"&amp;$B$2&amp;"-事故进程'!AB"&amp;(ROW()+22)))</f>
        <v>2.12345685220129e-10</v>
      </c>
      <c r="CR5" s="580">
        <f ca="1">SUM(CQ$3,-LN(1-CR$3)/CL5)</f>
        <v>6.95458811586267e-6</v>
      </c>
      <c r="CS5" s="580">
        <f>CS$3/24/3600</f>
        <v>1157407407407410</v>
      </c>
      <c r="CT5" s="582">
        <f ca="1" t="shared" ref="CT5:CT27" si="47">EXP(-CL5*($Z5+CQ5))</f>
        <v>0.00233366461895279</v>
      </c>
      <c r="CU5" s="582">
        <f ca="1" t="shared" ref="CU5:CU27" si="48">EXP(-CL5*($Z5+CR5))</f>
        <v>0.00156340758046649</v>
      </c>
      <c r="CV5" s="582">
        <f t="shared" ref="CV5:CV27" si="49">EXP(-CL5*($Z5+CS5))</f>
        <v>0</v>
      </c>
      <c r="CW5" s="582">
        <f ca="1" t="shared" ref="CW5:CW27" si="50">CM5*CQ5+CN5*(CQ5-CR5)</f>
        <v>240756.372212361</v>
      </c>
      <c r="CX5" s="582">
        <f ca="1" t="shared" ref="CX5:CX27" si="51">(CM5*CR5*CQ5/(CQ5-CS5)+CN5*CR5)/(CR5-CS5)+CO5</f>
        <v>6.19327864964153e-11</v>
      </c>
      <c r="CY5" s="582">
        <f ca="1" t="shared" ref="CY5:CY27" si="52">IF(CR5=0,0,CR5/(CR5-CQ5))</f>
        <v>1.00003053411151</v>
      </c>
      <c r="CZ5" s="580">
        <f ca="1" t="shared" ref="CZ5:CZ27" si="53">CM5*CT5</f>
        <v>2649277230219.74</v>
      </c>
      <c r="DA5" s="580">
        <f ca="1" t="shared" ref="DA5:DA27" si="54">CQ5/(CR5-CQ5)*CZ5+(CN5-CM5*CQ5/(CR5-CQ5))*CU5</f>
        <v>26769081.4501282</v>
      </c>
      <c r="DB5" s="586">
        <f ca="1" t="shared" ref="DB5:DB27" si="55">CV5*CX5+CY5*(CU5*CW5/(CR5-CS5)-CZ5*CQ5/(CQ5-CS5))</f>
        <v>1.60849096466937e-13</v>
      </c>
      <c r="DC5" s="594">
        <f ca="1" t="shared" ref="DC5:DC27" si="56">(CM5+CN5+CO5+CP5)*EXP(-$Z5*CL5)-CZ5-DA5-DB5</f>
        <v>10856488.7876648</v>
      </c>
      <c r="DD5" s="580">
        <f ca="1" t="shared" ref="DD5:DD27" si="57">CM5*CQ5/($Z5+CQ5)*(1-CT5)</f>
        <v>2285835517.79091</v>
      </c>
      <c r="DE5" s="580">
        <f ca="1" t="shared" ref="DE5:DE27" si="58">CY5*(DD5-(1-CU5)*CW5/($Z5+CR5))</f>
        <v>142808229.050885</v>
      </c>
      <c r="DF5" s="595">
        <f ca="1" t="shared" ref="DF5:DF27" si="59">CS5*(1-CV5)*CX5/($Z5+CS5)+CS5*CY5*((1-CU5)*CW5/($Z5+CR5)/(CR5-CS5)-DD5/(CQ5-CS5))</f>
        <v>142808229.050885</v>
      </c>
      <c r="DG5" s="596">
        <f>DG$3*3600</f>
        <v>86400</v>
      </c>
      <c r="DH5" s="580">
        <f ca="1" t="shared" ref="DH5:DK5" si="60">CZ5</f>
        <v>2649277230219.74</v>
      </c>
      <c r="DI5" s="580">
        <f ca="1" t="shared" si="60"/>
        <v>26769081.4501282</v>
      </c>
      <c r="DJ5" s="581">
        <f ca="1" t="shared" si="60"/>
        <v>1.60849096466937e-13</v>
      </c>
      <c r="DK5" s="580">
        <f ca="1" t="shared" si="60"/>
        <v>10856488.7876648</v>
      </c>
      <c r="DL5" s="580">
        <f ca="1">MAX(INDIRECT("'"&amp;$B$2&amp;"-事故进程'!AB"&amp;(ROW()+22)),INDIRECT("'"&amp;$B$2&amp;"-事故进程'!AC"&amp;(ROW()+22)))</f>
        <v>3.10187632066041e-10</v>
      </c>
      <c r="DM5" s="580">
        <f ca="1">SUM(DL$3,-LN(1-DM$3)/DG5)</f>
        <v>1.01371476497628e-6</v>
      </c>
      <c r="DN5" s="580">
        <f>DN$3/24/3600</f>
        <v>1157407407407410</v>
      </c>
      <c r="DO5" s="582">
        <f ca="1" t="shared" ref="DO5:DO27" si="61">EXP(-DG5*($Z5+DL5))</f>
        <v>0.000112733759797675</v>
      </c>
      <c r="DP5" s="582">
        <f ca="1" t="shared" ref="DP5:DP27" si="62">EXP(-DG5*($Z5+DM5))</f>
        <v>0.000103282791563547</v>
      </c>
      <c r="DQ5" s="582">
        <f t="shared" ref="DQ5:DQ27" si="63">EXP(-DG5*($Z5+DN5))</f>
        <v>0</v>
      </c>
      <c r="DR5" s="582">
        <f ca="1" t="shared" ref="DR5:DR27" si="64">DH5*DL5+DI5*(DL5-DM5)</f>
        <v>794.64512105548</v>
      </c>
      <c r="DS5" s="582">
        <f ca="1" t="shared" ref="DS5:DS27" si="65">(DH5*DM5*DL5/(DL5-DN5)+DI5*DM5)/(DM5-DN5)+DJ5</f>
        <v>1.37403408339165e-13</v>
      </c>
      <c r="DT5" s="582">
        <f ca="1" t="shared" ref="DT5:DT27" si="66">IF(DM5=0,0,DM5/(DM5-DL5))</f>
        <v>1.00030608469608</v>
      </c>
      <c r="DU5" s="580">
        <f ca="1" t="shared" ref="DU5:DU27" si="67">DH5*DO5</f>
        <v>298662982.90904</v>
      </c>
      <c r="DV5" s="580">
        <f ca="1" t="shared" ref="DV5:DV27" si="68">DL5/(DM5-DL5)*DU5+(DI5-DH5*DL5/(DM5-DL5))*DP5</f>
        <v>10428.6059937374</v>
      </c>
      <c r="DW5" s="586">
        <f ca="1" t="shared" ref="DW5:DW27" si="69">DQ5*DS5+DT5*(DP5*DR5/(DM5-DN5)-DU5*DL5/(DL5-DN5))</f>
        <v>9.13388993911154e-18</v>
      </c>
      <c r="DX5" s="594">
        <f ca="1" t="shared" ref="DX5:DX27" si="70">(DH5+DI5+DJ5+DK5)*EXP(-$Z5*DG5)-DU5-DV5-DW5</f>
        <v>1817.51802379923</v>
      </c>
      <c r="DY5" s="580">
        <f ca="1" t="shared" ref="DY5:DY27" si="71">DH5*DL5/($Z5+DL5)*(1-DO5)</f>
        <v>7809617.63469313</v>
      </c>
      <c r="DZ5" s="580">
        <f ca="1" t="shared" ref="DZ5:DZ27" si="72">DT5*(DY5-(1-DP5)*DR5/($Z5+DM5))</f>
        <v>329880.945167441</v>
      </c>
      <c r="EA5" s="595">
        <f ca="1" t="shared" ref="EA5:EA27" si="73">DN5*(1-DQ5)*DS5/($Z5+DN5)+DN5*DT5*((1-DP5)*DR5/($Z5+DM5)/(DM5-DN5)-DY5/(DL5-DN5))</f>
        <v>329880.94516744</v>
      </c>
      <c r="EB5" s="596">
        <f>EB$3*3600</f>
        <v>172800</v>
      </c>
      <c r="EC5" s="580">
        <f ca="1" t="shared" ref="EC5:EF5" si="74">DU5</f>
        <v>298662982.90904</v>
      </c>
      <c r="ED5" s="580">
        <f ca="1" t="shared" si="74"/>
        <v>10428.6059937374</v>
      </c>
      <c r="EE5" s="581">
        <f ca="1" t="shared" si="74"/>
        <v>9.13388993911154e-18</v>
      </c>
      <c r="EF5" s="580">
        <f ca="1" t="shared" si="74"/>
        <v>1817.51802379923</v>
      </c>
      <c r="EG5" s="580">
        <f ca="1">MAX(INDIRECT("'"&amp;$B$2&amp;"-事故进程'!AC"&amp;(ROW()+22)),INDIRECT("'"&amp;$B$2&amp;"-事故进程'!AD"&amp;(ROW()+22)),INDIRECT("'"&amp;$B$2&amp;"-事故进程'!AE"&amp;(ROW()+22)))</f>
        <v>3.10187632066041e-10</v>
      </c>
      <c r="EH5" s="580">
        <f ca="1">SUM(EG$3,-LN(1-EH$3)/EB5)</f>
        <v>5.81616658188741e-8</v>
      </c>
      <c r="EI5" s="580">
        <f>EI$3/24/3600</f>
        <v>1157407407407410</v>
      </c>
      <c r="EJ5" s="582">
        <f ca="1" t="shared" ref="EJ5:EJ27" si="75">EXP(-EB5*($Z5+EG5))</f>
        <v>1.27089005981198e-8</v>
      </c>
      <c r="EK5" s="582">
        <f ca="1" t="shared" ref="EK5:EK27" si="76">EXP(-EB5*($Z5+EH5))</f>
        <v>1.25824860006339e-8</v>
      </c>
      <c r="EL5" s="582">
        <f t="shared" ref="EL5:EL27" si="77">EXP(-EB5*($Z5+EI5))</f>
        <v>0</v>
      </c>
      <c r="EM5" s="582">
        <f ca="1" t="shared" ref="EM5:EM27" si="78">EC5*EG5+ED5*(EG5-EH5)</f>
        <v>0.0920382531821701</v>
      </c>
      <c r="EN5" s="582">
        <f ca="1" t="shared" ref="EN5:EN27" si="79">(EC5*EH5*EG5/(EG5-EI5)+ED5*EH5)/(EH5-EI5)+EE5</f>
        <v>8.60983497550704e-18</v>
      </c>
      <c r="EO5" s="582">
        <f ca="1" t="shared" ref="EO5:EO27" si="80">IF(EH5=0,0,EH5/(EH5-EG5))</f>
        <v>1.00536179267649</v>
      </c>
      <c r="EP5" s="580">
        <f ca="1" t="shared" ref="EP5:EP27" si="81">EC5*EJ5</f>
        <v>3.79567816212893</v>
      </c>
      <c r="EQ5" s="580">
        <f ca="1" t="shared" ref="EQ5:EQ27" si="82">EG5/(EH5-EG5)*EP5+(ED5-EC5*EG5/(EH5-EG5))*EK5</f>
        <v>0.000333654205788358</v>
      </c>
      <c r="ER5" s="586">
        <f ca="1" t="shared" ref="ER5:ER27" si="83">EL5*EN5+EO5*(EK5*EM5/(EH5-EI5)-EP5*EG5/(EG5-EI5))</f>
        <v>1.67666841355313e-26</v>
      </c>
      <c r="ES5" s="594">
        <f ca="1" t="shared" ref="ES5:ES27" si="84">(EC5+ED5+EE5+EF5)*EXP(-$Z5*EB5)-EP5-EQ5-ER5</f>
        <v>2.54443163549729e-5</v>
      </c>
      <c r="ET5" s="580">
        <f ca="1" t="shared" ref="ET5:ET27" si="85">EC5*EG5/($Z5+EG5)*(1-EJ5)</f>
        <v>880.506810195406</v>
      </c>
      <c r="EU5" s="580">
        <f ca="1" t="shared" ref="EU5:EU27" si="86">EO5*(ET5-(1-EK5)*EM5/($Z5+EH5))</f>
        <v>6.24817923817801</v>
      </c>
      <c r="EV5" s="595">
        <f ca="1" t="shared" ref="EV5:EV27" si="87">EI5*(1-EL5)*EN5/($Z5+EI5)+EI5*EO5*((1-EK5)*EM5/($Z5+EH5)/(EH5-EI5)-ET5/(EG5-EI5))</f>
        <v>6.24817923817797</v>
      </c>
      <c r="EW5" s="596">
        <f>EW$3*3600</f>
        <v>2246400</v>
      </c>
      <c r="EX5" s="580">
        <f ca="1" t="shared" ref="EX5:FA5" si="88">EP5</f>
        <v>3.79567816212893</v>
      </c>
      <c r="EY5" s="580">
        <f ca="1" t="shared" si="88"/>
        <v>0.000333654205788358</v>
      </c>
      <c r="EZ5" s="581">
        <f ca="1" t="shared" si="88"/>
        <v>1.67666841355313e-26</v>
      </c>
      <c r="FA5" s="580">
        <f ca="1" t="shared" si="88"/>
        <v>2.54443163549729e-5</v>
      </c>
      <c r="FB5" s="580">
        <f ca="1">INDIRECT("'"&amp;$B$2&amp;"-事故进程'!AE"&amp;(ROW()+22))</f>
        <v>2.24729259278157e-10</v>
      </c>
      <c r="FC5" s="580">
        <f ca="1">SUM(FB$3,-LN(1-FC$3)/EW5)</f>
        <v>4.47397429375955e-9</v>
      </c>
      <c r="FD5" s="580">
        <f>FD$3/24/3600</f>
        <v>1157407407407410</v>
      </c>
      <c r="FE5" s="582">
        <f ca="1" t="shared" ref="FE5:FE27" si="89">EXP(-EW5*($Z5+FB5))</f>
        <v>2.25676922528196e-103</v>
      </c>
      <c r="FF5" s="582">
        <f ca="1" t="shared" ref="FF5:FF27" si="90">EXP(-EW5*($Z5+FC5))</f>
        <v>2.23532971377545e-103</v>
      </c>
      <c r="FG5" s="582">
        <f t="shared" ref="FG5:FG27" si="91">EXP(-EW5*($Z5+FD5))</f>
        <v>0</v>
      </c>
      <c r="FH5" s="582">
        <f ca="1" t="shared" ref="FH5:FH27" si="92">EX5*FB5+EY5*(FB5-FC5)</f>
        <v>8.51582163356333e-10</v>
      </c>
      <c r="FI5" s="582">
        <f ca="1" t="shared" ref="FI5:FI27" si="93">(EX5*FC5*FB5/(FB5-FD5)+EY5*FC5)/(FC5-FD5)+EZ5</f>
        <v>1.54769392020289e-26</v>
      </c>
      <c r="FJ5" s="582">
        <f ca="1" t="shared" ref="FJ5:FJ27" si="94">IF(FC5=0,0,FC5/(FC5-FB5))</f>
        <v>1.05288686753871</v>
      </c>
      <c r="FK5" s="580">
        <f ca="1" t="shared" ref="FK5:FK27" si="95">EX5*FE5</f>
        <v>8.56596966536736e-103</v>
      </c>
      <c r="FL5" s="580">
        <f ca="1" t="shared" ref="FL5:FL27" si="96">FB5/(FC5-FB5)*FK5+(EY5-EX5*FB5/(FC5-FB5))*FF5</f>
        <v>5.04962746357678e-106</v>
      </c>
      <c r="FM5" s="586">
        <f ca="1" t="shared" ref="FM5:FM27" si="97">FG5*FI5+FJ5*(FF5*FH5/(FC5-FD5)-FK5*FB5/(FB5-FD5))</f>
        <v>1.95194045938505e-129</v>
      </c>
      <c r="FN5" s="594">
        <f ca="1" t="shared" ref="FN5:FN27" si="98">(EX5+EY5+EZ5+FA5)*EXP(-$Z5*EW5)-FK5-FL5-FM5</f>
        <v>8.66499286857278e-108</v>
      </c>
      <c r="FO5" s="580">
        <f ca="1" t="shared" ref="FO5:FO27" si="99">EX5*FB5/($Z5+FB5)*(1-FE5)</f>
        <v>8.10729924526333e-6</v>
      </c>
      <c r="FP5" s="580">
        <f ca="1" t="shared" ref="FP5:FP27" si="100">FJ5*(FO5-(1-FF5)*FH5/($Z5+FC5))</f>
        <v>1.45320301558967e-8</v>
      </c>
      <c r="FQ5" s="595">
        <f ca="1" t="shared" ref="FQ5:FQ27" si="101">FD5*(1-FG5)*FI5/($Z5+FD5)+FD5*FJ5*((1-FF5)*FH5/($Z5+FC5)/(FC5-FD5)-FO5/(FB5-FD5))</f>
        <v>1.45320301558961e-8</v>
      </c>
      <c r="FR5" s="608" t="str">
        <f t="shared" ref="FR5:FR27" si="102">G5</f>
        <v>Kr-83m</v>
      </c>
      <c r="FS5" s="609">
        <v>5560000000</v>
      </c>
      <c r="FT5" s="610">
        <v>3000000000</v>
      </c>
      <c r="FU5" s="610">
        <v>217000000</v>
      </c>
      <c r="FV5" s="610">
        <v>395000</v>
      </c>
      <c r="FW5" s="610">
        <v>8780000000</v>
      </c>
      <c r="FX5" s="614">
        <f ca="1" t="shared" ref="FX5:FX26" si="103">H5/FS5</f>
        <v>0</v>
      </c>
      <c r="FY5" s="614">
        <f ca="1" t="shared" ref="FY5:FY23" si="104">(I5+J5)/FT5</f>
        <v>5.36381071759837</v>
      </c>
      <c r="FZ5" s="614">
        <f ca="1" t="shared" ref="FZ5:FZ23" si="105">K5/FU5</f>
        <v>0.658102438022513</v>
      </c>
      <c r="GA5" s="614">
        <f ca="1" t="shared" ref="GA5:GA23" si="106">L5/FV5</f>
        <v>0.835157451510579</v>
      </c>
      <c r="GB5" s="614">
        <f ca="1" t="shared" ref="GB5:GB26" si="107">SUM(H5:L5)/FW5</f>
        <v>1.84903989396803</v>
      </c>
      <c r="GC5" s="455">
        <f ca="1" t="shared" ref="GC5:GC26" si="108">N5/FW5</f>
        <v>1.84903989396803</v>
      </c>
      <c r="GE5" s="609">
        <v>1129063323.15744</v>
      </c>
      <c r="GF5" s="610">
        <v>140440921.932809</v>
      </c>
      <c r="GG5" s="610">
        <v>12115600.5687868</v>
      </c>
      <c r="GH5" s="610">
        <v>33581.6637031985</v>
      </c>
      <c r="GI5" s="610">
        <v>57.1973546594997</v>
      </c>
      <c r="GJ5" s="610">
        <v>4.31110717077839e-8</v>
      </c>
      <c r="GK5" s="617">
        <v>1281653484.52009</v>
      </c>
      <c r="GL5" s="614">
        <f ca="1" t="shared" ref="GL5:GL27" si="109">H5/GE5</f>
        <v>0</v>
      </c>
      <c r="GM5" s="614">
        <f ca="1" t="shared" ref="GM5:GM27" si="110">(I5+J5)/GF5</f>
        <v>114.577944457625</v>
      </c>
      <c r="GN5" s="614">
        <f ca="1" t="shared" ref="GN5:GN27" si="111">K5/GG5</f>
        <v>11.7871357874573</v>
      </c>
      <c r="GO5" s="614">
        <f ca="1" t="shared" ref="GO5:GO27" si="112">L5/(GH5+GI5)</f>
        <v>9.80672897275805</v>
      </c>
      <c r="GP5" s="614">
        <f ca="1" t="shared" ref="GP5:GP27" si="113">M5/GJ5</f>
        <v>0.337083481811757</v>
      </c>
      <c r="GQ5" s="614">
        <f ca="1" t="shared" ref="GQ5:GQ27" si="114">N5/GK5</f>
        <v>12.6668951203439</v>
      </c>
      <c r="GR5" s="451">
        <f t="shared" ref="GR5:GR27" si="115">Z5</f>
        <v>0.000105213597534903</v>
      </c>
      <c r="GS5" s="390">
        <f t="shared" ref="GS5:GS27" si="116">LN(2)/GR5</f>
        <v>6588.00000000004</v>
      </c>
    </row>
    <row r="6" spans="1:201">
      <c r="A6" s="413"/>
      <c r="B6" s="407" t="s">
        <v>250</v>
      </c>
      <c r="C6" s="414">
        <v>4.31</v>
      </c>
      <c r="D6" s="409" t="s">
        <v>251</v>
      </c>
      <c r="E6" s="410"/>
      <c r="G6" s="411" t="s">
        <v>47</v>
      </c>
      <c r="H6" s="412">
        <f ca="1" t="shared" si="1"/>
        <v>0</v>
      </c>
      <c r="I6" s="412">
        <f ca="1" t="shared" si="2"/>
        <v>1078692015.25377</v>
      </c>
      <c r="J6" s="412">
        <f ca="1" t="shared" si="3"/>
        <v>8927387.16117406</v>
      </c>
      <c r="K6" s="412">
        <f ca="1" t="shared" si="4"/>
        <v>132795882.378559</v>
      </c>
      <c r="L6" s="412">
        <f ca="1" t="shared" si="5"/>
        <v>169474745.636445</v>
      </c>
      <c r="M6" s="412">
        <f ca="1" t="shared" si="6"/>
        <v>229903483.32428</v>
      </c>
      <c r="N6" s="412">
        <f ca="1" t="shared" si="7"/>
        <v>1619793513.75423</v>
      </c>
      <c r="O6" s="450">
        <f ca="1" t="shared" si="8"/>
        <v>0</v>
      </c>
      <c r="P6" s="451"/>
      <c r="Q6" s="477" t="str">
        <f t="shared" si="0"/>
        <v>Kr-85</v>
      </c>
      <c r="R6" s="412">
        <f ca="1" t="shared" si="9"/>
        <v>0</v>
      </c>
      <c r="S6" s="412">
        <f ca="1">I6*(1-过滤效率!$B3)</f>
        <v>1078692015.25377</v>
      </c>
      <c r="T6" s="412">
        <f ca="1">J6*(1-过滤效率!$B3)</f>
        <v>8927387.16117406</v>
      </c>
      <c r="U6" s="412">
        <f ca="1">K6*(1-过滤效率!$B3)</f>
        <v>132795882.378559</v>
      </c>
      <c r="V6" s="412">
        <f ca="1">L6*(1-过滤效率!$B3)</f>
        <v>169474745.636445</v>
      </c>
      <c r="W6" s="412">
        <f ca="1">M6*(1-过滤效率!$B3)</f>
        <v>229903483.32428</v>
      </c>
      <c r="X6" s="412">
        <f ca="1" t="shared" si="10"/>
        <v>1619793513.75423</v>
      </c>
      <c r="Y6" s="493"/>
      <c r="Z6" s="494">
        <f>VLOOKUP(G6,衰变常数!$A$1:$H$3800,7,FALSE)</f>
        <v>2.04207062814938e-9</v>
      </c>
      <c r="AA6" s="495">
        <f>正常源项!C3</f>
        <v>1860000000000000</v>
      </c>
      <c r="AB6" s="496">
        <f>正常源项!F3</f>
        <v>0</v>
      </c>
      <c r="AC6" s="496">
        <f>正常源项!I3</f>
        <v>46200000</v>
      </c>
      <c r="AD6" s="496">
        <f>正常源项!L3</f>
        <v>1030000000</v>
      </c>
      <c r="AE6" s="496"/>
      <c r="AF6" s="498"/>
      <c r="AG6" s="519"/>
      <c r="AH6" s="518"/>
      <c r="AI6" s="519"/>
      <c r="AJ6" s="521">
        <v>0.00066</v>
      </c>
      <c r="AK6" s="521">
        <v>5.457e-5</v>
      </c>
      <c r="AL6" s="522">
        <f>AA6*(AJ6-AK6)*0.00000209</f>
        <v>2353548.582</v>
      </c>
      <c r="AM6" s="522">
        <f>(0.00016*10%+0.00026*30%)/2*AA6</f>
        <v>87420000000</v>
      </c>
      <c r="AN6" s="519">
        <f ca="1">MAX(INDIRECT("'"&amp;$B$2&amp;"-事故进程'!Y"&amp;(ROW()+22)),INDIRECT("'"&amp;$B$2&amp;"-事故进程'!Z"&amp;(ROW()+22)),INDIRECT("'"&amp;$B$2&amp;"-事故进程'!AA"&amp;(ROW()+22)))</f>
        <v>2.22353e-13</v>
      </c>
      <c r="AO6" s="519">
        <f ca="1" t="shared" si="13"/>
        <v>0</v>
      </c>
      <c r="AP6" s="560">
        <f t="shared" si="14"/>
        <v>1860000000000000</v>
      </c>
      <c r="AQ6" s="561">
        <f ca="1">(AC6*$C$5+AD6*$C$8+AF6+AG6+AI6+(AL6+AM6)*$C$10)*EXP(-Z6*$C$12*3600)+AO6*$C$11</f>
        <v>1076200000</v>
      </c>
      <c r="AR6" s="562">
        <f ca="1">AQ6*(1-AR$3)</f>
        <v>1076200000</v>
      </c>
      <c r="AS6" s="563">
        <f ca="1" t="shared" si="15"/>
        <v>0</v>
      </c>
      <c r="AT6" s="562">
        <f ca="1">AS6*(1-AT$3)</f>
        <v>0</v>
      </c>
      <c r="AU6" s="564">
        <f ca="1" t="shared" si="16"/>
        <v>0</v>
      </c>
      <c r="AV6" s="565">
        <f>AV$3*3600</f>
        <v>7200</v>
      </c>
      <c r="AW6" s="580">
        <f>AP6*EXP(-Z6*AW$3*3600)</f>
        <v>1860000000000000</v>
      </c>
      <c r="AX6" s="580">
        <f ca="1" t="shared" si="17"/>
        <v>1076200000</v>
      </c>
      <c r="AY6" s="581">
        <f ca="1" t="shared" si="18"/>
        <v>0</v>
      </c>
      <c r="AZ6" s="580">
        <v>0</v>
      </c>
      <c r="BA6" s="580">
        <f ca="1">MAX(INDIRECT("'"&amp;$B$2&amp;"-事故进程'!Y"&amp;(ROW()+22)),INDIRECT("'"&amp;$B$2&amp;"-事故进程'!Z"&amp;(ROW()+22)))</f>
        <v>2.047507e-13</v>
      </c>
      <c r="BB6" s="580">
        <f ca="1">SUM(BA$3,-LN(1-BB$3)/AV6)</f>
        <v>0.00160041330566996</v>
      </c>
      <c r="BC6" s="580">
        <f>BC$3/24/3600</f>
        <v>1157407407407410</v>
      </c>
      <c r="BD6" s="582">
        <f ca="1" t="shared" si="19"/>
        <v>0.999985295725381</v>
      </c>
      <c r="BE6" s="582">
        <f ca="1" t="shared" si="20"/>
        <v>9.89985444227571e-6</v>
      </c>
      <c r="BF6" s="582">
        <f t="shared" si="21"/>
        <v>0</v>
      </c>
      <c r="BG6" s="582">
        <f ca="1" t="shared" si="22"/>
        <v>-1721983.96303966</v>
      </c>
      <c r="BH6" s="582">
        <f ca="1" t="shared" si="23"/>
        <v>-1.48812318682158e-9</v>
      </c>
      <c r="BI6" s="582">
        <f ca="1" t="shared" si="24"/>
        <v>1.00000000012794</v>
      </c>
      <c r="BJ6" s="580">
        <f ca="1" t="shared" si="25"/>
        <v>1859972650049210</v>
      </c>
      <c r="BK6" s="580">
        <f ca="1" t="shared" si="26"/>
        <v>248609.588101869</v>
      </c>
      <c r="BL6" s="586">
        <f ca="1" t="shared" si="27"/>
        <v>3.4376667210607e-13</v>
      </c>
      <c r="BM6" s="594">
        <f ca="1" t="shared" si="28"/>
        <v>1078677548.1619</v>
      </c>
      <c r="BN6" s="580">
        <f ca="1" t="shared" si="29"/>
        <v>2742001.21463191</v>
      </c>
      <c r="BO6" s="580">
        <f ca="1" t="shared" si="30"/>
        <v>1078692015.25377</v>
      </c>
      <c r="BP6" s="595">
        <f ca="1" t="shared" si="31"/>
        <v>1078692015.25377</v>
      </c>
      <c r="BQ6" s="596">
        <f>BQ$3*3600</f>
        <v>21600</v>
      </c>
      <c r="BR6" s="580">
        <f ca="1" t="shared" ref="BR6:BU6" si="117">BJ6</f>
        <v>1859972650049210</v>
      </c>
      <c r="BS6" s="580">
        <f ca="1" t="shared" si="117"/>
        <v>248609.588101869</v>
      </c>
      <c r="BT6" s="581">
        <f ca="1" t="shared" si="117"/>
        <v>3.4376667210607e-13</v>
      </c>
      <c r="BU6" s="580">
        <f ca="1" t="shared" si="117"/>
        <v>1078677548.1619</v>
      </c>
      <c r="BV6" s="580">
        <f ca="1">MAX(INDIRECT("'"&amp;$B$2&amp;"-事故进程'!Z"&amp;(ROW()+22)),INDIRECT("'"&amp;$B$2&amp;"-事故进程'!AA"&amp;(ROW()+22)))</f>
        <v>2.22353e-13</v>
      </c>
      <c r="BW6" s="580">
        <f ca="1">SUM(BV$3,-LN(1-BW$3)/BQ6)</f>
        <v>0.00162728102077123</v>
      </c>
      <c r="BX6" s="580">
        <f>BX$3/24/3600</f>
        <v>1157407407407410</v>
      </c>
      <c r="BY6" s="582">
        <f ca="1" t="shared" si="33"/>
        <v>0.999955887444595</v>
      </c>
      <c r="BZ6" s="582">
        <f ca="1" t="shared" si="34"/>
        <v>5.43058753918505e-16</v>
      </c>
      <c r="CA6" s="582">
        <f t="shared" si="35"/>
        <v>0</v>
      </c>
      <c r="CB6" s="582">
        <f ca="1" t="shared" si="36"/>
        <v>9.01283441174678</v>
      </c>
      <c r="CC6" s="582">
        <f ca="1" t="shared" si="37"/>
        <v>-5.77114984906407e-15</v>
      </c>
      <c r="CD6" s="582">
        <f ca="1" t="shared" si="38"/>
        <v>1.00000000013664</v>
      </c>
      <c r="CE6" s="580">
        <f ca="1" t="shared" si="39"/>
        <v>1859890601902630</v>
      </c>
      <c r="CF6" s="580">
        <f ca="1" t="shared" si="40"/>
        <v>254136.962075159</v>
      </c>
      <c r="CG6" s="586">
        <f ca="1" t="shared" si="41"/>
        <v>3.57309148373018e-13</v>
      </c>
      <c r="CH6" s="594">
        <f ca="1" t="shared" si="42"/>
        <v>1087557160.53792</v>
      </c>
      <c r="CI6" s="580">
        <f ca="1" t="shared" si="43"/>
        <v>8932925.73810178</v>
      </c>
      <c r="CJ6" s="580">
        <f ca="1" t="shared" si="44"/>
        <v>8927387.16117406</v>
      </c>
      <c r="CK6" s="595">
        <f ca="1" t="shared" si="45"/>
        <v>8927387.16117406</v>
      </c>
      <c r="CL6" s="596">
        <f>CL$3*3600</f>
        <v>57600</v>
      </c>
      <c r="CM6" s="580">
        <f ca="1" t="shared" ref="CM6:CP6" si="118">CE6</f>
        <v>1859890601902630</v>
      </c>
      <c r="CN6" s="580">
        <f ca="1" t="shared" si="118"/>
        <v>254136.962075159</v>
      </c>
      <c r="CO6" s="581">
        <f ca="1" t="shared" si="118"/>
        <v>3.57309148373018e-13</v>
      </c>
      <c r="CP6" s="580">
        <f ca="1" t="shared" si="118"/>
        <v>1087557160.53792</v>
      </c>
      <c r="CQ6" s="580">
        <f ca="1">MAX(INDIRECT("'"&amp;$B$2&amp;"-事故进程'!AA"&amp;(ROW()+22)),INDIRECT("'"&amp;$B$2&amp;"-事故进程'!AB"&amp;(ROW()+22)))</f>
        <v>7.0381727e-12</v>
      </c>
      <c r="CR6" s="580">
        <f ca="1">SUM(CQ$3,-LN(1-CR$3)/CL6)</f>
        <v>6.95458811586267e-6</v>
      </c>
      <c r="CS6" s="580">
        <f>CS$3/24/3600</f>
        <v>1157407407407410</v>
      </c>
      <c r="CT6" s="582">
        <f ca="1" t="shared" si="47"/>
        <v>0.99988197829818</v>
      </c>
      <c r="CU6" s="582">
        <f ca="1" t="shared" si="48"/>
        <v>0.669849714320605</v>
      </c>
      <c r="CV6" s="582">
        <f t="shared" si="49"/>
        <v>0</v>
      </c>
      <c r="CW6" s="582">
        <f ca="1" t="shared" si="50"/>
        <v>13088.4638431901</v>
      </c>
      <c r="CX6" s="582">
        <f ca="1" t="shared" si="51"/>
        <v>3.55782099310659e-13</v>
      </c>
      <c r="CY6" s="582">
        <f ca="1" t="shared" si="52"/>
        <v>1.00000101201965</v>
      </c>
      <c r="CZ6" s="580">
        <f ca="1" t="shared" si="53"/>
        <v>1859671094448600</v>
      </c>
      <c r="DA6" s="580">
        <f ca="1" t="shared" si="54"/>
        <v>621372087.462409</v>
      </c>
      <c r="DB6" s="586">
        <f ca="1" t="shared" si="55"/>
        <v>3.73367831183555e-12</v>
      </c>
      <c r="DC6" s="594">
        <f ca="1" t="shared" si="56"/>
        <v>1220219751.03759</v>
      </c>
      <c r="DD6" s="580">
        <f ca="1" t="shared" si="57"/>
        <v>753952825.636829</v>
      </c>
      <c r="DE6" s="580">
        <f ca="1" t="shared" si="58"/>
        <v>132795882.378559</v>
      </c>
      <c r="DF6" s="595">
        <f ca="1" t="shared" si="59"/>
        <v>132795882.378559</v>
      </c>
      <c r="DG6" s="596">
        <f>DG$3*3600</f>
        <v>86400</v>
      </c>
      <c r="DH6" s="580">
        <f ca="1" t="shared" ref="DH6:DK6" si="119">CZ6</f>
        <v>1859671094448600</v>
      </c>
      <c r="DI6" s="580">
        <f ca="1" t="shared" si="119"/>
        <v>621372087.462409</v>
      </c>
      <c r="DJ6" s="581">
        <f ca="1" t="shared" si="119"/>
        <v>3.73367831183555e-12</v>
      </c>
      <c r="DK6" s="580">
        <f ca="1" t="shared" si="119"/>
        <v>1220219751.03759</v>
      </c>
      <c r="DL6" s="580">
        <f ca="1">MAX(INDIRECT("'"&amp;$B$2&amp;"-事故进程'!AB"&amp;(ROW()+22)),INDIRECT("'"&amp;$B$2&amp;"-事故进程'!AC"&amp;(ROW()+22)))</f>
        <v>1.11891224e-11</v>
      </c>
      <c r="DM6" s="580">
        <f ca="1">SUM(DL$3,-LN(1-DM$3)/DG6)</f>
        <v>1.01371476497628e-6</v>
      </c>
      <c r="DN6" s="580">
        <f>DN$3/24/3600</f>
        <v>1157407407407410</v>
      </c>
      <c r="DO6" s="582">
        <f ca="1" t="shared" si="61"/>
        <v>0.999822614092293</v>
      </c>
      <c r="DP6" s="582">
        <f ca="1" t="shared" si="62"/>
        <v>0.915979411951367</v>
      </c>
      <c r="DQ6" s="582">
        <f t="shared" si="63"/>
        <v>0</v>
      </c>
      <c r="DR6" s="582">
        <f ca="1" t="shared" si="64"/>
        <v>20178.2003925309</v>
      </c>
      <c r="DS6" s="582">
        <f ca="1" t="shared" si="65"/>
        <v>3.18944984433703e-12</v>
      </c>
      <c r="DT6" s="582">
        <f ca="1" t="shared" si="66"/>
        <v>1.00001103786419</v>
      </c>
      <c r="DU6" s="580">
        <f ca="1" t="shared" si="67"/>
        <v>1859341215003470</v>
      </c>
      <c r="DV6" s="580">
        <f ca="1" t="shared" si="68"/>
        <v>2290196427.7829</v>
      </c>
      <c r="DW6" s="586">
        <f ca="1" t="shared" si="69"/>
        <v>2.00586752657808e-12</v>
      </c>
      <c r="DX6" s="594">
        <f ca="1" t="shared" si="70"/>
        <v>1348571239.4671</v>
      </c>
      <c r="DY6" s="580">
        <f ca="1" t="shared" si="71"/>
        <v>1797659301.38814</v>
      </c>
      <c r="DZ6" s="580">
        <f ca="1" t="shared" si="72"/>
        <v>128575952.138889</v>
      </c>
      <c r="EA6" s="595">
        <f ca="1" t="shared" si="73"/>
        <v>128575952.138889</v>
      </c>
      <c r="EB6" s="596">
        <f>EB$3*3600</f>
        <v>172800</v>
      </c>
      <c r="EC6" s="580">
        <f ca="1" t="shared" ref="EC6:EF6" si="120">DU6</f>
        <v>1859341215003470</v>
      </c>
      <c r="ED6" s="580">
        <f ca="1" t="shared" si="120"/>
        <v>2290196427.7829</v>
      </c>
      <c r="EE6" s="581">
        <f ca="1" t="shared" si="120"/>
        <v>2.00586752657808e-12</v>
      </c>
      <c r="EF6" s="580">
        <f ca="1" t="shared" si="120"/>
        <v>1348571239.4671</v>
      </c>
      <c r="EG6" s="580">
        <f ca="1">MAX(INDIRECT("'"&amp;$B$2&amp;"-事故进程'!AC"&amp;(ROW()+22)),INDIRECT("'"&amp;$B$2&amp;"-事故进程'!AD"&amp;(ROW()+22)),INDIRECT("'"&amp;$B$2&amp;"-事故进程'!AE"&amp;(ROW()+22)))</f>
        <v>1.11891224e-11</v>
      </c>
      <c r="EH6" s="580">
        <f ca="1">SUM(EG$3,-LN(1-EH$3)/EB6)</f>
        <v>5.81616658188741e-8</v>
      </c>
      <c r="EI6" s="580">
        <f>EI$3/24/3600</f>
        <v>1157407407407410</v>
      </c>
      <c r="EJ6" s="582">
        <f ca="1" t="shared" si="75"/>
        <v>0.999645259650347</v>
      </c>
      <c r="EK6" s="582">
        <f ca="1" t="shared" si="76"/>
        <v>0.989650720522216</v>
      </c>
      <c r="EL6" s="582">
        <f t="shared" si="77"/>
        <v>0</v>
      </c>
      <c r="EM6" s="582">
        <f ca="1" t="shared" si="78"/>
        <v>20671.2204240344</v>
      </c>
      <c r="EN6" s="582">
        <f ca="1" t="shared" si="79"/>
        <v>1.89078131022954e-12</v>
      </c>
      <c r="EO6" s="582">
        <f ca="1" t="shared" si="80"/>
        <v>1.00019241669262</v>
      </c>
      <c r="EP6" s="580">
        <f ca="1" t="shared" si="81"/>
        <v>1858681631650740</v>
      </c>
      <c r="EQ6" s="580">
        <f ca="1" t="shared" si="82"/>
        <v>5842223688.48096</v>
      </c>
      <c r="ER6" s="586">
        <f ca="1" t="shared" si="83"/>
        <v>2.93581551002578e-13</v>
      </c>
      <c r="ES6" s="594">
        <f ca="1" t="shared" si="84"/>
        <v>1388988081.26904</v>
      </c>
      <c r="ET6" s="580">
        <f ca="1" t="shared" si="85"/>
        <v>3594362021.06056</v>
      </c>
      <c r="EU6" s="580">
        <f ca="1" t="shared" si="86"/>
        <v>40898793.497556</v>
      </c>
      <c r="EV6" s="595">
        <f ca="1" t="shared" si="87"/>
        <v>40898793.4975557</v>
      </c>
      <c r="EW6" s="596">
        <f>EW$3*3600</f>
        <v>2246400</v>
      </c>
      <c r="EX6" s="580">
        <f ca="1" t="shared" ref="EX6:FA6" si="121">EP6</f>
        <v>1858681631650740</v>
      </c>
      <c r="EY6" s="580">
        <f ca="1" t="shared" si="121"/>
        <v>5842223688.48096</v>
      </c>
      <c r="EZ6" s="581">
        <f ca="1" t="shared" si="121"/>
        <v>2.93581551002578e-13</v>
      </c>
      <c r="FA6" s="580">
        <f ca="1" t="shared" si="121"/>
        <v>1388988081.26904</v>
      </c>
      <c r="FB6" s="580">
        <f ca="1">INDIRECT("'"&amp;$B$2&amp;"-事故进程'!AE"&amp;(ROW()+22))</f>
        <v>8.2318198e-12</v>
      </c>
      <c r="FC6" s="580">
        <f ca="1">SUM(FB$3,-LN(1-FC$3)/EW6)</f>
        <v>4.47397429375955e-9</v>
      </c>
      <c r="FD6" s="580">
        <f>FD$3/24/3600</f>
        <v>1157407407407410</v>
      </c>
      <c r="FE6" s="582">
        <f ca="1" t="shared" si="89"/>
        <v>0.995404791009702</v>
      </c>
      <c r="FF6" s="582">
        <f ca="1" t="shared" si="90"/>
        <v>0.985468966183817</v>
      </c>
      <c r="FG6" s="582">
        <f t="shared" si="91"/>
        <v>0</v>
      </c>
      <c r="FH6" s="582">
        <f ca="1" t="shared" si="92"/>
        <v>15274.2423908508</v>
      </c>
      <c r="FI6" s="582">
        <f ca="1" t="shared" si="93"/>
        <v>2.70998354771611e-13</v>
      </c>
      <c r="FJ6" s="582">
        <f ca="1" t="shared" si="94"/>
        <v>1.00184332613177</v>
      </c>
      <c r="FK6" s="580">
        <f ca="1" t="shared" si="95"/>
        <v>1850140601106870</v>
      </c>
      <c r="FL6" s="580">
        <f ca="1" t="shared" si="96"/>
        <v>39799020176.166</v>
      </c>
      <c r="FM6" s="586">
        <f ca="1" t="shared" si="97"/>
        <v>1.53843661311823e-13</v>
      </c>
      <c r="FN6" s="594">
        <f ca="1" t="shared" si="98"/>
        <v>1612138090.33398</v>
      </c>
      <c r="FO6" s="580">
        <f ca="1" t="shared" si="99"/>
        <v>34291635565.1317</v>
      </c>
      <c r="FP6" s="580">
        <f ca="1" t="shared" si="100"/>
        <v>229903483.324281</v>
      </c>
      <c r="FQ6" s="595">
        <f ca="1" t="shared" si="101"/>
        <v>229903483.32428</v>
      </c>
      <c r="FR6" s="608" t="str">
        <f t="shared" si="102"/>
        <v>Kr-85</v>
      </c>
      <c r="FS6" s="609">
        <v>1710000000</v>
      </c>
      <c r="FT6" s="610">
        <v>34200000</v>
      </c>
      <c r="FU6" s="610">
        <v>98400000</v>
      </c>
      <c r="FV6" s="610">
        <v>246000000</v>
      </c>
      <c r="FW6" s="610">
        <v>2090000000</v>
      </c>
      <c r="FX6" s="614">
        <f ca="1" t="shared" si="103"/>
        <v>0</v>
      </c>
      <c r="FY6" s="614">
        <f ca="1" t="shared" si="104"/>
        <v>31.8017369127176</v>
      </c>
      <c r="FZ6" s="614">
        <f ca="1" t="shared" si="105"/>
        <v>1.34955165018861</v>
      </c>
      <c r="GA6" s="614">
        <f ca="1" t="shared" si="106"/>
        <v>0.688921730229451</v>
      </c>
      <c r="GB6" s="614">
        <f ca="1" t="shared" si="107"/>
        <v>0.665019153315764</v>
      </c>
      <c r="GC6" s="455">
        <f ca="1" t="shared" si="108"/>
        <v>0.775020819978099</v>
      </c>
      <c r="GE6" s="609">
        <v>344912399.137776</v>
      </c>
      <c r="GF6" s="610">
        <v>48589529.562346</v>
      </c>
      <c r="GG6" s="610">
        <v>104276496.307748</v>
      </c>
      <c r="GH6" s="610">
        <v>150434983.759559</v>
      </c>
      <c r="GI6" s="610">
        <v>286420913.446382</v>
      </c>
      <c r="GJ6" s="610">
        <v>1510069381.54833</v>
      </c>
      <c r="GK6" s="617">
        <v>2444703703.76214</v>
      </c>
      <c r="GL6" s="614">
        <f ca="1" t="shared" si="109"/>
        <v>0</v>
      </c>
      <c r="GM6" s="614">
        <f ca="1" t="shared" si="110"/>
        <v>22.3838224451093</v>
      </c>
      <c r="GN6" s="614">
        <f ca="1" t="shared" si="111"/>
        <v>1.27349773995707</v>
      </c>
      <c r="GO6" s="614">
        <f ca="1" t="shared" si="112"/>
        <v>0.387941988926732</v>
      </c>
      <c r="GP6" s="614">
        <f ca="1" t="shared" si="113"/>
        <v>0.152246967015881</v>
      </c>
      <c r="GQ6" s="614">
        <f ca="1" t="shared" si="114"/>
        <v>0.662572528221533</v>
      </c>
      <c r="GR6" s="451">
        <f t="shared" si="115"/>
        <v>2.04207062814938e-9</v>
      </c>
      <c r="GS6" s="390">
        <f t="shared" si="116"/>
        <v>339433500.000001</v>
      </c>
    </row>
    <row r="7" spans="1:201">
      <c r="A7" s="413"/>
      <c r="B7" s="407" t="s">
        <v>252</v>
      </c>
      <c r="C7" s="415">
        <v>1</v>
      </c>
      <c r="D7" s="409" t="s">
        <v>253</v>
      </c>
      <c r="E7" s="410" t="s">
        <v>254</v>
      </c>
      <c r="G7" s="411" t="s">
        <v>48</v>
      </c>
      <c r="H7" s="412">
        <f ca="1" t="shared" si="1"/>
        <v>0</v>
      </c>
      <c r="I7" s="412">
        <f ca="1" t="shared" si="2"/>
        <v>32524017729.6199</v>
      </c>
      <c r="J7" s="412">
        <f ca="1" t="shared" si="3"/>
        <v>27627801463.5937</v>
      </c>
      <c r="K7" s="412">
        <f ca="1" t="shared" si="4"/>
        <v>6321473664.08902</v>
      </c>
      <c r="L7" s="412">
        <f ca="1" t="shared" si="5"/>
        <v>387151643.154589</v>
      </c>
      <c r="M7" s="412">
        <f ca="1" t="shared" si="6"/>
        <v>144.536970452903</v>
      </c>
      <c r="N7" s="412">
        <f ca="1" t="shared" si="7"/>
        <v>66860444644.9942</v>
      </c>
      <c r="O7" s="450">
        <f ca="1" t="shared" si="8"/>
        <v>0</v>
      </c>
      <c r="P7" s="451"/>
      <c r="Q7" s="477" t="str">
        <f t="shared" si="0"/>
        <v>Kr-85m</v>
      </c>
      <c r="R7" s="412">
        <f ca="1" t="shared" si="9"/>
        <v>0</v>
      </c>
      <c r="S7" s="412">
        <f ca="1">I7*(1-过滤效率!$B4)</f>
        <v>32524017729.6199</v>
      </c>
      <c r="T7" s="412">
        <f ca="1">J7*(1-过滤效率!$B4)</f>
        <v>27627801463.5937</v>
      </c>
      <c r="U7" s="412">
        <f ca="1">K7*(1-过滤效率!$B4)</f>
        <v>6321473664.08902</v>
      </c>
      <c r="V7" s="412">
        <f ca="1">L7*(1-过滤效率!$B4)</f>
        <v>387151643.154589</v>
      </c>
      <c r="W7" s="412">
        <f ca="1">M7*(1-过滤效率!$B4)</f>
        <v>144.536970452903</v>
      </c>
      <c r="X7" s="412">
        <f ca="1" t="shared" si="10"/>
        <v>66860444644.9942</v>
      </c>
      <c r="Y7" s="493"/>
      <c r="Z7" s="494">
        <f>VLOOKUP(G7,衰变常数!$A$1:$H$3800,7,FALSE)</f>
        <v>4.29778757787664e-5</v>
      </c>
      <c r="AA7" s="495">
        <f>正常源项!C4</f>
        <v>6.59e+16</v>
      </c>
      <c r="AB7" s="496">
        <f>正常源项!F4</f>
        <v>0</v>
      </c>
      <c r="AC7" s="496">
        <f>正常源项!I4</f>
        <v>17900000000</v>
      </c>
      <c r="AD7" s="496">
        <f>正常源项!L4</f>
        <v>1580000000</v>
      </c>
      <c r="AE7" s="497"/>
      <c r="AF7" s="498"/>
      <c r="AG7" s="483"/>
      <c r="AH7" s="518"/>
      <c r="AI7" s="483"/>
      <c r="AJ7" s="521"/>
      <c r="AK7" s="521"/>
      <c r="AL7" s="519">
        <f t="shared" si="11"/>
        <v>9641170</v>
      </c>
      <c r="AM7" s="520">
        <f t="shared" si="12"/>
        <v>276780000000</v>
      </c>
      <c r="AN7" s="519">
        <f ca="1">MAX(INDIRECT("'"&amp;$B$2&amp;"-事故进程'!Y"&amp;(ROW()+22)),INDIRECT("'"&amp;$B$2&amp;"-事故进程'!Z"&amp;(ROW()+22)),INDIRECT("'"&amp;$B$2&amp;"-事故进程'!AA"&amp;(ROW()+22)))</f>
        <v>4.07367032121221e-11</v>
      </c>
      <c r="AO7" s="519">
        <f ca="1" t="shared" si="13"/>
        <v>0</v>
      </c>
      <c r="AP7" s="560">
        <f t="shared" si="14"/>
        <v>6.59e+16</v>
      </c>
      <c r="AQ7" s="561">
        <f ca="1">(AC7*$C$5+AD7*$C$8+AF7+AG7+AI7+(AL7+AM7)*$C$10)*EXP(-Z7*$C$12*3600)+AO7*$C$11</f>
        <v>19480000000</v>
      </c>
      <c r="AR7" s="562">
        <f ca="1">AQ7*(1-AR$3)</f>
        <v>19480000000</v>
      </c>
      <c r="AS7" s="563">
        <f ca="1" t="shared" si="15"/>
        <v>0</v>
      </c>
      <c r="AT7" s="562">
        <f ca="1">AS7*(1-AT$3)</f>
        <v>0</v>
      </c>
      <c r="AU7" s="564">
        <f ca="1" t="shared" si="16"/>
        <v>0</v>
      </c>
      <c r="AV7" s="565">
        <f>AV$3*3600</f>
        <v>7200</v>
      </c>
      <c r="AW7" s="580">
        <f>AP7*EXP(-Z7*AW$3*3600)</f>
        <v>6.59e+16</v>
      </c>
      <c r="AX7" s="580">
        <f ca="1" t="shared" si="17"/>
        <v>19480000000</v>
      </c>
      <c r="AY7" s="581">
        <f ca="1" t="shared" si="18"/>
        <v>0</v>
      </c>
      <c r="AZ7" s="580">
        <v>0</v>
      </c>
      <c r="BA7" s="580">
        <f ca="1">MAX(INDIRECT("'"&amp;$B$2&amp;"-事故进程'!Y"&amp;(ROW()+22)),INDIRECT("'"&amp;$B$2&amp;"-事故进程'!Z"&amp;(ROW()+22)))</f>
        <v>3.68314838060086e-11</v>
      </c>
      <c r="BB7" s="580">
        <f ca="1">SUM(BA$3,-LN(1-BB$3)/AV7)</f>
        <v>0.00160041330566996</v>
      </c>
      <c r="BC7" s="580">
        <f>BC$3/24/3600</f>
        <v>1157407407407410</v>
      </c>
      <c r="BD7" s="582">
        <f ca="1" t="shared" si="19"/>
        <v>0.733857089121469</v>
      </c>
      <c r="BE7" s="582">
        <f ca="1" t="shared" si="20"/>
        <v>7.26518710893316e-6</v>
      </c>
      <c r="BF7" s="582">
        <f t="shared" si="21"/>
        <v>0</v>
      </c>
      <c r="BG7" s="582">
        <f ca="1" t="shared" si="22"/>
        <v>-28748855.6941576</v>
      </c>
      <c r="BH7" s="582">
        <f ca="1" t="shared" si="23"/>
        <v>-2.69361082320056e-8</v>
      </c>
      <c r="BI7" s="582">
        <f ca="1" t="shared" si="24"/>
        <v>1.00000002301373</v>
      </c>
      <c r="BJ7" s="580">
        <f ca="1" t="shared" si="25"/>
        <v>4.83611821731048e+16</v>
      </c>
      <c r="BK7" s="580">
        <f ca="1" t="shared" si="26"/>
        <v>1113101845.97308</v>
      </c>
      <c r="BL7" s="586">
        <f ca="1" t="shared" si="27"/>
        <v>1.53914947620001e-9</v>
      </c>
      <c r="BM7" s="594">
        <f ca="1" t="shared" si="28"/>
        <v>26007181250.0269</v>
      </c>
      <c r="BN7" s="580">
        <f ca="1" t="shared" si="29"/>
        <v>15030527206.5205</v>
      </c>
      <c r="BO7" s="580">
        <f ca="1" t="shared" si="30"/>
        <v>32524017729.6199</v>
      </c>
      <c r="BP7" s="595">
        <f ca="1" t="shared" si="31"/>
        <v>32524017729.6199</v>
      </c>
      <c r="BQ7" s="596">
        <f>BQ$3*3600</f>
        <v>21600</v>
      </c>
      <c r="BR7" s="580">
        <f ca="1" t="shared" ref="BR7:BU7" si="122">BJ7</f>
        <v>4.83611821731048e+16</v>
      </c>
      <c r="BS7" s="580">
        <f ca="1" t="shared" si="122"/>
        <v>1113101845.97308</v>
      </c>
      <c r="BT7" s="581">
        <f ca="1" t="shared" si="122"/>
        <v>1.53914947620001e-9</v>
      </c>
      <c r="BU7" s="580">
        <f ca="1" t="shared" si="122"/>
        <v>26007181250.0269</v>
      </c>
      <c r="BV7" s="580">
        <f ca="1">MAX(INDIRECT("'"&amp;$B$2&amp;"-事故进程'!Z"&amp;(ROW()+22)),INDIRECT("'"&amp;$B$2&amp;"-事故进程'!AA"&amp;(ROW()+22)))</f>
        <v>4.07367032121221e-11</v>
      </c>
      <c r="BW7" s="580">
        <f ca="1">SUM(BV$3,-LN(1-BW$3)/BQ7)</f>
        <v>0.00162728102077123</v>
      </c>
      <c r="BX7" s="580">
        <f>BX$3/24/3600</f>
        <v>1157407407407410</v>
      </c>
      <c r="BY7" s="582">
        <f ca="1" t="shared" si="33"/>
        <v>0.395215933352301</v>
      </c>
      <c r="BZ7" s="582">
        <f ca="1" t="shared" si="34"/>
        <v>2.14635128219996e-16</v>
      </c>
      <c r="CA7" s="582">
        <f t="shared" si="35"/>
        <v>0</v>
      </c>
      <c r="CB7" s="582">
        <f ca="1" t="shared" si="36"/>
        <v>158745.66237982</v>
      </c>
      <c r="CC7" s="582">
        <f ca="1" t="shared" si="37"/>
        <v>-2.58392188307246e-11</v>
      </c>
      <c r="CD7" s="582">
        <f ca="1" t="shared" si="38"/>
        <v>1.0000000250336</v>
      </c>
      <c r="CE7" s="580">
        <f ca="1" t="shared" si="39"/>
        <v>1.91131097505643e+16</v>
      </c>
      <c r="CF7" s="580">
        <f ca="1" t="shared" si="40"/>
        <v>478469968.568633</v>
      </c>
      <c r="CG7" s="586">
        <f ca="1" t="shared" si="41"/>
        <v>6.72714805415683e-10</v>
      </c>
      <c r="CH7" s="594">
        <f ca="1" t="shared" si="42"/>
        <v>27057784571.4314</v>
      </c>
      <c r="CI7" s="580">
        <f ca="1" t="shared" si="43"/>
        <v>27722843320.5883</v>
      </c>
      <c r="CJ7" s="580">
        <f ca="1" t="shared" si="44"/>
        <v>27627801463.5937</v>
      </c>
      <c r="CK7" s="595">
        <f ca="1" t="shared" si="45"/>
        <v>27627801463.5937</v>
      </c>
      <c r="CL7" s="596">
        <f>CL$3*3600</f>
        <v>57600</v>
      </c>
      <c r="CM7" s="580">
        <f ca="1" t="shared" ref="CM7:CP7" si="123">CE7</f>
        <v>1.91131097505643e+16</v>
      </c>
      <c r="CN7" s="580">
        <f ca="1" t="shared" si="123"/>
        <v>478469968.568633</v>
      </c>
      <c r="CO7" s="581">
        <f ca="1" t="shared" si="123"/>
        <v>6.72714805415683e-10</v>
      </c>
      <c r="CP7" s="580">
        <f ca="1" t="shared" si="123"/>
        <v>27057784571.4314</v>
      </c>
      <c r="CQ7" s="580">
        <f ca="1">MAX(INDIRECT("'"&amp;$B$2&amp;"-事故进程'!AA"&amp;(ROW()+22)),INDIRECT("'"&amp;$B$2&amp;"-事故进程'!AB"&amp;(ROW()+22)))</f>
        <v>1.35754884388422e-10</v>
      </c>
      <c r="CR7" s="580">
        <f ca="1">SUM(CQ$3,-LN(1-CR$3)/CL7)</f>
        <v>6.95458811586267e-6</v>
      </c>
      <c r="CS7" s="580">
        <f>CS$3/24/3600</f>
        <v>1157407407407410</v>
      </c>
      <c r="CT7" s="582">
        <f ca="1" t="shared" si="47"/>
        <v>0.084118104277004</v>
      </c>
      <c r="CU7" s="582">
        <f ca="1" t="shared" si="48"/>
        <v>0.056353556820887</v>
      </c>
      <c r="CV7" s="582">
        <f t="shared" si="49"/>
        <v>0</v>
      </c>
      <c r="CW7" s="582">
        <f ca="1" t="shared" si="50"/>
        <v>2591370.5078885</v>
      </c>
      <c r="CX7" s="582">
        <f ca="1" t="shared" si="51"/>
        <v>6.69839792230258e-10</v>
      </c>
      <c r="CY7" s="582">
        <f ca="1" t="shared" si="52"/>
        <v>1.00001952057148</v>
      </c>
      <c r="CZ7" s="580">
        <f ca="1" t="shared" si="53"/>
        <v>1607758559055790</v>
      </c>
      <c r="DA7" s="580">
        <f ca="1" t="shared" si="54"/>
        <v>10385883517.4605</v>
      </c>
      <c r="DB7" s="586">
        <f ca="1" t="shared" si="55"/>
        <v>6.24063243599408e-11</v>
      </c>
      <c r="DC7" s="594">
        <f ca="1" t="shared" si="56"/>
        <v>4502319332.0395</v>
      </c>
      <c r="DD7" s="580">
        <f ca="1" t="shared" si="57"/>
        <v>55294250301.0234</v>
      </c>
      <c r="DE7" s="580">
        <f ca="1" t="shared" si="58"/>
        <v>6321473664.08902</v>
      </c>
      <c r="DF7" s="595">
        <f ca="1" t="shared" si="59"/>
        <v>6321473664.08902</v>
      </c>
      <c r="DG7" s="596">
        <f>DG$3*3600</f>
        <v>86400</v>
      </c>
      <c r="DH7" s="580">
        <f ca="1" t="shared" ref="DH7:DK7" si="124">CZ7</f>
        <v>1607758559055790</v>
      </c>
      <c r="DI7" s="580">
        <f ca="1" t="shared" si="124"/>
        <v>10385883517.4605</v>
      </c>
      <c r="DJ7" s="581">
        <f ca="1" t="shared" si="124"/>
        <v>6.24063243599408e-11</v>
      </c>
      <c r="DK7" s="580">
        <f ca="1" t="shared" si="124"/>
        <v>4502319332.0395</v>
      </c>
      <c r="DL7" s="580">
        <f ca="1">MAX(INDIRECT("'"&amp;$B$2&amp;"-事故进程'!AB"&amp;(ROW()+22)),INDIRECT("'"&amp;$B$2&amp;"-事故进程'!AC"&amp;(ROW()+22)))</f>
        <v>1.98049967659929e-10</v>
      </c>
      <c r="DM7" s="580">
        <f ca="1">SUM(DL$3,-LN(1-DM$3)/DG7)</f>
        <v>1.01371476497628e-6</v>
      </c>
      <c r="DN7" s="580">
        <f>DN$3/24/3600</f>
        <v>1157407407407410</v>
      </c>
      <c r="DO7" s="582">
        <f ca="1" t="shared" si="61"/>
        <v>0.0243967444734815</v>
      </c>
      <c r="DP7" s="582">
        <f ca="1" t="shared" si="62"/>
        <v>0.0223512412404461</v>
      </c>
      <c r="DQ7" s="582">
        <f t="shared" si="63"/>
        <v>0</v>
      </c>
      <c r="DR7" s="582">
        <f ca="1" t="shared" si="64"/>
        <v>307890.264080895</v>
      </c>
      <c r="DS7" s="582">
        <f ca="1" t="shared" si="65"/>
        <v>5.33098528827477e-11</v>
      </c>
      <c r="DT7" s="582">
        <f ca="1" t="shared" si="66"/>
        <v>1.00019540868417</v>
      </c>
      <c r="DU7" s="580">
        <f ca="1" t="shared" si="67"/>
        <v>39224074740336.8</v>
      </c>
      <c r="DV7" s="580">
        <f ca="1" t="shared" si="68"/>
        <v>874773106.973454</v>
      </c>
      <c r="DW7" s="586">
        <f ca="1" t="shared" si="69"/>
        <v>7.66169638165292e-13</v>
      </c>
      <c r="DX7" s="594">
        <f ca="1" t="shared" si="70"/>
        <v>159645961.292171</v>
      </c>
      <c r="DY7" s="580">
        <f ca="1" t="shared" si="71"/>
        <v>7228062502.98884</v>
      </c>
      <c r="DZ7" s="580">
        <f ca="1" t="shared" si="72"/>
        <v>385727056.606619</v>
      </c>
      <c r="EA7" s="595">
        <f ca="1" t="shared" si="73"/>
        <v>385727056.606619</v>
      </c>
      <c r="EB7" s="596">
        <f>EB$3*3600</f>
        <v>172800</v>
      </c>
      <c r="EC7" s="580">
        <f ca="1" t="shared" ref="EC7:EF7" si="125">DU7</f>
        <v>39224074740336.8</v>
      </c>
      <c r="ED7" s="580">
        <f ca="1" t="shared" si="125"/>
        <v>874773106.973454</v>
      </c>
      <c r="EE7" s="581">
        <f ca="1" t="shared" si="125"/>
        <v>7.66169638165292e-13</v>
      </c>
      <c r="EF7" s="580">
        <f ca="1" t="shared" si="125"/>
        <v>159645961.292171</v>
      </c>
      <c r="EG7" s="580">
        <f ca="1">MAX(INDIRECT("'"&amp;$B$2&amp;"-事故进程'!AC"&amp;(ROW()+22)),INDIRECT("'"&amp;$B$2&amp;"-事故进程'!AD"&amp;(ROW()+22)),INDIRECT("'"&amp;$B$2&amp;"-事故进程'!AE"&amp;(ROW()+22)))</f>
        <v>1.98049967659929e-10</v>
      </c>
      <c r="EH7" s="580">
        <f ca="1">SUM(EG$3,-LN(1-EH$3)/EB7)</f>
        <v>5.81616658188741e-8</v>
      </c>
      <c r="EI7" s="580">
        <f>EI$3/24/3600</f>
        <v>1157407407407410</v>
      </c>
      <c r="EJ7" s="582">
        <f ca="1" t="shared" si="75"/>
        <v>0.000595201140904349</v>
      </c>
      <c r="EK7" s="582">
        <f ca="1" t="shared" si="76"/>
        <v>0.000589269295733614</v>
      </c>
      <c r="EL7" s="582">
        <f t="shared" si="77"/>
        <v>0</v>
      </c>
      <c r="EM7" s="582">
        <f ca="1" t="shared" si="78"/>
        <v>7717.62172148477</v>
      </c>
      <c r="EN7" s="582">
        <f ca="1" t="shared" si="79"/>
        <v>7.22210820561821e-13</v>
      </c>
      <c r="EO7" s="582">
        <f ca="1" t="shared" si="80"/>
        <v>1.00341679801633</v>
      </c>
      <c r="EP7" s="580">
        <f ca="1" t="shared" si="81"/>
        <v>23346214036.3659</v>
      </c>
      <c r="EQ7" s="580">
        <f ca="1" t="shared" si="82"/>
        <v>1310467.2165598</v>
      </c>
      <c r="ER7" s="586">
        <f ca="1" t="shared" si="83"/>
        <v>6.58531782571459e-17</v>
      </c>
      <c r="ES7" s="594">
        <f ca="1" t="shared" si="84"/>
        <v>104233.222332567</v>
      </c>
      <c r="ET7" s="580">
        <f ca="1" t="shared" si="85"/>
        <v>180643344.972079</v>
      </c>
      <c r="EU7" s="580">
        <f ca="1" t="shared" si="86"/>
        <v>1424586.54796981</v>
      </c>
      <c r="EV7" s="595">
        <f ca="1" t="shared" si="87"/>
        <v>1424586.54796981</v>
      </c>
      <c r="EW7" s="596">
        <f>EW$3*3600</f>
        <v>2246400</v>
      </c>
      <c r="EX7" s="580">
        <f ca="1" t="shared" ref="EX7:FA7" si="126">EP7</f>
        <v>23346214036.3659</v>
      </c>
      <c r="EY7" s="580">
        <f ca="1" t="shared" si="126"/>
        <v>1310467.2165598</v>
      </c>
      <c r="EZ7" s="581">
        <f ca="1" t="shared" si="126"/>
        <v>6.58531782571459e-17</v>
      </c>
      <c r="FA7" s="580">
        <f ca="1" t="shared" si="126"/>
        <v>104233.222332567</v>
      </c>
      <c r="FB7" s="580">
        <f ca="1">INDIRECT("'"&amp;$B$2&amp;"-事故进程'!AE"&amp;(ROW()+22))</f>
        <v>1.43825466101109e-10</v>
      </c>
      <c r="FC7" s="580">
        <f ca="1">SUM(FB$3,-LN(1-FC$3)/EW7)</f>
        <v>4.47397429375955e-9</v>
      </c>
      <c r="FD7" s="580">
        <f>FD$3/24/3600</f>
        <v>1157407407407410</v>
      </c>
      <c r="FE7" s="582">
        <f ca="1" t="shared" si="89"/>
        <v>1.17674325194989e-42</v>
      </c>
      <c r="FF7" s="582">
        <f ca="1" t="shared" si="90"/>
        <v>1.16535227172754e-42</v>
      </c>
      <c r="FG7" s="582">
        <f t="shared" si="91"/>
        <v>0</v>
      </c>
      <c r="FH7" s="582">
        <f ca="1" t="shared" si="92"/>
        <v>3.35210559739511</v>
      </c>
      <c r="FI7" s="582">
        <f ca="1" t="shared" si="93"/>
        <v>6.07875491604424e-17</v>
      </c>
      <c r="FJ7" s="582">
        <f ca="1" t="shared" si="94"/>
        <v>1.03321490134067</v>
      </c>
      <c r="FK7" s="580">
        <f ca="1" t="shared" si="95"/>
        <v>2.74724998258713e-32</v>
      </c>
      <c r="FL7" s="580">
        <f ca="1" t="shared" si="96"/>
        <v>1.036020266487e-35</v>
      </c>
      <c r="FM7" s="586">
        <f ca="1" t="shared" si="97"/>
        <v>4.00475062662632e-59</v>
      </c>
      <c r="FN7" s="594">
        <f ca="1" t="shared" si="98"/>
        <v>1.82585490848877e-37</v>
      </c>
      <c r="FO7" s="580">
        <f ca="1" t="shared" si="99"/>
        <v>78127.8464293385</v>
      </c>
      <c r="FP7" s="580">
        <f ca="1" t="shared" si="100"/>
        <v>144.536970452905</v>
      </c>
      <c r="FQ7" s="595">
        <f ca="1" t="shared" si="101"/>
        <v>144.536970452903</v>
      </c>
      <c r="FR7" s="608" t="str">
        <f t="shared" si="102"/>
        <v>Kr-85m</v>
      </c>
      <c r="FS7" s="609">
        <v>25800000000</v>
      </c>
      <c r="FT7" s="610">
        <v>10200000000</v>
      </c>
      <c r="FU7" s="610">
        <v>5430000000</v>
      </c>
      <c r="FV7" s="610">
        <v>383000000</v>
      </c>
      <c r="FW7" s="610">
        <v>41900000000</v>
      </c>
      <c r="FX7" s="614">
        <f ca="1" t="shared" si="103"/>
        <v>0</v>
      </c>
      <c r="FY7" s="614">
        <f ca="1" t="shared" si="104"/>
        <v>5.89723717580526</v>
      </c>
      <c r="FZ7" s="614">
        <f ca="1" t="shared" si="105"/>
        <v>1.16417562874568</v>
      </c>
      <c r="GA7" s="614">
        <f ca="1" t="shared" si="106"/>
        <v>1.01083979935924</v>
      </c>
      <c r="GB7" s="614">
        <f ca="1" t="shared" si="107"/>
        <v>1.59571466588203</v>
      </c>
      <c r="GC7" s="455">
        <f ca="1" t="shared" si="108"/>
        <v>1.5957146693316</v>
      </c>
      <c r="GE7" s="609">
        <v>5259743761.79492</v>
      </c>
      <c r="GF7" s="610">
        <v>976546118.342223</v>
      </c>
      <c r="GG7" s="610">
        <v>622523452.601644</v>
      </c>
      <c r="GH7" s="610">
        <v>64174600.6380256</v>
      </c>
      <c r="GI7" s="610">
        <v>3576578.05754994</v>
      </c>
      <c r="GJ7" s="610">
        <v>836.702638547422</v>
      </c>
      <c r="GK7" s="617">
        <v>6926565348.137</v>
      </c>
      <c r="GL7" s="614">
        <f ca="1" t="shared" si="109"/>
        <v>0</v>
      </c>
      <c r="GM7" s="614">
        <f ca="1" t="shared" si="110"/>
        <v>61.5964961238358</v>
      </c>
      <c r="GN7" s="614">
        <f ca="1" t="shared" si="111"/>
        <v>10.1545952006633</v>
      </c>
      <c r="GO7" s="614">
        <f ca="1" t="shared" si="112"/>
        <v>5.71431598104243</v>
      </c>
      <c r="GP7" s="614">
        <f ca="1" t="shared" si="113"/>
        <v>0.172745924052337</v>
      </c>
      <c r="GQ7" s="614">
        <f ca="1" t="shared" si="114"/>
        <v>9.6527559164626</v>
      </c>
      <c r="GR7" s="451">
        <f t="shared" si="115"/>
        <v>4.29778757787664e-5</v>
      </c>
      <c r="GS7" s="390">
        <f t="shared" si="116"/>
        <v>16128</v>
      </c>
    </row>
    <row r="8" spans="1:201">
      <c r="A8" s="413"/>
      <c r="B8" s="407" t="s">
        <v>255</v>
      </c>
      <c r="C8" s="416">
        <v>1</v>
      </c>
      <c r="D8" s="409" t="s">
        <v>249</v>
      </c>
      <c r="E8" s="410"/>
      <c r="G8" s="411" t="s">
        <v>49</v>
      </c>
      <c r="H8" s="412">
        <f ca="1" t="shared" si="1"/>
        <v>0</v>
      </c>
      <c r="I8" s="412">
        <f ca="1" t="shared" si="2"/>
        <v>51936860509.5482</v>
      </c>
      <c r="J8" s="412">
        <f ca="1" t="shared" si="3"/>
        <v>20724852329.1907</v>
      </c>
      <c r="K8" s="412">
        <f ca="1" t="shared" si="4"/>
        <v>124599297.340766</v>
      </c>
      <c r="L8" s="412">
        <f ca="1" t="shared" si="5"/>
        <v>25984.8088198212</v>
      </c>
      <c r="M8" s="412">
        <f ca="1" t="shared" si="6"/>
        <v>7.67642068646095e-15</v>
      </c>
      <c r="N8" s="412">
        <f ca="1" t="shared" si="7"/>
        <v>72786338120.8885</v>
      </c>
      <c r="O8" s="450">
        <f ca="1" t="shared" si="8"/>
        <v>0</v>
      </c>
      <c r="P8" s="451"/>
      <c r="Q8" s="477" t="str">
        <f t="shared" si="0"/>
        <v>Kr-87</v>
      </c>
      <c r="R8" s="412">
        <f ca="1" t="shared" si="9"/>
        <v>0</v>
      </c>
      <c r="S8" s="412">
        <f ca="1">I8*(1-过滤效率!$B5)</f>
        <v>51936860509.5482</v>
      </c>
      <c r="T8" s="412">
        <f ca="1">J8*(1-过滤效率!$B5)</f>
        <v>20724852329.1907</v>
      </c>
      <c r="U8" s="412">
        <f ca="1">K8*(1-过滤效率!$B5)</f>
        <v>124599297.340766</v>
      </c>
      <c r="V8" s="412">
        <f ca="1">L8*(1-过滤效率!$B5)</f>
        <v>25984.8088198212</v>
      </c>
      <c r="W8" s="412">
        <f ca="1">M8*(1-过滤效率!$B5)</f>
        <v>7.67642068646095e-15</v>
      </c>
      <c r="X8" s="412">
        <f ca="1" t="shared" si="10"/>
        <v>72786338120.8885</v>
      </c>
      <c r="Y8" s="493"/>
      <c r="Z8" s="494">
        <f>VLOOKUP(G8,衰变常数!$A$1:$H$3800,7,FALSE)</f>
        <v>0.000151408296321525</v>
      </c>
      <c r="AA8" s="495">
        <f>正常源项!C5</f>
        <v>1.29e+17</v>
      </c>
      <c r="AB8" s="496">
        <f>正常源项!F5</f>
        <v>0</v>
      </c>
      <c r="AC8" s="496">
        <f>正常源项!I5</f>
        <v>19400000000</v>
      </c>
      <c r="AD8" s="496">
        <f>正常源项!L5</f>
        <v>567000000</v>
      </c>
      <c r="AE8" s="497"/>
      <c r="AF8" s="498"/>
      <c r="AG8" s="483"/>
      <c r="AH8" s="518"/>
      <c r="AI8" s="483"/>
      <c r="AJ8" s="521"/>
      <c r="AK8" s="521"/>
      <c r="AL8" s="519">
        <f t="shared" si="11"/>
        <v>18872700</v>
      </c>
      <c r="AM8" s="520">
        <f t="shared" si="12"/>
        <v>541800000000</v>
      </c>
      <c r="AN8" s="519">
        <f ca="1">MAX(INDIRECT("'"&amp;$B$2&amp;"-事故进程'!Y"&amp;(ROW()+22)),INDIRECT("'"&amp;$B$2&amp;"-事故进程'!Z"&amp;(ROW()+22)),INDIRECT("'"&amp;$B$2&amp;"-事故进程'!AA"&amp;(ROW()+22)))</f>
        <v>7.57574211255599e-11</v>
      </c>
      <c r="AO8" s="519">
        <f ca="1" t="shared" si="13"/>
        <v>0</v>
      </c>
      <c r="AP8" s="560">
        <f t="shared" si="14"/>
        <v>1.29e+17</v>
      </c>
      <c r="AQ8" s="561">
        <f ca="1">(AC8*$C$5+AD8*$C$8+AF8+AG8+AI8+(AL8+AM8)*$C$10)*EXP(-Z8*$C$12*3600)+AO8*$C$11</f>
        <v>19967000000</v>
      </c>
      <c r="AR8" s="562">
        <f ca="1">AQ8*(1-AR$3)</f>
        <v>19967000000</v>
      </c>
      <c r="AS8" s="563">
        <f ca="1" t="shared" si="15"/>
        <v>0</v>
      </c>
      <c r="AT8" s="562">
        <f ca="1">AS8*(1-AT$3)</f>
        <v>0</v>
      </c>
      <c r="AU8" s="564">
        <f ca="1" t="shared" si="16"/>
        <v>0</v>
      </c>
      <c r="AV8" s="565">
        <f>AV$3*3600</f>
        <v>7200</v>
      </c>
      <c r="AW8" s="580">
        <f>AP8*EXP(-Z8*AW$3*3600)</f>
        <v>1.29e+17</v>
      </c>
      <c r="AX8" s="580">
        <f ca="1" t="shared" si="17"/>
        <v>19967000000</v>
      </c>
      <c r="AY8" s="581">
        <f ca="1" t="shared" si="18"/>
        <v>0</v>
      </c>
      <c r="AZ8" s="580">
        <v>0</v>
      </c>
      <c r="BA8" s="580">
        <f ca="1">MAX(INDIRECT("'"&amp;$B$2&amp;"-事故进程'!Y"&amp;(ROW()+22)),INDIRECT("'"&amp;$B$2&amp;"-事故进程'!Z"&amp;(ROW()+22)))</f>
        <v>6.84945191553734e-11</v>
      </c>
      <c r="BB8" s="580">
        <f ca="1">SUM(BA$3,-LN(1-BB$3)/AV8)</f>
        <v>0.00160041330566996</v>
      </c>
      <c r="BC8" s="580">
        <f>BC$3/24/3600</f>
        <v>1157407407407410</v>
      </c>
      <c r="BD8" s="582">
        <f ca="1" t="shared" si="19"/>
        <v>0.336169350491012</v>
      </c>
      <c r="BE8" s="582">
        <f ca="1" t="shared" si="20"/>
        <v>3.32807821113746e-6</v>
      </c>
      <c r="BF8" s="582">
        <f t="shared" si="21"/>
        <v>0</v>
      </c>
      <c r="BG8" s="582">
        <f ca="1" t="shared" si="22"/>
        <v>-23119658.1356389</v>
      </c>
      <c r="BH8" s="582">
        <f ca="1" t="shared" si="23"/>
        <v>-2.76095109378057e-8</v>
      </c>
      <c r="BI8" s="582">
        <f ca="1" t="shared" si="24"/>
        <v>1.00000004279802</v>
      </c>
      <c r="BJ8" s="580">
        <f ca="1" t="shared" si="25"/>
        <v>4.33658462133405e+16</v>
      </c>
      <c r="BK8" s="580">
        <f ca="1" t="shared" si="26"/>
        <v>1856020469.70166</v>
      </c>
      <c r="BL8" s="586">
        <f ca="1" t="shared" si="27"/>
        <v>2.56642547498469e-9</v>
      </c>
      <c r="BM8" s="594">
        <f ca="1" t="shared" si="28"/>
        <v>26242605586.2983</v>
      </c>
      <c r="BN8" s="580">
        <f ca="1" t="shared" si="29"/>
        <v>38739406465.5601</v>
      </c>
      <c r="BO8" s="580">
        <f ca="1" t="shared" si="30"/>
        <v>51936860509.5482</v>
      </c>
      <c r="BP8" s="595">
        <f ca="1" t="shared" si="31"/>
        <v>51936860509.5482</v>
      </c>
      <c r="BQ8" s="596">
        <f>BQ$3*3600</f>
        <v>21600</v>
      </c>
      <c r="BR8" s="580">
        <f ca="1" t="shared" ref="BR8:BU8" si="127">BJ8</f>
        <v>4.33658462133405e+16</v>
      </c>
      <c r="BS8" s="580">
        <f ca="1" t="shared" si="127"/>
        <v>1856020469.70166</v>
      </c>
      <c r="BT8" s="581">
        <f ca="1" t="shared" si="127"/>
        <v>2.56642547498469e-9</v>
      </c>
      <c r="BU8" s="580">
        <f ca="1" t="shared" si="127"/>
        <v>26242605586.2983</v>
      </c>
      <c r="BV8" s="580">
        <f ca="1">MAX(INDIRECT("'"&amp;$B$2&amp;"-事故进程'!Z"&amp;(ROW()+22)),INDIRECT("'"&amp;$B$2&amp;"-事故进程'!AA"&amp;(ROW()+22)))</f>
        <v>7.57574211255599e-11</v>
      </c>
      <c r="BW8" s="580">
        <f ca="1">SUM(BV$3,-LN(1-BW$3)/BQ8)</f>
        <v>0.00162728102077123</v>
      </c>
      <c r="BX8" s="580">
        <f>BX$3/24/3600</f>
        <v>1157407407407410</v>
      </c>
      <c r="BY8" s="582">
        <f ca="1" t="shared" si="33"/>
        <v>0.0379904359330923</v>
      </c>
      <c r="BZ8" s="582">
        <f ca="1" t="shared" si="34"/>
        <v>2.06319825888739e-17</v>
      </c>
      <c r="CA8" s="582">
        <f t="shared" si="35"/>
        <v>0</v>
      </c>
      <c r="CB8" s="582">
        <f ca="1" t="shared" si="36"/>
        <v>265017.930149212</v>
      </c>
      <c r="CC8" s="582">
        <f ca="1" t="shared" si="37"/>
        <v>-4.30851132305862e-11</v>
      </c>
      <c r="CD8" s="582">
        <f ca="1" t="shared" si="38"/>
        <v>1.0000000465546</v>
      </c>
      <c r="CE8" s="580">
        <f ca="1" t="shared" si="39"/>
        <v>1647487402252250</v>
      </c>
      <c r="CF8" s="580">
        <f ca="1" t="shared" si="40"/>
        <v>76698124.7546157</v>
      </c>
      <c r="CG8" s="586">
        <f ca="1" t="shared" si="41"/>
        <v>1.07835323969028e-10</v>
      </c>
      <c r="CH8" s="594">
        <f ca="1" t="shared" si="42"/>
        <v>3686667853.49538</v>
      </c>
      <c r="CI8" s="580">
        <f ca="1" t="shared" si="43"/>
        <v>20873847553.6275</v>
      </c>
      <c r="CJ8" s="580">
        <f ca="1" t="shared" si="44"/>
        <v>20724852329.1907</v>
      </c>
      <c r="CK8" s="595">
        <f ca="1" t="shared" si="45"/>
        <v>20724852329.1907</v>
      </c>
      <c r="CL8" s="596">
        <f>CL$3*3600</f>
        <v>57600</v>
      </c>
      <c r="CM8" s="580">
        <f ca="1" t="shared" ref="CM8:CP8" si="128">CE8</f>
        <v>1647487402252250</v>
      </c>
      <c r="CN8" s="580">
        <f ca="1" t="shared" si="128"/>
        <v>76698124.7546157</v>
      </c>
      <c r="CO8" s="581">
        <f ca="1" t="shared" si="128"/>
        <v>1.07835323969028e-10</v>
      </c>
      <c r="CP8" s="580">
        <f ca="1" t="shared" si="128"/>
        <v>3686667853.49538</v>
      </c>
      <c r="CQ8" s="580">
        <f ca="1">MAX(INDIRECT("'"&amp;$B$2&amp;"-事故进程'!AA"&amp;(ROW()+22)),INDIRECT("'"&amp;$B$2&amp;"-事故进程'!AB"&amp;(ROW()+22)))</f>
        <v>2.5404213206774e-10</v>
      </c>
      <c r="CR8" s="580">
        <f ca="1">SUM(CQ$3,-LN(1-CR$3)/CL8)</f>
        <v>6.95458811586267e-6</v>
      </c>
      <c r="CS8" s="580">
        <f>CS$3/24/3600</f>
        <v>1157407407407410</v>
      </c>
      <c r="CT8" s="582">
        <f ca="1" t="shared" si="47"/>
        <v>0.000163102372696675</v>
      </c>
      <c r="CU8" s="582">
        <f ca="1" t="shared" si="48"/>
        <v>0.000109268528229127</v>
      </c>
      <c r="CV8" s="582">
        <f t="shared" si="49"/>
        <v>0</v>
      </c>
      <c r="CW8" s="582">
        <f ca="1" t="shared" si="50"/>
        <v>417997.827840531</v>
      </c>
      <c r="CX8" s="582">
        <f ca="1" t="shared" si="51"/>
        <v>1.07374463028003e-10</v>
      </c>
      <c r="CY8" s="582">
        <f ca="1" t="shared" si="52"/>
        <v>1.00003653004434</v>
      </c>
      <c r="CZ8" s="580">
        <f ca="1" t="shared" si="53"/>
        <v>268709104295.223</v>
      </c>
      <c r="DA8" s="580">
        <f ca="1" t="shared" si="54"/>
        <v>3248251.53214799</v>
      </c>
      <c r="DB8" s="586">
        <f ca="1" t="shared" si="55"/>
        <v>1.95179772984271e-14</v>
      </c>
      <c r="DC8" s="594">
        <f ca="1" t="shared" si="56"/>
        <v>1297573.92262496</v>
      </c>
      <c r="DD8" s="580">
        <f ca="1" t="shared" si="57"/>
        <v>2763799982.12827</v>
      </c>
      <c r="DE8" s="580">
        <f ca="1" t="shared" si="58"/>
        <v>124599297.340766</v>
      </c>
      <c r="DF8" s="595">
        <f ca="1" t="shared" si="59"/>
        <v>124599297.340766</v>
      </c>
      <c r="DG8" s="596">
        <f>DG$3*3600</f>
        <v>86400</v>
      </c>
      <c r="DH8" s="580">
        <f ca="1" t="shared" ref="DH8:DK8" si="129">CZ8</f>
        <v>268709104295.223</v>
      </c>
      <c r="DI8" s="580">
        <f ca="1" t="shared" si="129"/>
        <v>3248251.53214799</v>
      </c>
      <c r="DJ8" s="581">
        <f ca="1" t="shared" si="129"/>
        <v>1.95179772984271e-14</v>
      </c>
      <c r="DK8" s="580">
        <f ca="1" t="shared" si="129"/>
        <v>1297573.92262496</v>
      </c>
      <c r="DL8" s="580">
        <f ca="1">MAX(INDIRECT("'"&amp;$B$2&amp;"-事故进程'!AB"&amp;(ROW()+22)),INDIRECT("'"&amp;$B$2&amp;"-事故进程'!AC"&amp;(ROW()+22)))</f>
        <v>3.71236763216498e-10</v>
      </c>
      <c r="DM8" s="580">
        <f ca="1">SUM(DL$3,-LN(1-DM$3)/DG8)</f>
        <v>1.01371476497628e-6</v>
      </c>
      <c r="DN8" s="580">
        <f>DN$3/24/3600</f>
        <v>1157407407407410</v>
      </c>
      <c r="DO8" s="582">
        <f ca="1" t="shared" si="61"/>
        <v>2.08298441640486e-6</v>
      </c>
      <c r="DP8" s="582">
        <f ca="1" t="shared" si="62"/>
        <v>1.90836871286051e-6</v>
      </c>
      <c r="DQ8" s="582">
        <f t="shared" si="63"/>
        <v>0</v>
      </c>
      <c r="DR8" s="582">
        <f ca="1" t="shared" si="64"/>
        <v>96.4631034572524</v>
      </c>
      <c r="DS8" s="582">
        <f ca="1" t="shared" si="65"/>
        <v>1.66729976331672e-14</v>
      </c>
      <c r="DT8" s="582">
        <f ca="1" t="shared" si="66"/>
        <v>1.00036634838323</v>
      </c>
      <c r="DU8" s="580">
        <f ca="1" t="shared" si="67"/>
        <v>559716.876793057</v>
      </c>
      <c r="DV8" s="580">
        <f ca="1" t="shared" si="68"/>
        <v>23.3882315475464</v>
      </c>
      <c r="DW8" s="586">
        <f ca="1" t="shared" si="69"/>
        <v>2.0484572238517e-20</v>
      </c>
      <c r="DX8" s="594">
        <f ca="1" t="shared" si="70"/>
        <v>4.03408208838957</v>
      </c>
      <c r="DY8" s="580">
        <f ca="1" t="shared" si="71"/>
        <v>658842.666979275</v>
      </c>
      <c r="DZ8" s="580">
        <f ca="1" t="shared" si="72"/>
        <v>25984.799311991</v>
      </c>
      <c r="EA8" s="595">
        <f ca="1" t="shared" si="73"/>
        <v>25984.799311991</v>
      </c>
      <c r="EB8" s="596">
        <f>EB$3*3600</f>
        <v>172800</v>
      </c>
      <c r="EC8" s="580">
        <f ca="1" t="shared" ref="EC8:EF8" si="130">DU8</f>
        <v>559716.876793057</v>
      </c>
      <c r="ED8" s="580">
        <f ca="1" t="shared" si="130"/>
        <v>23.3882315475464</v>
      </c>
      <c r="EE8" s="581">
        <f ca="1" t="shared" si="130"/>
        <v>2.0484572238517e-20</v>
      </c>
      <c r="EF8" s="580">
        <f ca="1" t="shared" si="130"/>
        <v>4.03408208838957</v>
      </c>
      <c r="EG8" s="580">
        <f ca="1">MAX(INDIRECT("'"&amp;$B$2&amp;"-事故进程'!AC"&amp;(ROW()+22)),INDIRECT("'"&amp;$B$2&amp;"-事故进程'!AD"&amp;(ROW()+22)),INDIRECT("'"&amp;$B$2&amp;"-事故进程'!AE"&amp;(ROW()+22)))</f>
        <v>3.71236763216498e-10</v>
      </c>
      <c r="EH8" s="580">
        <f ca="1">SUM(EG$3,-LN(1-EH$3)/EB8)</f>
        <v>5.81616658188741e-8</v>
      </c>
      <c r="EI8" s="580">
        <f>EI$3/24/3600</f>
        <v>1157407407407410</v>
      </c>
      <c r="EJ8" s="582">
        <f ca="1" t="shared" si="75"/>
        <v>4.3388240789855e-12</v>
      </c>
      <c r="EK8" s="582">
        <f ca="1" t="shared" si="76"/>
        <v>4.29571139800897e-12</v>
      </c>
      <c r="EL8" s="582">
        <f t="shared" si="77"/>
        <v>0</v>
      </c>
      <c r="EM8" s="582">
        <f ca="1" t="shared" si="78"/>
        <v>0.000206435865722316</v>
      </c>
      <c r="EN8" s="582">
        <f ca="1" t="shared" si="79"/>
        <v>1.93092743281555e-20</v>
      </c>
      <c r="EO8" s="582">
        <f ca="1" t="shared" si="80"/>
        <v>1.00642384507751</v>
      </c>
      <c r="EP8" s="580">
        <f ca="1" t="shared" si="81"/>
        <v>2.42851306244427e-6</v>
      </c>
      <c r="EQ8" s="580">
        <f ca="1" t="shared" si="82"/>
        <v>2.55482224839939e-10</v>
      </c>
      <c r="ER8" s="586">
        <f ca="1" t="shared" si="83"/>
        <v>1.28384108212058e-32</v>
      </c>
      <c r="ES8" s="594">
        <f ca="1" t="shared" si="84"/>
        <v>1.92994148864795e-11</v>
      </c>
      <c r="ET8" s="580">
        <f ca="1" t="shared" si="85"/>
        <v>1.37236186678287</v>
      </c>
      <c r="EU8" s="580">
        <f ca="1" t="shared" si="86"/>
        <v>0.0095078301741673</v>
      </c>
      <c r="EV8" s="595">
        <f ca="1" t="shared" si="87"/>
        <v>0.00950783017416724</v>
      </c>
      <c r="EW8" s="596">
        <f>EW$3*3600</f>
        <v>2246400</v>
      </c>
      <c r="EX8" s="580">
        <f ca="1" t="shared" ref="EX8:FA8" si="131">EP8</f>
        <v>2.42851306244427e-6</v>
      </c>
      <c r="EY8" s="580">
        <f ca="1" t="shared" si="131"/>
        <v>2.55482224839939e-10</v>
      </c>
      <c r="EZ8" s="581">
        <f ca="1" t="shared" si="131"/>
        <v>1.28384108212058e-32</v>
      </c>
      <c r="FA8" s="580">
        <f ca="1" t="shared" si="131"/>
        <v>1.92994148864795e-11</v>
      </c>
      <c r="FB8" s="580">
        <f ca="1">INDIRECT("'"&amp;$B$2&amp;"-事故进程'!AE"&amp;(ROW()+22))</f>
        <v>2.68773255494827e-10</v>
      </c>
      <c r="FC8" s="580">
        <f ca="1">SUM(FB$3,-LN(1-FC$3)/EW8)</f>
        <v>4.47397429375955e-9</v>
      </c>
      <c r="FD8" s="580">
        <f>FD$3/24/3600</f>
        <v>1157407407407410</v>
      </c>
      <c r="FE8" s="582">
        <f ca="1" t="shared" si="89"/>
        <v>1.93168587927384e-148</v>
      </c>
      <c r="FF8" s="582">
        <f ca="1" t="shared" si="90"/>
        <v>1.91352400444903e-148</v>
      </c>
      <c r="FG8" s="582">
        <f t="shared" si="91"/>
        <v>0</v>
      </c>
      <c r="FH8" s="582">
        <f ca="1" t="shared" si="92"/>
        <v>6.51645007687705e-16</v>
      </c>
      <c r="FI8" s="582">
        <f ca="1" t="shared" si="93"/>
        <v>1.18508407580362e-32</v>
      </c>
      <c r="FJ8" s="582">
        <f ca="1" t="shared" si="94"/>
        <v>1.06391448424205</v>
      </c>
      <c r="FK8" s="580">
        <f ca="1" t="shared" si="95"/>
        <v>4.69112439035567e-154</v>
      </c>
      <c r="FL8" s="580">
        <f ca="1" t="shared" si="96"/>
        <v>3.30790599800239e-157</v>
      </c>
      <c r="FM8" s="586">
        <f ca="1" t="shared" si="97"/>
        <v>1.27867562506677e-180</v>
      </c>
      <c r="FN8" s="594">
        <f ca="1" t="shared" si="98"/>
        <v>5.64323017219119e-159</v>
      </c>
      <c r="FO8" s="580">
        <f ca="1" t="shared" si="99"/>
        <v>4.31098043493288e-12</v>
      </c>
      <c r="FP8" s="580">
        <f ca="1" t="shared" si="100"/>
        <v>7.67642068646114e-15</v>
      </c>
      <c r="FQ8" s="595">
        <f ca="1" t="shared" si="101"/>
        <v>7.67642068646095e-15</v>
      </c>
      <c r="FR8" s="608" t="str">
        <f t="shared" si="102"/>
        <v>Kr-87</v>
      </c>
      <c r="FS8" s="609">
        <v>27500000000</v>
      </c>
      <c r="FT8" s="610">
        <v>14800000000</v>
      </c>
      <c r="FU8" s="610">
        <v>275000000</v>
      </c>
      <c r="FV8" s="610">
        <v>35400</v>
      </c>
      <c r="FW8" s="610">
        <v>42600000000</v>
      </c>
      <c r="FX8" s="614">
        <f ca="1" t="shared" si="103"/>
        <v>0</v>
      </c>
      <c r="FY8" s="614">
        <f ca="1" t="shared" si="104"/>
        <v>4.90957519180668</v>
      </c>
      <c r="FZ8" s="614">
        <f ca="1" t="shared" si="105"/>
        <v>0.45308835396642</v>
      </c>
      <c r="GA8" s="614">
        <f ca="1" t="shared" si="106"/>
        <v>0.734034147452575</v>
      </c>
      <c r="GB8" s="614">
        <f ca="1" t="shared" si="107"/>
        <v>1.70859948640583</v>
      </c>
      <c r="GC8" s="455">
        <f ca="1" t="shared" si="108"/>
        <v>1.70859948640583</v>
      </c>
      <c r="GE8" s="609">
        <v>5569472797.165</v>
      </c>
      <c r="GF8" s="610">
        <v>501084525.35194</v>
      </c>
      <c r="GG8" s="610">
        <v>11010571.8988812</v>
      </c>
      <c r="GH8" s="610">
        <v>2147.88383110428</v>
      </c>
      <c r="GI8" s="610">
        <v>0.343857374846796</v>
      </c>
      <c r="GJ8" s="610">
        <v>1.82273555504902e-14</v>
      </c>
      <c r="GK8" s="617">
        <v>6081570042.64351</v>
      </c>
      <c r="GL8" s="614">
        <f ca="1" t="shared" si="109"/>
        <v>0</v>
      </c>
      <c r="GM8" s="614">
        <f ca="1" t="shared" si="110"/>
        <v>145.008894033805</v>
      </c>
      <c r="GN8" s="614">
        <f ca="1" t="shared" si="111"/>
        <v>11.3163329284854</v>
      </c>
      <c r="GO8" s="614">
        <f ca="1" t="shared" si="112"/>
        <v>12.0959286388388</v>
      </c>
      <c r="GP8" s="614">
        <f ca="1" t="shared" si="113"/>
        <v>0.421148348436891</v>
      </c>
      <c r="GQ8" s="614">
        <f ca="1" t="shared" si="114"/>
        <v>11.9683465964407</v>
      </c>
      <c r="GR8" s="451">
        <f t="shared" si="115"/>
        <v>0.000151408296321525</v>
      </c>
      <c r="GS8" s="390">
        <f t="shared" si="116"/>
        <v>4578.00000000003</v>
      </c>
    </row>
    <row r="9" spans="1:201">
      <c r="A9" s="413"/>
      <c r="B9" s="407" t="s">
        <v>256</v>
      </c>
      <c r="C9" s="417">
        <v>0</v>
      </c>
      <c r="D9" s="409" t="s">
        <v>249</v>
      </c>
      <c r="E9" s="409" t="s">
        <v>257</v>
      </c>
      <c r="G9" s="411" t="s">
        <v>50</v>
      </c>
      <c r="H9" s="412">
        <f ca="1" t="shared" si="1"/>
        <v>0</v>
      </c>
      <c r="I9" s="412">
        <f ca="1" t="shared" si="2"/>
        <v>86352714555.6276</v>
      </c>
      <c r="J9" s="412">
        <f ca="1" t="shared" si="3"/>
        <v>66538661750.5164</v>
      </c>
      <c r="K9" s="412">
        <f ca="1" t="shared" si="4"/>
        <v>5793939280.86653</v>
      </c>
      <c r="L9" s="412">
        <f ca="1" t="shared" si="5"/>
        <v>92690244.6853546</v>
      </c>
      <c r="M9" s="412">
        <f ca="1" t="shared" si="6"/>
        <v>0.0606523265493899</v>
      </c>
      <c r="N9" s="412">
        <f ca="1" t="shared" si="7"/>
        <v>158778005831.757</v>
      </c>
      <c r="O9" s="450">
        <f ca="1" t="shared" si="8"/>
        <v>0</v>
      </c>
      <c r="P9" s="451"/>
      <c r="Q9" s="477" t="str">
        <f t="shared" si="0"/>
        <v>Kr-88</v>
      </c>
      <c r="R9" s="412">
        <f ca="1" t="shared" si="9"/>
        <v>0</v>
      </c>
      <c r="S9" s="412">
        <f ca="1">I9*(1-过滤效率!$B6)</f>
        <v>86352714555.6276</v>
      </c>
      <c r="T9" s="412">
        <f ca="1">J9*(1-过滤效率!$B6)</f>
        <v>66538661750.5164</v>
      </c>
      <c r="U9" s="412">
        <f ca="1">K9*(1-过滤效率!$B6)</f>
        <v>5793939280.86653</v>
      </c>
      <c r="V9" s="412">
        <f ca="1">L9*(1-过滤效率!$B6)</f>
        <v>92690244.6853546</v>
      </c>
      <c r="W9" s="412">
        <f ca="1">M9*(1-过滤效率!$B6)</f>
        <v>0.0606523265493899</v>
      </c>
      <c r="X9" s="412">
        <f ca="1" t="shared" si="10"/>
        <v>158778005831.757</v>
      </c>
      <c r="Y9" s="493"/>
      <c r="Z9" s="494">
        <f>VLOOKUP(G9,衰变常数!$A$1:$H$3800,7,FALSE)</f>
        <v>6.77960857355189e-5</v>
      </c>
      <c r="AA9" s="495">
        <f>正常源项!C6</f>
        <v>1.88e+17</v>
      </c>
      <c r="AB9" s="496">
        <f>正常源项!F6</f>
        <v>0</v>
      </c>
      <c r="AC9" s="496">
        <f>正常源项!I6</f>
        <v>41500000000</v>
      </c>
      <c r="AD9" s="496">
        <f>正常源项!L6</f>
        <v>2390000000</v>
      </c>
      <c r="AE9" s="497"/>
      <c r="AF9" s="498"/>
      <c r="AG9" s="483"/>
      <c r="AH9" s="518"/>
      <c r="AI9" s="483"/>
      <c r="AJ9" s="521"/>
      <c r="AK9" s="521"/>
      <c r="AL9" s="519">
        <f t="shared" si="11"/>
        <v>27504400</v>
      </c>
      <c r="AM9" s="520">
        <f t="shared" si="12"/>
        <v>789600000000</v>
      </c>
      <c r="AN9" s="519">
        <f ca="1">MAX(INDIRECT("'"&amp;$B$2&amp;"-事故进程'!Y"&amp;(ROW()+22)),INDIRECT("'"&amp;$B$2&amp;"-事故进程'!Z"&amp;(ROW()+22)),INDIRECT("'"&amp;$B$2&amp;"-事故进程'!AA"&amp;(ROW()+22)))</f>
        <v>5.1066513916625e-11</v>
      </c>
      <c r="AO9" s="519">
        <f ca="1" t="shared" si="13"/>
        <v>0</v>
      </c>
      <c r="AP9" s="560">
        <f t="shared" si="14"/>
        <v>1.88e+17</v>
      </c>
      <c r="AQ9" s="561">
        <f ca="1">(AC9*$C$5+AD9*$C$8+AF9+AG9+AI9+(AL9+AM9)*$C$10)*EXP(-Z9*$C$12*3600)+AO9*$C$11</f>
        <v>43890000000</v>
      </c>
      <c r="AR9" s="562">
        <f ca="1">AQ9*(1-AR$3)</f>
        <v>43890000000</v>
      </c>
      <c r="AS9" s="563">
        <f ca="1" t="shared" si="15"/>
        <v>0</v>
      </c>
      <c r="AT9" s="562">
        <f ca="1">AS9*(1-AT$3)</f>
        <v>0</v>
      </c>
      <c r="AU9" s="564">
        <f ca="1" t="shared" si="16"/>
        <v>0</v>
      </c>
      <c r="AV9" s="565">
        <f>AV$3*3600</f>
        <v>7200</v>
      </c>
      <c r="AW9" s="580">
        <f>AP9*EXP(-Z9*AW$3*3600)</f>
        <v>1.88e+17</v>
      </c>
      <c r="AX9" s="580">
        <f ca="1" t="shared" si="17"/>
        <v>43890000000</v>
      </c>
      <c r="AY9" s="581">
        <f ca="1" t="shared" si="18"/>
        <v>0</v>
      </c>
      <c r="AZ9" s="580">
        <v>0</v>
      </c>
      <c r="BA9" s="580">
        <f ca="1">MAX(INDIRECT("'"&amp;$B$2&amp;"-事故进程'!Y"&amp;(ROW()+22)),INDIRECT("'"&amp;$B$2&amp;"-事故进程'!Z"&amp;(ROW()+22)))</f>
        <v>4.61709032162165e-11</v>
      </c>
      <c r="BB9" s="580">
        <f ca="1">SUM(BA$3,-LN(1-BB$3)/AV9)</f>
        <v>0.00160041330566996</v>
      </c>
      <c r="BC9" s="580">
        <f>BC$3/24/3600</f>
        <v>1157407407407410</v>
      </c>
      <c r="BD9" s="582">
        <f ca="1" t="shared" si="19"/>
        <v>0.613771757913482</v>
      </c>
      <c r="BE9" s="582">
        <f ca="1" t="shared" si="20"/>
        <v>6.07634242330471e-6</v>
      </c>
      <c r="BF9" s="582">
        <f t="shared" si="21"/>
        <v>0</v>
      </c>
      <c r="BG9" s="582">
        <f ca="1" t="shared" si="22"/>
        <v>-61562008.154765</v>
      </c>
      <c r="BH9" s="582">
        <f ca="1" t="shared" si="23"/>
        <v>-6.06892089477784e-8</v>
      </c>
      <c r="BI9" s="582">
        <f ca="1" t="shared" si="24"/>
        <v>1.00000002884936</v>
      </c>
      <c r="BJ9" s="580">
        <f ca="1" t="shared" si="25"/>
        <v>1.15389090487735e+17</v>
      </c>
      <c r="BK9" s="580">
        <f ca="1" t="shared" si="26"/>
        <v>3329135502.55511</v>
      </c>
      <c r="BL9" s="586">
        <f ca="1" t="shared" si="27"/>
        <v>4.60338574003268e-9</v>
      </c>
      <c r="BM9" s="594">
        <f ca="1" t="shared" si="28"/>
        <v>61968175681.4449</v>
      </c>
      <c r="BN9" s="580">
        <f ca="1" t="shared" si="29"/>
        <v>49449890152.4304</v>
      </c>
      <c r="BO9" s="580">
        <f ca="1" t="shared" si="30"/>
        <v>86352714555.6276</v>
      </c>
      <c r="BP9" s="595">
        <f ca="1" t="shared" si="31"/>
        <v>86352714555.6276</v>
      </c>
      <c r="BQ9" s="596">
        <f>BQ$3*3600</f>
        <v>21600</v>
      </c>
      <c r="BR9" s="580">
        <f ca="1" t="shared" ref="BR9:BU9" si="132">BJ9</f>
        <v>1.15389090487735e+17</v>
      </c>
      <c r="BS9" s="580">
        <f ca="1" t="shared" si="132"/>
        <v>3329135502.55511</v>
      </c>
      <c r="BT9" s="581">
        <f ca="1" t="shared" si="132"/>
        <v>4.60338574003268e-9</v>
      </c>
      <c r="BU9" s="580">
        <f ca="1" t="shared" si="132"/>
        <v>61968175681.4449</v>
      </c>
      <c r="BV9" s="580">
        <f ca="1">MAX(INDIRECT("'"&amp;$B$2&amp;"-事故进程'!Z"&amp;(ROW()+22)),INDIRECT("'"&amp;$B$2&amp;"-事故进程'!AA"&amp;(ROW()+22)))</f>
        <v>5.1066513916625e-11</v>
      </c>
      <c r="BW9" s="580">
        <f ca="1">SUM(BV$3,-LN(1-BW$3)/BQ9)</f>
        <v>0.00162728102077123</v>
      </c>
      <c r="BX9" s="580">
        <f>BX$3/24/3600</f>
        <v>1157407407407410</v>
      </c>
      <c r="BY9" s="582">
        <f ca="1" t="shared" si="33"/>
        <v>0.231217476435003</v>
      </c>
      <c r="BZ9" s="582">
        <f ca="1" t="shared" si="34"/>
        <v>1.25570351765528e-16</v>
      </c>
      <c r="CA9" s="582">
        <f t="shared" si="35"/>
        <v>0</v>
      </c>
      <c r="CB9" s="582">
        <f ca="1" t="shared" si="36"/>
        <v>475079.746342331</v>
      </c>
      <c r="CC9" s="582">
        <f ca="1" t="shared" si="37"/>
        <v>-7.72815722827701e-11</v>
      </c>
      <c r="CD9" s="582">
        <f ca="1" t="shared" si="38"/>
        <v>1.0000000313815</v>
      </c>
      <c r="CE9" s="580">
        <f ca="1" t="shared" si="39"/>
        <v>2.66799743107042e+16</v>
      </c>
      <c r="CF9" s="580">
        <f ca="1" t="shared" si="40"/>
        <v>837257550.968597</v>
      </c>
      <c r="CG9" s="586">
        <f ca="1" t="shared" si="41"/>
        <v>1.17715967037095e-9</v>
      </c>
      <c r="CH9" s="594">
        <f ca="1" t="shared" si="42"/>
        <v>43689645681.0314</v>
      </c>
      <c r="CI9" s="580">
        <f ca="1" t="shared" si="43"/>
        <v>66818929948.9702</v>
      </c>
      <c r="CJ9" s="580">
        <f ca="1" t="shared" si="44"/>
        <v>66538661750.5164</v>
      </c>
      <c r="CK9" s="595">
        <f ca="1" t="shared" si="45"/>
        <v>66538661750.5164</v>
      </c>
      <c r="CL9" s="596">
        <f>CL$3*3600</f>
        <v>57600</v>
      </c>
      <c r="CM9" s="580">
        <f ca="1" t="shared" ref="CM9:CP9" si="133">CE9</f>
        <v>2.66799743107042e+16</v>
      </c>
      <c r="CN9" s="580">
        <f ca="1" t="shared" si="133"/>
        <v>837257550.968597</v>
      </c>
      <c r="CO9" s="581">
        <f ca="1" t="shared" si="133"/>
        <v>1.17715967037095e-9</v>
      </c>
      <c r="CP9" s="580">
        <f ca="1" t="shared" si="133"/>
        <v>43689645681.0314</v>
      </c>
      <c r="CQ9" s="580">
        <f ca="1">MAX(INDIRECT("'"&amp;$B$2&amp;"-事故进程'!AA"&amp;(ROW()+22)),INDIRECT("'"&amp;$B$2&amp;"-事故进程'!AB"&amp;(ROW()+22)))</f>
        <v>1.70644044682083e-10</v>
      </c>
      <c r="CR9" s="580">
        <f ca="1">SUM(CQ$3,-LN(1-CR$3)/CL9)</f>
        <v>6.95458811586267e-6</v>
      </c>
      <c r="CS9" s="580">
        <f>CS$3/24/3600</f>
        <v>1157407407407410</v>
      </c>
      <c r="CT9" s="582">
        <f ca="1" t="shared" si="47"/>
        <v>0.0201396581108711</v>
      </c>
      <c r="CU9" s="582">
        <f ca="1" t="shared" si="48"/>
        <v>0.0134922637434269</v>
      </c>
      <c r="CV9" s="582">
        <f t="shared" si="49"/>
        <v>0</v>
      </c>
      <c r="CW9" s="582">
        <f ca="1" t="shared" si="50"/>
        <v>4546956.08985177</v>
      </c>
      <c r="CX9" s="582">
        <f ca="1" t="shared" si="51"/>
        <v>1.17212878722936e-9</v>
      </c>
      <c r="CY9" s="582">
        <f ca="1" t="shared" si="52"/>
        <v>1.00002453750373</v>
      </c>
      <c r="CZ9" s="580">
        <f ca="1" t="shared" si="53"/>
        <v>537325561024407</v>
      </c>
      <c r="DA9" s="580">
        <f ca="1" t="shared" si="54"/>
        <v>4363079492.01694</v>
      </c>
      <c r="DB9" s="586">
        <f ca="1" t="shared" si="55"/>
        <v>2.62167155571558e-11</v>
      </c>
      <c r="DC9" s="594">
        <f ca="1" t="shared" si="56"/>
        <v>1815136931.85806</v>
      </c>
      <c r="DD9" s="580">
        <f ca="1" t="shared" si="57"/>
        <v>65801381367.9115</v>
      </c>
      <c r="DE9" s="580">
        <f ca="1" t="shared" si="58"/>
        <v>5793939280.86653</v>
      </c>
      <c r="DF9" s="595">
        <f ca="1" t="shared" si="59"/>
        <v>5793939280.86653</v>
      </c>
      <c r="DG9" s="596">
        <f>DG$3*3600</f>
        <v>86400</v>
      </c>
      <c r="DH9" s="580">
        <f ca="1" t="shared" ref="DH9:DK9" si="134">CZ9</f>
        <v>537325561024407</v>
      </c>
      <c r="DI9" s="580">
        <f ca="1" t="shared" si="134"/>
        <v>4363079492.01694</v>
      </c>
      <c r="DJ9" s="581">
        <f ca="1" t="shared" si="134"/>
        <v>2.62167155571558e-11</v>
      </c>
      <c r="DK9" s="580">
        <f ca="1" t="shared" si="134"/>
        <v>1815136931.85806</v>
      </c>
      <c r="DL9" s="580">
        <f ca="1">MAX(INDIRECT("'"&amp;$B$2&amp;"-事故进程'!AB"&amp;(ROW()+22)),INDIRECT("'"&amp;$B$2&amp;"-事故进程'!AC"&amp;(ROW()+22)))</f>
        <v>2.49131447981314e-10</v>
      </c>
      <c r="DM9" s="580">
        <f ca="1">SUM(DL$3,-LN(1-DM$3)/DG9)</f>
        <v>1.01371476497628e-6</v>
      </c>
      <c r="DN9" s="580">
        <f>DN$3/24/3600</f>
        <v>1157407407407410</v>
      </c>
      <c r="DO9" s="582">
        <f ca="1" t="shared" si="61"/>
        <v>0.00285808536107077</v>
      </c>
      <c r="DP9" s="582">
        <f ca="1" t="shared" si="62"/>
        <v>0.00261846564812893</v>
      </c>
      <c r="DQ9" s="582">
        <f t="shared" si="63"/>
        <v>0</v>
      </c>
      <c r="DR9" s="582">
        <f ca="1" t="shared" si="64"/>
        <v>129442.863933871</v>
      </c>
      <c r="DS9" s="582">
        <f ca="1" t="shared" si="65"/>
        <v>2.2395314317181e-11</v>
      </c>
      <c r="DT9" s="582">
        <f ca="1" t="shared" si="66"/>
        <v>1.00024582130833</v>
      </c>
      <c r="DU9" s="580">
        <f ca="1" t="shared" si="67"/>
        <v>1535722320093</v>
      </c>
      <c r="DV9" s="580">
        <f ca="1" t="shared" si="68"/>
        <v>43075000.5244288</v>
      </c>
      <c r="DW9" s="586">
        <f ca="1" t="shared" si="69"/>
        <v>3.77272201244899e-14</v>
      </c>
      <c r="DX9" s="594">
        <f ca="1" t="shared" si="70"/>
        <v>7639962.32005364</v>
      </c>
      <c r="DY9" s="580">
        <f ca="1" t="shared" si="71"/>
        <v>1968868945.37891</v>
      </c>
      <c r="DZ9" s="580">
        <f ca="1" t="shared" si="72"/>
        <v>92648486.2861622</v>
      </c>
      <c r="EA9" s="595">
        <f ca="1" t="shared" si="73"/>
        <v>92648486.2861623</v>
      </c>
      <c r="EB9" s="596">
        <f>EB$3*3600</f>
        <v>172800</v>
      </c>
      <c r="EC9" s="580">
        <f ca="1" t="shared" ref="EC9:EF9" si="135">DU9</f>
        <v>1535722320093</v>
      </c>
      <c r="ED9" s="580">
        <f ca="1" t="shared" si="135"/>
        <v>43075000.5244288</v>
      </c>
      <c r="EE9" s="581">
        <f ca="1" t="shared" si="135"/>
        <v>3.77272201244899e-14</v>
      </c>
      <c r="EF9" s="580">
        <f ca="1" t="shared" si="135"/>
        <v>7639962.32005364</v>
      </c>
      <c r="EG9" s="580">
        <f ca="1">MAX(INDIRECT("'"&amp;$B$2&amp;"-事故进程'!AC"&amp;(ROW()+22)),INDIRECT("'"&amp;$B$2&amp;"-事故进程'!AD"&amp;(ROW()+22)),INDIRECT("'"&amp;$B$2&amp;"-事故进程'!AE"&amp;(ROW()+22)))</f>
        <v>2.49131447981314e-10</v>
      </c>
      <c r="EH9" s="580">
        <f ca="1">SUM(EG$3,-LN(1-EH$3)/EB9)</f>
        <v>5.81616658188741e-8</v>
      </c>
      <c r="EI9" s="580">
        <f>EI$3/24/3600</f>
        <v>1157407407407410</v>
      </c>
      <c r="EJ9" s="582">
        <f ca="1" t="shared" si="75"/>
        <v>8.16865193116704e-6</v>
      </c>
      <c r="EK9" s="582">
        <f ca="1" t="shared" si="76"/>
        <v>8.08731356251644e-6</v>
      </c>
      <c r="EL9" s="582">
        <f t="shared" si="77"/>
        <v>0</v>
      </c>
      <c r="EM9" s="582">
        <f ca="1" t="shared" si="78"/>
        <v>380.102142853594</v>
      </c>
      <c r="EN9" s="582">
        <f ca="1" t="shared" si="79"/>
        <v>3.55626290136886e-14</v>
      </c>
      <c r="EO9" s="582">
        <f ca="1" t="shared" si="80"/>
        <v>1.00430185711414</v>
      </c>
      <c r="EP9" s="580">
        <f ca="1" t="shared" si="81"/>
        <v>12544781.095764</v>
      </c>
      <c r="EQ9" s="580">
        <f ca="1" t="shared" si="82"/>
        <v>885.719551252172</v>
      </c>
      <c r="ER9" s="586">
        <f ca="1" t="shared" si="83"/>
        <v>4.45088948104846e-20</v>
      </c>
      <c r="ES9" s="594">
        <f ca="1" t="shared" si="84"/>
        <v>68.6345374509983</v>
      </c>
      <c r="ET9" s="580">
        <f ca="1" t="shared" si="85"/>
        <v>5643278.51576719</v>
      </c>
      <c r="EU9" s="580">
        <f ca="1" t="shared" si="86"/>
        <v>41758.3991923568</v>
      </c>
      <c r="EV9" s="595">
        <f ca="1" t="shared" si="87"/>
        <v>41758.3991923572</v>
      </c>
      <c r="EW9" s="596">
        <f>EW$3*3600</f>
        <v>2246400</v>
      </c>
      <c r="EX9" s="580">
        <f ca="1" t="shared" ref="EX9:FA9" si="136">EP9</f>
        <v>12544781.095764</v>
      </c>
      <c r="EY9" s="580">
        <f ca="1" t="shared" si="136"/>
        <v>885.719551252172</v>
      </c>
      <c r="EZ9" s="581">
        <f ca="1" t="shared" si="136"/>
        <v>4.45088948104846e-20</v>
      </c>
      <c r="FA9" s="580">
        <f ca="1" t="shared" si="136"/>
        <v>68.6345374509983</v>
      </c>
      <c r="FB9" s="580">
        <f ca="1">INDIRECT("'"&amp;$B$2&amp;"-事故进程'!AE"&amp;(ROW()+22))</f>
        <v>1.80679446530164e-10</v>
      </c>
      <c r="FC9" s="580">
        <f ca="1">SUM(FB$3,-LN(1-FC$3)/EW9)</f>
        <v>4.47397429375955e-9</v>
      </c>
      <c r="FD9" s="580">
        <f>FD$3/24/3600</f>
        <v>1157407407407410</v>
      </c>
      <c r="FE9" s="582">
        <f ca="1" t="shared" si="89"/>
        <v>7.21143785142591e-67</v>
      </c>
      <c r="FF9" s="582">
        <f ca="1" t="shared" si="90"/>
        <v>7.1422217575836e-67</v>
      </c>
      <c r="FG9" s="582">
        <f t="shared" si="91"/>
        <v>0</v>
      </c>
      <c r="FH9" s="582">
        <f ca="1" t="shared" si="92"/>
        <v>0.00226278145003922</v>
      </c>
      <c r="FI9" s="582">
        <f ca="1" t="shared" si="93"/>
        <v>4.10851336712165e-20</v>
      </c>
      <c r="FJ9" s="582">
        <f ca="1" t="shared" si="94"/>
        <v>1.04208409926627</v>
      </c>
      <c r="FK9" s="580">
        <f ca="1" t="shared" si="95"/>
        <v>9.04659092318447e-60</v>
      </c>
      <c r="FL9" s="580">
        <f ca="1" t="shared" si="96"/>
        <v>4.28676602190114e-63</v>
      </c>
      <c r="FM9" s="586">
        <f ca="1" t="shared" si="97"/>
        <v>1.65705531713402e-86</v>
      </c>
      <c r="FN9" s="594">
        <f ca="1" t="shared" si="98"/>
        <v>7.43001698872828e-65</v>
      </c>
      <c r="FO9" s="580">
        <f ca="1" t="shared" si="99"/>
        <v>33.4322850664292</v>
      </c>
      <c r="FP9" s="580">
        <f ca="1" t="shared" si="100"/>
        <v>0.0606523265493912</v>
      </c>
      <c r="FQ9" s="595">
        <f ca="1" t="shared" si="101"/>
        <v>0.0606523265493899</v>
      </c>
      <c r="FR9" s="608" t="str">
        <f t="shared" si="102"/>
        <v>Kr-88</v>
      </c>
      <c r="FS9" s="609">
        <v>57600000000</v>
      </c>
      <c r="FT9" s="610">
        <v>27800000000</v>
      </c>
      <c r="FU9" s="610">
        <v>6190000000</v>
      </c>
      <c r="FV9" s="610">
        <v>92200000</v>
      </c>
      <c r="FW9" s="610">
        <v>91600000000</v>
      </c>
      <c r="FX9" s="614">
        <f ca="1" t="shared" si="103"/>
        <v>0</v>
      </c>
      <c r="FY9" s="614">
        <f ca="1" t="shared" si="104"/>
        <v>5.49968979518504</v>
      </c>
      <c r="FZ9" s="614">
        <f ca="1" t="shared" si="105"/>
        <v>0.936016038912202</v>
      </c>
      <c r="GA9" s="614">
        <f ca="1" t="shared" si="106"/>
        <v>1.00531718747673</v>
      </c>
      <c r="GB9" s="614">
        <f ca="1" t="shared" si="107"/>
        <v>1.73338434314078</v>
      </c>
      <c r="GC9" s="455">
        <f ca="1" t="shared" si="108"/>
        <v>1.73338434314145</v>
      </c>
      <c r="GE9" s="609">
        <v>11687589379.7813</v>
      </c>
      <c r="GF9" s="610">
        <v>1864556818.92198</v>
      </c>
      <c r="GG9" s="610">
        <v>498018847.624415</v>
      </c>
      <c r="GH9" s="610">
        <v>11239698.519804</v>
      </c>
      <c r="GI9" s="610">
        <v>134450.937507936</v>
      </c>
      <c r="GJ9" s="610">
        <v>0.173930237819036</v>
      </c>
      <c r="GK9" s="617">
        <v>14061539195.9589</v>
      </c>
      <c r="GL9" s="614">
        <f ca="1" t="shared" si="109"/>
        <v>0</v>
      </c>
      <c r="GM9" s="614">
        <f ca="1" t="shared" si="110"/>
        <v>81.9987756632379</v>
      </c>
      <c r="GN9" s="614">
        <f ca="1" t="shared" si="111"/>
        <v>11.6339759197951</v>
      </c>
      <c r="GO9" s="614">
        <f ca="1" t="shared" si="112"/>
        <v>8.14920227953996</v>
      </c>
      <c r="GP9" s="614">
        <f ca="1" t="shared" si="113"/>
        <v>0.348716400954359</v>
      </c>
      <c r="GQ9" s="614">
        <f ca="1" t="shared" si="114"/>
        <v>11.2916519037537</v>
      </c>
      <c r="GR9" s="451">
        <f t="shared" si="115"/>
        <v>6.77960857355189e-5</v>
      </c>
      <c r="GS9" s="390">
        <f t="shared" si="116"/>
        <v>10224</v>
      </c>
    </row>
    <row r="10" spans="1:201">
      <c r="A10" s="413"/>
      <c r="B10" s="407" t="s">
        <v>258</v>
      </c>
      <c r="C10" s="418">
        <v>0</v>
      </c>
      <c r="D10" s="410" t="s">
        <v>259</v>
      </c>
      <c r="E10" s="409" t="s">
        <v>257</v>
      </c>
      <c r="G10" s="411" t="s">
        <v>51</v>
      </c>
      <c r="H10" s="412">
        <f ca="1" t="shared" si="1"/>
        <v>0</v>
      </c>
      <c r="I10" s="412">
        <f ca="1" t="shared" si="2"/>
        <v>5831242381.23538</v>
      </c>
      <c r="J10" s="412">
        <f ca="1" t="shared" si="3"/>
        <v>268348297.63928</v>
      </c>
      <c r="K10" s="412">
        <f ca="1" t="shared" si="4"/>
        <v>371312911.979663</v>
      </c>
      <c r="L10" s="412">
        <f ca="1" t="shared" si="5"/>
        <v>409152060.831107</v>
      </c>
      <c r="M10" s="412">
        <f ca="1" t="shared" si="6"/>
        <v>204930918.837992</v>
      </c>
      <c r="N10" s="412">
        <f ca="1" t="shared" si="7"/>
        <v>7084986570.52342</v>
      </c>
      <c r="O10" s="450">
        <f ca="1" t="shared" si="8"/>
        <v>0</v>
      </c>
      <c r="P10" s="451"/>
      <c r="Q10" s="477" t="str">
        <f t="shared" si="0"/>
        <v>Xe-131m</v>
      </c>
      <c r="R10" s="412">
        <f ca="1" t="shared" si="9"/>
        <v>0</v>
      </c>
      <c r="S10" s="412">
        <f ca="1">I10*(1-过滤效率!$B7)</f>
        <v>5831242381.23538</v>
      </c>
      <c r="T10" s="412">
        <f ca="1">J10*(1-过滤效率!$B7)</f>
        <v>268348297.63928</v>
      </c>
      <c r="U10" s="412">
        <f ca="1">K10*(1-过滤效率!$B7)</f>
        <v>371312911.979663</v>
      </c>
      <c r="V10" s="412">
        <f ca="1">L10*(1-过滤效率!$B7)</f>
        <v>409152060.831107</v>
      </c>
      <c r="W10" s="412">
        <f ca="1">M10*(1-过滤效率!$B7)</f>
        <v>204930918.837992</v>
      </c>
      <c r="X10" s="412">
        <f ca="1" t="shared" si="10"/>
        <v>7084986570.52342</v>
      </c>
      <c r="Y10" s="493"/>
      <c r="Z10" s="494">
        <f>VLOOKUP(G10,衰变常数!$A$1:$H$3800,7,FALSE)</f>
        <v>6.77579122638209e-7</v>
      </c>
      <c r="AA10" s="495">
        <f>正常源项!C7</f>
        <v>2500000000000000</v>
      </c>
      <c r="AB10" s="496">
        <f>正常源项!F7</f>
        <v>0</v>
      </c>
      <c r="AC10" s="496">
        <f>正常源项!I7</f>
        <v>939000000</v>
      </c>
      <c r="AD10" s="496">
        <f>正常源项!L7</f>
        <v>4820000000</v>
      </c>
      <c r="AE10" s="497"/>
      <c r="AF10" s="498"/>
      <c r="AG10" s="483"/>
      <c r="AH10" s="518"/>
      <c r="AI10" s="483"/>
      <c r="AJ10" s="521"/>
      <c r="AK10" s="521"/>
      <c r="AL10" s="519">
        <f t="shared" si="11"/>
        <v>365750</v>
      </c>
      <c r="AM10" s="520">
        <f t="shared" si="12"/>
        <v>10500000000</v>
      </c>
      <c r="AN10" s="519">
        <f ca="1">MAX(INDIRECT("'"&amp;$B$2&amp;"-事故进程'!Y"&amp;(ROW()+22)),INDIRECT("'"&amp;$B$2&amp;"-事故进程'!Z"&amp;(ROW()+22)),INDIRECT("'"&amp;$B$2&amp;"-事故进程'!AA"&amp;(ROW()+22)))</f>
        <v>5.04091262889865e-12</v>
      </c>
      <c r="AO10" s="519">
        <f ca="1" t="shared" si="13"/>
        <v>0</v>
      </c>
      <c r="AP10" s="560">
        <f t="shared" si="14"/>
        <v>2500000000000000</v>
      </c>
      <c r="AQ10" s="561">
        <f ca="1">(AC10*$C$5+AD10*$C$8+AF10+AG10+AI10+(AL10+AM10)*$C$10)*EXP(-Z10*$C$12*3600)+AO10*$C$11</f>
        <v>5759000000</v>
      </c>
      <c r="AR10" s="562">
        <f ca="1">AQ10*(1-AR$3)</f>
        <v>5759000000</v>
      </c>
      <c r="AS10" s="563">
        <f ca="1" t="shared" si="15"/>
        <v>0</v>
      </c>
      <c r="AT10" s="562">
        <f ca="1">AS10*(1-AT$3)</f>
        <v>0</v>
      </c>
      <c r="AU10" s="564">
        <f ca="1" t="shared" si="16"/>
        <v>0</v>
      </c>
      <c r="AV10" s="565">
        <f>AV$3*3600</f>
        <v>7200</v>
      </c>
      <c r="AW10" s="580">
        <f>AP10*EXP(-Z10*AW$3*3600)</f>
        <v>2500000000000000</v>
      </c>
      <c r="AX10" s="580">
        <f ca="1" t="shared" si="17"/>
        <v>5759000000</v>
      </c>
      <c r="AY10" s="581">
        <f ca="1" t="shared" si="18"/>
        <v>0</v>
      </c>
      <c r="AZ10" s="580">
        <v>0</v>
      </c>
      <c r="BA10" s="580">
        <f ca="1">MAX(INDIRECT("'"&amp;$B$2&amp;"-事故进程'!Y"&amp;(ROW()+22)),INDIRECT("'"&amp;$B$2&amp;"-事故进程'!Z"&amp;(ROW()+22)))</f>
        <v>4.55855205255296e-12</v>
      </c>
      <c r="BB10" s="580">
        <f ca="1">SUM(BA$3,-LN(1-BB$3)/AV10)</f>
        <v>0.00160041330566996</v>
      </c>
      <c r="BC10" s="580">
        <f>BC$3/24/3600</f>
        <v>1157407407407410</v>
      </c>
      <c r="BD10" s="582">
        <f ca="1" t="shared" si="19"/>
        <v>0.995133278547799</v>
      </c>
      <c r="BE10" s="582">
        <f ca="1" t="shared" si="20"/>
        <v>9.85181978097544e-6</v>
      </c>
      <c r="BF10" s="582">
        <f t="shared" si="21"/>
        <v>0</v>
      </c>
      <c r="BG10" s="582">
        <f ca="1" t="shared" si="22"/>
        <v>-9205383.82096923</v>
      </c>
      <c r="BH10" s="582">
        <f ca="1" t="shared" si="23"/>
        <v>-7.96329811643326e-9</v>
      </c>
      <c r="BI10" s="582">
        <f ca="1" t="shared" si="24"/>
        <v>1.00000000284836</v>
      </c>
      <c r="BJ10" s="580">
        <f ca="1" t="shared" si="25"/>
        <v>2487833196369500</v>
      </c>
      <c r="BK10" s="580">
        <f ca="1" t="shared" si="26"/>
        <v>7142909.2086399</v>
      </c>
      <c r="BL10" s="586">
        <f ca="1" t="shared" si="27"/>
        <v>9.87690839503663e-12</v>
      </c>
      <c r="BM10" s="594">
        <f ca="1" t="shared" si="28"/>
        <v>5805484434.79136</v>
      </c>
      <c r="BN10" s="580">
        <f ca="1" t="shared" si="29"/>
        <v>81854107.7692513</v>
      </c>
      <c r="BO10" s="580">
        <f ca="1" t="shared" si="30"/>
        <v>5831242381.23538</v>
      </c>
      <c r="BP10" s="595">
        <f ca="1" t="shared" si="31"/>
        <v>5831242381.23538</v>
      </c>
      <c r="BQ10" s="596">
        <f>BQ$3*3600</f>
        <v>21600</v>
      </c>
      <c r="BR10" s="580">
        <f ca="1" t="shared" ref="BR10:BU10" si="137">BJ10</f>
        <v>2487833196369500</v>
      </c>
      <c r="BS10" s="580">
        <f ca="1" t="shared" si="137"/>
        <v>7142909.2086399</v>
      </c>
      <c r="BT10" s="581">
        <f ca="1" t="shared" si="137"/>
        <v>9.87690839503663e-12</v>
      </c>
      <c r="BU10" s="580">
        <f ca="1" t="shared" si="137"/>
        <v>5805484434.79136</v>
      </c>
      <c r="BV10" s="580">
        <f ca="1">MAX(INDIRECT("'"&amp;$B$2&amp;"-事故进程'!Z"&amp;(ROW()+22)),INDIRECT("'"&amp;$B$2&amp;"-事故进程'!AA"&amp;(ROW()+22)))</f>
        <v>5.04091262889865e-12</v>
      </c>
      <c r="BW10" s="580">
        <f ca="1">SUM(BV$3,-LN(1-BW$3)/BQ10)</f>
        <v>0.00162728102077123</v>
      </c>
      <c r="BX10" s="580">
        <f>BX$3/24/3600</f>
        <v>1157407407407410</v>
      </c>
      <c r="BY10" s="582">
        <f ca="1" t="shared" si="33"/>
        <v>0.98547076504068</v>
      </c>
      <c r="BZ10" s="582">
        <f ca="1" t="shared" si="34"/>
        <v>5.35192190082062e-16</v>
      </c>
      <c r="CA10" s="582">
        <f t="shared" si="35"/>
        <v>0</v>
      </c>
      <c r="CB10" s="582">
        <f ca="1" t="shared" si="36"/>
        <v>917.429225867325</v>
      </c>
      <c r="CC10" s="582">
        <f ca="1" t="shared" si="37"/>
        <v>-1.65813393264738e-13</v>
      </c>
      <c r="CD10" s="582">
        <f ca="1" t="shared" si="38"/>
        <v>1.00000000309775</v>
      </c>
      <c r="CE10" s="580">
        <f ca="1" t="shared" si="39"/>
        <v>2451686883319850</v>
      </c>
      <c r="CF10" s="580">
        <f ca="1" t="shared" si="40"/>
        <v>7594717.35537064</v>
      </c>
      <c r="CG10" s="586">
        <f ca="1" t="shared" si="41"/>
        <v>1.06779508506863e-11</v>
      </c>
      <c r="CH10" s="594">
        <f ca="1" t="shared" si="42"/>
        <v>5987529007.14463</v>
      </c>
      <c r="CI10" s="580">
        <f ca="1" t="shared" si="43"/>
        <v>268911842.604517</v>
      </c>
      <c r="CJ10" s="580">
        <f ca="1" t="shared" si="44"/>
        <v>268348297.63928</v>
      </c>
      <c r="CK10" s="595">
        <f ca="1" t="shared" si="45"/>
        <v>268348297.63928</v>
      </c>
      <c r="CL10" s="596">
        <f>CL$3*3600</f>
        <v>57600</v>
      </c>
      <c r="CM10" s="580">
        <f ca="1" t="shared" ref="CM10:CP10" si="138">CE10</f>
        <v>2451686883319850</v>
      </c>
      <c r="CN10" s="580">
        <f ca="1" t="shared" si="138"/>
        <v>7594717.35537064</v>
      </c>
      <c r="CO10" s="581">
        <f ca="1" t="shared" si="138"/>
        <v>1.06779508506863e-11</v>
      </c>
      <c r="CP10" s="580">
        <f ca="1" t="shared" si="138"/>
        <v>5987529007.14463</v>
      </c>
      <c r="CQ10" s="580">
        <f ca="1">MAX(INDIRECT("'"&amp;$B$2&amp;"-事故进程'!AA"&amp;(ROW()+22)),INDIRECT("'"&amp;$B$2&amp;"-事故进程'!AB"&amp;(ROW()+22)))</f>
        <v>1.5222553803445e-11</v>
      </c>
      <c r="CR10" s="580">
        <f ca="1">SUM(CQ$3,-LN(1-CR$3)/CL10)</f>
        <v>6.95458811586267e-6</v>
      </c>
      <c r="CS10" s="580">
        <f>CS$3/24/3600</f>
        <v>1157407407407410</v>
      </c>
      <c r="CT10" s="582">
        <f ca="1" t="shared" si="47"/>
        <v>0.961722401120376</v>
      </c>
      <c r="CU10" s="582">
        <f ca="1" t="shared" si="48"/>
        <v>0.644285819048561</v>
      </c>
      <c r="CV10" s="582">
        <f t="shared" si="49"/>
        <v>0</v>
      </c>
      <c r="CW10" s="582">
        <f ca="1" t="shared" si="50"/>
        <v>37268.1174750847</v>
      </c>
      <c r="CX10" s="582">
        <f ca="1" t="shared" si="51"/>
        <v>1.06323159854478e-11</v>
      </c>
      <c r="CY10" s="582">
        <f ca="1" t="shared" si="52"/>
        <v>1.00000218885531</v>
      </c>
      <c r="CZ10" s="580">
        <f ca="1" t="shared" si="53"/>
        <v>2357842196221700</v>
      </c>
      <c r="DA10" s="580">
        <f ca="1" t="shared" si="54"/>
        <v>1708380986.50395</v>
      </c>
      <c r="DB10" s="586">
        <f ca="1" t="shared" si="55"/>
        <v>1.02652583956757e-11</v>
      </c>
      <c r="DC10" s="594">
        <f ca="1" t="shared" si="56"/>
        <v>6124670828.99605</v>
      </c>
      <c r="DD10" s="580">
        <f ca="1" t="shared" si="57"/>
        <v>2108275856.57356</v>
      </c>
      <c r="DE10" s="580">
        <f ca="1" t="shared" si="58"/>
        <v>371312911.979663</v>
      </c>
      <c r="DF10" s="595">
        <f ca="1" t="shared" si="59"/>
        <v>371312911.979663</v>
      </c>
      <c r="DG10" s="596">
        <f>DG$3*3600</f>
        <v>86400</v>
      </c>
      <c r="DH10" s="580">
        <f ca="1" t="shared" ref="DH10:DK10" si="139">CZ10</f>
        <v>2357842196221700</v>
      </c>
      <c r="DI10" s="580">
        <f ca="1" t="shared" si="139"/>
        <v>1708380986.50395</v>
      </c>
      <c r="DJ10" s="581">
        <f ca="1" t="shared" si="139"/>
        <v>1.02652583956757e-11</v>
      </c>
      <c r="DK10" s="580">
        <f ca="1" t="shared" si="139"/>
        <v>6124670828.99605</v>
      </c>
      <c r="DL10" s="580">
        <f ca="1">MAX(INDIRECT("'"&amp;$B$2&amp;"-事故进程'!AB"&amp;(ROW()+22)),INDIRECT("'"&amp;$B$2&amp;"-事故进程'!AC"&amp;(ROW()+22)))</f>
        <v>2.15977038061754e-11</v>
      </c>
      <c r="DM10" s="580">
        <f ca="1">SUM(DL$3,-LN(1-DM$3)/DG10)</f>
        <v>1.01371476497628e-6</v>
      </c>
      <c r="DN10" s="580">
        <f>DN$3/24/3600</f>
        <v>1157407407407410</v>
      </c>
      <c r="DO10" s="582">
        <f ca="1" t="shared" si="61"/>
        <v>0.94313607916427</v>
      </c>
      <c r="DP10" s="582">
        <f ca="1" t="shared" si="62"/>
        <v>0.864047277894467</v>
      </c>
      <c r="DQ10" s="582">
        <f t="shared" si="63"/>
        <v>0</v>
      </c>
      <c r="DR10" s="582">
        <f ca="1" t="shared" si="64"/>
        <v>49192.203242581</v>
      </c>
      <c r="DS10" s="582">
        <f ca="1" t="shared" si="65"/>
        <v>8.76897366556236e-12</v>
      </c>
      <c r="DT10" s="582">
        <f ca="1" t="shared" si="66"/>
        <v>1.00002130595776</v>
      </c>
      <c r="DU10" s="580">
        <f ca="1" t="shared" si="67"/>
        <v>2223766044232600</v>
      </c>
      <c r="DV10" s="580">
        <f ca="1" t="shared" si="68"/>
        <v>5449233782.4921</v>
      </c>
      <c r="DW10" s="586">
        <f ca="1" t="shared" si="69"/>
        <v>4.77270899405547e-12</v>
      </c>
      <c r="DX10" s="594">
        <f ca="1" t="shared" si="70"/>
        <v>6088057619.0079</v>
      </c>
      <c r="DY10" s="580">
        <f ca="1" t="shared" si="71"/>
        <v>4273515259.35598</v>
      </c>
      <c r="DZ10" s="580">
        <f ca="1" t="shared" si="72"/>
        <v>319263143.927172</v>
      </c>
      <c r="EA10" s="595">
        <f ca="1" t="shared" si="73"/>
        <v>319263143.927172</v>
      </c>
      <c r="EB10" s="596">
        <f>EB$3*3600</f>
        <v>172800</v>
      </c>
      <c r="EC10" s="580">
        <f ca="1" t="shared" ref="EC10:EF10" si="140">DU10</f>
        <v>2223766044232600</v>
      </c>
      <c r="ED10" s="580">
        <f ca="1" t="shared" si="140"/>
        <v>5449233782.4921</v>
      </c>
      <c r="EE10" s="581">
        <f ca="1" t="shared" si="140"/>
        <v>4.77270899405547e-12</v>
      </c>
      <c r="EF10" s="580">
        <f ca="1" t="shared" si="140"/>
        <v>6088057619.0079</v>
      </c>
      <c r="EG10" s="580">
        <f ca="1">MAX(INDIRECT("'"&amp;$B$2&amp;"-事故进程'!AC"&amp;(ROW()+22)),INDIRECT("'"&amp;$B$2&amp;"-事故进程'!AD"&amp;(ROW()+22)),INDIRECT("'"&amp;$B$2&amp;"-事故进程'!AE"&amp;(ROW()+22)))</f>
        <v>2.15977038061754e-11</v>
      </c>
      <c r="EH10" s="580">
        <f ca="1">SUM(EG$3,-LN(1-EH$3)/EB10)</f>
        <v>5.81616658188741e-8</v>
      </c>
      <c r="EI10" s="580">
        <f>EI$3/24/3600</f>
        <v>1157407407407410</v>
      </c>
      <c r="EJ10" s="582">
        <f ca="1" t="shared" si="75"/>
        <v>0.889505663821352</v>
      </c>
      <c r="EK10" s="582">
        <f ca="1" t="shared" si="76"/>
        <v>0.88061389370134</v>
      </c>
      <c r="EL10" s="582">
        <f t="shared" si="77"/>
        <v>0</v>
      </c>
      <c r="EM10" s="582">
        <f ca="1" t="shared" si="78"/>
        <v>47711.421534277</v>
      </c>
      <c r="EN10" s="582">
        <f ca="1" t="shared" si="79"/>
        <v>4.49887584576401e-12</v>
      </c>
      <c r="EO10" s="582">
        <f ca="1" t="shared" si="80"/>
        <v>1.00037147709843</v>
      </c>
      <c r="EP10" s="580">
        <f ca="1" t="shared" si="81"/>
        <v>1978052491358500</v>
      </c>
      <c r="EQ10" s="580">
        <f ca="1" t="shared" si="82"/>
        <v>12143968058.4001</v>
      </c>
      <c r="ER10" s="586">
        <f ca="1" t="shared" si="83"/>
        <v>6.10254787905578e-13</v>
      </c>
      <c r="ES10" s="594">
        <f ca="1" t="shared" si="84"/>
        <v>5500826571.34985</v>
      </c>
      <c r="ET10" s="580">
        <f ca="1" t="shared" si="85"/>
        <v>7831822453.58181</v>
      </c>
      <c r="EU10" s="580">
        <f ca="1" t="shared" si="86"/>
        <v>89888916.9039345</v>
      </c>
      <c r="EV10" s="595">
        <f ca="1" t="shared" si="87"/>
        <v>89888916.903935</v>
      </c>
      <c r="EW10" s="596">
        <f>EW$3*3600</f>
        <v>2246400</v>
      </c>
      <c r="EX10" s="580">
        <f ca="1" t="shared" ref="EX10:FA10" si="141">EP10</f>
        <v>1978052491358500</v>
      </c>
      <c r="EY10" s="580">
        <f ca="1" t="shared" si="141"/>
        <v>12143968058.4001</v>
      </c>
      <c r="EZ10" s="581">
        <f ca="1" t="shared" si="141"/>
        <v>6.10254787905578e-13</v>
      </c>
      <c r="FA10" s="580">
        <f ca="1" t="shared" si="141"/>
        <v>5500826571.34985</v>
      </c>
      <c r="FB10" s="580">
        <f ca="1">INDIRECT("'"&amp;$B$2&amp;"-事故进程'!AE"&amp;(ROW()+22))</f>
        <v>1.64905513932031e-11</v>
      </c>
      <c r="FC10" s="580">
        <f ca="1">SUM(FB$3,-LN(1-FC$3)/EW10)</f>
        <v>4.47397429375955e-9</v>
      </c>
      <c r="FD10" s="580">
        <f>FD$3/24/3600</f>
        <v>1157407407407410</v>
      </c>
      <c r="FE10" s="582">
        <f ca="1" t="shared" si="89"/>
        <v>0.218241990108626</v>
      </c>
      <c r="FF10" s="582">
        <f ca="1" t="shared" si="90"/>
        <v>0.216067574147454</v>
      </c>
      <c r="FG10" s="582">
        <f t="shared" si="91"/>
        <v>0</v>
      </c>
      <c r="FH10" s="582">
        <f ca="1" t="shared" si="92"/>
        <v>32565.0447270126</v>
      </c>
      <c r="FI10" s="582">
        <f ca="1" t="shared" si="93"/>
        <v>5.63312111912842e-13</v>
      </c>
      <c r="FJ10" s="582">
        <f ca="1" t="shared" si="94"/>
        <v>1.00369952025545</v>
      </c>
      <c r="FK10" s="580">
        <f ca="1" t="shared" si="95"/>
        <v>431694112253405</v>
      </c>
      <c r="FL10" s="580">
        <f ca="1" t="shared" si="96"/>
        <v>18535957249.5293</v>
      </c>
      <c r="FM10" s="586">
        <f ca="1" t="shared" si="97"/>
        <v>7.16509983553522e-14</v>
      </c>
      <c r="FN10" s="594">
        <f ca="1" t="shared" si="98"/>
        <v>1307155135.9082</v>
      </c>
      <c r="FO10" s="580">
        <f ca="1" t="shared" si="99"/>
        <v>37633511531.9104</v>
      </c>
      <c r="FP10" s="580">
        <f ca="1" t="shared" si="100"/>
        <v>204930918.837997</v>
      </c>
      <c r="FQ10" s="595">
        <f ca="1" t="shared" si="101"/>
        <v>204930918.837992</v>
      </c>
      <c r="FR10" s="608" t="str">
        <f t="shared" si="102"/>
        <v>Xe-131m</v>
      </c>
      <c r="FS10" s="609">
        <v>9800000000</v>
      </c>
      <c r="FT10" s="610">
        <v>104000000</v>
      </c>
      <c r="FU10" s="610">
        <v>286000000</v>
      </c>
      <c r="FV10" s="610">
        <v>610000000</v>
      </c>
      <c r="FW10" s="610">
        <v>10800000000</v>
      </c>
      <c r="FX10" s="614">
        <f ca="1" t="shared" si="103"/>
        <v>0</v>
      </c>
      <c r="FY10" s="614">
        <f ca="1" t="shared" si="104"/>
        <v>58.6499103737948</v>
      </c>
      <c r="FZ10" s="614">
        <f ca="1" t="shared" si="105"/>
        <v>1.29829689503379</v>
      </c>
      <c r="GA10" s="614">
        <f ca="1" t="shared" si="106"/>
        <v>0.670741083329684</v>
      </c>
      <c r="GB10" s="614">
        <f ca="1" t="shared" si="107"/>
        <v>0.637042189970873</v>
      </c>
      <c r="GC10" s="455">
        <f ca="1" t="shared" si="108"/>
        <v>0.656017275048465</v>
      </c>
      <c r="GE10" s="609">
        <v>2024356782.18726</v>
      </c>
      <c r="GF10" s="610">
        <v>273034723.611479</v>
      </c>
      <c r="GG10" s="610">
        <v>538690477.382458</v>
      </c>
      <c r="GH10" s="610">
        <v>727048222.446165</v>
      </c>
      <c r="GI10" s="610">
        <v>1218894388.7323</v>
      </c>
      <c r="GJ10" s="610">
        <v>3483403943.35905</v>
      </c>
      <c r="GK10" s="617">
        <v>8265428537.71871</v>
      </c>
      <c r="GL10" s="614">
        <f ca="1" t="shared" si="109"/>
        <v>0</v>
      </c>
      <c r="GM10" s="614">
        <f ca="1" t="shared" si="110"/>
        <v>22.3399815166155</v>
      </c>
      <c r="GN10" s="614">
        <f ca="1" t="shared" si="111"/>
        <v>0.689288056072391</v>
      </c>
      <c r="GO10" s="614">
        <f ca="1" t="shared" si="112"/>
        <v>0.210259058248035</v>
      </c>
      <c r="GP10" s="614">
        <f ca="1" t="shared" si="113"/>
        <v>0.0588306501830438</v>
      </c>
      <c r="GQ10" s="614">
        <f ca="1" t="shared" si="114"/>
        <v>0.857183210548803</v>
      </c>
      <c r="GR10" s="451">
        <f t="shared" si="115"/>
        <v>6.77579122638209e-7</v>
      </c>
      <c r="GS10" s="390">
        <f t="shared" si="116"/>
        <v>1022976</v>
      </c>
    </row>
    <row r="11" s="388" customFormat="1" spans="1:201">
      <c r="A11" s="419"/>
      <c r="B11" s="407" t="s">
        <v>260</v>
      </c>
      <c r="C11" s="420">
        <v>1</v>
      </c>
      <c r="D11" s="410" t="s">
        <v>259</v>
      </c>
      <c r="E11" s="410"/>
      <c r="G11" s="411" t="s">
        <v>52</v>
      </c>
      <c r="H11" s="412">
        <f ca="1" t="shared" si="1"/>
        <v>0</v>
      </c>
      <c r="I11" s="412">
        <f ca="1" t="shared" si="2"/>
        <v>727947095419.052</v>
      </c>
      <c r="J11" s="412">
        <f ca="1" t="shared" si="3"/>
        <v>73184112383.1374</v>
      </c>
      <c r="K11" s="412">
        <f ca="1" t="shared" si="4"/>
        <v>101007519501.003</v>
      </c>
      <c r="L11" s="412">
        <f ca="1" t="shared" si="5"/>
        <v>103107807793.386</v>
      </c>
      <c r="M11" s="412">
        <f ca="1" t="shared" si="6"/>
        <v>18758028269.349</v>
      </c>
      <c r="N11" s="412">
        <f ca="1" t="shared" si="7"/>
        <v>1024004563365.93</v>
      </c>
      <c r="O11" s="450">
        <f ca="1" t="shared" si="8"/>
        <v>0</v>
      </c>
      <c r="P11" s="451"/>
      <c r="Q11" s="477" t="str">
        <f t="shared" si="0"/>
        <v>Xe-133</v>
      </c>
      <c r="R11" s="412">
        <f ca="1" t="shared" si="9"/>
        <v>0</v>
      </c>
      <c r="S11" s="412">
        <f ca="1">I11*(1-过滤效率!$B8)</f>
        <v>727947095419.052</v>
      </c>
      <c r="T11" s="412">
        <f ca="1">J11*(1-过滤效率!$B8)</f>
        <v>73184112383.1374</v>
      </c>
      <c r="U11" s="412">
        <f ca="1">K11*(1-过滤效率!$B8)</f>
        <v>101007519501.003</v>
      </c>
      <c r="V11" s="412">
        <f ca="1">L11*(1-过滤效率!$B8)</f>
        <v>103107807793.386</v>
      </c>
      <c r="W11" s="412">
        <f ca="1">M11*(1-过滤效率!$B8)</f>
        <v>18758028269.349</v>
      </c>
      <c r="X11" s="412">
        <f ca="1" t="shared" si="10"/>
        <v>1024004563365.93</v>
      </c>
      <c r="Y11" s="493"/>
      <c r="Z11" s="494">
        <f>VLOOKUP(G11,衰变常数!$A$1:$H$3800,7,FALSE)</f>
        <v>1.53014243983147e-6</v>
      </c>
      <c r="AA11" s="495">
        <f>正常源项!C8</f>
        <v>4.58e+17</v>
      </c>
      <c r="AB11" s="496">
        <f>正常源项!F8</f>
        <v>0</v>
      </c>
      <c r="AC11" s="496">
        <f>正常源项!I8</f>
        <v>216000000000</v>
      </c>
      <c r="AD11" s="496">
        <f>正常源项!L8</f>
        <v>492000000000</v>
      </c>
      <c r="AE11" s="497"/>
      <c r="AF11" s="498"/>
      <c r="AG11" s="483"/>
      <c r="AH11" s="518"/>
      <c r="AI11" s="483"/>
      <c r="AJ11" s="521"/>
      <c r="AK11" s="521"/>
      <c r="AL11" s="519">
        <f t="shared" si="11"/>
        <v>67005400</v>
      </c>
      <c r="AM11" s="520">
        <f t="shared" si="12"/>
        <v>1923600000000</v>
      </c>
      <c r="AN11" s="519">
        <f ca="1">MAX(INDIRECT("'"&amp;$B$2&amp;"-事故进程'!Y"&amp;(ROW()+22)),INDIRECT("'"&amp;$B$2&amp;"-事故进程'!Z"&amp;(ROW()+22)),INDIRECT("'"&amp;$B$2&amp;"-事故进程'!AA"&amp;(ROW()+22)))</f>
        <v>7.62097257958598e-12</v>
      </c>
      <c r="AO11" s="519">
        <f ca="1" t="shared" si="13"/>
        <v>0</v>
      </c>
      <c r="AP11" s="560">
        <f t="shared" si="14"/>
        <v>4.58e+17</v>
      </c>
      <c r="AQ11" s="561">
        <f ca="1">(AC11*$C$5+AD11*$C$8+AF11+AG11+AI11+(AL11+AM11)*$C$10)*EXP(-Z11*$C$12*3600)+AO11*$C$11</f>
        <v>708000000000</v>
      </c>
      <c r="AR11" s="562">
        <f ca="1">AQ11*(1-AR$3)</f>
        <v>708000000000</v>
      </c>
      <c r="AS11" s="563">
        <f ca="1" t="shared" si="15"/>
        <v>0</v>
      </c>
      <c r="AT11" s="562">
        <f ca="1">AS11*(1-AT$3)</f>
        <v>0</v>
      </c>
      <c r="AU11" s="564">
        <f ca="1" t="shared" si="16"/>
        <v>0</v>
      </c>
      <c r="AV11" s="565">
        <f>AV$3*3600</f>
        <v>7200</v>
      </c>
      <c r="AW11" s="580">
        <f>AP11*EXP(-Z11*AW$3*3600)</f>
        <v>4.58e+17</v>
      </c>
      <c r="AX11" s="580">
        <f ca="1" t="shared" si="17"/>
        <v>708000000000</v>
      </c>
      <c r="AY11" s="581">
        <f ca="1" t="shared" si="18"/>
        <v>0</v>
      </c>
      <c r="AZ11" s="580">
        <v>0</v>
      </c>
      <c r="BA11" s="580">
        <f ca="1">MAX(INDIRECT("'"&amp;$B$2&amp;"-事故进程'!Y"&amp;(ROW()+22)),INDIRECT("'"&amp;$B$2&amp;"-事故进程'!Z"&amp;(ROW()+22)))</f>
        <v>6.8914605764245e-12</v>
      </c>
      <c r="BB11" s="580">
        <f ca="1">SUM(BA$3,-LN(1-BB$3)/AV11)</f>
        <v>0.00160041330566996</v>
      </c>
      <c r="BC11" s="580">
        <f>BC$3/24/3600</f>
        <v>1157407407407410</v>
      </c>
      <c r="BD11" s="582">
        <f ca="1" t="shared" si="19"/>
        <v>0.989043390532018</v>
      </c>
      <c r="BE11" s="582">
        <f ca="1" t="shared" si="20"/>
        <v>9.79153005210816e-6</v>
      </c>
      <c r="BF11" s="582">
        <f t="shared" si="21"/>
        <v>0</v>
      </c>
      <c r="BG11" s="582">
        <f ca="1" t="shared" si="22"/>
        <v>-1129936326.59118</v>
      </c>
      <c r="BH11" s="582">
        <f ca="1" t="shared" si="23"/>
        <v>-9.78992024037984e-7</v>
      </c>
      <c r="BI11" s="582">
        <f ca="1" t="shared" si="24"/>
        <v>1.00000000430605</v>
      </c>
      <c r="BJ11" s="580">
        <f ca="1" t="shared" si="25"/>
        <v>4.52981872863664e+17</v>
      </c>
      <c r="BK11" s="580">
        <f ca="1" t="shared" si="26"/>
        <v>1957475938.59956</v>
      </c>
      <c r="BL11" s="586">
        <f ca="1" t="shared" si="27"/>
        <v>2.70671374454129e-9</v>
      </c>
      <c r="BM11" s="594">
        <f ca="1" t="shared" si="28"/>
        <v>720761568221.4</v>
      </c>
      <c r="BN11" s="580">
        <f ca="1" t="shared" si="29"/>
        <v>22600555789.1148</v>
      </c>
      <c r="BO11" s="580">
        <f ca="1" t="shared" si="30"/>
        <v>727947095419.052</v>
      </c>
      <c r="BP11" s="595">
        <f ca="1" t="shared" si="31"/>
        <v>727947095419.052</v>
      </c>
      <c r="BQ11" s="596">
        <f>BQ$3*3600</f>
        <v>21600</v>
      </c>
      <c r="BR11" s="580">
        <f ca="1" t="shared" ref="BR11:BU11" si="142">BJ11</f>
        <v>4.52981872863664e+17</v>
      </c>
      <c r="BS11" s="580">
        <f ca="1" t="shared" si="142"/>
        <v>1957475938.59956</v>
      </c>
      <c r="BT11" s="581">
        <f ca="1" t="shared" si="142"/>
        <v>2.70671374454129e-9</v>
      </c>
      <c r="BU11" s="580">
        <f ca="1" t="shared" si="142"/>
        <v>720761568221.4</v>
      </c>
      <c r="BV11" s="580">
        <f ca="1">MAX(INDIRECT("'"&amp;$B$2&amp;"-事故进程'!Z"&amp;(ROW()+22)),INDIRECT("'"&amp;$B$2&amp;"-事故进程'!AA"&amp;(ROW()+22)))</f>
        <v>7.62097257958598e-12</v>
      </c>
      <c r="BW11" s="580">
        <f ca="1">SUM(BV$3,-LN(1-BW$3)/BQ11)</f>
        <v>0.00162728102077123</v>
      </c>
      <c r="BX11" s="580">
        <f>BX$3/24/3600</f>
        <v>1157407407407410</v>
      </c>
      <c r="BY11" s="582">
        <f ca="1" t="shared" si="33"/>
        <v>0.967488982912703</v>
      </c>
      <c r="BZ11" s="582">
        <f ca="1" t="shared" si="34"/>
        <v>5.25426623366303e-16</v>
      </c>
      <c r="CA11" s="582">
        <f t="shared" si="35"/>
        <v>0</v>
      </c>
      <c r="CB11" s="582">
        <f ca="1" t="shared" si="36"/>
        <v>266799.003561943</v>
      </c>
      <c r="CC11" s="582">
        <f ca="1" t="shared" si="37"/>
        <v>-4.54402706422023e-11</v>
      </c>
      <c r="CD11" s="582">
        <f ca="1" t="shared" si="38"/>
        <v>1.00000000468326</v>
      </c>
      <c r="CE11" s="580">
        <f ca="1" t="shared" si="39"/>
        <v>4.38254971454758e+17</v>
      </c>
      <c r="CF11" s="580">
        <f ca="1" t="shared" si="40"/>
        <v>2052459958.25771</v>
      </c>
      <c r="CG11" s="586">
        <f ca="1" t="shared" si="41"/>
        <v>2.88569877347435e-9</v>
      </c>
      <c r="CH11" s="594">
        <f ca="1" t="shared" si="42"/>
        <v>769312843081.742</v>
      </c>
      <c r="CI11" s="580">
        <f ca="1" t="shared" si="43"/>
        <v>73347911877.7194</v>
      </c>
      <c r="CJ11" s="580">
        <f ca="1" t="shared" si="44"/>
        <v>73184112383.1374</v>
      </c>
      <c r="CK11" s="595">
        <f ca="1" t="shared" si="45"/>
        <v>73184112383.1374</v>
      </c>
      <c r="CL11" s="596">
        <f>CL$3*3600</f>
        <v>57600</v>
      </c>
      <c r="CM11" s="580">
        <f ca="1" t="shared" ref="CM11:CP11" si="143">CE11</f>
        <v>4.38254971454758e+17</v>
      </c>
      <c r="CN11" s="580">
        <f ca="1" t="shared" si="143"/>
        <v>2052459958.25771</v>
      </c>
      <c r="CO11" s="581">
        <f ca="1" t="shared" si="143"/>
        <v>2.88569877347435e-9</v>
      </c>
      <c r="CP11" s="580">
        <f ca="1" t="shared" si="143"/>
        <v>769312843081.742</v>
      </c>
      <c r="CQ11" s="580">
        <f ca="1">MAX(INDIRECT("'"&amp;$B$2&amp;"-事故进程'!AA"&amp;(ROW()+22)),INDIRECT("'"&amp;$B$2&amp;"-事故进程'!AB"&amp;(ROW()+22)))</f>
        <v>2.39239365275082e-11</v>
      </c>
      <c r="CR11" s="580">
        <f ca="1">SUM(CQ$3,-LN(1-CR$3)/CL11)</f>
        <v>6.95458811586267e-6</v>
      </c>
      <c r="CS11" s="580">
        <f>CS$3/24/3600</f>
        <v>1157407407407410</v>
      </c>
      <c r="CT11" s="582">
        <f ca="1" t="shared" si="47"/>
        <v>0.915634892670737</v>
      </c>
      <c r="CU11" s="582">
        <f ca="1" t="shared" si="48"/>
        <v>0.613410763604577</v>
      </c>
      <c r="CV11" s="582">
        <f t="shared" si="49"/>
        <v>0</v>
      </c>
      <c r="CW11" s="582">
        <f ca="1" t="shared" si="50"/>
        <v>10470510.1554175</v>
      </c>
      <c r="CX11" s="582">
        <f ca="1" t="shared" si="51"/>
        <v>2.87336602569459e-9</v>
      </c>
      <c r="CY11" s="582">
        <f ca="1" t="shared" si="52"/>
        <v>1.00000344003389</v>
      </c>
      <c r="CZ11" s="580">
        <f ca="1" t="shared" si="53"/>
        <v>4.01281543750394e+17</v>
      </c>
      <c r="DA11" s="580">
        <f ca="1" t="shared" si="54"/>
        <v>456895711203.547</v>
      </c>
      <c r="DB11" s="586">
        <f ca="1" t="shared" si="55"/>
        <v>2.74537856159264e-9</v>
      </c>
      <c r="DC11" s="594">
        <f ca="1" t="shared" si="56"/>
        <v>802368118428.453</v>
      </c>
      <c r="DD11" s="580">
        <f ca="1" t="shared" si="57"/>
        <v>578074357500.203</v>
      </c>
      <c r="DE11" s="580">
        <f ca="1" t="shared" si="58"/>
        <v>101007519501.003</v>
      </c>
      <c r="DF11" s="595">
        <f ca="1" t="shared" si="59"/>
        <v>101007519501.003</v>
      </c>
      <c r="DG11" s="596">
        <f>DG$3*3600</f>
        <v>86400</v>
      </c>
      <c r="DH11" s="580">
        <f ca="1" t="shared" ref="DH11:DK11" si="144">CZ11</f>
        <v>4.01281543750394e+17</v>
      </c>
      <c r="DI11" s="580">
        <f ca="1" t="shared" si="144"/>
        <v>456895711203.547</v>
      </c>
      <c r="DJ11" s="581">
        <f ca="1" t="shared" si="144"/>
        <v>2.74537856159264e-9</v>
      </c>
      <c r="DK11" s="580">
        <f ca="1" t="shared" si="144"/>
        <v>802368118428.453</v>
      </c>
      <c r="DL11" s="580">
        <f ca="1">MAX(INDIRECT("'"&amp;$B$2&amp;"-事故进程'!AB"&amp;(ROW()+22)),INDIRECT("'"&amp;$B$2&amp;"-事故进程'!AC"&amp;(ROW()+22)))</f>
        <v>3.43341262201314e-11</v>
      </c>
      <c r="DM11" s="580">
        <f ca="1">SUM(DL$3,-LN(1-DM$3)/DG11)</f>
        <v>1.01371476497628e-6</v>
      </c>
      <c r="DN11" s="580">
        <f>DN$3/24/3600</f>
        <v>1157407407407410</v>
      </c>
      <c r="DO11" s="582">
        <f ca="1" t="shared" si="61"/>
        <v>0.876159371839209</v>
      </c>
      <c r="DP11" s="582">
        <f ca="1" t="shared" si="62"/>
        <v>0.802687936592665</v>
      </c>
      <c r="DQ11" s="582">
        <f t="shared" si="63"/>
        <v>0</v>
      </c>
      <c r="DR11" s="582">
        <f ca="1" t="shared" si="64"/>
        <v>13314504.9315489</v>
      </c>
      <c r="DS11" s="582">
        <f ca="1" t="shared" si="65"/>
        <v>2.34520665536745e-9</v>
      </c>
      <c r="DT11" s="582">
        <f ca="1" t="shared" si="66"/>
        <v>1.00003387075964</v>
      </c>
      <c r="DU11" s="580">
        <f ca="1" t="shared" si="67"/>
        <v>3.51586585303013e+17</v>
      </c>
      <c r="DV11" s="580">
        <f ca="1" t="shared" si="68"/>
        <v>1365347169304.84</v>
      </c>
      <c r="DW11" s="586">
        <f ca="1" t="shared" si="69"/>
        <v>1.19583871330425e-9</v>
      </c>
      <c r="DX11" s="594">
        <f ca="1" t="shared" si="70"/>
        <v>780943988839.158</v>
      </c>
      <c r="DY11" s="580">
        <f ca="1" t="shared" si="71"/>
        <v>1115056119577.29</v>
      </c>
      <c r="DZ11" s="580">
        <f ca="1" t="shared" si="72"/>
        <v>82330956098.996</v>
      </c>
      <c r="EA11" s="595">
        <f ca="1" t="shared" si="73"/>
        <v>82330956098.996</v>
      </c>
      <c r="EB11" s="596">
        <f>EB$3*3600</f>
        <v>172800</v>
      </c>
      <c r="EC11" s="580">
        <f ca="1" t="shared" ref="EC11:EF11" si="145">DU11</f>
        <v>3.51586585303013e+17</v>
      </c>
      <c r="ED11" s="580">
        <f ca="1" t="shared" si="145"/>
        <v>1365347169304.84</v>
      </c>
      <c r="EE11" s="581">
        <f ca="1" t="shared" si="145"/>
        <v>1.19583871330425e-9</v>
      </c>
      <c r="EF11" s="580">
        <f ca="1" t="shared" si="145"/>
        <v>780943988839.158</v>
      </c>
      <c r="EG11" s="580">
        <f ca="1">MAX(INDIRECT("'"&amp;$B$2&amp;"-事故进程'!AC"&amp;(ROW()+22)),INDIRECT("'"&amp;$B$2&amp;"-事故进程'!AD"&amp;(ROW()+22)),INDIRECT("'"&amp;$B$2&amp;"-事故进程'!AE"&amp;(ROW()+22)))</f>
        <v>3.43341262201314e-11</v>
      </c>
      <c r="EH11" s="580">
        <f ca="1">SUM(EG$3,-LN(1-EH$3)/EB11)</f>
        <v>5.81616658188741e-8</v>
      </c>
      <c r="EI11" s="580">
        <f>EI$3/24/3600</f>
        <v>1157407407407410</v>
      </c>
      <c r="EJ11" s="582">
        <f ca="1" t="shared" si="75"/>
        <v>0.767655244861676</v>
      </c>
      <c r="EK11" s="582">
        <f ca="1" t="shared" si="76"/>
        <v>0.759983201332147</v>
      </c>
      <c r="EL11" s="582">
        <f t="shared" si="77"/>
        <v>0</v>
      </c>
      <c r="EM11" s="582">
        <f ca="1" t="shared" si="78"/>
        <v>11992054.2093129</v>
      </c>
      <c r="EN11" s="582">
        <f ca="1" t="shared" si="79"/>
        <v>1.12722772526354e-9</v>
      </c>
      <c r="EO11" s="582">
        <f ca="1" t="shared" si="80"/>
        <v>1.0005906709498</v>
      </c>
      <c r="EP11" s="580">
        <f ca="1" t="shared" si="81"/>
        <v>2.69897286230865e+17</v>
      </c>
      <c r="EQ11" s="580">
        <f ca="1" t="shared" si="82"/>
        <v>2630909400552.56</v>
      </c>
      <c r="ER11" s="586">
        <f ca="1" t="shared" si="83"/>
        <v>1.32207615378438e-10</v>
      </c>
      <c r="ES11" s="594">
        <f ca="1" t="shared" si="84"/>
        <v>618000387991.437</v>
      </c>
      <c r="ET11" s="580">
        <f ca="1" t="shared" si="85"/>
        <v>1832945547802.93</v>
      </c>
      <c r="EU11" s="580">
        <f ca="1" t="shared" si="86"/>
        <v>20776851694.3902</v>
      </c>
      <c r="EV11" s="595">
        <f ca="1" t="shared" si="87"/>
        <v>20776851694.3902</v>
      </c>
      <c r="EW11" s="596">
        <f>EW$3*3600</f>
        <v>2246400</v>
      </c>
      <c r="EX11" s="580">
        <f ca="1" t="shared" ref="EX11:FA11" si="146">EP11</f>
        <v>2.69897286230865e+17</v>
      </c>
      <c r="EY11" s="580">
        <f ca="1" t="shared" si="146"/>
        <v>2630909400552.56</v>
      </c>
      <c r="EZ11" s="581">
        <f ca="1" t="shared" si="146"/>
        <v>1.32207615378438e-10</v>
      </c>
      <c r="FA11" s="580">
        <f ca="1" t="shared" si="146"/>
        <v>618000387991.437</v>
      </c>
      <c r="FB11" s="580">
        <f ca="1">INDIRECT("'"&amp;$B$2&amp;"-事故进程'!AE"&amp;(ROW()+22))</f>
        <v>2.56876275443931e-11</v>
      </c>
      <c r="FC11" s="580">
        <f ca="1">SUM(FB$3,-LN(1-FC$3)/EW11)</f>
        <v>4.47397429375955e-9</v>
      </c>
      <c r="FD11" s="580">
        <f>FD$3/24/3600</f>
        <v>1157407407407410</v>
      </c>
      <c r="FE11" s="582">
        <f ca="1" t="shared" si="89"/>
        <v>0.0321491366803942</v>
      </c>
      <c r="FF11" s="582">
        <f ca="1" t="shared" si="90"/>
        <v>0.031829481970877</v>
      </c>
      <c r="FG11" s="582">
        <f t="shared" si="91"/>
        <v>0</v>
      </c>
      <c r="FH11" s="582">
        <f ca="1" t="shared" si="92"/>
        <v>6921317.92473442</v>
      </c>
      <c r="FI11" s="582">
        <f ca="1" t="shared" si="93"/>
        <v>1.22037798810866e-10</v>
      </c>
      <c r="FJ11" s="582">
        <f ca="1" t="shared" si="94"/>
        <v>1.00577472394922</v>
      </c>
      <c r="FK11" s="580">
        <f ca="1" t="shared" si="95"/>
        <v>8676964744703570</v>
      </c>
      <c r="FL11" s="580">
        <f ca="1" t="shared" si="96"/>
        <v>581948662929.937</v>
      </c>
      <c r="FM11" s="586">
        <f ca="1" t="shared" si="97"/>
        <v>2.24953058151617e-12</v>
      </c>
      <c r="FN11" s="594">
        <f ca="1" t="shared" si="98"/>
        <v>23222986525.0625</v>
      </c>
      <c r="FO11" s="580">
        <f ca="1" t="shared" si="99"/>
        <v>4385224214874.96</v>
      </c>
      <c r="FP11" s="580">
        <f ca="1" t="shared" si="100"/>
        <v>18758028269.3492</v>
      </c>
      <c r="FQ11" s="595">
        <f ca="1" t="shared" si="101"/>
        <v>18758028269.349</v>
      </c>
      <c r="FR11" s="608" t="str">
        <f t="shared" si="102"/>
        <v>Xe-133</v>
      </c>
      <c r="FS11" s="609">
        <v>1110000000000</v>
      </c>
      <c r="FT11" s="610">
        <v>28400000000</v>
      </c>
      <c r="FU11" s="610">
        <v>75500000000</v>
      </c>
      <c r="FV11" s="610">
        <v>147000000000</v>
      </c>
      <c r="FW11" s="610">
        <v>1360000000000</v>
      </c>
      <c r="FX11" s="614">
        <f ca="1" t="shared" si="103"/>
        <v>0</v>
      </c>
      <c r="FY11" s="614">
        <f ca="1" t="shared" si="104"/>
        <v>28.2088453451475</v>
      </c>
      <c r="FZ11" s="614">
        <f ca="1" t="shared" si="105"/>
        <v>1.33784794041063</v>
      </c>
      <c r="GA11" s="614">
        <f ca="1" t="shared" si="106"/>
        <v>0.70141365845841</v>
      </c>
      <c r="GB11" s="614">
        <f ca="1" t="shared" si="107"/>
        <v>0.739151864041602</v>
      </c>
      <c r="GC11" s="455">
        <f ca="1" t="shared" si="108"/>
        <v>0.752944531886711</v>
      </c>
      <c r="GE11" s="609">
        <v>231785832414.554</v>
      </c>
      <c r="GF11" s="610">
        <v>32478017879.142</v>
      </c>
      <c r="GG11" s="610">
        <v>66666694493.7492</v>
      </c>
      <c r="GH11" s="610">
        <v>87000966144.7478</v>
      </c>
      <c r="GI11" s="610">
        <v>138678552968.198</v>
      </c>
      <c r="GJ11" s="610">
        <v>255389809757.068</v>
      </c>
      <c r="GK11" s="617">
        <v>811999873657.459</v>
      </c>
      <c r="GL11" s="614">
        <f ca="1" t="shared" si="109"/>
        <v>0</v>
      </c>
      <c r="GM11" s="614">
        <f ca="1" t="shared" si="110"/>
        <v>24.6668750163073</v>
      </c>
      <c r="GN11" s="614">
        <f ca="1" t="shared" si="111"/>
        <v>1.51511216009777</v>
      </c>
      <c r="GO11" s="614">
        <f ca="1" t="shared" si="112"/>
        <v>0.456877115826287</v>
      </c>
      <c r="GP11" s="614">
        <f ca="1" t="shared" si="113"/>
        <v>0.0734486167916882</v>
      </c>
      <c r="GQ11" s="614">
        <f ca="1" t="shared" si="114"/>
        <v>1.26108955996944</v>
      </c>
      <c r="GR11" s="451">
        <f t="shared" si="115"/>
        <v>1.53014243983147e-6</v>
      </c>
      <c r="GS11" s="390">
        <f t="shared" si="116"/>
        <v>452995.2</v>
      </c>
    </row>
    <row r="12" spans="1:201">
      <c r="A12" s="421" t="s">
        <v>160</v>
      </c>
      <c r="B12" s="407" t="s">
        <v>261</v>
      </c>
      <c r="C12" s="422">
        <v>0</v>
      </c>
      <c r="D12" s="410" t="s">
        <v>262</v>
      </c>
      <c r="E12" s="410"/>
      <c r="G12" s="411" t="s">
        <v>53</v>
      </c>
      <c r="H12" s="412">
        <f ca="1" t="shared" si="1"/>
        <v>0</v>
      </c>
      <c r="I12" s="412">
        <f ca="1" t="shared" si="2"/>
        <v>14145668169.4004</v>
      </c>
      <c r="J12" s="412">
        <f ca="1" t="shared" si="3"/>
        <v>3153667742.23694</v>
      </c>
      <c r="K12" s="412">
        <f ca="1" t="shared" si="4"/>
        <v>4034289825.58197</v>
      </c>
      <c r="L12" s="412">
        <f ca="1" t="shared" si="5"/>
        <v>3391008767.86826</v>
      </c>
      <c r="M12" s="412">
        <f ca="1" t="shared" si="6"/>
        <v>121435218.933994</v>
      </c>
      <c r="N12" s="412">
        <f ca="1" t="shared" si="7"/>
        <v>24846069724.0216</v>
      </c>
      <c r="O12" s="450">
        <f ca="1" t="shared" si="8"/>
        <v>0</v>
      </c>
      <c r="P12" s="451"/>
      <c r="Q12" s="477" t="str">
        <f t="shared" si="0"/>
        <v>Xe-133m</v>
      </c>
      <c r="R12" s="412">
        <f ca="1" t="shared" si="9"/>
        <v>0</v>
      </c>
      <c r="S12" s="412">
        <f ca="1">I12*(1-过滤效率!$B9)</f>
        <v>14145668169.4004</v>
      </c>
      <c r="T12" s="412">
        <f ca="1">J12*(1-过滤效率!$B9)</f>
        <v>3153667742.23694</v>
      </c>
      <c r="U12" s="412">
        <f ca="1">K12*(1-过滤效率!$B9)</f>
        <v>4034289825.58197</v>
      </c>
      <c r="V12" s="412">
        <f ca="1">L12*(1-过滤效率!$B9)</f>
        <v>3391008767.86826</v>
      </c>
      <c r="W12" s="412">
        <f ca="1">M12*(1-过滤效率!$B9)</f>
        <v>121435218.933994</v>
      </c>
      <c r="X12" s="412">
        <f ca="1" t="shared" si="10"/>
        <v>24846069724.0216</v>
      </c>
      <c r="Y12" s="493"/>
      <c r="Z12" s="494">
        <f>VLOOKUP(G12,衰变常数!$A$1:$H$3800,7,FALSE)</f>
        <v>3.66325881828146e-6</v>
      </c>
      <c r="AA12" s="495">
        <f>正常源项!C9</f>
        <v>1.32e+16</v>
      </c>
      <c r="AB12" s="496">
        <f>正常源项!F9</f>
        <v>0</v>
      </c>
      <c r="AC12" s="496">
        <f>正常源项!I9</f>
        <v>6770000000</v>
      </c>
      <c r="AD12" s="496">
        <f>正常源项!L9</f>
        <v>6490000000</v>
      </c>
      <c r="AE12" s="497"/>
      <c r="AF12" s="498"/>
      <c r="AG12" s="483"/>
      <c r="AH12" s="518"/>
      <c r="AI12" s="483"/>
      <c r="AJ12" s="521"/>
      <c r="AK12" s="521"/>
      <c r="AL12" s="519">
        <f t="shared" si="11"/>
        <v>1931160</v>
      </c>
      <c r="AM12" s="520">
        <f t="shared" si="12"/>
        <v>55440000000</v>
      </c>
      <c r="AN12" s="519">
        <f ca="1">MAX(INDIRECT("'"&amp;$B$2&amp;"-事故进程'!Y"&amp;(ROW()+22)),INDIRECT("'"&amp;$B$2&amp;"-事故进程'!Z"&amp;(ROW()+22)),INDIRECT("'"&amp;$B$2&amp;"-事故进程'!AA"&amp;(ROW()+22)))</f>
        <v>1.18393723430488e-11</v>
      </c>
      <c r="AO12" s="519">
        <f ca="1" t="shared" si="13"/>
        <v>0</v>
      </c>
      <c r="AP12" s="560">
        <f t="shared" si="14"/>
        <v>1.32e+16</v>
      </c>
      <c r="AQ12" s="561">
        <f ca="1">(AC12*$C$5+AD12*$C$8+AF12+AG12+AI12+(AL12+AM12)*$C$10)*EXP(-Z12*$C$12*3600)+AO12*$C$11</f>
        <v>13260000000</v>
      </c>
      <c r="AR12" s="562">
        <f ca="1">AQ12*(1-AR$3)</f>
        <v>13260000000</v>
      </c>
      <c r="AS12" s="563">
        <f ca="1" t="shared" si="15"/>
        <v>0</v>
      </c>
      <c r="AT12" s="562">
        <f ca="1">AS12*(1-AT$3)</f>
        <v>0</v>
      </c>
      <c r="AU12" s="564">
        <f ca="1" t="shared" si="16"/>
        <v>0</v>
      </c>
      <c r="AV12" s="565">
        <f>AV$3*3600</f>
        <v>7200</v>
      </c>
      <c r="AW12" s="580">
        <f>AP12*EXP(-Z12*AW$3*3600)</f>
        <v>1.32e+16</v>
      </c>
      <c r="AX12" s="580">
        <f ca="1" t="shared" si="17"/>
        <v>13260000000</v>
      </c>
      <c r="AY12" s="581">
        <f ca="1" t="shared" si="18"/>
        <v>0</v>
      </c>
      <c r="AZ12" s="580">
        <v>0</v>
      </c>
      <c r="BA12" s="580">
        <f ca="1">MAX(INDIRECT("'"&amp;$B$2&amp;"-事故进程'!Y"&amp;(ROW()+22)),INDIRECT("'"&amp;$B$2&amp;"-事故进程'!Z"&amp;(ROW()+22)))</f>
        <v>1.07057675436671e-11</v>
      </c>
      <c r="BB12" s="580">
        <f ca="1">SUM(BA$3,-LN(1-BB$3)/AV12)</f>
        <v>0.00160041330566996</v>
      </c>
      <c r="BC12" s="580">
        <f>BC$3/24/3600</f>
        <v>1157407407407410</v>
      </c>
      <c r="BD12" s="582">
        <f ca="1" t="shared" si="19"/>
        <v>0.973969255947746</v>
      </c>
      <c r="BE12" s="582">
        <f ca="1" t="shared" si="20"/>
        <v>9.64229637712559e-6</v>
      </c>
      <c r="BF12" s="582">
        <f t="shared" si="21"/>
        <v>0</v>
      </c>
      <c r="BG12" s="582">
        <f ca="1" t="shared" si="22"/>
        <v>-21080164.1596488</v>
      </c>
      <c r="BH12" s="582">
        <f ca="1" t="shared" si="23"/>
        <v>-1.83353590942707e-8</v>
      </c>
      <c r="BI12" s="582">
        <f ca="1" t="shared" si="24"/>
        <v>1.00000000668938</v>
      </c>
      <c r="BJ12" s="580">
        <f ca="1" t="shared" si="25"/>
        <v>1.28563941785102e+16</v>
      </c>
      <c r="BK12" s="580">
        <f ca="1" t="shared" si="26"/>
        <v>86128270.2093995</v>
      </c>
      <c r="BL12" s="586">
        <f ca="1" t="shared" si="27"/>
        <v>1.19094476806766e-10</v>
      </c>
      <c r="BM12" s="594">
        <f ca="1" t="shared" si="28"/>
        <v>13819695581.7906</v>
      </c>
      <c r="BN12" s="580">
        <f ca="1" t="shared" si="29"/>
        <v>1004175102.97037</v>
      </c>
      <c r="BO12" s="580">
        <f ca="1" t="shared" si="30"/>
        <v>14145668169.4004</v>
      </c>
      <c r="BP12" s="595">
        <f ca="1" t="shared" si="31"/>
        <v>14145668169.4004</v>
      </c>
      <c r="BQ12" s="596">
        <f>BQ$3*3600</f>
        <v>21600</v>
      </c>
      <c r="BR12" s="580">
        <f ca="1" t="shared" ref="BR12:BU12" si="147">BJ12</f>
        <v>1.28563941785102e+16</v>
      </c>
      <c r="BS12" s="580">
        <f ca="1" t="shared" si="147"/>
        <v>86128270.2093995</v>
      </c>
      <c r="BT12" s="581">
        <f ca="1" t="shared" si="147"/>
        <v>1.19094476806766e-10</v>
      </c>
      <c r="BU12" s="580">
        <f ca="1" t="shared" si="147"/>
        <v>13819695581.7906</v>
      </c>
      <c r="BV12" s="580">
        <f ca="1">MAX(INDIRECT("'"&amp;$B$2&amp;"-事故进程'!Z"&amp;(ROW()+22)),INDIRECT("'"&amp;$B$2&amp;"-事故进程'!AA"&amp;(ROW()+22)))</f>
        <v>1.18393723430488e-11</v>
      </c>
      <c r="BW12" s="580">
        <f ca="1">SUM(BV$3,-LN(1-BW$3)/BQ12)</f>
        <v>0.00162728102077123</v>
      </c>
      <c r="BX12" s="580">
        <f>BX$3/24/3600</f>
        <v>1157407407407410</v>
      </c>
      <c r="BY12" s="582">
        <f ca="1" t="shared" si="33"/>
        <v>0.923922905705236</v>
      </c>
      <c r="BZ12" s="582">
        <f ca="1" t="shared" si="34"/>
        <v>5.0176668200116e-16</v>
      </c>
      <c r="CA12" s="582">
        <f t="shared" si="35"/>
        <v>0</v>
      </c>
      <c r="CB12" s="582">
        <f ca="1" t="shared" si="36"/>
        <v>12056.7392244801</v>
      </c>
      <c r="CC12" s="582">
        <f ca="1" t="shared" si="37"/>
        <v>-1.99935632979467e-12</v>
      </c>
      <c r="CD12" s="582">
        <f ca="1" t="shared" si="38"/>
        <v>1.00000000727555</v>
      </c>
      <c r="CE12" s="580">
        <f ca="1" t="shared" si="39"/>
        <v>1.18783170663011e+16</v>
      </c>
      <c r="CF12" s="580">
        <f ca="1" t="shared" si="40"/>
        <v>86421348.1167824</v>
      </c>
      <c r="CG12" s="586">
        <f ca="1" t="shared" si="41"/>
        <v>1.21505892117037e-10</v>
      </c>
      <c r="CH12" s="594">
        <f ca="1" t="shared" si="42"/>
        <v>15799138785.8832</v>
      </c>
      <c r="CI12" s="580">
        <f ca="1" t="shared" si="43"/>
        <v>3161060209.2598</v>
      </c>
      <c r="CJ12" s="580">
        <f ca="1" t="shared" si="44"/>
        <v>3153667742.23694</v>
      </c>
      <c r="CK12" s="595">
        <f ca="1" t="shared" si="45"/>
        <v>3153667742.23694</v>
      </c>
      <c r="CL12" s="596">
        <f>CL$3*3600</f>
        <v>57600</v>
      </c>
      <c r="CM12" s="580">
        <f ca="1" t="shared" ref="CM12:CP12" si="148">CE12</f>
        <v>1.18783170663011e+16</v>
      </c>
      <c r="CN12" s="580">
        <f ca="1" t="shared" si="148"/>
        <v>86421348.1167824</v>
      </c>
      <c r="CO12" s="581">
        <f ca="1" t="shared" si="148"/>
        <v>1.21505892117037e-10</v>
      </c>
      <c r="CP12" s="580">
        <f ca="1" t="shared" si="148"/>
        <v>15799138785.8832</v>
      </c>
      <c r="CQ12" s="580">
        <f ca="1">MAX(INDIRECT("'"&amp;$B$2&amp;"-事故进程'!AA"&amp;(ROW()+22)),INDIRECT("'"&amp;$B$2&amp;"-事故进程'!AB"&amp;(ROW()+22)))</f>
        <v>3.81736715509297e-11</v>
      </c>
      <c r="CR12" s="580">
        <f ca="1">SUM(CQ$3,-LN(1-CR$3)/CL12)</f>
        <v>6.95458811586267e-6</v>
      </c>
      <c r="CS12" s="580">
        <f>CS$3/24/3600</f>
        <v>1157407407407410</v>
      </c>
      <c r="CT12" s="582">
        <f ca="1" t="shared" si="47"/>
        <v>0.80976928377337</v>
      </c>
      <c r="CU12" s="582">
        <f ca="1" t="shared" si="48"/>
        <v>0.542488721629483</v>
      </c>
      <c r="CV12" s="582">
        <f t="shared" si="49"/>
        <v>0</v>
      </c>
      <c r="CW12" s="582">
        <f ca="1" t="shared" si="50"/>
        <v>452837.95268523</v>
      </c>
      <c r="CX12" s="582">
        <f ca="1" t="shared" si="51"/>
        <v>1.20986606620224e-10</v>
      </c>
      <c r="CY12" s="582">
        <f ca="1" t="shared" si="52"/>
        <v>1.00000548902113</v>
      </c>
      <c r="CZ12" s="580">
        <f ca="1" t="shared" si="53"/>
        <v>9618696303211610</v>
      </c>
      <c r="DA12" s="580">
        <f ca="1" t="shared" si="54"/>
        <v>17473664346.2987</v>
      </c>
      <c r="DB12" s="586">
        <f ca="1" t="shared" si="55"/>
        <v>1.04995127580488e-10</v>
      </c>
      <c r="DC12" s="594">
        <f ca="1" t="shared" si="56"/>
        <v>16539648759.7013</v>
      </c>
      <c r="DD12" s="580">
        <f ca="1" t="shared" si="57"/>
        <v>23546554109.4038</v>
      </c>
      <c r="DE12" s="580">
        <f ca="1" t="shared" si="58"/>
        <v>4034289825.58196</v>
      </c>
      <c r="DF12" s="595">
        <f ca="1" t="shared" si="59"/>
        <v>4034289825.58197</v>
      </c>
      <c r="DG12" s="596">
        <f>DG$3*3600</f>
        <v>86400</v>
      </c>
      <c r="DH12" s="580">
        <f ca="1" t="shared" ref="DH12:DK12" si="149">CZ12</f>
        <v>9618696303211610</v>
      </c>
      <c r="DI12" s="580">
        <f ca="1" t="shared" si="149"/>
        <v>17473664346.2987</v>
      </c>
      <c r="DJ12" s="581">
        <f ca="1" t="shared" si="149"/>
        <v>1.04995127580488e-10</v>
      </c>
      <c r="DK12" s="580">
        <f ca="1" t="shared" si="149"/>
        <v>16539648759.7013</v>
      </c>
      <c r="DL12" s="580">
        <f ca="1">MAX(INDIRECT("'"&amp;$B$2&amp;"-事故进程'!AB"&amp;(ROW()+22)),INDIRECT("'"&amp;$B$2&amp;"-事故进程'!AC"&amp;(ROW()+22)))</f>
        <v>5.52040966026989e-11</v>
      </c>
      <c r="DM12" s="580">
        <f ca="1">SUM(DL$3,-LN(1-DM$3)/DG12)</f>
        <v>1.01371476497628e-6</v>
      </c>
      <c r="DN12" s="580">
        <f>DN$3/24/3600</f>
        <v>1157407407407410</v>
      </c>
      <c r="DO12" s="582">
        <f ca="1" t="shared" si="61"/>
        <v>0.728687483061778</v>
      </c>
      <c r="DP12" s="582">
        <f ca="1" t="shared" si="62"/>
        <v>0.667583690464845</v>
      </c>
      <c r="DQ12" s="582">
        <f t="shared" si="63"/>
        <v>0</v>
      </c>
      <c r="DR12" s="582">
        <f ca="1" t="shared" si="64"/>
        <v>513279.092986289</v>
      </c>
      <c r="DS12" s="582">
        <f ca="1" t="shared" si="65"/>
        <v>8.96908264046726e-11</v>
      </c>
      <c r="DT12" s="582">
        <f ca="1" t="shared" si="66"/>
        <v>1.00005446019426</v>
      </c>
      <c r="DU12" s="580">
        <f ca="1" t="shared" si="67"/>
        <v>7009023599522890</v>
      </c>
      <c r="DV12" s="580">
        <f ca="1" t="shared" si="68"/>
        <v>43673503859.6241</v>
      </c>
      <c r="DW12" s="586">
        <f ca="1" t="shared" si="69"/>
        <v>3.82514190054474e-11</v>
      </c>
      <c r="DX12" s="594">
        <f ca="1" t="shared" si="70"/>
        <v>14542246491.3759</v>
      </c>
      <c r="DY12" s="580">
        <f ca="1" t="shared" si="71"/>
        <v>39326310317.8739</v>
      </c>
      <c r="DZ12" s="580">
        <f ca="1" t="shared" si="72"/>
        <v>2845108493.71363</v>
      </c>
      <c r="EA12" s="595">
        <f ca="1" t="shared" si="73"/>
        <v>2845108493.71363</v>
      </c>
      <c r="EB12" s="596">
        <f>EB$3*3600</f>
        <v>172800</v>
      </c>
      <c r="EC12" s="580">
        <f ca="1" t="shared" ref="EC12:EF12" si="150">DU12</f>
        <v>7009023599522890</v>
      </c>
      <c r="ED12" s="580">
        <f ca="1" t="shared" si="150"/>
        <v>43673503859.6241</v>
      </c>
      <c r="EE12" s="581">
        <f ca="1" t="shared" si="150"/>
        <v>3.82514190054474e-11</v>
      </c>
      <c r="EF12" s="580">
        <f ca="1" t="shared" si="150"/>
        <v>14542246491.3759</v>
      </c>
      <c r="EG12" s="580">
        <f ca="1">MAX(INDIRECT("'"&amp;$B$2&amp;"-事故进程'!AC"&amp;(ROW()+22)),INDIRECT("'"&amp;$B$2&amp;"-事故进程'!AD"&amp;(ROW()+22)),INDIRECT("'"&amp;$B$2&amp;"-事故进程'!AE"&amp;(ROW()+22)))</f>
        <v>5.52040966026989e-11</v>
      </c>
      <c r="EH12" s="580">
        <f ca="1">SUM(EG$3,-LN(1-EH$3)/EB12)</f>
        <v>5.81616658188741e-8</v>
      </c>
      <c r="EI12" s="580">
        <f>EI$3/24/3600</f>
        <v>1157407407407410</v>
      </c>
      <c r="EJ12" s="582">
        <f ca="1" t="shared" si="75"/>
        <v>0.530985447970908</v>
      </c>
      <c r="EK12" s="582">
        <f ca="1" t="shared" si="76"/>
        <v>0.525680608075428</v>
      </c>
      <c r="EL12" s="582">
        <f t="shared" si="77"/>
        <v>0</v>
      </c>
      <c r="EM12" s="582">
        <f ca="1" t="shared" si="78"/>
        <v>384389.103098361</v>
      </c>
      <c r="EN12" s="582">
        <f ca="1" t="shared" si="79"/>
        <v>3.60567520970053e-11</v>
      </c>
      <c r="EO12" s="582">
        <f ca="1" t="shared" si="80"/>
        <v>1.00095005090598</v>
      </c>
      <c r="EP12" s="580">
        <f ca="1" t="shared" si="81"/>
        <v>3721689535831330</v>
      </c>
      <c r="EQ12" s="580">
        <f ca="1" t="shared" si="82"/>
        <v>58282867457.2935</v>
      </c>
      <c r="ER12" s="586">
        <f ca="1" t="shared" si="83"/>
        <v>2.92881196225459e-12</v>
      </c>
      <c r="ES12" s="594">
        <f ca="1" t="shared" si="84"/>
        <v>8131506527.70654</v>
      </c>
      <c r="ET12" s="580">
        <f ca="1" t="shared" si="85"/>
        <v>49538288584.8171</v>
      </c>
      <c r="EU12" s="580">
        <f ca="1" t="shared" si="86"/>
        <v>545900274.154626</v>
      </c>
      <c r="EV12" s="595">
        <f ca="1" t="shared" si="87"/>
        <v>545900274.154627</v>
      </c>
      <c r="EW12" s="596">
        <f>EW$3*3600</f>
        <v>2246400</v>
      </c>
      <c r="EX12" s="580">
        <f ca="1" t="shared" ref="EX12:FA12" si="151">EP12</f>
        <v>3721689535831330</v>
      </c>
      <c r="EY12" s="580">
        <f ca="1" t="shared" si="151"/>
        <v>58282867457.2935</v>
      </c>
      <c r="EZ12" s="581">
        <f ca="1" t="shared" si="151"/>
        <v>2.92881196225459e-12</v>
      </c>
      <c r="FA12" s="580">
        <f ca="1" t="shared" si="151"/>
        <v>8131506527.70654</v>
      </c>
      <c r="FB12" s="580">
        <f ca="1">INDIRECT("'"&amp;$B$2&amp;"-事故进程'!AE"&amp;(ROW()+22))</f>
        <v>4.07363949807627e-11</v>
      </c>
      <c r="FC12" s="580">
        <f ca="1">SUM(FB$3,-LN(1-FC$3)/EW12)</f>
        <v>4.47397429375955e-9</v>
      </c>
      <c r="FD12" s="580">
        <f>FD$3/24/3600</f>
        <v>1157407407407410</v>
      </c>
      <c r="FE12" s="582">
        <f ca="1" t="shared" si="89"/>
        <v>0.000266740009908023</v>
      </c>
      <c r="FF12" s="582">
        <f ca="1" t="shared" si="90"/>
        <v>0.000264096776261954</v>
      </c>
      <c r="FG12" s="582">
        <f t="shared" si="91"/>
        <v>0</v>
      </c>
      <c r="FH12" s="582">
        <f ca="1" t="shared" si="92"/>
        <v>151349.833110535</v>
      </c>
      <c r="FI12" s="582">
        <f ca="1" t="shared" si="93"/>
        <v>2.70351873438885e-12</v>
      </c>
      <c r="FJ12" s="582">
        <f ca="1" t="shared" si="94"/>
        <v>1.00918885832677</v>
      </c>
      <c r="FK12" s="580">
        <f ca="1" t="shared" si="95"/>
        <v>992723503662.234</v>
      </c>
      <c r="FL12" s="580">
        <f ca="1" t="shared" si="96"/>
        <v>105785827.49268</v>
      </c>
      <c r="FM12" s="586">
        <f ca="1" t="shared" si="97"/>
        <v>4.08916574939233e-16</v>
      </c>
      <c r="FN12" s="594">
        <f ca="1" t="shared" si="98"/>
        <v>2779684.9904747</v>
      </c>
      <c r="FO12" s="580">
        <f ca="1" t="shared" si="99"/>
        <v>41374660381.5564</v>
      </c>
      <c r="FP12" s="580">
        <f ca="1" t="shared" si="100"/>
        <v>121435218.933995</v>
      </c>
      <c r="FQ12" s="595">
        <f ca="1" t="shared" si="101"/>
        <v>121435218.933994</v>
      </c>
      <c r="FR12" s="608" t="str">
        <f t="shared" si="102"/>
        <v>Xe-133m</v>
      </c>
      <c r="FS12" s="609">
        <v>21400000000</v>
      </c>
      <c r="FT12" s="610">
        <v>1460000000</v>
      </c>
      <c r="FU12" s="610">
        <v>3100000000</v>
      </c>
      <c r="FV12" s="610">
        <v>4820000000</v>
      </c>
      <c r="FW12" s="610">
        <v>30800000000</v>
      </c>
      <c r="FX12" s="614">
        <f ca="1" t="shared" si="103"/>
        <v>0</v>
      </c>
      <c r="FY12" s="614">
        <f ca="1" t="shared" si="104"/>
        <v>11.8488602134502</v>
      </c>
      <c r="FZ12" s="614">
        <f ca="1" t="shared" si="105"/>
        <v>1.30138381470386</v>
      </c>
      <c r="GA12" s="614">
        <f ca="1" t="shared" si="106"/>
        <v>0.703528790014161</v>
      </c>
      <c r="GB12" s="614">
        <f ca="1" t="shared" si="107"/>
        <v>0.802747873541804</v>
      </c>
      <c r="GC12" s="455">
        <f ca="1" t="shared" si="108"/>
        <v>0.806690575455246</v>
      </c>
      <c r="GE12" s="609">
        <v>4481787365.1772</v>
      </c>
      <c r="GF12" s="610">
        <v>693942732.394665</v>
      </c>
      <c r="GG12" s="610">
        <v>1481088686.07537</v>
      </c>
      <c r="GH12" s="610">
        <v>1721788221.19917</v>
      </c>
      <c r="GI12" s="610">
        <v>2286593237.45021</v>
      </c>
      <c r="GJ12" s="610">
        <v>1860976198.88386</v>
      </c>
      <c r="GK12" s="617">
        <v>12526176441.1805</v>
      </c>
      <c r="GL12" s="614">
        <f ca="1" t="shared" si="109"/>
        <v>0</v>
      </c>
      <c r="GM12" s="614">
        <f ca="1" t="shared" si="110"/>
        <v>24.9290540905885</v>
      </c>
      <c r="GN12" s="614">
        <f ca="1" t="shared" si="111"/>
        <v>2.72386783013794</v>
      </c>
      <c r="GO12" s="614">
        <f ca="1" t="shared" si="112"/>
        <v>0.845979556299728</v>
      </c>
      <c r="GP12" s="614">
        <f ca="1" t="shared" si="113"/>
        <v>0.0652535045890573</v>
      </c>
      <c r="GQ12" s="614">
        <f ca="1" t="shared" si="114"/>
        <v>1.98353183357203</v>
      </c>
      <c r="GR12" s="451">
        <f t="shared" si="115"/>
        <v>3.66325881828146e-6</v>
      </c>
      <c r="GS12" s="390">
        <f t="shared" si="116"/>
        <v>189216</v>
      </c>
    </row>
    <row r="13" spans="2:201">
      <c r="B13" s="407" t="s">
        <v>263</v>
      </c>
      <c r="C13" s="423">
        <v>1e+20</v>
      </c>
      <c r="D13" s="424" t="s">
        <v>262</v>
      </c>
      <c r="E13" s="424"/>
      <c r="G13" s="411" t="s">
        <v>54</v>
      </c>
      <c r="H13" s="412">
        <f ca="1" t="shared" si="1"/>
        <v>0</v>
      </c>
      <c r="I13" s="412">
        <f ca="1" t="shared" si="2"/>
        <v>60354777127.3596</v>
      </c>
      <c r="J13" s="412">
        <f ca="1" t="shared" si="3"/>
        <v>44859402333.2946</v>
      </c>
      <c r="K13" s="412">
        <f ca="1" t="shared" si="4"/>
        <v>26254620136.3519</v>
      </c>
      <c r="L13" s="412">
        <f ca="1" t="shared" si="5"/>
        <v>6031863845.54613</v>
      </c>
      <c r="M13" s="412">
        <f ca="1" t="shared" si="6"/>
        <v>677781.146280006</v>
      </c>
      <c r="N13" s="412">
        <f ca="1" t="shared" si="7"/>
        <v>137501341223.699</v>
      </c>
      <c r="O13" s="450">
        <f ca="1" t="shared" si="8"/>
        <v>0</v>
      </c>
      <c r="P13" s="451"/>
      <c r="Q13" s="477" t="str">
        <f t="shared" si="0"/>
        <v>Xe-135</v>
      </c>
      <c r="R13" s="412">
        <f ca="1" t="shared" si="9"/>
        <v>0</v>
      </c>
      <c r="S13" s="412">
        <f ca="1">I13*(1-过滤效率!$B10)</f>
        <v>60354777127.3596</v>
      </c>
      <c r="T13" s="412">
        <f ca="1">J13*(1-过滤效率!$B10)</f>
        <v>44859402333.2946</v>
      </c>
      <c r="U13" s="412">
        <f ca="1">K13*(1-过滤效率!$B10)</f>
        <v>26254620136.3519</v>
      </c>
      <c r="V13" s="412">
        <f ca="1">L13*(1-过滤效率!$B10)</f>
        <v>6031863845.54613</v>
      </c>
      <c r="W13" s="412">
        <f ca="1">M13*(1-过滤效率!$B10)</f>
        <v>677781.146280006</v>
      </c>
      <c r="X13" s="412">
        <f ca="1" t="shared" si="10"/>
        <v>137501341223.699</v>
      </c>
      <c r="Y13" s="493"/>
      <c r="Z13" s="494">
        <f>VLOOKUP(G13,衰变常数!$A$1:$H$3800,7,FALSE)</f>
        <v>2.10657421760255e-5</v>
      </c>
      <c r="AA13" s="495">
        <f>正常源项!C10</f>
        <v>1.06e+17</v>
      </c>
      <c r="AB13" s="496">
        <f>正常源项!F10</f>
        <v>0</v>
      </c>
      <c r="AC13" s="496">
        <f>正常源项!I10</f>
        <v>37900000000</v>
      </c>
      <c r="AD13" s="496">
        <f>正常源项!L10</f>
        <v>6490000000</v>
      </c>
      <c r="AE13" s="497"/>
      <c r="AF13" s="498"/>
      <c r="AG13" s="483"/>
      <c r="AH13" s="518"/>
      <c r="AI13" s="483"/>
      <c r="AJ13" s="521"/>
      <c r="AK13" s="521"/>
      <c r="AL13" s="519">
        <f t="shared" si="11"/>
        <v>15507800</v>
      </c>
      <c r="AM13" s="520">
        <f t="shared" si="12"/>
        <v>445200000000</v>
      </c>
      <c r="AN13" s="519">
        <f ca="1">MAX(INDIRECT("'"&amp;$B$2&amp;"-事故进程'!Y"&amp;(ROW()+22)),INDIRECT("'"&amp;$B$2&amp;"-事故进程'!Z"&amp;(ROW()+22)),INDIRECT("'"&amp;$B$2&amp;"-事故进程'!AA"&amp;(ROW()+22)))</f>
        <v>2.84611910143987e-11</v>
      </c>
      <c r="AO13" s="519">
        <f ca="1" t="shared" si="13"/>
        <v>0</v>
      </c>
      <c r="AP13" s="560">
        <f t="shared" si="14"/>
        <v>1.06e+17</v>
      </c>
      <c r="AQ13" s="561">
        <f ca="1">(AC13*$C$5+AD13*$C$8+AF13+AG13+AI13+(AL13+AM13)*$C$10)*EXP(-Z13*$C$12*3600)+AO13*$C$11</f>
        <v>44390000000</v>
      </c>
      <c r="AR13" s="562">
        <f ca="1">AQ13*(1-AR$3)</f>
        <v>44390000000</v>
      </c>
      <c r="AS13" s="563">
        <f ca="1" t="shared" si="15"/>
        <v>0</v>
      </c>
      <c r="AT13" s="562">
        <f ca="1">AS13*(1-AT$3)</f>
        <v>0</v>
      </c>
      <c r="AU13" s="564">
        <f ca="1" t="shared" si="16"/>
        <v>0</v>
      </c>
      <c r="AV13" s="565">
        <f>AV$3*3600</f>
        <v>7200</v>
      </c>
      <c r="AW13" s="580">
        <f>AP13*EXP(-Z13*AW$3*3600)</f>
        <v>1.06e+17</v>
      </c>
      <c r="AX13" s="580">
        <f ca="1" t="shared" si="17"/>
        <v>44390000000</v>
      </c>
      <c r="AY13" s="581">
        <f ca="1" t="shared" si="18"/>
        <v>0</v>
      </c>
      <c r="AZ13" s="580">
        <v>0</v>
      </c>
      <c r="BA13" s="580">
        <f ca="1">MAX(INDIRECT("'"&amp;$B$2&amp;"-事故进程'!Y"&amp;(ROW()+22)),INDIRECT("'"&amp;$B$2&amp;"-事故进程'!Z"&amp;(ROW()+22)))</f>
        <v>2.57353332455595e-11</v>
      </c>
      <c r="BB13" s="580">
        <f ca="1">SUM(BA$3,-LN(1-BB$3)/AV13)</f>
        <v>0.00160041330566996</v>
      </c>
      <c r="BC13" s="580">
        <f>BC$3/24/3600</f>
        <v>1157407407407410</v>
      </c>
      <c r="BD13" s="582">
        <f ca="1" t="shared" si="19"/>
        <v>0.859268761318855</v>
      </c>
      <c r="BE13" s="582">
        <f ca="1" t="shared" si="20"/>
        <v>8.50676231331193e-6</v>
      </c>
      <c r="BF13" s="582">
        <f t="shared" si="21"/>
        <v>0</v>
      </c>
      <c r="BG13" s="582">
        <f ca="1" t="shared" si="22"/>
        <v>-68314400.1722689</v>
      </c>
      <c r="BH13" s="582">
        <f ca="1" t="shared" si="23"/>
        <v>-6.13805874958279e-8</v>
      </c>
      <c r="BI13" s="582">
        <f ca="1" t="shared" si="24"/>
        <v>1.00000001608043</v>
      </c>
      <c r="BJ13" s="580">
        <f ca="1" t="shared" si="25"/>
        <v>9.10824886997986e+16</v>
      </c>
      <c r="BK13" s="580">
        <f ca="1" t="shared" si="26"/>
        <v>1465008672.00055</v>
      </c>
      <c r="BL13" s="586">
        <f ca="1" t="shared" si="27"/>
        <v>2.02575113705511e-9</v>
      </c>
      <c r="BM13" s="594">
        <f ca="1" t="shared" si="28"/>
        <v>53555015311.9995</v>
      </c>
      <c r="BN13" s="580">
        <f ca="1" t="shared" si="29"/>
        <v>18224216943.8352</v>
      </c>
      <c r="BO13" s="580">
        <f ca="1" t="shared" si="30"/>
        <v>60354777127.3596</v>
      </c>
      <c r="BP13" s="595">
        <f ca="1" t="shared" si="31"/>
        <v>60354777127.3596</v>
      </c>
      <c r="BQ13" s="596">
        <f>BQ$3*3600</f>
        <v>21600</v>
      </c>
      <c r="BR13" s="580">
        <f ca="1" t="shared" ref="BR13:BU13" si="152">BJ13</f>
        <v>9.10824886997986e+16</v>
      </c>
      <c r="BS13" s="580">
        <f ca="1" t="shared" si="152"/>
        <v>1465008672.00055</v>
      </c>
      <c r="BT13" s="581">
        <f ca="1" t="shared" si="152"/>
        <v>2.02575113705511e-9</v>
      </c>
      <c r="BU13" s="580">
        <f ca="1" t="shared" si="152"/>
        <v>53555015311.9995</v>
      </c>
      <c r="BV13" s="580">
        <f ca="1">MAX(INDIRECT("'"&amp;$B$2&amp;"-事故进程'!Z"&amp;(ROW()+22)),INDIRECT("'"&amp;$B$2&amp;"-事故进程'!AA"&amp;(ROW()+22)))</f>
        <v>2.84611910143987e-11</v>
      </c>
      <c r="BW13" s="580">
        <f ca="1">SUM(BV$3,-LN(1-BW$3)/BQ13)</f>
        <v>0.00162728102077123</v>
      </c>
      <c r="BX13" s="580">
        <f>BX$3/24/3600</f>
        <v>1157407407407410</v>
      </c>
      <c r="BY13" s="582">
        <f ca="1" t="shared" si="33"/>
        <v>0.634434869420505</v>
      </c>
      <c r="BZ13" s="582">
        <f ca="1" t="shared" si="34"/>
        <v>3.44550818799535e-16</v>
      </c>
      <c r="CA13" s="582">
        <f t="shared" si="35"/>
        <v>0</v>
      </c>
      <c r="CB13" s="582">
        <f ca="1" t="shared" si="36"/>
        <v>208335.343435915</v>
      </c>
      <c r="CC13" s="582">
        <f ca="1" t="shared" si="37"/>
        <v>-3.40082803758512e-11</v>
      </c>
      <c r="CD13" s="582">
        <f ca="1" t="shared" si="38"/>
        <v>1.00000001749003</v>
      </c>
      <c r="CE13" s="580">
        <f ca="1" t="shared" si="39"/>
        <v>5.77859068247513e+16</v>
      </c>
      <c r="CF13" s="580">
        <f ca="1" t="shared" si="40"/>
        <v>1010677160.15338</v>
      </c>
      <c r="CG13" s="586">
        <f ca="1" t="shared" si="41"/>
        <v>1.42098257736971e-9</v>
      </c>
      <c r="CH13" s="594">
        <f ca="1" t="shared" si="42"/>
        <v>69420540767.8466</v>
      </c>
      <c r="CI13" s="580">
        <f ca="1" t="shared" si="43"/>
        <v>44985792031.6512</v>
      </c>
      <c r="CJ13" s="580">
        <f ca="1" t="shared" si="44"/>
        <v>44859402333.2946</v>
      </c>
      <c r="CK13" s="595">
        <f ca="1" t="shared" si="45"/>
        <v>44859402333.2946</v>
      </c>
      <c r="CL13" s="596">
        <f>CL$3*3600</f>
        <v>57600</v>
      </c>
      <c r="CM13" s="580">
        <f ca="1" t="shared" ref="CM13:CP13" si="153">CE13</f>
        <v>5.77859068247513e+16</v>
      </c>
      <c r="CN13" s="580">
        <f ca="1" t="shared" si="153"/>
        <v>1010677160.15338</v>
      </c>
      <c r="CO13" s="581">
        <f ca="1" t="shared" si="153"/>
        <v>1.42098257736971e-9</v>
      </c>
      <c r="CP13" s="580">
        <f ca="1" t="shared" si="153"/>
        <v>69420540767.8466</v>
      </c>
      <c r="CQ13" s="580">
        <f ca="1">MAX(INDIRECT("'"&amp;$B$2&amp;"-事故进程'!AA"&amp;(ROW()+22)),INDIRECT("'"&amp;$B$2&amp;"-事故进程'!AB"&amp;(ROW()+22)))</f>
        <v>9.43283465807332e-11</v>
      </c>
      <c r="CR13" s="580">
        <f ca="1">SUM(CQ$3,-LN(1-CR$3)/CL13)</f>
        <v>6.95458811586267e-6</v>
      </c>
      <c r="CS13" s="580">
        <f>CS$3/24/3600</f>
        <v>1157407407407410</v>
      </c>
      <c r="CT13" s="582">
        <f ca="1" t="shared" si="47"/>
        <v>0.297187453517084</v>
      </c>
      <c r="CU13" s="582">
        <f ca="1" t="shared" si="48"/>
        <v>0.199095429333521</v>
      </c>
      <c r="CV13" s="582">
        <f t="shared" si="49"/>
        <v>0</v>
      </c>
      <c r="CW13" s="582">
        <f ca="1" t="shared" si="50"/>
        <v>5443820.29841563</v>
      </c>
      <c r="CX13" s="582">
        <f ca="1" t="shared" si="51"/>
        <v>1.41490965670064e-9</v>
      </c>
      <c r="CY13" s="582">
        <f ca="1" t="shared" si="52"/>
        <v>1.00001356365387</v>
      </c>
      <c r="CZ13" s="580">
        <f ca="1" t="shared" si="53"/>
        <v>1.71732464984233e+16</v>
      </c>
      <c r="DA13" s="580">
        <f ca="1" t="shared" si="54"/>
        <v>77084576458.2264</v>
      </c>
      <c r="DB13" s="586">
        <f ca="1" t="shared" si="55"/>
        <v>4.63183038160723e-10</v>
      </c>
      <c r="DC13" s="594">
        <f ca="1" t="shared" si="56"/>
        <v>37154684433.7736</v>
      </c>
      <c r="DD13" s="580">
        <f ca="1" t="shared" si="57"/>
        <v>181854876640.307</v>
      </c>
      <c r="DE13" s="580">
        <f ca="1" t="shared" si="58"/>
        <v>26254620136.3519</v>
      </c>
      <c r="DF13" s="595">
        <f ca="1" t="shared" si="59"/>
        <v>26254620136.3519</v>
      </c>
      <c r="DG13" s="596">
        <f>DG$3*3600</f>
        <v>86400</v>
      </c>
      <c r="DH13" s="580">
        <f ca="1" t="shared" ref="DH13:DK13" si="154">CZ13</f>
        <v>1.71732464984233e+16</v>
      </c>
      <c r="DI13" s="580">
        <f ca="1" t="shared" si="154"/>
        <v>77084576458.2264</v>
      </c>
      <c r="DJ13" s="581">
        <f ca="1" t="shared" si="154"/>
        <v>4.63183038160723e-10</v>
      </c>
      <c r="DK13" s="580">
        <f ca="1" t="shared" si="154"/>
        <v>37154684433.7736</v>
      </c>
      <c r="DL13" s="580">
        <f ca="1">MAX(INDIRECT("'"&amp;$B$2&amp;"-事故进程'!AB"&amp;(ROW()+22)),INDIRECT("'"&amp;$B$2&amp;"-事故进程'!AC"&amp;(ROW()+22)))</f>
        <v>1.37450535076701e-10</v>
      </c>
      <c r="DM13" s="580">
        <f ca="1">SUM(DL$3,-LN(1-DM$3)/DG13)</f>
        <v>1.01371476497628e-6</v>
      </c>
      <c r="DN13" s="580">
        <f>DN$3/24/3600</f>
        <v>1157407407407410</v>
      </c>
      <c r="DO13" s="582">
        <f ca="1" t="shared" si="61"/>
        <v>0.162010845293427</v>
      </c>
      <c r="DP13" s="582">
        <f ca="1" t="shared" si="62"/>
        <v>0.148426546466365</v>
      </c>
      <c r="DQ13" s="582">
        <f t="shared" si="63"/>
        <v>0</v>
      </c>
      <c r="DR13" s="582">
        <f ca="1" t="shared" si="64"/>
        <v>2282340.742221</v>
      </c>
      <c r="DS13" s="582">
        <f ca="1" t="shared" si="65"/>
        <v>3.95668546022917e-10</v>
      </c>
      <c r="DT13" s="582">
        <f ca="1" t="shared" si="66"/>
        <v>1.00013560932463</v>
      </c>
      <c r="DU13" s="580">
        <f ca="1" t="shared" si="67"/>
        <v>2782252181641940</v>
      </c>
      <c r="DV13" s="580">
        <f ca="1" t="shared" si="68"/>
        <v>43077223844.2735</v>
      </c>
      <c r="DW13" s="586">
        <f ca="1" t="shared" si="69"/>
        <v>3.77291674181906e-11</v>
      </c>
      <c r="DX13" s="594">
        <f ca="1" t="shared" si="70"/>
        <v>8472456584.7265</v>
      </c>
      <c r="DY13" s="580">
        <f ca="1" t="shared" si="71"/>
        <v>93898280261.3841</v>
      </c>
      <c r="DZ13" s="580">
        <f ca="1" t="shared" si="72"/>
        <v>5872419277.151</v>
      </c>
      <c r="EA13" s="595">
        <f ca="1" t="shared" si="73"/>
        <v>5872419277.151</v>
      </c>
      <c r="EB13" s="596">
        <f>EB$3*3600</f>
        <v>172800</v>
      </c>
      <c r="EC13" s="580">
        <f ca="1" t="shared" ref="EC13:EF13" si="155">DU13</f>
        <v>2782252181641940</v>
      </c>
      <c r="ED13" s="580">
        <f ca="1" t="shared" si="155"/>
        <v>43077223844.2735</v>
      </c>
      <c r="EE13" s="581">
        <f ca="1" t="shared" si="155"/>
        <v>3.77291674181906e-11</v>
      </c>
      <c r="EF13" s="580">
        <f ca="1" t="shared" si="155"/>
        <v>8472456584.7265</v>
      </c>
      <c r="EG13" s="580">
        <f ca="1">MAX(INDIRECT("'"&amp;$B$2&amp;"-事故进程'!AC"&amp;(ROW()+22)),INDIRECT("'"&amp;$B$2&amp;"-事故进程'!AD"&amp;(ROW()+22)),INDIRECT("'"&amp;$B$2&amp;"-事故进程'!AE"&amp;(ROW()+22)))</f>
        <v>1.37450535076701e-10</v>
      </c>
      <c r="EH13" s="580">
        <f ca="1">SUM(EG$3,-LN(1-EH$3)/EB13)</f>
        <v>5.81616658188741e-8</v>
      </c>
      <c r="EI13" s="580">
        <f>EI$3/24/3600</f>
        <v>1157407407407410</v>
      </c>
      <c r="EJ13" s="582">
        <f ca="1" t="shared" si="75"/>
        <v>0.0262475139926906</v>
      </c>
      <c r="EK13" s="582">
        <f ca="1" t="shared" si="76"/>
        <v>0.0259856560425083</v>
      </c>
      <c r="EL13" s="582">
        <f t="shared" si="77"/>
        <v>0</v>
      </c>
      <c r="EM13" s="582">
        <f ca="1" t="shared" si="78"/>
        <v>379922.528974835</v>
      </c>
      <c r="EN13" s="582">
        <f ca="1" t="shared" si="79"/>
        <v>3.55644645818336e-11</v>
      </c>
      <c r="EO13" s="582">
        <f ca="1" t="shared" si="80"/>
        <v>1.00236884780612</v>
      </c>
      <c r="EP13" s="580">
        <f ca="1" t="shared" si="81"/>
        <v>73027203068840.8</v>
      </c>
      <c r="EQ13" s="580">
        <f ca="1" t="shared" si="82"/>
        <v>2845225487.66336</v>
      </c>
      <c r="ER13" s="586">
        <f ca="1" t="shared" si="83"/>
        <v>1.42977358649795e-13</v>
      </c>
      <c r="ES13" s="594">
        <f ca="1" t="shared" si="84"/>
        <v>242380348.727264</v>
      </c>
      <c r="ET13" s="580">
        <f ca="1" t="shared" si="85"/>
        <v>17677136181.7962</v>
      </c>
      <c r="EU13" s="580">
        <f ca="1" t="shared" si="86"/>
        <v>159444568.395124</v>
      </c>
      <c r="EV13" s="595">
        <f ca="1" t="shared" si="87"/>
        <v>159444568.395124</v>
      </c>
      <c r="EW13" s="596">
        <f>EW$3*3600</f>
        <v>2246400</v>
      </c>
      <c r="EX13" s="580">
        <f ca="1" t="shared" ref="EX13:FA13" si="156">EP13</f>
        <v>73027203068840.8</v>
      </c>
      <c r="EY13" s="580">
        <f ca="1" t="shared" si="156"/>
        <v>2845225487.66336</v>
      </c>
      <c r="EZ13" s="581">
        <f ca="1" t="shared" si="156"/>
        <v>1.42977358649795e-13</v>
      </c>
      <c r="FA13" s="580">
        <f ca="1" t="shared" si="156"/>
        <v>242380348.727264</v>
      </c>
      <c r="FB13" s="580">
        <f ca="1">INDIRECT("'"&amp;$B$2&amp;"-事故进程'!AE"&amp;(ROW()+22))</f>
        <v>1.0003701630537e-10</v>
      </c>
      <c r="FC13" s="580">
        <f ca="1">SUM(FB$3,-LN(1-FC$3)/EW13)</f>
        <v>4.47397429375955e-9</v>
      </c>
      <c r="FD13" s="580">
        <f>FD$3/24/3600</f>
        <v>1157407407407410</v>
      </c>
      <c r="FE13" s="582">
        <f ca="1" t="shared" si="89"/>
        <v>2.80661464814096e-21</v>
      </c>
      <c r="FF13" s="582">
        <f ca="1" t="shared" si="90"/>
        <v>2.7791729760051e-21</v>
      </c>
      <c r="FG13" s="582">
        <f t="shared" si="91"/>
        <v>0</v>
      </c>
      <c r="FH13" s="582">
        <f ca="1" t="shared" si="92"/>
        <v>7292.97866630997</v>
      </c>
      <c r="FI13" s="582">
        <f ca="1" t="shared" si="93"/>
        <v>1.31979100292118e-13</v>
      </c>
      <c r="FJ13" s="582">
        <f ca="1" t="shared" si="94"/>
        <v>1.02287115931475</v>
      </c>
      <c r="FK13" s="580">
        <f ca="1" t="shared" si="95"/>
        <v>2.04959217845773e-7</v>
      </c>
      <c r="FL13" s="580">
        <f ca="1" t="shared" si="96"/>
        <v>5.3740915489302e-11</v>
      </c>
      <c r="FM13" s="586">
        <f ca="1" t="shared" si="97"/>
        <v>2.07736249900822e-34</v>
      </c>
      <c r="FN13" s="594">
        <f ca="1" t="shared" si="98"/>
        <v>9.91009303029781e-13</v>
      </c>
      <c r="FO13" s="580">
        <f ca="1" t="shared" si="99"/>
        <v>346790003.943467</v>
      </c>
      <c r="FP13" s="580">
        <f ca="1" t="shared" si="100"/>
        <v>677781.146279971</v>
      </c>
      <c r="FQ13" s="595">
        <f ca="1" t="shared" si="101"/>
        <v>677781.146280006</v>
      </c>
      <c r="FR13" s="608" t="str">
        <f t="shared" si="102"/>
        <v>Xe-135</v>
      </c>
      <c r="FS13" s="609">
        <v>59100000000</v>
      </c>
      <c r="FT13" s="610">
        <v>16900000000</v>
      </c>
      <c r="FU13" s="610">
        <v>20300000000</v>
      </c>
      <c r="FV13" s="610">
        <v>6450000000</v>
      </c>
      <c r="FW13" s="610">
        <v>103000000000</v>
      </c>
      <c r="FX13" s="614">
        <f ca="1" t="shared" si="103"/>
        <v>0</v>
      </c>
      <c r="FY13" s="614">
        <f ca="1" t="shared" si="104"/>
        <v>6.2256910923464</v>
      </c>
      <c r="FZ13" s="614">
        <f ca="1" t="shared" si="105"/>
        <v>1.2933310411996</v>
      </c>
      <c r="GA13" s="614">
        <f ca="1" t="shared" si="106"/>
        <v>0.935172689231957</v>
      </c>
      <c r="GB13" s="614">
        <f ca="1" t="shared" si="107"/>
        <v>1.33495789750051</v>
      </c>
      <c r="GC13" s="455">
        <f ca="1" t="shared" si="108"/>
        <v>1.33496447789999</v>
      </c>
      <c r="GE13" s="609">
        <v>12107517435.6001</v>
      </c>
      <c r="GF13" s="610">
        <v>2442318390.67051</v>
      </c>
      <c r="GG13" s="610">
        <v>3481234608.32105</v>
      </c>
      <c r="GH13" s="610">
        <v>1384659174.06405</v>
      </c>
      <c r="GI13" s="610">
        <v>374626502.279607</v>
      </c>
      <c r="GJ13" s="610">
        <v>6607156.77193609</v>
      </c>
      <c r="GK13" s="617">
        <v>19796963267.7073</v>
      </c>
      <c r="GL13" s="614">
        <f ca="1" t="shared" si="109"/>
        <v>0</v>
      </c>
      <c r="GM13" s="614">
        <f ca="1" t="shared" si="110"/>
        <v>43.079632804046</v>
      </c>
      <c r="GN13" s="614">
        <f ca="1" t="shared" si="111"/>
        <v>7.5417554661776</v>
      </c>
      <c r="GO13" s="614">
        <f ca="1" t="shared" si="112"/>
        <v>3.42858691266231</v>
      </c>
      <c r="GP13" s="614">
        <f ca="1" t="shared" si="113"/>
        <v>0.102582876368074</v>
      </c>
      <c r="GQ13" s="614">
        <f ca="1" t="shared" si="114"/>
        <v>6.94557742843267</v>
      </c>
      <c r="GR13" s="451">
        <f t="shared" si="115"/>
        <v>2.10657421760255e-5</v>
      </c>
      <c r="GS13" s="390">
        <f t="shared" si="116"/>
        <v>32904.0000000001</v>
      </c>
    </row>
    <row r="14" spans="1:201">
      <c r="A14" s="425"/>
      <c r="B14" s="407" t="s">
        <v>264</v>
      </c>
      <c r="C14" s="426">
        <v>0</v>
      </c>
      <c r="D14" s="409" t="s">
        <v>163</v>
      </c>
      <c r="E14" s="410"/>
      <c r="G14" s="411" t="s">
        <v>55</v>
      </c>
      <c r="H14" s="412">
        <f ca="1" t="shared" si="1"/>
        <v>0</v>
      </c>
      <c r="I14" s="412">
        <f ca="1" t="shared" si="2"/>
        <v>11053626487.4662</v>
      </c>
      <c r="J14" s="412">
        <f ca="1" t="shared" si="3"/>
        <v>8007777605.27076</v>
      </c>
      <c r="K14" s="412">
        <f ca="1" t="shared" si="4"/>
        <v>33202798111.1185</v>
      </c>
      <c r="L14" s="412">
        <f ca="1" t="shared" si="5"/>
        <v>37683338128.9882</v>
      </c>
      <c r="M14" s="412">
        <f ca="1" t="shared" si="6"/>
        <v>12405792859.7913</v>
      </c>
      <c r="N14" s="412">
        <f ca="1" t="shared" si="7"/>
        <v>102353333192.635</v>
      </c>
      <c r="O14" s="450">
        <f ca="1" t="shared" si="8"/>
        <v>0</v>
      </c>
      <c r="P14" s="451"/>
      <c r="Q14" s="477" t="str">
        <f t="shared" si="0"/>
        <v>I-131</v>
      </c>
      <c r="R14" s="412">
        <f ca="1" t="shared" si="9"/>
        <v>0</v>
      </c>
      <c r="S14" s="412">
        <f ca="1">I14*(1-过滤效率!$B11)</f>
        <v>552681324.373313</v>
      </c>
      <c r="T14" s="412">
        <f ca="1">J14*(1-过滤效率!$B11)</f>
        <v>400388880.263539</v>
      </c>
      <c r="U14" s="412">
        <f ca="1">K14*(1-过滤效率!$B11)</f>
        <v>1660139905.55593</v>
      </c>
      <c r="V14" s="412">
        <f ca="1">L14*(1-过滤效率!$B11)</f>
        <v>1884166906.44941</v>
      </c>
      <c r="W14" s="412">
        <f ca="1">M14*(1-过滤效率!$B11)</f>
        <v>620289642.989567</v>
      </c>
      <c r="X14" s="412">
        <f ca="1" t="shared" si="10"/>
        <v>5117666659.63176</v>
      </c>
      <c r="Y14" s="493"/>
      <c r="Z14" s="494">
        <f>VLOOKUP(G14,衰变常数!$A$1:$H$3800,7,FALSE)</f>
        <v>9.99668118007245e-7</v>
      </c>
      <c r="AA14" s="495">
        <f>正常源项!C11</f>
        <v>2.27e+17</v>
      </c>
      <c r="AB14" s="496">
        <f>正常源项!F11</f>
        <v>0</v>
      </c>
      <c r="AC14" s="496">
        <f>正常源项!I11</f>
        <v>19600000</v>
      </c>
      <c r="AD14" s="497"/>
      <c r="AE14" s="496">
        <f>正常源项!O11</f>
        <v>435000000000</v>
      </c>
      <c r="AF14" s="498">
        <f t="shared" ref="AF14:AF23" si="157">AC14*$C$6</f>
        <v>84476000</v>
      </c>
      <c r="AG14" s="519">
        <f t="shared" ref="AG14:AG18" si="158">AE14*MIN(100%,$C$7/500*10)</f>
        <v>8700000000</v>
      </c>
      <c r="AH14" s="523">
        <v>1</v>
      </c>
      <c r="AI14" s="519">
        <f t="shared" ref="AI14:AI23" si="159">AE14*AH14*$C$9</f>
        <v>0</v>
      </c>
      <c r="AJ14" s="521"/>
      <c r="AK14" s="521"/>
      <c r="AL14" s="519">
        <f t="shared" si="11"/>
        <v>33210100</v>
      </c>
      <c r="AM14" s="520">
        <f t="shared" si="12"/>
        <v>953400000000</v>
      </c>
      <c r="AN14" s="519">
        <f ca="1">MAX(INDIRECT("'"&amp;$B$2&amp;"-事故进程'!Y"&amp;(ROW()+22)),INDIRECT("'"&amp;$B$2&amp;"-事故进程'!Z"&amp;(ROW()+22)),INDIRECT("'"&amp;$B$2&amp;"-事故进程'!AA"&amp;(ROW()+22)))</f>
        <v>1.66634390344169e-12</v>
      </c>
      <c r="AO14" s="519">
        <f ca="1" t="shared" si="13"/>
        <v>0</v>
      </c>
      <c r="AP14" s="560">
        <f t="shared" si="14"/>
        <v>2.27e+17</v>
      </c>
      <c r="AQ14" s="561">
        <f ca="1">(AC14*$C$5+AD14*$C$8+AF14+AG14+AI14+(AL14+AM14)*$C$10)*EXP(-Z14*$C$12*3600)+AO14*$C$11</f>
        <v>8804076000</v>
      </c>
      <c r="AR14" s="562">
        <f ca="1">AQ14*(1-AR$3)</f>
        <v>8804076000</v>
      </c>
      <c r="AS14" s="563">
        <f ca="1" t="shared" si="15"/>
        <v>0</v>
      </c>
      <c r="AT14" s="562">
        <f ca="1">AS14*(1-AT$3)</f>
        <v>0</v>
      </c>
      <c r="AU14" s="564">
        <f ca="1" t="shared" si="16"/>
        <v>0</v>
      </c>
      <c r="AV14" s="565">
        <f>AV$3*3600</f>
        <v>7200</v>
      </c>
      <c r="AW14" s="580">
        <f>AP14*EXP(-Z14*AW$3*3600)</f>
        <v>2.27e+17</v>
      </c>
      <c r="AX14" s="580">
        <f ca="1" t="shared" si="17"/>
        <v>8804076000</v>
      </c>
      <c r="AY14" s="581">
        <f ca="1" t="shared" si="18"/>
        <v>0</v>
      </c>
      <c r="AZ14" s="580">
        <v>0</v>
      </c>
      <c r="BA14" s="580">
        <f ca="1">MAX(INDIRECT("'"&amp;$B$2&amp;"-事故进程'!Y"&amp;(ROW()+22)),INDIRECT("'"&amp;$B$2&amp;"-事故进程'!Z"&amp;(ROW()+22)))</f>
        <v>1.51678602422716e-12</v>
      </c>
      <c r="BB14" s="580">
        <f ca="1">SUM(BA$3,-LN(1-BB$3)/AV14)</f>
        <v>0.00160041330566996</v>
      </c>
      <c r="BC14" s="580">
        <f>BC$3/24/3600</f>
        <v>1157407407407410</v>
      </c>
      <c r="BD14" s="582">
        <f ca="1" t="shared" si="19"/>
        <v>0.992828219471484</v>
      </c>
      <c r="BE14" s="582">
        <f ca="1" t="shared" si="20"/>
        <v>9.82899948010883e-6</v>
      </c>
      <c r="BF14" s="582">
        <f t="shared" si="21"/>
        <v>0</v>
      </c>
      <c r="BG14" s="582">
        <f ca="1" t="shared" si="22"/>
        <v>-13745849.9336761</v>
      </c>
      <c r="BH14" s="582">
        <f ca="1" t="shared" si="23"/>
        <v>-1.21738985635936e-8</v>
      </c>
      <c r="BI14" s="582">
        <f ca="1" t="shared" si="24"/>
        <v>1.00000000094775</v>
      </c>
      <c r="BJ14" s="580">
        <f ca="1" t="shared" si="25"/>
        <v>2.25372005820027e+17</v>
      </c>
      <c r="BK14" s="580">
        <f ca="1" t="shared" si="26"/>
        <v>213679938.641013</v>
      </c>
      <c r="BL14" s="586">
        <f ca="1" t="shared" si="27"/>
        <v>2.95467451449827e-10</v>
      </c>
      <c r="BM14" s="594">
        <f ca="1" t="shared" si="28"/>
        <v>10988511261.359</v>
      </c>
      <c r="BN14" s="580">
        <f ca="1" t="shared" si="29"/>
        <v>2470134866.32201</v>
      </c>
      <c r="BO14" s="580">
        <f ca="1" t="shared" si="30"/>
        <v>11053626487.4663</v>
      </c>
      <c r="BP14" s="595">
        <f ca="1" t="shared" si="31"/>
        <v>11053626487.4662</v>
      </c>
      <c r="BQ14" s="596">
        <f>BQ$3*3600</f>
        <v>21600</v>
      </c>
      <c r="BR14" s="580">
        <f ca="1" t="shared" ref="BR14:BU14" si="160">BJ14</f>
        <v>2.25372005820027e+17</v>
      </c>
      <c r="BS14" s="580">
        <f ca="1" t="shared" si="160"/>
        <v>213679938.641013</v>
      </c>
      <c r="BT14" s="581">
        <f ca="1" t="shared" si="160"/>
        <v>2.95467451449827e-10</v>
      </c>
      <c r="BU14" s="580">
        <f ca="1" t="shared" si="160"/>
        <v>10988511261.359</v>
      </c>
      <c r="BV14" s="580">
        <f ca="1">MAX(INDIRECT("'"&amp;$B$2&amp;"-事故进程'!Z"&amp;(ROW()+22)),INDIRECT("'"&amp;$B$2&amp;"-事故进程'!AA"&amp;(ROW()+22)))</f>
        <v>1.66634390344169e-12</v>
      </c>
      <c r="BW14" s="580">
        <f ca="1">SUM(BV$3,-LN(1-BW$3)/BQ14)</f>
        <v>0.00162728102077123</v>
      </c>
      <c r="BX14" s="580">
        <f>BX$3/24/3600</f>
        <v>1157407407407410</v>
      </c>
      <c r="BY14" s="582">
        <f ca="1" t="shared" si="33"/>
        <v>0.978638589684372</v>
      </c>
      <c r="BZ14" s="582">
        <f ca="1" t="shared" si="34"/>
        <v>5.31481714643431e-16</v>
      </c>
      <c r="CA14" s="582">
        <f t="shared" si="35"/>
        <v>0</v>
      </c>
      <c r="CB14" s="582">
        <f ca="1" t="shared" si="36"/>
        <v>27829.9595906091</v>
      </c>
      <c r="CC14" s="582">
        <f ca="1" t="shared" si="37"/>
        <v>-4.96030324112354e-12</v>
      </c>
      <c r="CD14" s="582">
        <f ca="1" t="shared" si="38"/>
        <v>1.00000000102401</v>
      </c>
      <c r="CE14" s="580">
        <f ca="1" t="shared" si="39"/>
        <v>2.20557741930049e+17</v>
      </c>
      <c r="CF14" s="580">
        <f ca="1" t="shared" si="40"/>
        <v>225852230.995827</v>
      </c>
      <c r="CG14" s="586">
        <f ca="1" t="shared" si="41"/>
        <v>3.17541642334575e-10</v>
      </c>
      <c r="CH14" s="594">
        <f ca="1" t="shared" si="42"/>
        <v>18675585945.0042</v>
      </c>
      <c r="CI14" s="580">
        <f ca="1" t="shared" si="43"/>
        <v>8024869220.02036</v>
      </c>
      <c r="CJ14" s="580">
        <f ca="1" t="shared" si="44"/>
        <v>8007777605.27077</v>
      </c>
      <c r="CK14" s="595">
        <f ca="1" t="shared" si="45"/>
        <v>8007777605.27076</v>
      </c>
      <c r="CL14" s="596">
        <f>CL$3*3600</f>
        <v>57600</v>
      </c>
      <c r="CM14" s="580">
        <f ca="1" t="shared" ref="CM14:CP14" si="161">CE14</f>
        <v>2.20557741930049e+17</v>
      </c>
      <c r="CN14" s="580">
        <f ca="1" t="shared" si="161"/>
        <v>225852230.995827</v>
      </c>
      <c r="CO14" s="581">
        <f ca="1" t="shared" si="161"/>
        <v>3.17541642334575e-10</v>
      </c>
      <c r="CP14" s="580">
        <f ca="1" t="shared" si="161"/>
        <v>18675585945.0042</v>
      </c>
      <c r="CQ14" s="580">
        <f ca="1">MAX(INDIRECT("'"&amp;$B$2&amp;"-事故进程'!AA"&amp;(ROW()+22)),INDIRECT("'"&amp;$B$2&amp;"-事故进程'!AB"&amp;(ROW()+22)))</f>
        <v>1.53838599507191e-11</v>
      </c>
      <c r="CR14" s="580">
        <f ca="1">SUM(CQ$3,-LN(1-CR$3)/CL14)</f>
        <v>6.95458811586267e-6</v>
      </c>
      <c r="CS14" s="580">
        <f>CS$3/24/3600</f>
        <v>1157407407407410</v>
      </c>
      <c r="CT14" s="582">
        <f ca="1" t="shared" si="47"/>
        <v>0.944044692971801</v>
      </c>
      <c r="CU14" s="582">
        <f ca="1" t="shared" si="48"/>
        <v>0.632443013880576</v>
      </c>
      <c r="CV14" s="582">
        <f t="shared" si="49"/>
        <v>0</v>
      </c>
      <c r="CW14" s="582">
        <f ca="1" t="shared" si="50"/>
        <v>3391458.70713158</v>
      </c>
      <c r="CX14" s="582">
        <f ca="1" t="shared" si="51"/>
        <v>3.16184549549811e-10</v>
      </c>
      <c r="CY14" s="582">
        <f ca="1" t="shared" si="52"/>
        <v>1.00000221204962</v>
      </c>
      <c r="CZ14" s="580">
        <f ca="1" t="shared" si="53"/>
        <v>2.08216365762907e+17</v>
      </c>
      <c r="DA14" s="580">
        <f ca="1" t="shared" si="54"/>
        <v>152168520617.326</v>
      </c>
      <c r="DB14" s="586">
        <f ca="1" t="shared" si="55"/>
        <v>9.14344748720923e-10</v>
      </c>
      <c r="DC14" s="594">
        <f ca="1" t="shared" si="56"/>
        <v>50178052566.6738</v>
      </c>
      <c r="DD14" s="580">
        <f ca="1" t="shared" si="57"/>
        <v>189918111282.064</v>
      </c>
      <c r="DE14" s="580">
        <f ca="1" t="shared" si="58"/>
        <v>33202798111.1185</v>
      </c>
      <c r="DF14" s="595">
        <f ca="1" t="shared" si="59"/>
        <v>33202798111.1185</v>
      </c>
      <c r="DG14" s="596">
        <f>DG$3*3600</f>
        <v>86400</v>
      </c>
      <c r="DH14" s="580">
        <f ca="1" t="shared" ref="DH14:DK14" si="162">CZ14</f>
        <v>2.08216365762907e+17</v>
      </c>
      <c r="DI14" s="580">
        <f ca="1" t="shared" si="162"/>
        <v>152168520617.326</v>
      </c>
      <c r="DJ14" s="581">
        <f ca="1" t="shared" si="162"/>
        <v>9.14344748720923e-10</v>
      </c>
      <c r="DK14" s="580">
        <f ca="1" t="shared" si="162"/>
        <v>50178052566.6738</v>
      </c>
      <c r="DL14" s="580">
        <f ca="1">MAX(INDIRECT("'"&amp;$B$2&amp;"-事故进程'!AB"&amp;(ROW()+22)),INDIRECT("'"&amp;$B$2&amp;"-事故进程'!AC"&amp;(ROW()+22)))</f>
        <v>2.39088186339134e-11</v>
      </c>
      <c r="DM14" s="580">
        <f ca="1">SUM(DL$3,-LN(1-DM$3)/DG14)</f>
        <v>1.01371476497628e-6</v>
      </c>
      <c r="DN14" s="580">
        <f>DN$3/24/3600</f>
        <v>1157407407407410</v>
      </c>
      <c r="DO14" s="582">
        <f ca="1" t="shared" si="61"/>
        <v>0.917251673642468</v>
      </c>
      <c r="DP14" s="582">
        <f ca="1" t="shared" si="62"/>
        <v>0.840333635326121</v>
      </c>
      <c r="DQ14" s="582">
        <f t="shared" si="63"/>
        <v>0</v>
      </c>
      <c r="DR14" s="582">
        <f ca="1" t="shared" si="64"/>
        <v>4823955.4876931</v>
      </c>
      <c r="DS14" s="582">
        <f ca="1" t="shared" si="65"/>
        <v>7.81068017358098e-10</v>
      </c>
      <c r="DT14" s="582">
        <f ca="1" t="shared" si="66"/>
        <v>1.00002358590737</v>
      </c>
      <c r="DU14" s="580">
        <f ca="1" t="shared" si="67"/>
        <v>1.90986809975779e+17</v>
      </c>
      <c r="DV14" s="580">
        <f ca="1" t="shared" si="68"/>
        <v>505614652083.174</v>
      </c>
      <c r="DW14" s="586">
        <f ca="1" t="shared" si="69"/>
        <v>4.42842369009167e-10</v>
      </c>
      <c r="DX14" s="594">
        <f ca="1" t="shared" si="70"/>
        <v>74514513420.8262</v>
      </c>
      <c r="DY14" s="580">
        <f ca="1" t="shared" si="71"/>
        <v>412065229494.017</v>
      </c>
      <c r="DZ14" s="580">
        <f ca="1" t="shared" si="72"/>
        <v>29514031177.5631</v>
      </c>
      <c r="EA14" s="595">
        <f ca="1" t="shared" si="73"/>
        <v>29514031177.5631</v>
      </c>
      <c r="EB14" s="596">
        <f>EB$3*3600</f>
        <v>172800</v>
      </c>
      <c r="EC14" s="580">
        <f ca="1" t="shared" ref="EC14:EF14" si="163">DU14</f>
        <v>1.90986809975779e+17</v>
      </c>
      <c r="ED14" s="580">
        <f ca="1" t="shared" si="163"/>
        <v>505614652083.174</v>
      </c>
      <c r="EE14" s="581">
        <f ca="1" t="shared" si="163"/>
        <v>4.42842369009167e-10</v>
      </c>
      <c r="EF14" s="580">
        <f ca="1" t="shared" si="163"/>
        <v>74514513420.8262</v>
      </c>
      <c r="EG14" s="580">
        <f ca="1">MAX(INDIRECT("'"&amp;$B$2&amp;"-事故进程'!AC"&amp;(ROW()+22)),INDIRECT("'"&amp;$B$2&amp;"-事故进程'!AD"&amp;(ROW()+22)),INDIRECT("'"&amp;$B$2&amp;"-事故进程'!AE"&amp;(ROW()+22)))</f>
        <v>2.39088186339134e-11</v>
      </c>
      <c r="EH14" s="580">
        <f ca="1">SUM(EG$3,-LN(1-EH$3)/EB14)</f>
        <v>5.81616658188741e-8</v>
      </c>
      <c r="EI14" s="580">
        <f>EI$3/24/3600</f>
        <v>1157407407407410</v>
      </c>
      <c r="EJ14" s="582">
        <f ca="1" t="shared" si="75"/>
        <v>0.841350632799908</v>
      </c>
      <c r="EK14" s="582">
        <f ca="1" t="shared" si="76"/>
        <v>0.832940567711994</v>
      </c>
      <c r="EL14" s="582">
        <f t="shared" si="77"/>
        <v>0</v>
      </c>
      <c r="EM14" s="582">
        <f ca="1" t="shared" si="78"/>
        <v>4536873.699402</v>
      </c>
      <c r="EN14" s="582">
        <f ca="1" t="shared" si="79"/>
        <v>4.17434383679732e-10</v>
      </c>
      <c r="EO14" s="582">
        <f ca="1" t="shared" si="80"/>
        <v>1.00041124425619</v>
      </c>
      <c r="EP14" s="580">
        <f ca="1" t="shared" si="81"/>
        <v>1.60686873429557e+17</v>
      </c>
      <c r="EQ14" s="580">
        <f ca="1" t="shared" si="82"/>
        <v>1081692210108.84</v>
      </c>
      <c r="ER14" s="586">
        <f ca="1" t="shared" si="83"/>
        <v>5.43568500085499e-11</v>
      </c>
      <c r="ES14" s="594">
        <f ca="1" t="shared" si="84"/>
        <v>70272014883.1641</v>
      </c>
      <c r="ET14" s="580">
        <f ca="1" t="shared" si="85"/>
        <v>724658862992.884</v>
      </c>
      <c r="EU14" s="580">
        <f ca="1" t="shared" si="86"/>
        <v>8169306951.42508</v>
      </c>
      <c r="EV14" s="595">
        <f ca="1" t="shared" si="87"/>
        <v>8169306951.42513</v>
      </c>
      <c r="EW14" s="596">
        <f>EW$3*3600</f>
        <v>2246400</v>
      </c>
      <c r="EX14" s="580">
        <f ca="1" t="shared" ref="EX14:FA14" si="164">EP14</f>
        <v>1.60686873429557e+17</v>
      </c>
      <c r="EY14" s="580">
        <f ca="1" t="shared" si="164"/>
        <v>1081692210108.84</v>
      </c>
      <c r="EZ14" s="581">
        <f ca="1" t="shared" si="164"/>
        <v>5.43568500085499e-11</v>
      </c>
      <c r="FA14" s="580">
        <f ca="1" t="shared" si="164"/>
        <v>70272014883.1641</v>
      </c>
      <c r="FB14" s="580">
        <f ca="1">INDIRECT("'"&amp;$B$2&amp;"-事故进程'!AE"&amp;(ROW()+22))</f>
        <v>1.71804514897049e-11</v>
      </c>
      <c r="FC14" s="580">
        <f ca="1">SUM(FB$3,-LN(1-FC$3)/EW14)</f>
        <v>4.47397429375955e-9</v>
      </c>
      <c r="FD14" s="580">
        <f>FD$3/24/3600</f>
        <v>1157407407407410</v>
      </c>
      <c r="FE14" s="582">
        <f ca="1" t="shared" si="89"/>
        <v>0.105854152253415</v>
      </c>
      <c r="FF14" s="582">
        <f ca="1" t="shared" si="90"/>
        <v>0.10479965530815</v>
      </c>
      <c r="FG14" s="582">
        <f t="shared" si="91"/>
        <v>0</v>
      </c>
      <c r="FH14" s="582">
        <f ca="1" t="shared" si="92"/>
        <v>2755852.15480762</v>
      </c>
      <c r="FI14" s="582">
        <f ca="1" t="shared" si="93"/>
        <v>5.01755538540461e-11</v>
      </c>
      <c r="FJ14" s="582">
        <f ca="1" t="shared" si="94"/>
        <v>1.00385489033097</v>
      </c>
      <c r="FK14" s="580">
        <f ca="1" t="shared" si="95"/>
        <v>1.70093727651377e+16</v>
      </c>
      <c r="FL14" s="580">
        <f ca="1" t="shared" si="96"/>
        <v>766548303242.875</v>
      </c>
      <c r="FM14" s="586">
        <f ca="1" t="shared" si="97"/>
        <v>2.96310303673946e-12</v>
      </c>
      <c r="FN14" s="594">
        <f ca="1" t="shared" si="98"/>
        <v>11871827379.125</v>
      </c>
      <c r="FO14" s="580">
        <f ca="1" t="shared" si="99"/>
        <v>2469221398106.82</v>
      </c>
      <c r="FP14" s="580">
        <f ca="1" t="shared" si="100"/>
        <v>12405792859.7915</v>
      </c>
      <c r="FQ14" s="595">
        <f ca="1" t="shared" si="101"/>
        <v>12405792859.7913</v>
      </c>
      <c r="FR14" s="608" t="str">
        <f t="shared" si="102"/>
        <v>I-131</v>
      </c>
      <c r="FS14" s="609">
        <v>9930000000</v>
      </c>
      <c r="FT14" s="610">
        <v>10500000000</v>
      </c>
      <c r="FU14" s="610">
        <v>30700000000</v>
      </c>
      <c r="FV14" s="610">
        <v>62900000000</v>
      </c>
      <c r="FW14" s="610">
        <v>114000000000</v>
      </c>
      <c r="FX14" s="614">
        <f ca="1" t="shared" si="103"/>
        <v>0</v>
      </c>
      <c r="FY14" s="614">
        <f ca="1" t="shared" si="104"/>
        <v>1.81537181835591</v>
      </c>
      <c r="FZ14" s="614">
        <f ca="1" t="shared" si="105"/>
        <v>1.08152436844034</v>
      </c>
      <c r="GA14" s="614">
        <f ca="1" t="shared" si="106"/>
        <v>0.599099175341625</v>
      </c>
      <c r="GB14" s="614">
        <f ca="1" t="shared" si="107"/>
        <v>0.789013511691612</v>
      </c>
      <c r="GC14" s="455">
        <f ca="1" t="shared" si="108"/>
        <v>0.897836256075746</v>
      </c>
      <c r="GE14" s="609">
        <v>98301235.7097423</v>
      </c>
      <c r="GF14" s="610">
        <v>1499248201.2518</v>
      </c>
      <c r="GG14" s="610">
        <v>6291027306.17642</v>
      </c>
      <c r="GH14" s="610">
        <v>10015619718.752</v>
      </c>
      <c r="GI14" s="610">
        <v>21912156382.3904</v>
      </c>
      <c r="GJ14" s="610">
        <v>64569064125.0896</v>
      </c>
      <c r="GK14" s="617">
        <v>104385416969.37</v>
      </c>
      <c r="GL14" s="614">
        <f ca="1" t="shared" si="109"/>
        <v>0</v>
      </c>
      <c r="GM14" s="614">
        <f ca="1" t="shared" si="110"/>
        <v>12.7139749621321</v>
      </c>
      <c r="GN14" s="614">
        <f ca="1" t="shared" si="111"/>
        <v>5.27780225632157</v>
      </c>
      <c r="GO14" s="614">
        <f ca="1" t="shared" si="112"/>
        <v>1.18026817807833</v>
      </c>
      <c r="GP14" s="614">
        <f ca="1" t="shared" si="113"/>
        <v>0.192132146065453</v>
      </c>
      <c r="GQ14" s="614">
        <f ca="1" t="shared" si="114"/>
        <v>0.980532876758722</v>
      </c>
      <c r="GR14" s="451">
        <f t="shared" si="115"/>
        <v>9.99668118007245e-7</v>
      </c>
      <c r="GS14" s="390">
        <f t="shared" si="116"/>
        <v>693377.3</v>
      </c>
    </row>
    <row r="15" spans="1:201">
      <c r="A15" s="419"/>
      <c r="B15" s="407" t="s">
        <v>265</v>
      </c>
      <c r="C15" s="426">
        <v>0</v>
      </c>
      <c r="D15" s="409" t="s">
        <v>163</v>
      </c>
      <c r="E15" s="410"/>
      <c r="G15" s="411" t="s">
        <v>56</v>
      </c>
      <c r="H15" s="412">
        <f ca="1" t="shared" si="1"/>
        <v>0</v>
      </c>
      <c r="I15" s="412">
        <f ca="1" t="shared" si="2"/>
        <v>24451131881.4769</v>
      </c>
      <c r="J15" s="412">
        <f ca="1" t="shared" si="3"/>
        <v>27039336614.889</v>
      </c>
      <c r="K15" s="412">
        <f ca="1" t="shared" si="4"/>
        <v>4019030365.28631</v>
      </c>
      <c r="L15" s="412">
        <f ca="1" t="shared" si="5"/>
        <v>28752852.6153321</v>
      </c>
      <c r="M15" s="412">
        <f ca="1" t="shared" si="6"/>
        <v>0.000319343679787277</v>
      </c>
      <c r="N15" s="412">
        <f ca="1" t="shared" si="7"/>
        <v>55538251714.2678</v>
      </c>
      <c r="O15" s="450">
        <f ca="1" t="shared" si="8"/>
        <v>0</v>
      </c>
      <c r="P15" s="451"/>
      <c r="Q15" s="477" t="str">
        <f t="shared" si="0"/>
        <v>I-132</v>
      </c>
      <c r="R15" s="412">
        <f ca="1" t="shared" si="9"/>
        <v>0</v>
      </c>
      <c r="S15" s="412">
        <f ca="1">I15*(1-过滤效率!$B12)</f>
        <v>1222556594.07385</v>
      </c>
      <c r="T15" s="412">
        <f ca="1">J15*(1-过滤效率!$B12)</f>
        <v>1351966830.74445</v>
      </c>
      <c r="U15" s="412">
        <f ca="1">K15*(1-过滤效率!$B12)</f>
        <v>200951518.264316</v>
      </c>
      <c r="V15" s="412">
        <f ca="1">L15*(1-过滤效率!$B12)</f>
        <v>1437642.6307666</v>
      </c>
      <c r="W15" s="412">
        <f ca="1">M15*(1-过滤效率!$B12)</f>
        <v>1.59671839893638e-5</v>
      </c>
      <c r="X15" s="412">
        <f ca="1" t="shared" si="10"/>
        <v>2776912585.71339</v>
      </c>
      <c r="Y15" s="493"/>
      <c r="Z15" s="494">
        <f>VLOOKUP(G15,衰变常数!$A$1:$H$3800,7,FALSE)</f>
        <v>8.38958097990735e-5</v>
      </c>
      <c r="AA15" s="495">
        <f>正常源项!C12</f>
        <v>3.35e+17</v>
      </c>
      <c r="AB15" s="496">
        <f>正常源项!F12</f>
        <v>0</v>
      </c>
      <c r="AC15" s="496">
        <f>正常源项!I12</f>
        <v>261000000</v>
      </c>
      <c r="AD15" s="497"/>
      <c r="AE15" s="496">
        <f>正常源项!O12</f>
        <v>69400000000</v>
      </c>
      <c r="AF15" s="498">
        <f t="shared" si="157"/>
        <v>1124910000</v>
      </c>
      <c r="AG15" s="519">
        <f t="shared" si="158"/>
        <v>1388000000</v>
      </c>
      <c r="AH15" s="523">
        <v>1</v>
      </c>
      <c r="AI15" s="519">
        <f t="shared" si="159"/>
        <v>0</v>
      </c>
      <c r="AJ15" s="521"/>
      <c r="AK15" s="521"/>
      <c r="AL15" s="519">
        <f t="shared" si="11"/>
        <v>49010500</v>
      </c>
      <c r="AM15" s="520">
        <f t="shared" si="12"/>
        <v>1407000000000</v>
      </c>
      <c r="AN15" s="519">
        <f ca="1">MAX(INDIRECT("'"&amp;$B$2&amp;"-事故进程'!Y"&amp;(ROW()+22)),INDIRECT("'"&amp;$B$2&amp;"-事故进程'!Z"&amp;(ROW()+22)),INDIRECT("'"&amp;$B$2&amp;"-事故进程'!AA"&amp;(ROW()+22)))</f>
        <v>1.4871625306786e-11</v>
      </c>
      <c r="AO15" s="519">
        <f ca="1" t="shared" si="13"/>
        <v>0</v>
      </c>
      <c r="AP15" s="560">
        <f t="shared" si="14"/>
        <v>3.35e+17</v>
      </c>
      <c r="AQ15" s="561">
        <f ca="1">(AC15*$C$5+AD15*$C$8+AF15+AG15+AI15+(AL15+AM15)*$C$10)*EXP(-Z15*$C$12*3600)+AO15*$C$11</f>
        <v>2773910000</v>
      </c>
      <c r="AR15" s="562">
        <f ca="1">AQ15*(1-AR$3)</f>
        <v>2773910000</v>
      </c>
      <c r="AS15" s="563">
        <f ca="1" t="shared" si="15"/>
        <v>0</v>
      </c>
      <c r="AT15" s="562">
        <f ca="1">AS15*(1-AT$3)</f>
        <v>0</v>
      </c>
      <c r="AU15" s="564">
        <f ca="1" t="shared" si="16"/>
        <v>0</v>
      </c>
      <c r="AV15" s="565">
        <f>AV$3*3600</f>
        <v>7200</v>
      </c>
      <c r="AW15" s="580">
        <f>AP15*EXP(-Z15*AW$3*3600)</f>
        <v>3.35e+17</v>
      </c>
      <c r="AX15" s="580">
        <f ca="1" t="shared" si="17"/>
        <v>2773910000</v>
      </c>
      <c r="AY15" s="581">
        <f ca="1" t="shared" si="18"/>
        <v>0</v>
      </c>
      <c r="AZ15" s="580">
        <v>0</v>
      </c>
      <c r="BA15" s="580">
        <f ca="1">MAX(INDIRECT("'"&amp;$B$2&amp;"-事故进程'!Y"&amp;(ROW()+22)),INDIRECT("'"&amp;$B$2&amp;"-事故进程'!Z"&amp;(ROW()+22)))</f>
        <v>1.35366550277358e-11</v>
      </c>
      <c r="BB15" s="580">
        <f ca="1">SUM(BA$3,-LN(1-BB$3)/AV15)</f>
        <v>0.00160041330566996</v>
      </c>
      <c r="BC15" s="580">
        <f>BC$3/24/3600</f>
        <v>1157407407407410</v>
      </c>
      <c r="BD15" s="582">
        <f ca="1" t="shared" si="19"/>
        <v>0.546593483184456</v>
      </c>
      <c r="BE15" s="582">
        <f ca="1" t="shared" si="20"/>
        <v>5.41127601093024e-6</v>
      </c>
      <c r="BF15" s="582">
        <f t="shared" si="21"/>
        <v>0</v>
      </c>
      <c r="BG15" s="582">
        <f ca="1" t="shared" si="22"/>
        <v>95376.9991099834</v>
      </c>
      <c r="BH15" s="582">
        <f ca="1" t="shared" si="23"/>
        <v>-3.83564373643955e-9</v>
      </c>
      <c r="BI15" s="582">
        <f ca="1" t="shared" si="24"/>
        <v>1.00000000845822</v>
      </c>
      <c r="BJ15" s="580">
        <f ca="1" t="shared" si="25"/>
        <v>1.83108816866793e+17</v>
      </c>
      <c r="BK15" s="580">
        <f ca="1" t="shared" si="26"/>
        <v>1548775171.09805</v>
      </c>
      <c r="BL15" s="586">
        <f ca="1" t="shared" si="27"/>
        <v>2.14157985809753e-9</v>
      </c>
      <c r="BM15" s="594">
        <f ca="1" t="shared" si="28"/>
        <v>17813929404.902</v>
      </c>
      <c r="BN15" s="580">
        <f ca="1" t="shared" si="29"/>
        <v>24507758146.6829</v>
      </c>
      <c r="BO15" s="580">
        <f ca="1" t="shared" si="30"/>
        <v>24451131881.4769</v>
      </c>
      <c r="BP15" s="595">
        <f ca="1" t="shared" si="31"/>
        <v>24451131881.4769</v>
      </c>
      <c r="BQ15" s="596">
        <f>BQ$3*3600</f>
        <v>21600</v>
      </c>
      <c r="BR15" s="580">
        <f ca="1" t="shared" ref="BR15:BU15" si="165">BJ15</f>
        <v>1.83108816866793e+17</v>
      </c>
      <c r="BS15" s="580">
        <f ca="1" t="shared" si="165"/>
        <v>1548775171.09805</v>
      </c>
      <c r="BT15" s="581">
        <f ca="1" t="shared" si="165"/>
        <v>2.14157985809753e-9</v>
      </c>
      <c r="BU15" s="580">
        <f ca="1" t="shared" si="165"/>
        <v>17813929404.902</v>
      </c>
      <c r="BV15" s="580">
        <f ca="1">MAX(INDIRECT("'"&amp;$B$2&amp;"-事故进程'!Z"&amp;(ROW()+22)),INDIRECT("'"&amp;$B$2&amp;"-事故进程'!AA"&amp;(ROW()+22)))</f>
        <v>1.4871625306786e-11</v>
      </c>
      <c r="BW15" s="580">
        <f ca="1">SUM(BV$3,-LN(1-BW$3)/BQ15)</f>
        <v>0.00162728102077123</v>
      </c>
      <c r="BX15" s="580">
        <f>BX$3/24/3600</f>
        <v>1157407407407410</v>
      </c>
      <c r="BY15" s="582">
        <f ca="1" t="shared" si="33"/>
        <v>0.163302688939309</v>
      </c>
      <c r="BZ15" s="582">
        <f ca="1" t="shared" si="34"/>
        <v>8.86868950339376e-17</v>
      </c>
      <c r="CA15" s="582">
        <f t="shared" si="35"/>
        <v>0</v>
      </c>
      <c r="CB15" s="582">
        <f ca="1" t="shared" si="36"/>
        <v>202833.296475066</v>
      </c>
      <c r="CC15" s="582">
        <f ca="1" t="shared" si="37"/>
        <v>-3.59528112457757e-11</v>
      </c>
      <c r="CD15" s="582">
        <f ca="1" t="shared" si="38"/>
        <v>1.00000000913894</v>
      </c>
      <c r="CE15" s="580">
        <f ca="1" t="shared" si="39"/>
        <v>2.99021621628428e+16</v>
      </c>
      <c r="CF15" s="580">
        <f ca="1" t="shared" si="40"/>
        <v>273274099.517134</v>
      </c>
      <c r="CG15" s="586">
        <f ca="1" t="shared" si="41"/>
        <v>3.8421540484927e-10</v>
      </c>
      <c r="CH15" s="594">
        <f ca="1" t="shared" si="42"/>
        <v>12494095208.4829</v>
      </c>
      <c r="CI15" s="580">
        <f ca="1" t="shared" si="43"/>
        <v>27157870754.6698</v>
      </c>
      <c r="CJ15" s="580">
        <f ca="1" t="shared" si="44"/>
        <v>27039336614.889</v>
      </c>
      <c r="CK15" s="595">
        <f ca="1" t="shared" si="45"/>
        <v>27039336614.889</v>
      </c>
      <c r="CL15" s="596">
        <f>CL$3*3600</f>
        <v>57600</v>
      </c>
      <c r="CM15" s="580">
        <f ca="1" t="shared" ref="CM15:CP15" si="166">CE15</f>
        <v>2.99021621628428e+16</v>
      </c>
      <c r="CN15" s="580">
        <f ca="1" t="shared" si="166"/>
        <v>273274099.517134</v>
      </c>
      <c r="CO15" s="581">
        <f ca="1" t="shared" si="166"/>
        <v>3.8421540484927e-10</v>
      </c>
      <c r="CP15" s="580">
        <f ca="1" t="shared" si="166"/>
        <v>12494095208.4829</v>
      </c>
      <c r="CQ15" s="580">
        <f ca="1">MAX(INDIRECT("'"&amp;$B$2&amp;"-事故进程'!AA"&amp;(ROW()+22)),INDIRECT("'"&amp;$B$2&amp;"-事故进程'!AB"&amp;(ROW()+22)))</f>
        <v>1.5259846186717e-10</v>
      </c>
      <c r="CR15" s="580">
        <f ca="1">SUM(CQ$3,-LN(1-CR$3)/CL15)</f>
        <v>6.95458811586267e-6</v>
      </c>
      <c r="CS15" s="580">
        <f>CS$3/24/3600</f>
        <v>1157407407407410</v>
      </c>
      <c r="CT15" s="582">
        <f ca="1" t="shared" si="47"/>
        <v>0.00796731736766999</v>
      </c>
      <c r="CU15" s="582">
        <f ca="1" t="shared" si="48"/>
        <v>0.00533757995916215</v>
      </c>
      <c r="CV15" s="582">
        <f t="shared" si="49"/>
        <v>0</v>
      </c>
      <c r="CW15" s="582">
        <f ca="1" t="shared" si="50"/>
        <v>4561123.48544884</v>
      </c>
      <c r="CX15" s="582">
        <f ca="1" t="shared" si="51"/>
        <v>3.82573365241858e-10</v>
      </c>
      <c r="CY15" s="582">
        <f ca="1" t="shared" si="52"/>
        <v>1.00002194260936</v>
      </c>
      <c r="CZ15" s="580">
        <f ca="1" t="shared" si="53"/>
        <v>238240015930902</v>
      </c>
      <c r="DA15" s="580">
        <f ca="1" t="shared" si="54"/>
        <v>1726912076.33179</v>
      </c>
      <c r="DB15" s="586">
        <f ca="1" t="shared" si="55"/>
        <v>1.03766073435621e-11</v>
      </c>
      <c r="DC15" s="594">
        <f ca="1" t="shared" si="56"/>
        <v>468871159.136956</v>
      </c>
      <c r="DD15" s="580">
        <f ca="1" t="shared" si="57"/>
        <v>53955741887.9937</v>
      </c>
      <c r="DE15" s="580">
        <f ca="1" t="shared" si="58"/>
        <v>4019030365.28631</v>
      </c>
      <c r="DF15" s="595">
        <f ca="1" t="shared" si="59"/>
        <v>4019030365.28631</v>
      </c>
      <c r="DG15" s="596">
        <f>DG$3*3600</f>
        <v>86400</v>
      </c>
      <c r="DH15" s="580">
        <f ca="1" t="shared" ref="DH15:DK15" si="167">CZ15</f>
        <v>238240015930902</v>
      </c>
      <c r="DI15" s="580">
        <f ca="1" t="shared" si="167"/>
        <v>1726912076.33179</v>
      </c>
      <c r="DJ15" s="581">
        <f ca="1" t="shared" si="167"/>
        <v>1.03766073435621e-11</v>
      </c>
      <c r="DK15" s="580">
        <f ca="1" t="shared" si="167"/>
        <v>468871159.136956</v>
      </c>
      <c r="DL15" s="580">
        <f ca="1">MAX(INDIRECT("'"&amp;$B$2&amp;"-事故进程'!AB"&amp;(ROW()+22)),INDIRECT("'"&amp;$B$2&amp;"-事故进程'!AC"&amp;(ROW()+22)))</f>
        <v>2.41630220655686e-10</v>
      </c>
      <c r="DM15" s="580">
        <f ca="1">SUM(DL$3,-LN(1-DM$3)/DG15)</f>
        <v>1.01371476497628e-6</v>
      </c>
      <c r="DN15" s="580">
        <f>DN$3/24/3600</f>
        <v>1157407407407410</v>
      </c>
      <c r="DO15" s="582">
        <f ca="1" t="shared" si="61"/>
        <v>0.000711155928496122</v>
      </c>
      <c r="DP15" s="582">
        <f ca="1" t="shared" si="62"/>
        <v>0.000651532731573351</v>
      </c>
      <c r="DQ15" s="582">
        <f t="shared" si="63"/>
        <v>0</v>
      </c>
      <c r="DR15" s="582">
        <f ca="1" t="shared" si="64"/>
        <v>55815.8086229505</v>
      </c>
      <c r="DS15" s="582">
        <f ca="1" t="shared" si="65"/>
        <v>8.86409216663338e-12</v>
      </c>
      <c r="DT15" s="582">
        <f ca="1" t="shared" si="66"/>
        <v>1.00023841798304</v>
      </c>
      <c r="DU15" s="580">
        <f ca="1" t="shared" si="67"/>
        <v>169425799734.271</v>
      </c>
      <c r="DV15" s="580">
        <f ca="1" t="shared" si="68"/>
        <v>4511779.30688241</v>
      </c>
      <c r="DW15" s="586">
        <f ca="1" t="shared" si="69"/>
        <v>3.95163990694178e-15</v>
      </c>
      <c r="DX15" s="594">
        <f ca="1" t="shared" si="70"/>
        <v>586911.668520421</v>
      </c>
      <c r="DY15" s="580">
        <f ca="1" t="shared" si="71"/>
        <v>685670520.185377</v>
      </c>
      <c r="DZ15" s="580">
        <f ca="1" t="shared" si="72"/>
        <v>28749388.8942126</v>
      </c>
      <c r="EA15" s="595">
        <f ca="1" t="shared" si="73"/>
        <v>28749388.8942126</v>
      </c>
      <c r="EB15" s="596">
        <f>EB$3*3600</f>
        <v>172800</v>
      </c>
      <c r="EC15" s="580">
        <f ca="1" t="shared" ref="EC15:EF15" si="168">DU15</f>
        <v>169425799734.271</v>
      </c>
      <c r="ED15" s="580">
        <f ca="1" t="shared" si="168"/>
        <v>4511779.30688241</v>
      </c>
      <c r="EE15" s="581">
        <f ca="1" t="shared" si="168"/>
        <v>3.95163990694178e-15</v>
      </c>
      <c r="EF15" s="580">
        <f ca="1" t="shared" si="168"/>
        <v>586911.668520421</v>
      </c>
      <c r="EG15" s="580">
        <f ca="1">MAX(INDIRECT("'"&amp;$B$2&amp;"-事故进程'!AC"&amp;(ROW()+22)),INDIRECT("'"&amp;$B$2&amp;"-事故进程'!AD"&amp;(ROW()+22)),INDIRECT("'"&amp;$B$2&amp;"-事故进程'!AE"&amp;(ROW()+22)))</f>
        <v>2.41630220655686e-10</v>
      </c>
      <c r="EH15" s="580">
        <f ca="1">SUM(EG$3,-LN(1-EH$3)/EB15)</f>
        <v>5.81616658188741e-8</v>
      </c>
      <c r="EI15" s="580">
        <f>EI$3/24/3600</f>
        <v>1157407407407410</v>
      </c>
      <c r="EJ15" s="582">
        <f ca="1" t="shared" si="75"/>
        <v>5.05742754635182e-7</v>
      </c>
      <c r="EK15" s="582">
        <f ca="1" t="shared" si="76"/>
        <v>5.00706232991285e-7</v>
      </c>
      <c r="EL15" s="582">
        <f t="shared" si="77"/>
        <v>0</v>
      </c>
      <c r="EM15" s="582">
        <f ca="1" t="shared" si="78"/>
        <v>40.6770709564921</v>
      </c>
      <c r="EN15" s="582">
        <f ca="1" t="shared" si="79"/>
        <v>3.72491542028655e-15</v>
      </c>
      <c r="EO15" s="582">
        <f ca="1" t="shared" si="80"/>
        <v>1.00417178991967</v>
      </c>
      <c r="EP15" s="580">
        <f ca="1" t="shared" si="81"/>
        <v>85685.8706638791</v>
      </c>
      <c r="EQ15" s="580">
        <f ca="1" t="shared" si="82"/>
        <v>5.81893405904054</v>
      </c>
      <c r="ER15" s="586">
        <f ca="1" t="shared" si="83"/>
        <v>2.92411208013678e-22</v>
      </c>
      <c r="ES15" s="594">
        <f ca="1" t="shared" si="84"/>
        <v>0.337576641925921</v>
      </c>
      <c r="ET15" s="580">
        <f ca="1" t="shared" si="85"/>
        <v>487965.428322502</v>
      </c>
      <c r="EU15" s="580">
        <f ca="1" t="shared" si="86"/>
        <v>3463.72111951095</v>
      </c>
      <c r="EV15" s="595">
        <f ca="1" t="shared" si="87"/>
        <v>3463.72111951097</v>
      </c>
      <c r="EW15" s="596">
        <f>EW$3*3600</f>
        <v>2246400</v>
      </c>
      <c r="EX15" s="580">
        <f ca="1" t="shared" ref="EX15:FA15" si="169">EP15</f>
        <v>85685.8706638791</v>
      </c>
      <c r="EY15" s="580">
        <f ca="1" t="shared" si="169"/>
        <v>5.81893405904054</v>
      </c>
      <c r="EZ15" s="581">
        <f ca="1" t="shared" si="169"/>
        <v>2.92411208013678e-22</v>
      </c>
      <c r="FA15" s="580">
        <f ca="1" t="shared" si="169"/>
        <v>0.337576641925921</v>
      </c>
      <c r="FB15" s="580">
        <f ca="1">INDIRECT("'"&amp;$B$2&amp;"-事故进程'!AE"&amp;(ROW()+22))</f>
        <v>1.66161810935878e-10</v>
      </c>
      <c r="FC15" s="580">
        <f ca="1">SUM(FB$3,-LN(1-FC$3)/EW15)</f>
        <v>4.47397429375955e-9</v>
      </c>
      <c r="FD15" s="580">
        <f>FD$3/24/3600</f>
        <v>1157407407407410</v>
      </c>
      <c r="FE15" s="582">
        <f ca="1" t="shared" si="89"/>
        <v>1.41631329875506e-82</v>
      </c>
      <c r="FF15" s="582">
        <f ca="1" t="shared" si="90"/>
        <v>1.40267363829116e-82</v>
      </c>
      <c r="FG15" s="582">
        <f t="shared" si="91"/>
        <v>0</v>
      </c>
      <c r="FH15" s="582">
        <f ca="1" t="shared" si="92"/>
        <v>1.42126525643513e-5</v>
      </c>
      <c r="FI15" s="582">
        <f ca="1" t="shared" si="93"/>
        <v>2.69918038166472e-22</v>
      </c>
      <c r="FJ15" s="582">
        <f ca="1" t="shared" si="94"/>
        <v>1.03857220145919</v>
      </c>
      <c r="FK15" s="580">
        <f ca="1" t="shared" si="95"/>
        <v>1.21358038136658e-77</v>
      </c>
      <c r="FL15" s="580">
        <f ca="1" t="shared" si="96"/>
        <v>5.32424071660823e-81</v>
      </c>
      <c r="FM15" s="586">
        <f ca="1" t="shared" si="97"/>
        <v>2.05809259103079e-104</v>
      </c>
      <c r="FN15" s="594">
        <f ca="1" t="shared" si="98"/>
        <v>7.87667804066305e-83</v>
      </c>
      <c r="FO15" s="580">
        <f ca="1" t="shared" si="99"/>
        <v>0.169706821788041</v>
      </c>
      <c r="FP15" s="580">
        <f ca="1" t="shared" si="100"/>
        <v>0.000319343679787268</v>
      </c>
      <c r="FQ15" s="595">
        <f ca="1" t="shared" si="101"/>
        <v>0.000319343679787277</v>
      </c>
      <c r="FR15" s="608" t="str">
        <f t="shared" si="102"/>
        <v>I-132</v>
      </c>
      <c r="FS15" s="609">
        <v>5610000000</v>
      </c>
      <c r="FT15" s="610">
        <v>49800000000</v>
      </c>
      <c r="FU15" s="610">
        <v>7420000000</v>
      </c>
      <c r="FV15" s="610">
        <v>46100000</v>
      </c>
      <c r="FW15" s="610">
        <v>62900000000</v>
      </c>
      <c r="FX15" s="614">
        <f ca="1" t="shared" si="103"/>
        <v>0</v>
      </c>
      <c r="FY15" s="614">
        <f ca="1" t="shared" si="104"/>
        <v>1.03394515052943</v>
      </c>
      <c r="FZ15" s="614">
        <f ca="1" t="shared" si="105"/>
        <v>0.541648297208398</v>
      </c>
      <c r="GA15" s="614">
        <f ca="1" t="shared" si="106"/>
        <v>0.623706130484427</v>
      </c>
      <c r="GB15" s="614">
        <f ca="1" t="shared" si="107"/>
        <v>0.882961076538434</v>
      </c>
      <c r="GC15" s="455">
        <f ca="1" t="shared" si="108"/>
        <v>0.882961076538439</v>
      </c>
      <c r="GE15" s="609">
        <v>1207945712.85162</v>
      </c>
      <c r="GF15" s="610">
        <v>1952000830.14714</v>
      </c>
      <c r="GG15" s="610">
        <v>398464061.029298</v>
      </c>
      <c r="GH15" s="610">
        <v>3988575.67204151</v>
      </c>
      <c r="GI15" s="610">
        <v>24342.6356771423</v>
      </c>
      <c r="GJ15" s="610">
        <v>0.00132004220425357</v>
      </c>
      <c r="GK15" s="617">
        <v>3562423522.33709</v>
      </c>
      <c r="GL15" s="614">
        <f ca="1" t="shared" si="109"/>
        <v>0</v>
      </c>
      <c r="GM15" s="614">
        <f ca="1" t="shared" si="110"/>
        <v>26.3783025607036</v>
      </c>
      <c r="GN15" s="614">
        <f ca="1" t="shared" si="111"/>
        <v>10.0863057885434</v>
      </c>
      <c r="GO15" s="614">
        <f ca="1" t="shared" si="112"/>
        <v>7.16507299937488</v>
      </c>
      <c r="GP15" s="614">
        <f ca="1" t="shared" si="113"/>
        <v>0.241919295275754</v>
      </c>
      <c r="GQ15" s="614">
        <f ca="1" t="shared" si="114"/>
        <v>15.5900193691267</v>
      </c>
      <c r="GR15" s="451">
        <f t="shared" si="115"/>
        <v>8.38958097990735e-5</v>
      </c>
      <c r="GS15" s="390">
        <f t="shared" si="116"/>
        <v>8262</v>
      </c>
    </row>
    <row r="16" spans="1:201">
      <c r="A16" s="421" t="s">
        <v>161</v>
      </c>
      <c r="B16" s="427"/>
      <c r="C16" s="428"/>
      <c r="D16" s="410"/>
      <c r="E16" s="410"/>
      <c r="G16" s="411" t="s">
        <v>57</v>
      </c>
      <c r="H16" s="412">
        <f ca="1" t="shared" si="1"/>
        <v>0</v>
      </c>
      <c r="I16" s="412">
        <f ca="1" t="shared" si="2"/>
        <v>19654917167.7617</v>
      </c>
      <c r="J16" s="412">
        <f ca="1" t="shared" si="3"/>
        <v>42210888999.5993</v>
      </c>
      <c r="K16" s="412">
        <f ca="1" t="shared" si="4"/>
        <v>127898483021.437</v>
      </c>
      <c r="L16" s="412">
        <f ca="1" t="shared" si="5"/>
        <v>71140586219.7362</v>
      </c>
      <c r="M16" s="412">
        <f ca="1" t="shared" si="6"/>
        <v>255900001.657635</v>
      </c>
      <c r="N16" s="412">
        <f ca="1" t="shared" si="7"/>
        <v>261160775410.192</v>
      </c>
      <c r="O16" s="450">
        <f ca="1" t="shared" si="8"/>
        <v>0</v>
      </c>
      <c r="P16" s="451"/>
      <c r="Q16" s="477" t="str">
        <f t="shared" si="0"/>
        <v>I-133</v>
      </c>
      <c r="R16" s="412">
        <f ca="1" t="shared" si="9"/>
        <v>0</v>
      </c>
      <c r="S16" s="412">
        <f ca="1">I16*(1-过滤效率!$B13)</f>
        <v>982745858.388084</v>
      </c>
      <c r="T16" s="412">
        <f ca="1">J16*(1-过滤效率!$B13)</f>
        <v>2110544449.97997</v>
      </c>
      <c r="U16" s="412">
        <f ca="1">K16*(1-过滤效率!$B13)</f>
        <v>6394924151.07185</v>
      </c>
      <c r="V16" s="412">
        <f ca="1">L16*(1-过滤效率!$B13)</f>
        <v>3557029310.98681</v>
      </c>
      <c r="W16" s="412">
        <f ca="1">M16*(1-过滤效率!$B13)</f>
        <v>12795000.0828818</v>
      </c>
      <c r="X16" s="412">
        <f ca="1" t="shared" si="10"/>
        <v>13058038770.5096</v>
      </c>
      <c r="Y16" s="493"/>
      <c r="Z16" s="494">
        <f>VLOOKUP(G16,衰变常数!$A$1:$H$3800,7,FALSE)</f>
        <v>9.25677324465738e-6</v>
      </c>
      <c r="AA16" s="495">
        <f>正常源项!C13</f>
        <v>4.55e+17</v>
      </c>
      <c r="AB16" s="496">
        <f>正常源项!F13</f>
        <v>0</v>
      </c>
      <c r="AC16" s="496">
        <f>正常源项!I13</f>
        <v>119000000</v>
      </c>
      <c r="AD16" s="497"/>
      <c r="AE16" s="496">
        <f>正常源项!O13</f>
        <v>286000000000</v>
      </c>
      <c r="AF16" s="498">
        <f t="shared" si="157"/>
        <v>512890000</v>
      </c>
      <c r="AG16" s="519">
        <f t="shared" si="158"/>
        <v>5720000000</v>
      </c>
      <c r="AH16" s="523">
        <v>1</v>
      </c>
      <c r="AI16" s="519">
        <f t="shared" si="159"/>
        <v>0</v>
      </c>
      <c r="AJ16" s="521"/>
      <c r="AK16" s="521"/>
      <c r="AL16" s="519">
        <f t="shared" si="11"/>
        <v>66566500</v>
      </c>
      <c r="AM16" s="520">
        <f t="shared" si="12"/>
        <v>1911000000000</v>
      </c>
      <c r="AN16" s="519">
        <f ca="1">MAX(INDIRECT("'"&amp;$B$2&amp;"-事故进程'!Y"&amp;(ROW()+22)),INDIRECT("'"&amp;$B$2&amp;"-事故进程'!Z"&amp;(ROW()+22)),INDIRECT("'"&amp;$B$2&amp;"-事故进程'!AA"&amp;(ROW()+22)))</f>
        <v>5.07702695770346e-12</v>
      </c>
      <c r="AO16" s="519">
        <f ca="1" t="shared" si="13"/>
        <v>0</v>
      </c>
      <c r="AP16" s="560">
        <f t="shared" si="14"/>
        <v>4.55e+17</v>
      </c>
      <c r="AQ16" s="561">
        <f ca="1">(AC16*$C$5+AD16*$C$8+AF16+AG16+AI16+(AL16+AM16)*$C$10)*EXP(-Z16*$C$12*3600)+AO16*$C$11</f>
        <v>6351890000</v>
      </c>
      <c r="AR16" s="562">
        <f ca="1">AQ16*(1-AR$3)</f>
        <v>6351890000</v>
      </c>
      <c r="AS16" s="563">
        <f ca="1" t="shared" si="15"/>
        <v>0</v>
      </c>
      <c r="AT16" s="562">
        <f ca="1">AS16*(1-AT$3)</f>
        <v>0</v>
      </c>
      <c r="AU16" s="564">
        <f ca="1" t="shared" si="16"/>
        <v>0</v>
      </c>
      <c r="AV16" s="565">
        <f>AV$3*3600</f>
        <v>7200</v>
      </c>
      <c r="AW16" s="580">
        <f>AP16*EXP(-Z16*AW$3*3600)</f>
        <v>4.55e+17</v>
      </c>
      <c r="AX16" s="580">
        <f ca="1" t="shared" si="17"/>
        <v>6351890000</v>
      </c>
      <c r="AY16" s="581">
        <f ca="1" t="shared" si="18"/>
        <v>0</v>
      </c>
      <c r="AZ16" s="580">
        <v>0</v>
      </c>
      <c r="BA16" s="580">
        <f ca="1">MAX(INDIRECT("'"&amp;$B$2&amp;"-事故进程'!Y"&amp;(ROW()+22)),INDIRECT("'"&amp;$B$2&amp;"-事故进程'!Z"&amp;(ROW()+22)))</f>
        <v>4.62129883090596e-12</v>
      </c>
      <c r="BB16" s="580">
        <f ca="1">SUM(BA$3,-LN(1-BB$3)/AV16)</f>
        <v>0.00160041330566996</v>
      </c>
      <c r="BC16" s="580">
        <f>BC$3/24/3600</f>
        <v>1157407407407410</v>
      </c>
      <c r="BD16" s="582">
        <f ca="1" t="shared" si="19"/>
        <v>0.93552369897845</v>
      </c>
      <c r="BE16" s="582">
        <f ca="1" t="shared" si="20"/>
        <v>9.26168492805395e-6</v>
      </c>
      <c r="BF16" s="582">
        <f t="shared" si="21"/>
        <v>0</v>
      </c>
      <c r="BG16" s="582">
        <f ca="1" t="shared" si="22"/>
        <v>-8062958.27473578</v>
      </c>
      <c r="BH16" s="582">
        <f ca="1" t="shared" si="23"/>
        <v>-8.78312097113931e-9</v>
      </c>
      <c r="BI16" s="582">
        <f ca="1" t="shared" si="24"/>
        <v>1.00000000288757</v>
      </c>
      <c r="BJ16" s="580">
        <f ca="1" t="shared" si="25"/>
        <v>4.25663283035195e+17</v>
      </c>
      <c r="BK16" s="580">
        <f ca="1" t="shared" si="26"/>
        <v>1229177430.3177</v>
      </c>
      <c r="BL16" s="586">
        <f ca="1" t="shared" si="27"/>
        <v>1.69965381413635e-9</v>
      </c>
      <c r="BM16" s="594">
        <f ca="1" t="shared" si="28"/>
        <v>18876410665.6823</v>
      </c>
      <c r="BN16" s="580">
        <f ca="1" t="shared" si="29"/>
        <v>14645888426.3254</v>
      </c>
      <c r="BO16" s="580">
        <f ca="1" t="shared" si="30"/>
        <v>19654917167.7617</v>
      </c>
      <c r="BP16" s="595">
        <f ca="1" t="shared" si="31"/>
        <v>19654917167.7617</v>
      </c>
      <c r="BQ16" s="596">
        <f>BQ$3*3600</f>
        <v>21600</v>
      </c>
      <c r="BR16" s="580">
        <f ca="1" t="shared" ref="BR16:BU16" si="170">BJ16</f>
        <v>4.25663283035195e+17</v>
      </c>
      <c r="BS16" s="580">
        <f ca="1" t="shared" si="170"/>
        <v>1229177430.3177</v>
      </c>
      <c r="BT16" s="581">
        <f ca="1" t="shared" si="170"/>
        <v>1.69965381413635e-9</v>
      </c>
      <c r="BU16" s="580">
        <f ca="1" t="shared" si="170"/>
        <v>18876410665.6823</v>
      </c>
      <c r="BV16" s="580">
        <f ca="1">MAX(INDIRECT("'"&amp;$B$2&amp;"-事故进程'!Z"&amp;(ROW()+22)),INDIRECT("'"&amp;$B$2&amp;"-事故进程'!AA"&amp;(ROW()+22)))</f>
        <v>5.07702695770346e-12</v>
      </c>
      <c r="BW16" s="580">
        <f ca="1">SUM(BV$3,-LN(1-BW$3)/BQ16)</f>
        <v>0.00162728102077123</v>
      </c>
      <c r="BX16" s="580">
        <f>BX$3/24/3600</f>
        <v>1157407407407410</v>
      </c>
      <c r="BY16" s="582">
        <f ca="1" t="shared" si="33"/>
        <v>0.818774628603181</v>
      </c>
      <c r="BZ16" s="582">
        <f ca="1" t="shared" si="34"/>
        <v>4.44662391369372e-16</v>
      </c>
      <c r="CA16" s="582">
        <f t="shared" si="35"/>
        <v>0</v>
      </c>
      <c r="CB16" s="582">
        <f ca="1" t="shared" si="36"/>
        <v>160886.865598456</v>
      </c>
      <c r="CC16" s="582">
        <f ca="1" t="shared" si="37"/>
        <v>-2.85337633017769e-11</v>
      </c>
      <c r="CD16" s="582">
        <f ca="1" t="shared" si="38"/>
        <v>1.00000000311994</v>
      </c>
      <c r="CE16" s="580">
        <f ca="1" t="shared" si="39"/>
        <v>3.48522296477152e+17</v>
      </c>
      <c r="CF16" s="580">
        <f ca="1" t="shared" si="40"/>
        <v>1087370329.71552</v>
      </c>
      <c r="CG16" s="586">
        <f ca="1" t="shared" si="41"/>
        <v>1.52881093448279e-9</v>
      </c>
      <c r="CH16" s="594">
        <f ca="1" t="shared" si="42"/>
        <v>53594852262.2845</v>
      </c>
      <c r="CI16" s="580">
        <f ca="1" t="shared" si="43"/>
        <v>42309198156.077</v>
      </c>
      <c r="CJ16" s="580">
        <f ca="1" t="shared" si="44"/>
        <v>42210888999.5993</v>
      </c>
      <c r="CK16" s="595">
        <f ca="1" t="shared" si="45"/>
        <v>42210888999.5993</v>
      </c>
      <c r="CL16" s="596">
        <f>CL$3*3600</f>
        <v>57600</v>
      </c>
      <c r="CM16" s="580">
        <f ca="1" t="shared" ref="CM16:CP16" si="171">CE16</f>
        <v>3.48522296477152e+17</v>
      </c>
      <c r="CN16" s="580">
        <f ca="1" t="shared" si="171"/>
        <v>1087370329.71552</v>
      </c>
      <c r="CO16" s="581">
        <f ca="1" t="shared" si="171"/>
        <v>1.52881093448279e-9</v>
      </c>
      <c r="CP16" s="580">
        <f ca="1" t="shared" si="171"/>
        <v>53594852262.2845</v>
      </c>
      <c r="CQ16" s="580">
        <f ca="1">MAX(INDIRECT("'"&amp;$B$2&amp;"-事故进程'!AA"&amp;(ROW()+22)),INDIRECT("'"&amp;$B$2&amp;"-事故进程'!AB"&amp;(ROW()+22)))</f>
        <v>5.08106326920365e-11</v>
      </c>
      <c r="CR16" s="580">
        <f ca="1">SUM(CQ$3,-LN(1-CR$3)/CL16)</f>
        <v>6.95458811586267e-6</v>
      </c>
      <c r="CS16" s="580">
        <f>CS$3/24/3600</f>
        <v>1157407407407410</v>
      </c>
      <c r="CT16" s="582">
        <f ca="1" t="shared" si="47"/>
        <v>0.586728512825896</v>
      </c>
      <c r="CU16" s="582">
        <f ca="1" t="shared" si="48"/>
        <v>0.393067308092723</v>
      </c>
      <c r="CV16" s="582">
        <f t="shared" si="49"/>
        <v>0</v>
      </c>
      <c r="CW16" s="582">
        <f ca="1" t="shared" si="50"/>
        <v>17701076.233763</v>
      </c>
      <c r="CX16" s="582">
        <f ca="1" t="shared" si="51"/>
        <v>1.52227718264728e-9</v>
      </c>
      <c r="CY16" s="582">
        <f ca="1" t="shared" si="52"/>
        <v>1.00000730611261</v>
      </c>
      <c r="CZ16" s="580">
        <f ca="1" t="shared" si="53"/>
        <v>2.04487968698706e+17</v>
      </c>
      <c r="DA16" s="580">
        <f ca="1" t="shared" si="54"/>
        <v>493555290782.608</v>
      </c>
      <c r="DB16" s="586">
        <f ca="1" t="shared" si="55"/>
        <v>2.96565732846536e-9</v>
      </c>
      <c r="DC16" s="594">
        <f ca="1" t="shared" si="56"/>
        <v>137002690721.392</v>
      </c>
      <c r="DD16" s="580">
        <f ca="1" t="shared" si="57"/>
        <v>790603265232.496</v>
      </c>
      <c r="DE16" s="580">
        <f ca="1" t="shared" si="58"/>
        <v>127898483021.437</v>
      </c>
      <c r="DF16" s="595">
        <f ca="1" t="shared" si="59"/>
        <v>127898483021.437</v>
      </c>
      <c r="DG16" s="596">
        <f>DG$3*3600</f>
        <v>86400</v>
      </c>
      <c r="DH16" s="580">
        <f ca="1" t="shared" ref="DH16:DK16" si="172">CZ16</f>
        <v>2.04487968698706e+17</v>
      </c>
      <c r="DI16" s="580">
        <f ca="1" t="shared" si="172"/>
        <v>493555290782.608</v>
      </c>
      <c r="DJ16" s="581">
        <f ca="1" t="shared" si="172"/>
        <v>2.96565732846536e-9</v>
      </c>
      <c r="DK16" s="580">
        <f ca="1" t="shared" si="172"/>
        <v>137002690721.392</v>
      </c>
      <c r="DL16" s="580">
        <f ca="1">MAX(INDIRECT("'"&amp;$B$2&amp;"-事故进程'!AB"&amp;(ROW()+22)),INDIRECT("'"&amp;$B$2&amp;"-事故进程'!AC"&amp;(ROW()+22)))</f>
        <v>8.01172197621864e-11</v>
      </c>
      <c r="DM16" s="580">
        <f ca="1">SUM(DL$3,-LN(1-DM$3)/DG16)</f>
        <v>1.01371476497628e-6</v>
      </c>
      <c r="DN16" s="580">
        <f>DN$3/24/3600</f>
        <v>1157407407407410</v>
      </c>
      <c r="DO16" s="582">
        <f ca="1" t="shared" si="61"/>
        <v>0.449422375627889</v>
      </c>
      <c r="DP16" s="582">
        <f ca="1" t="shared" si="62"/>
        <v>0.411737131322148</v>
      </c>
      <c r="DQ16" s="582">
        <f t="shared" si="63"/>
        <v>0</v>
      </c>
      <c r="DR16" s="582">
        <f ca="1" t="shared" si="64"/>
        <v>15882722.7836365</v>
      </c>
      <c r="DS16" s="582">
        <f ca="1" t="shared" si="65"/>
        <v>2.53337714570827e-9</v>
      </c>
      <c r="DT16" s="582">
        <f ca="1" t="shared" si="66"/>
        <v>1.00007903954343</v>
      </c>
      <c r="DU16" s="580">
        <f ca="1" t="shared" si="67"/>
        <v>9.19014686798938e+16</v>
      </c>
      <c r="DV16" s="580">
        <f ca="1" t="shared" si="68"/>
        <v>812307913899.48</v>
      </c>
      <c r="DW16" s="586">
        <f ca="1" t="shared" si="69"/>
        <v>7.11459526487312e-10</v>
      </c>
      <c r="DX16" s="594">
        <f ca="1" t="shared" si="70"/>
        <v>107236825588.52</v>
      </c>
      <c r="DY16" s="580">
        <f ca="1" t="shared" si="71"/>
        <v>974425867153.785</v>
      </c>
      <c r="DZ16" s="580">
        <f ca="1" t="shared" si="72"/>
        <v>64716072678.9862</v>
      </c>
      <c r="EA16" s="595">
        <f ca="1" t="shared" si="73"/>
        <v>64716072678.9862</v>
      </c>
      <c r="EB16" s="596">
        <f>EB$3*3600</f>
        <v>172800</v>
      </c>
      <c r="EC16" s="580">
        <f ca="1" t="shared" ref="EC16:EF16" si="173">DU16</f>
        <v>9.19014686798938e+16</v>
      </c>
      <c r="ED16" s="580">
        <f ca="1" t="shared" si="173"/>
        <v>812307913899.48</v>
      </c>
      <c r="EE16" s="581">
        <f ca="1" t="shared" si="173"/>
        <v>7.11459526487312e-10</v>
      </c>
      <c r="EF16" s="580">
        <f ca="1" t="shared" si="173"/>
        <v>107236825588.52</v>
      </c>
      <c r="EG16" s="580">
        <f ca="1">MAX(INDIRECT("'"&amp;$B$2&amp;"-事故进程'!AC"&amp;(ROW()+22)),INDIRECT("'"&amp;$B$2&amp;"-事故进程'!AD"&amp;(ROW()+22)),INDIRECT("'"&amp;$B$2&amp;"-事故进程'!AE"&amp;(ROW()+22)))</f>
        <v>8.01172197621864e-11</v>
      </c>
      <c r="EH16" s="580">
        <f ca="1">SUM(EG$3,-LN(1-EH$3)/EB16)</f>
        <v>5.81616658188741e-8</v>
      </c>
      <c r="EI16" s="580">
        <f>EI$3/24/3600</f>
        <v>1157407407407410</v>
      </c>
      <c r="EJ16" s="582">
        <f ca="1" t="shared" si="75"/>
        <v>0.201980471715016</v>
      </c>
      <c r="EK16" s="582">
        <f ca="1" t="shared" si="76"/>
        <v>0.199963435323607</v>
      </c>
      <c r="EL16" s="582">
        <f t="shared" si="77"/>
        <v>0</v>
      </c>
      <c r="EM16" s="582">
        <f ca="1" t="shared" si="78"/>
        <v>7315710.06111615</v>
      </c>
      <c r="EN16" s="582">
        <f ca="1" t="shared" si="79"/>
        <v>6.70639689731577e-10</v>
      </c>
      <c r="EO16" s="582">
        <f ca="1" t="shared" si="80"/>
        <v>1.0013793919359</v>
      </c>
      <c r="EP16" s="580">
        <f ca="1" t="shared" si="81"/>
        <v>1.85623019952677e+16</v>
      </c>
      <c r="EQ16" s="580">
        <f ca="1" t="shared" si="82"/>
        <v>418127842325.547</v>
      </c>
      <c r="ER16" s="586">
        <f ca="1" t="shared" si="83"/>
        <v>2.10116262253583e-11</v>
      </c>
      <c r="ES16" s="594">
        <f ca="1" t="shared" si="84"/>
        <v>24587840978.4531</v>
      </c>
      <c r="ET16" s="580">
        <f ca="1" t="shared" si="85"/>
        <v>634743784388.555</v>
      </c>
      <c r="EU16" s="580">
        <f ca="1" t="shared" si="86"/>
        <v>6424513540.74994</v>
      </c>
      <c r="EV16" s="595">
        <f ca="1" t="shared" si="87"/>
        <v>6424513540.75</v>
      </c>
      <c r="EW16" s="596">
        <f>EW$3*3600</f>
        <v>2246400</v>
      </c>
      <c r="EX16" s="580">
        <f ca="1" t="shared" ref="EX16:FA16" si="174">EP16</f>
        <v>1.85623019952677e+16</v>
      </c>
      <c r="EY16" s="580">
        <f ca="1" t="shared" si="174"/>
        <v>418127842325.547</v>
      </c>
      <c r="EZ16" s="581">
        <f ca="1" t="shared" si="174"/>
        <v>2.10116262253583e-11</v>
      </c>
      <c r="FA16" s="580">
        <f ca="1" t="shared" si="174"/>
        <v>24587840978.4531</v>
      </c>
      <c r="FB16" s="580">
        <f ca="1">INDIRECT("'"&amp;$B$2&amp;"-事故进程'!AE"&amp;(ROW()+22))</f>
        <v>5.56498074649795e-11</v>
      </c>
      <c r="FC16" s="580">
        <f ca="1">SUM(FB$3,-LN(1-FC$3)/EW16)</f>
        <v>4.47397429375955e-9</v>
      </c>
      <c r="FD16" s="580">
        <f>FD$3/24/3600</f>
        <v>1157407407407410</v>
      </c>
      <c r="FE16" s="582">
        <f ca="1" t="shared" si="89"/>
        <v>9.31206155648615e-10</v>
      </c>
      <c r="FF16" s="582">
        <f ca="1" t="shared" si="90"/>
        <v>9.22009348869343e-10</v>
      </c>
      <c r="FG16" s="582">
        <f t="shared" si="91"/>
        <v>0</v>
      </c>
      <c r="FH16" s="582">
        <f ca="1" t="shared" si="92"/>
        <v>1031141.1076593</v>
      </c>
      <c r="FI16" s="582">
        <f ca="1" t="shared" si="93"/>
        <v>1.93953472849461e-11</v>
      </c>
      <c r="FJ16" s="582">
        <f ca="1" t="shared" si="94"/>
        <v>1.01259522872021</v>
      </c>
      <c r="FK16" s="580">
        <f ca="1" t="shared" si="95"/>
        <v>17285329.8810018</v>
      </c>
      <c r="FL16" s="580">
        <f ca="1" t="shared" si="96"/>
        <v>2535.69845668762</v>
      </c>
      <c r="FM16" s="586">
        <f ca="1" t="shared" si="97"/>
        <v>9.80177735112159e-21</v>
      </c>
      <c r="FN16" s="594">
        <f ca="1" t="shared" si="98"/>
        <v>37.616674589226</v>
      </c>
      <c r="FO16" s="580">
        <f ca="1" t="shared" si="99"/>
        <v>111592051982.208</v>
      </c>
      <c r="FP16" s="580">
        <f ca="1" t="shared" si="100"/>
        <v>255900001.657633</v>
      </c>
      <c r="FQ16" s="595">
        <f ca="1" t="shared" si="101"/>
        <v>255900001.657635</v>
      </c>
      <c r="FR16" s="608" t="str">
        <f t="shared" si="102"/>
        <v>I-133</v>
      </c>
      <c r="FS16" s="609">
        <v>6790000000</v>
      </c>
      <c r="FT16" s="610">
        <v>47700000000</v>
      </c>
      <c r="FU16" s="610">
        <v>98100000000</v>
      </c>
      <c r="FV16" s="610">
        <v>85000000000</v>
      </c>
      <c r="FW16" s="610">
        <v>238000000000</v>
      </c>
      <c r="FX16" s="614">
        <f ca="1" t="shared" si="103"/>
        <v>0</v>
      </c>
      <c r="FY16" s="614">
        <f ca="1" t="shared" si="104"/>
        <v>1.29697706849813</v>
      </c>
      <c r="FZ16" s="614">
        <f ca="1" t="shared" si="105"/>
        <v>1.30375619797591</v>
      </c>
      <c r="GA16" s="614">
        <f ca="1" t="shared" si="106"/>
        <v>0.836948073173367</v>
      </c>
      <c r="GB16" s="614">
        <f ca="1" t="shared" si="107"/>
        <v>1.09623897230477</v>
      </c>
      <c r="GC16" s="455">
        <f ca="1" t="shared" si="108"/>
        <v>1.09731418239576</v>
      </c>
      <c r="GE16" s="609">
        <v>495073067.87073</v>
      </c>
      <c r="GF16" s="610">
        <v>4405444796.11228</v>
      </c>
      <c r="GG16" s="610">
        <v>14977012891.4363</v>
      </c>
      <c r="GH16" s="610">
        <v>13784979385.1915</v>
      </c>
      <c r="GI16" s="610">
        <v>12132529645.6464</v>
      </c>
      <c r="GJ16" s="610">
        <v>2325933648.14244</v>
      </c>
      <c r="GK16" s="617">
        <v>48120973434.3997</v>
      </c>
      <c r="GL16" s="614">
        <f ca="1" t="shared" si="109"/>
        <v>0</v>
      </c>
      <c r="GM16" s="614">
        <f ca="1" t="shared" si="110"/>
        <v>14.0430328901083</v>
      </c>
      <c r="GN16" s="614">
        <f ca="1" t="shared" si="111"/>
        <v>8.53965232910816</v>
      </c>
      <c r="GO16" s="614">
        <f ca="1" t="shared" si="112"/>
        <v>2.74488517145262</v>
      </c>
      <c r="GP16" s="614">
        <f ca="1" t="shared" si="113"/>
        <v>0.110020336075367</v>
      </c>
      <c r="GQ16" s="614">
        <f ca="1" t="shared" si="114"/>
        <v>5.42717149656617</v>
      </c>
      <c r="GR16" s="451">
        <f t="shared" si="115"/>
        <v>9.25677324465738e-6</v>
      </c>
      <c r="GS16" s="390">
        <f t="shared" si="116"/>
        <v>74880.0000000001</v>
      </c>
    </row>
    <row r="17" spans="1:201">
      <c r="A17" s="425" t="s">
        <v>266</v>
      </c>
      <c r="B17" s="407" t="s">
        <v>267</v>
      </c>
      <c r="C17" s="422">
        <f>-LN(1-100%+1E-20)/8/3600</f>
        <v>0.00159901742569031</v>
      </c>
      <c r="D17" s="410" t="s">
        <v>268</v>
      </c>
      <c r="E17" s="409" t="s">
        <v>269</v>
      </c>
      <c r="G17" s="411" t="s">
        <v>58</v>
      </c>
      <c r="H17" s="412">
        <f ca="1" t="shared" si="1"/>
        <v>0</v>
      </c>
      <c r="I17" s="412">
        <f ca="1" t="shared" si="2"/>
        <v>37863472368.4485</v>
      </c>
      <c r="J17" s="412">
        <f ca="1" t="shared" si="3"/>
        <v>11049878947.7384</v>
      </c>
      <c r="K17" s="412">
        <f ca="1" t="shared" si="4"/>
        <v>31040363.295621</v>
      </c>
      <c r="L17" s="412">
        <f ca="1" t="shared" si="5"/>
        <v>172.748359892646</v>
      </c>
      <c r="M17" s="412">
        <f ca="1" t="shared" si="6"/>
        <v>1.06942379612803e-24</v>
      </c>
      <c r="N17" s="412">
        <f ca="1" t="shared" si="7"/>
        <v>48944391852.2308</v>
      </c>
      <c r="O17" s="450">
        <f ca="1" t="shared" si="8"/>
        <v>0</v>
      </c>
      <c r="P17" s="451"/>
      <c r="Q17" s="477" t="str">
        <f t="shared" si="0"/>
        <v>I-134</v>
      </c>
      <c r="R17" s="412">
        <f ca="1" t="shared" si="9"/>
        <v>0</v>
      </c>
      <c r="S17" s="412">
        <f ca="1">I17*(1-过滤效率!$B14)</f>
        <v>1893173618.42243</v>
      </c>
      <c r="T17" s="412">
        <f ca="1">J17*(1-过滤效率!$B14)</f>
        <v>552493947.38692</v>
      </c>
      <c r="U17" s="412">
        <f ca="1">K17*(1-过滤效率!$B14)</f>
        <v>1552018.16478105</v>
      </c>
      <c r="V17" s="412">
        <f ca="1">L17*(1-过滤效率!$B14)</f>
        <v>8.63741799463229</v>
      </c>
      <c r="W17" s="412">
        <f ca="1">M17*(1-过滤效率!$B14)</f>
        <v>5.34711898064014e-26</v>
      </c>
      <c r="X17" s="412">
        <f ca="1" t="shared" si="10"/>
        <v>2447219592.61154</v>
      </c>
      <c r="Y17" s="493"/>
      <c r="Z17" s="494">
        <f>VLOOKUP(G17,衰变常数!$A$1:$H$3800,7,FALSE)</f>
        <v>0.000220046723987284</v>
      </c>
      <c r="AA17" s="495">
        <f>正常源项!C14</f>
        <v>5.26e+17</v>
      </c>
      <c r="AB17" s="496">
        <f>正常源项!F14</f>
        <v>0</v>
      </c>
      <c r="AC17" s="496">
        <f>正常源项!I14</f>
        <v>653000000</v>
      </c>
      <c r="AD17" s="497"/>
      <c r="AE17" s="496">
        <f>正常源项!O14</f>
        <v>66500000000</v>
      </c>
      <c r="AF17" s="498">
        <f t="shared" si="157"/>
        <v>2814430000</v>
      </c>
      <c r="AG17" s="519">
        <f t="shared" si="158"/>
        <v>1330000000</v>
      </c>
      <c r="AH17" s="523">
        <v>1</v>
      </c>
      <c r="AI17" s="519">
        <f t="shared" si="159"/>
        <v>0</v>
      </c>
      <c r="AJ17" s="521"/>
      <c r="AK17" s="521"/>
      <c r="AL17" s="519">
        <f t="shared" si="11"/>
        <v>76953800</v>
      </c>
      <c r="AM17" s="520">
        <f t="shared" si="12"/>
        <v>2209200000000</v>
      </c>
      <c r="AN17" s="519">
        <f ca="1">MAX(INDIRECT("'"&amp;$B$2&amp;"-事故进程'!Y"&amp;(ROW()+22)),INDIRECT("'"&amp;$B$2&amp;"-事故进程'!Z"&amp;(ROW()+22)),INDIRECT("'"&amp;$B$2&amp;"-事故进程'!AA"&amp;(ROW()+22)))</f>
        <v>2.29415169808668e-11</v>
      </c>
      <c r="AO17" s="519">
        <f ca="1" t="shared" si="13"/>
        <v>0</v>
      </c>
      <c r="AP17" s="560">
        <f t="shared" si="14"/>
        <v>5.26e+17</v>
      </c>
      <c r="AQ17" s="561">
        <f ca="1">(AC17*$C$5+AD17*$C$8+AF17+AG17+AI17+(AL17+AM17)*$C$10)*EXP(-Z17*$C$12*3600)+AO17*$C$11</f>
        <v>4797430000</v>
      </c>
      <c r="AR17" s="562">
        <f ca="1">AQ17*(1-AR$3)</f>
        <v>4797430000</v>
      </c>
      <c r="AS17" s="563">
        <f ca="1" t="shared" si="15"/>
        <v>0</v>
      </c>
      <c r="AT17" s="562">
        <f ca="1">AS17*(1-AT$3)</f>
        <v>0</v>
      </c>
      <c r="AU17" s="564">
        <f ca="1" t="shared" si="16"/>
        <v>0</v>
      </c>
      <c r="AV17" s="565">
        <f>AV$3*3600</f>
        <v>7200</v>
      </c>
      <c r="AW17" s="580">
        <f>AP17*EXP(-Z17*AW$3*3600)</f>
        <v>5.26e+17</v>
      </c>
      <c r="AX17" s="580">
        <f ca="1" t="shared" si="17"/>
        <v>4797430000</v>
      </c>
      <c r="AY17" s="581">
        <f ca="1" t="shared" si="18"/>
        <v>0</v>
      </c>
      <c r="AZ17" s="580">
        <v>0</v>
      </c>
      <c r="BA17" s="580">
        <f ca="1">MAX(INDIRECT("'"&amp;$B$2&amp;"-事故进程'!Y"&amp;(ROW()+22)),INDIRECT("'"&amp;$B$2&amp;"-事故进程'!Z"&amp;(ROW()+22)))</f>
        <v>2.08821275271886e-11</v>
      </c>
      <c r="BB17" s="580">
        <f ca="1">SUM(BA$3,-LN(1-BB$3)/AV17)</f>
        <v>0.00160041330566996</v>
      </c>
      <c r="BC17" s="580">
        <f>BC$3/24/3600</f>
        <v>1157407407407410</v>
      </c>
      <c r="BD17" s="582">
        <f ca="1" t="shared" si="19"/>
        <v>0.205083808167287</v>
      </c>
      <c r="BE17" s="582">
        <f ca="1" t="shared" si="20"/>
        <v>2.03033000611891e-6</v>
      </c>
      <c r="BF17" s="582">
        <f t="shared" si="21"/>
        <v>0</v>
      </c>
      <c r="BG17" s="582">
        <f ca="1" t="shared" si="22"/>
        <v>3306128.37446152</v>
      </c>
      <c r="BH17" s="582">
        <f ca="1" t="shared" si="23"/>
        <v>-6.63368037553749e-9</v>
      </c>
      <c r="BI17" s="582">
        <f ca="1" t="shared" si="24"/>
        <v>1.00000001304796</v>
      </c>
      <c r="BJ17" s="580">
        <f ca="1" t="shared" si="25"/>
        <v>1.07874083095993e+17</v>
      </c>
      <c r="BK17" s="580">
        <f ca="1" t="shared" si="26"/>
        <v>1407532459.87711</v>
      </c>
      <c r="BL17" s="586">
        <f ca="1" t="shared" si="27"/>
        <v>1.94627549688454e-9</v>
      </c>
      <c r="BM17" s="594">
        <f ca="1" t="shared" si="28"/>
        <v>15795354708.1229</v>
      </c>
      <c r="BN17" s="580">
        <f ca="1" t="shared" si="29"/>
        <v>39679563196.4192</v>
      </c>
      <c r="BO17" s="580">
        <f ca="1" t="shared" si="30"/>
        <v>37863472368.4485</v>
      </c>
      <c r="BP17" s="595">
        <f ca="1" t="shared" si="31"/>
        <v>37863472368.4485</v>
      </c>
      <c r="BQ17" s="596">
        <f>BQ$3*3600</f>
        <v>21600</v>
      </c>
      <c r="BR17" s="580">
        <f ca="1" t="shared" ref="BR17:BU17" si="175">BJ17</f>
        <v>1.07874083095993e+17</v>
      </c>
      <c r="BS17" s="580">
        <f ca="1" t="shared" si="175"/>
        <v>1407532459.87711</v>
      </c>
      <c r="BT17" s="581">
        <f ca="1" t="shared" si="175"/>
        <v>1.94627549688454e-9</v>
      </c>
      <c r="BU17" s="580">
        <f ca="1" t="shared" si="175"/>
        <v>15795354708.1229</v>
      </c>
      <c r="BV17" s="580">
        <f ca="1">MAX(INDIRECT("'"&amp;$B$2&amp;"-事故进程'!Z"&amp;(ROW()+22)),INDIRECT("'"&amp;$B$2&amp;"-事故进程'!AA"&amp;(ROW()+22)))</f>
        <v>2.29415169808668e-11</v>
      </c>
      <c r="BW17" s="580">
        <f ca="1">SUM(BV$3,-LN(1-BW$3)/BQ17)</f>
        <v>0.00162728102077123</v>
      </c>
      <c r="BX17" s="580">
        <f>BX$3/24/3600</f>
        <v>1157407407407410</v>
      </c>
      <c r="BY17" s="582">
        <f ca="1" t="shared" si="33"/>
        <v>0.0086256950512266</v>
      </c>
      <c r="BZ17" s="582">
        <f ca="1" t="shared" si="34"/>
        <v>4.68446814878643e-18</v>
      </c>
      <c r="CA17" s="582">
        <f t="shared" si="35"/>
        <v>0</v>
      </c>
      <c r="CB17" s="582">
        <f ca="1" t="shared" si="36"/>
        <v>184344.28335562</v>
      </c>
      <c r="CC17" s="582">
        <f ca="1" t="shared" si="37"/>
        <v>-3.26740444943902e-11</v>
      </c>
      <c r="CD17" s="582">
        <f ca="1" t="shared" si="38"/>
        <v>1.00000001409807</v>
      </c>
      <c r="CE17" s="580">
        <f ca="1" t="shared" si="39"/>
        <v>930488944716712</v>
      </c>
      <c r="CF17" s="580">
        <f ca="1" t="shared" si="40"/>
        <v>13118095.7401932</v>
      </c>
      <c r="CG17" s="586">
        <f ca="1" t="shared" si="41"/>
        <v>1.84436595878483e-11</v>
      </c>
      <c r="CH17" s="594">
        <f ca="1" t="shared" si="42"/>
        <v>596360434.384807</v>
      </c>
      <c r="CI17" s="580">
        <f ca="1" t="shared" si="43"/>
        <v>11149668492.9874</v>
      </c>
      <c r="CJ17" s="580">
        <f ca="1" t="shared" si="44"/>
        <v>11049878947.7384</v>
      </c>
      <c r="CK17" s="595">
        <f ca="1" t="shared" si="45"/>
        <v>11049878947.7384</v>
      </c>
      <c r="CL17" s="596">
        <f>CL$3*3600</f>
        <v>57600</v>
      </c>
      <c r="CM17" s="580">
        <f ca="1" t="shared" ref="CM17:CP17" si="176">CE17</f>
        <v>930488944716712</v>
      </c>
      <c r="CN17" s="580">
        <f ca="1" t="shared" si="176"/>
        <v>13118095.7401932</v>
      </c>
      <c r="CO17" s="581">
        <f ca="1" t="shared" si="176"/>
        <v>1.84436595878483e-11</v>
      </c>
      <c r="CP17" s="580">
        <f ca="1" t="shared" si="176"/>
        <v>596360434.384807</v>
      </c>
      <c r="CQ17" s="580">
        <f ca="1">MAX(INDIRECT("'"&amp;$B$2&amp;"-事故进程'!AA"&amp;(ROW()+22)),INDIRECT("'"&amp;$B$2&amp;"-事故进程'!AB"&amp;(ROW()+22)))</f>
        <v>2.36506841429345e-10</v>
      </c>
      <c r="CR17" s="580">
        <f ca="1">SUM(CQ$3,-LN(1-CR$3)/CL17)</f>
        <v>6.95458811586267e-6</v>
      </c>
      <c r="CS17" s="580">
        <f>CS$3/24/3600</f>
        <v>1157407407407410</v>
      </c>
      <c r="CT17" s="582">
        <f ca="1" t="shared" si="47"/>
        <v>3.12928840951594e-6</v>
      </c>
      <c r="CU17" s="582">
        <f ca="1" t="shared" si="48"/>
        <v>2.09642807701568e-6</v>
      </c>
      <c r="CV17" s="582">
        <f t="shared" si="49"/>
        <v>0</v>
      </c>
      <c r="CW17" s="582">
        <f ca="1" t="shared" si="50"/>
        <v>219975.773449656</v>
      </c>
      <c r="CX17" s="582">
        <f ca="1" t="shared" si="51"/>
        <v>1.83648360446831e-11</v>
      </c>
      <c r="CY17" s="582">
        <f ca="1" t="shared" si="52"/>
        <v>1.00003400846761</v>
      </c>
      <c r="CZ17" s="580">
        <f ca="1" t="shared" si="53"/>
        <v>2911768269.88473</v>
      </c>
      <c r="DA17" s="580">
        <f ca="1" t="shared" si="54"/>
        <v>32711.8531749855</v>
      </c>
      <c r="DB17" s="586">
        <f ca="1" t="shared" si="55"/>
        <v>1.9655781005255e-16</v>
      </c>
      <c r="DC17" s="594">
        <f ca="1" t="shared" si="56"/>
        <v>8862.09660118711</v>
      </c>
      <c r="DD17" s="580">
        <f ca="1" t="shared" si="57"/>
        <v>1000087945.55757</v>
      </c>
      <c r="DE17" s="580">
        <f ca="1" t="shared" si="58"/>
        <v>31040363.295621</v>
      </c>
      <c r="DF17" s="595">
        <f ca="1" t="shared" si="59"/>
        <v>31040363.295621</v>
      </c>
      <c r="DG17" s="596">
        <f>DG$3*3600</f>
        <v>86400</v>
      </c>
      <c r="DH17" s="580">
        <f ca="1" t="shared" ref="DH17:DK17" si="177">CZ17</f>
        <v>2911768269.88473</v>
      </c>
      <c r="DI17" s="580">
        <f ca="1" t="shared" si="177"/>
        <v>32711.8531749855</v>
      </c>
      <c r="DJ17" s="581">
        <f ca="1" t="shared" si="177"/>
        <v>1.9655781005255e-16</v>
      </c>
      <c r="DK17" s="580">
        <f ca="1" t="shared" si="177"/>
        <v>8862.09660118711</v>
      </c>
      <c r="DL17" s="580">
        <f ca="1">MAX(INDIRECT("'"&amp;$B$2&amp;"-事故进程'!AB"&amp;(ROW()+22)),INDIRECT("'"&amp;$B$2&amp;"-事故进程'!AC"&amp;(ROW()+22)))</f>
        <v>3.74784268128418e-10</v>
      </c>
      <c r="DM17" s="580">
        <f ca="1">SUM(DL$3,-LN(1-DM$3)/DG17)</f>
        <v>1.01371476497628e-6</v>
      </c>
      <c r="DN17" s="580">
        <f>DN$3/24/3600</f>
        <v>1157407407407410</v>
      </c>
      <c r="DO17" s="582">
        <f ca="1" t="shared" si="61"/>
        <v>5.53558085634882e-9</v>
      </c>
      <c r="DP17" s="582">
        <f ca="1" t="shared" si="62"/>
        <v>5.07153700645064e-9</v>
      </c>
      <c r="DQ17" s="582">
        <f t="shared" si="63"/>
        <v>0</v>
      </c>
      <c r="DR17" s="582">
        <f ca="1" t="shared" si="64"/>
        <v>1.05813671132303</v>
      </c>
      <c r="DS17" s="582">
        <f ca="1" t="shared" si="65"/>
        <v>1.67907147942568e-16</v>
      </c>
      <c r="DT17" s="582">
        <f ca="1" t="shared" si="66"/>
        <v>1.00036985046999</v>
      </c>
      <c r="DU17" s="580">
        <f ca="1" t="shared" si="67"/>
        <v>16.1183286928978</v>
      </c>
      <c r="DV17" s="580">
        <f ca="1" t="shared" si="68"/>
        <v>0.000665636949201291</v>
      </c>
      <c r="DW17" s="586">
        <f ca="1" t="shared" si="69"/>
        <v>5.82997827040513e-25</v>
      </c>
      <c r="DX17" s="594">
        <f ca="1" t="shared" si="70"/>
        <v>8.64483304667887e-5</v>
      </c>
      <c r="DY17" s="580">
        <f ca="1" t="shared" si="71"/>
        <v>4959.32434483197</v>
      </c>
      <c r="DZ17" s="580">
        <f ca="1" t="shared" si="72"/>
        <v>172.7483597095</v>
      </c>
      <c r="EA17" s="595">
        <f ca="1" t="shared" si="73"/>
        <v>172.7483597095</v>
      </c>
      <c r="EB17" s="596">
        <f>EB$3*3600</f>
        <v>172800</v>
      </c>
      <c r="EC17" s="580">
        <f ca="1" t="shared" ref="EC17:EF17" si="178">DU17</f>
        <v>16.1183286928978</v>
      </c>
      <c r="ED17" s="580">
        <f ca="1" t="shared" si="178"/>
        <v>0.000665636949201291</v>
      </c>
      <c r="EE17" s="581">
        <f ca="1" t="shared" si="178"/>
        <v>5.82997827040513e-25</v>
      </c>
      <c r="EF17" s="580">
        <f ca="1" t="shared" si="178"/>
        <v>8.64483304667887e-5</v>
      </c>
      <c r="EG17" s="580">
        <f ca="1">MAX(INDIRECT("'"&amp;$B$2&amp;"-事故进程'!AC"&amp;(ROW()+22)),INDIRECT("'"&amp;$B$2&amp;"-事故进程'!AD"&amp;(ROW()+22)),INDIRECT("'"&amp;$B$2&amp;"-事故进程'!AE"&amp;(ROW()+22)))</f>
        <v>3.74784268128418e-10</v>
      </c>
      <c r="EH17" s="580">
        <f ca="1">SUM(EG$3,-LN(1-EH$3)/EB17)</f>
        <v>5.81616658188741e-8</v>
      </c>
      <c r="EI17" s="580">
        <f>EI$3/24/3600</f>
        <v>1157407407407410</v>
      </c>
      <c r="EJ17" s="582">
        <f ca="1" t="shared" si="75"/>
        <v>3.06426554171755e-17</v>
      </c>
      <c r="EK17" s="582">
        <f ca="1" t="shared" si="76"/>
        <v>3.03381935833656e-17</v>
      </c>
      <c r="EL17" s="582">
        <f t="shared" si="77"/>
        <v>0</v>
      </c>
      <c r="EM17" s="582">
        <f ca="1" t="shared" si="78"/>
        <v>6.0024309390817e-9</v>
      </c>
      <c r="EN17" s="582">
        <f ca="1" t="shared" si="79"/>
        <v>5.49548452560647e-25</v>
      </c>
      <c r="EO17" s="582">
        <f ca="1" t="shared" si="80"/>
        <v>1.00648562888446</v>
      </c>
      <c r="EP17" s="580">
        <f ca="1" t="shared" si="81"/>
        <v>4.93908392037242e-16</v>
      </c>
      <c r="EQ17" s="580">
        <f ca="1" t="shared" si="82"/>
        <v>5.20219010066865e-20</v>
      </c>
      <c r="ER17" s="586">
        <f ca="1" t="shared" si="83"/>
        <v>2.61418788427405e-42</v>
      </c>
      <c r="ES17" s="594">
        <f ca="1" t="shared" si="84"/>
        <v>3.01336908326522e-21</v>
      </c>
      <c r="ET17" s="580">
        <f ca="1" t="shared" si="85"/>
        <v>2.74527410556434e-5</v>
      </c>
      <c r="EU17" s="580">
        <f ca="1" t="shared" si="86"/>
        <v>1.83145643621757e-7</v>
      </c>
      <c r="EV17" s="595">
        <f ca="1" t="shared" si="87"/>
        <v>1.8314564362176e-7</v>
      </c>
      <c r="EW17" s="596">
        <f>EW$3*3600</f>
        <v>2246400</v>
      </c>
      <c r="EX17" s="580">
        <f ca="1" t="shared" ref="EX17:FA17" si="179">EP17</f>
        <v>4.93908392037242e-16</v>
      </c>
      <c r="EY17" s="580">
        <f ca="1" t="shared" si="179"/>
        <v>5.20219010066865e-20</v>
      </c>
      <c r="EZ17" s="581">
        <f ca="1" t="shared" si="179"/>
        <v>2.61418788427405e-42</v>
      </c>
      <c r="FA17" s="580">
        <f ca="1" t="shared" si="179"/>
        <v>3.01336908326522e-21</v>
      </c>
      <c r="FB17" s="580">
        <f ca="1">INDIRECT("'"&amp;$B$2&amp;"-事故进程'!AE"&amp;(ROW()+22))</f>
        <v>2.5725097824566e-10</v>
      </c>
      <c r="FC17" s="580">
        <f ca="1">SUM(FB$3,-LN(1-FC$3)/EW17)</f>
        <v>4.47397429375955e-9</v>
      </c>
      <c r="FD17" s="580">
        <f>FD$3/24/3600</f>
        <v>1157407407407410</v>
      </c>
      <c r="FE17" s="582">
        <f ca="1" t="shared" si="89"/>
        <v>2.10066999710942e-215</v>
      </c>
      <c r="FF17" s="582">
        <f ca="1" t="shared" si="90"/>
        <v>2.08086545816856e-215</v>
      </c>
      <c r="FG17" s="582">
        <f t="shared" si="91"/>
        <v>0</v>
      </c>
      <c r="FH17" s="582">
        <f ca="1" t="shared" si="92"/>
        <v>1.26839055052429e-25</v>
      </c>
      <c r="FI17" s="582">
        <f ca="1" t="shared" si="93"/>
        <v>2.41309650856066e-42</v>
      </c>
      <c r="FJ17" s="582">
        <f ca="1" t="shared" si="94"/>
        <v>1.06100731752999</v>
      </c>
      <c r="FK17" s="580">
        <f ca="1" t="shared" si="95"/>
        <v>1.03753854047319e-230</v>
      </c>
      <c r="FL17" s="580">
        <f ca="1" t="shared" si="96"/>
        <v>7.05001461211654e-234</v>
      </c>
      <c r="FM17" s="586">
        <f ca="1" t="shared" si="97"/>
        <v>2.72519287014864e-257</v>
      </c>
      <c r="FN17" s="594">
        <f ca="1" t="shared" si="98"/>
        <v>1.04312801455771e-235</v>
      </c>
      <c r="FO17" s="580">
        <f ca="1" t="shared" si="99"/>
        <v>5.77414951572297e-22</v>
      </c>
      <c r="FP17" s="580">
        <f ca="1" t="shared" si="100"/>
        <v>1.06942379612803e-24</v>
      </c>
      <c r="FQ17" s="595">
        <f ca="1" t="shared" si="101"/>
        <v>1.06942379612803e-24</v>
      </c>
      <c r="FR17" s="608" t="str">
        <f t="shared" si="102"/>
        <v>I-134</v>
      </c>
      <c r="FS17" s="609">
        <v>9370000000</v>
      </c>
      <c r="FT17" s="610">
        <v>47600000000</v>
      </c>
      <c r="FU17" s="610">
        <v>129000000</v>
      </c>
      <c r="FV17" s="610">
        <v>309</v>
      </c>
      <c r="FW17" s="610">
        <v>57100000000</v>
      </c>
      <c r="FX17" s="614">
        <f ca="1" t="shared" si="103"/>
        <v>0</v>
      </c>
      <c r="FY17" s="614">
        <f ca="1" t="shared" si="104"/>
        <v>1.02759141420561</v>
      </c>
      <c r="FZ17" s="614">
        <f ca="1" t="shared" si="105"/>
        <v>0.240622971283884</v>
      </c>
      <c r="GA17" s="614">
        <f ca="1" t="shared" si="106"/>
        <v>0.559056180882348</v>
      </c>
      <c r="GB17" s="614">
        <f ca="1" t="shared" si="107"/>
        <v>0.857169734715076</v>
      </c>
      <c r="GC17" s="455">
        <f ca="1" t="shared" si="108"/>
        <v>0.857169734715076</v>
      </c>
      <c r="GE17" s="609">
        <v>2586954574.00042</v>
      </c>
      <c r="GF17" s="610">
        <v>810664046.168369</v>
      </c>
      <c r="GG17" s="610">
        <v>2865285.43060858</v>
      </c>
      <c r="GH17" s="610">
        <v>10.9903217585912</v>
      </c>
      <c r="GI17" s="610">
        <v>6.24642651102317e-5</v>
      </c>
      <c r="GJ17" s="610">
        <v>1.62824997597659e-24</v>
      </c>
      <c r="GK17" s="617">
        <v>3400483916.58978</v>
      </c>
      <c r="GL17" s="614">
        <f ca="1" t="shared" si="109"/>
        <v>0</v>
      </c>
      <c r="GM17" s="614">
        <f ca="1" t="shared" si="110"/>
        <v>60.3373882773974</v>
      </c>
      <c r="GN17" s="614">
        <f ca="1" t="shared" si="111"/>
        <v>10.8332534567169</v>
      </c>
      <c r="GO17" s="614">
        <f ca="1" t="shared" si="112"/>
        <v>15.7181365446157</v>
      </c>
      <c r="GP17" s="614">
        <f ca="1" t="shared" si="113"/>
        <v>0.656793374424347</v>
      </c>
      <c r="GQ17" s="614">
        <f ca="1" t="shared" si="114"/>
        <v>14.3933607841661</v>
      </c>
      <c r="GR17" s="451">
        <f t="shared" si="115"/>
        <v>0.000220046723987284</v>
      </c>
      <c r="GS17" s="390">
        <f t="shared" si="116"/>
        <v>3150</v>
      </c>
    </row>
    <row r="18" spans="1:201">
      <c r="A18" s="413"/>
      <c r="B18" s="407" t="s">
        <v>270</v>
      </c>
      <c r="C18" s="433">
        <f ca="1">IF(0&lt;$C$13-$C$12,MAX(1%,INDIRECT("'"&amp;$B$2&amp;"-事故进程'!$Z$23")*150%),0.000000000000001)</f>
        <v>0.01</v>
      </c>
      <c r="D18" s="410"/>
      <c r="E18" s="409" t="s">
        <v>271</v>
      </c>
      <c r="G18" s="411" t="s">
        <v>59</v>
      </c>
      <c r="H18" s="412">
        <f ca="1" t="shared" si="1"/>
        <v>0</v>
      </c>
      <c r="I18" s="412">
        <f ca="1" t="shared" si="2"/>
        <v>21627894936.4347</v>
      </c>
      <c r="J18" s="412">
        <f ca="1" t="shared" si="3"/>
        <v>43707116056.6585</v>
      </c>
      <c r="K18" s="412">
        <f ca="1" t="shared" si="4"/>
        <v>54177348318.3024</v>
      </c>
      <c r="L18" s="412">
        <f ca="1" t="shared" si="5"/>
        <v>7716080794.06658</v>
      </c>
      <c r="M18" s="412">
        <f ca="1" t="shared" si="6"/>
        <v>101035.620022519</v>
      </c>
      <c r="N18" s="412">
        <f ca="1" t="shared" si="7"/>
        <v>127228541141.082</v>
      </c>
      <c r="O18" s="450">
        <f ca="1" t="shared" si="8"/>
        <v>0</v>
      </c>
      <c r="P18" s="451"/>
      <c r="Q18" s="477" t="str">
        <f t="shared" si="0"/>
        <v>I-135</v>
      </c>
      <c r="R18" s="412">
        <f ca="1" t="shared" si="9"/>
        <v>0</v>
      </c>
      <c r="S18" s="412">
        <f ca="1">I18*(1-过滤效率!$B15)</f>
        <v>1081394746.82173</v>
      </c>
      <c r="T18" s="412">
        <f ca="1">J18*(1-过滤效率!$B15)</f>
        <v>2185355802.83293</v>
      </c>
      <c r="U18" s="412">
        <f ca="1">K18*(1-过滤效率!$B15)</f>
        <v>2708867415.91512</v>
      </c>
      <c r="V18" s="412">
        <f ca="1">L18*(1-过滤效率!$B15)</f>
        <v>385804039.70333</v>
      </c>
      <c r="W18" s="412">
        <f ca="1">M18*(1-过滤效率!$B15)</f>
        <v>5051.78100112598</v>
      </c>
      <c r="X18" s="412">
        <f ca="1" t="shared" si="10"/>
        <v>6361427057.05411</v>
      </c>
      <c r="Y18" s="493"/>
      <c r="Z18" s="494">
        <f>VLOOKUP(G18,衰变常数!$A$1:$H$3800,7,FALSE)</f>
        <v>2.93060705462517e-5</v>
      </c>
      <c r="AA18" s="495">
        <f>正常源项!C15</f>
        <v>3.77e+17</v>
      </c>
      <c r="AB18" s="496">
        <f>正常源项!F15</f>
        <v>0</v>
      </c>
      <c r="AC18" s="496">
        <f>正常源项!I15</f>
        <v>173000000</v>
      </c>
      <c r="AD18" s="497"/>
      <c r="AE18" s="496">
        <f>正常源项!O15</f>
        <v>134000000000</v>
      </c>
      <c r="AF18" s="498">
        <f t="shared" si="157"/>
        <v>745630000</v>
      </c>
      <c r="AG18" s="519">
        <f t="shared" si="158"/>
        <v>2680000000</v>
      </c>
      <c r="AH18" s="523">
        <v>1</v>
      </c>
      <c r="AI18" s="519">
        <f t="shared" si="159"/>
        <v>0</v>
      </c>
      <c r="AJ18" s="521"/>
      <c r="AK18" s="521"/>
      <c r="AL18" s="519">
        <f t="shared" si="11"/>
        <v>55155100</v>
      </c>
      <c r="AM18" s="520">
        <f t="shared" si="12"/>
        <v>1583400000000</v>
      </c>
      <c r="AN18" s="519">
        <f ca="1">MAX(INDIRECT("'"&amp;$B$2&amp;"-事故进程'!Y"&amp;(ROW()+22)),INDIRECT("'"&amp;$B$2&amp;"-事故进程'!Z"&amp;(ROW()+22)),INDIRECT("'"&amp;$B$2&amp;"-事故进程'!AA"&amp;(ROW()+22)))</f>
        <v>8.97111236854114e-12</v>
      </c>
      <c r="AO18" s="519">
        <f ca="1" t="shared" si="13"/>
        <v>0</v>
      </c>
      <c r="AP18" s="560">
        <f t="shared" si="14"/>
        <v>3.77e+17</v>
      </c>
      <c r="AQ18" s="561">
        <f ca="1">(AC18*$C$5+AD18*$C$8+AF18+AG18+AI18+(AL18+AM18)*$C$10)*EXP(-Z18*$C$12*3600)+AO18*$C$11</f>
        <v>3598630000</v>
      </c>
      <c r="AR18" s="562">
        <f ca="1">AQ18*(1-AR$3)</f>
        <v>3598630000</v>
      </c>
      <c r="AS18" s="563">
        <f ca="1" t="shared" si="15"/>
        <v>0</v>
      </c>
      <c r="AT18" s="562">
        <f ca="1">AS18*(1-AT$3)</f>
        <v>0</v>
      </c>
      <c r="AU18" s="564">
        <f ca="1" t="shared" si="16"/>
        <v>0</v>
      </c>
      <c r="AV18" s="565">
        <f>AV$3*3600</f>
        <v>7200</v>
      </c>
      <c r="AW18" s="580">
        <f>AP18*EXP(-Z18*AW$3*3600)</f>
        <v>3.77e+17</v>
      </c>
      <c r="AX18" s="580">
        <f ca="1" t="shared" si="17"/>
        <v>3598630000</v>
      </c>
      <c r="AY18" s="581">
        <f ca="1" t="shared" si="18"/>
        <v>0</v>
      </c>
      <c r="AZ18" s="580">
        <v>0</v>
      </c>
      <c r="BA18" s="580">
        <f ca="1">MAX(INDIRECT("'"&amp;$B$2&amp;"-事故进程'!Y"&amp;(ROW()+22)),INDIRECT("'"&amp;$B$2&amp;"-事故进程'!Z"&amp;(ROW()+22)))</f>
        <v>8.16581981569396e-12</v>
      </c>
      <c r="BB18" s="580">
        <f ca="1">SUM(BA$3,-LN(1-BB$3)/AV18)</f>
        <v>0.00160041330566996</v>
      </c>
      <c r="BC18" s="580">
        <f>BC$3/24/3600</f>
        <v>1157407407407410</v>
      </c>
      <c r="BD18" s="582">
        <f ca="1" t="shared" si="19"/>
        <v>0.809771016689248</v>
      </c>
      <c r="BE18" s="582">
        <f ca="1" t="shared" si="20"/>
        <v>8.0167335365586e-6</v>
      </c>
      <c r="BF18" s="582">
        <f t="shared" si="21"/>
        <v>0</v>
      </c>
      <c r="BG18" s="582">
        <f ca="1" t="shared" si="22"/>
        <v>-2680781.23428071</v>
      </c>
      <c r="BH18" s="582">
        <f ca="1" t="shared" si="23"/>
        <v>-4.9760311687342e-9</v>
      </c>
      <c r="BI18" s="582">
        <f ca="1" t="shared" si="24"/>
        <v>1.00000000510232</v>
      </c>
      <c r="BJ18" s="580">
        <f ca="1" t="shared" si="25"/>
        <v>3.05283673291847e+17</v>
      </c>
      <c r="BK18" s="580">
        <f ca="1" t="shared" si="26"/>
        <v>1557668237.18032</v>
      </c>
      <c r="BL18" s="586">
        <f ca="1" t="shared" si="27"/>
        <v>2.15387680832888e-9</v>
      </c>
      <c r="BM18" s="594">
        <f ca="1" t="shared" si="28"/>
        <v>19305217330.8197</v>
      </c>
      <c r="BN18" s="580">
        <f ca="1" t="shared" si="29"/>
        <v>19982973754.2129</v>
      </c>
      <c r="BO18" s="580">
        <f ca="1" t="shared" si="30"/>
        <v>21627894936.4347</v>
      </c>
      <c r="BP18" s="595">
        <f ca="1" t="shared" si="31"/>
        <v>21627894936.4347</v>
      </c>
      <c r="BQ18" s="596">
        <f>BQ$3*3600</f>
        <v>21600</v>
      </c>
      <c r="BR18" s="580">
        <f ca="1" t="shared" ref="BR18:BU18" si="180">BJ18</f>
        <v>3.05283673291847e+17</v>
      </c>
      <c r="BS18" s="580">
        <f ca="1" t="shared" si="180"/>
        <v>1557668237.18032</v>
      </c>
      <c r="BT18" s="581">
        <f ca="1" t="shared" si="180"/>
        <v>2.15387680832888e-9</v>
      </c>
      <c r="BU18" s="580">
        <f ca="1" t="shared" si="180"/>
        <v>19305217330.8197</v>
      </c>
      <c r="BV18" s="580">
        <f ca="1">MAX(INDIRECT("'"&amp;$B$2&amp;"-事故进程'!Z"&amp;(ROW()+22)),INDIRECT("'"&amp;$B$2&amp;"-事故进程'!AA"&amp;(ROW()+22)))</f>
        <v>8.97111236854114e-12</v>
      </c>
      <c r="BW18" s="580">
        <f ca="1">SUM(BV$3,-LN(1-BW$3)/BQ18)</f>
        <v>0.00162728102077123</v>
      </c>
      <c r="BX18" s="580">
        <f>BX$3/24/3600</f>
        <v>1157407407407410</v>
      </c>
      <c r="BY18" s="582">
        <f ca="1" t="shared" si="33"/>
        <v>0.530990410314281</v>
      </c>
      <c r="BZ18" s="582">
        <f ca="1" t="shared" si="34"/>
        <v>2.88371765875574e-16</v>
      </c>
      <c r="CA18" s="582">
        <f t="shared" si="35"/>
        <v>0</v>
      </c>
      <c r="CB18" s="582">
        <f ca="1" t="shared" si="36"/>
        <v>203970.192334453</v>
      </c>
      <c r="CC18" s="582">
        <f ca="1" t="shared" si="37"/>
        <v>-3.61592522658919e-11</v>
      </c>
      <c r="CD18" s="582">
        <f ca="1" t="shared" si="38"/>
        <v>1.00000000551295</v>
      </c>
      <c r="CE18" s="580">
        <f ca="1" t="shared" si="39"/>
        <v>1.62102702943488e+17</v>
      </c>
      <c r="CF18" s="580">
        <f ca="1" t="shared" si="40"/>
        <v>893663450.138571</v>
      </c>
      <c r="CG18" s="586">
        <f ca="1" t="shared" si="41"/>
        <v>1.25646471766146e-9</v>
      </c>
      <c r="CH18" s="594">
        <f ca="1" t="shared" si="42"/>
        <v>41595951685.8614</v>
      </c>
      <c r="CI18" s="580">
        <f ca="1" t="shared" si="43"/>
        <v>43830242570.3447</v>
      </c>
      <c r="CJ18" s="580">
        <f ca="1" t="shared" si="44"/>
        <v>43707116056.6585</v>
      </c>
      <c r="CK18" s="595">
        <f ca="1" t="shared" si="45"/>
        <v>43707116056.6585</v>
      </c>
      <c r="CL18" s="596">
        <f>CL$3*3600</f>
        <v>57600</v>
      </c>
      <c r="CM18" s="580">
        <f ca="1" t="shared" ref="CM18:CP18" si="181">CE18</f>
        <v>1.62102702943488e+17</v>
      </c>
      <c r="CN18" s="580">
        <f ca="1" t="shared" si="181"/>
        <v>893663450.138571</v>
      </c>
      <c r="CO18" s="581">
        <f ca="1" t="shared" si="181"/>
        <v>1.25646471766146e-9</v>
      </c>
      <c r="CP18" s="580">
        <f ca="1" t="shared" si="181"/>
        <v>41595951685.8614</v>
      </c>
      <c r="CQ18" s="580">
        <f ca="1">MAX(INDIRECT("'"&amp;$B$2&amp;"-事故进程'!AA"&amp;(ROW()+22)),INDIRECT("'"&amp;$B$2&amp;"-事故进程'!AB"&amp;(ROW()+22)))</f>
        <v>9.12723033599264e-11</v>
      </c>
      <c r="CR18" s="580">
        <f ca="1">SUM(CQ$3,-LN(1-CR$3)/CL18)</f>
        <v>6.95458811586267e-6</v>
      </c>
      <c r="CS18" s="580">
        <f>CS$3/24/3600</f>
        <v>1157407407407410</v>
      </c>
      <c r="CT18" s="582">
        <f ca="1" t="shared" si="47"/>
        <v>0.184882475978947</v>
      </c>
      <c r="CU18" s="582">
        <f ca="1" t="shared" si="48"/>
        <v>0.123858692606935</v>
      </c>
      <c r="CV18" s="582">
        <f t="shared" si="49"/>
        <v>0</v>
      </c>
      <c r="CW18" s="582">
        <f ca="1" t="shared" si="50"/>
        <v>14789272.0988789</v>
      </c>
      <c r="CX18" s="582">
        <f ca="1" t="shared" si="51"/>
        <v>1.2510949047761e-9</v>
      </c>
      <c r="CY18" s="582">
        <f ca="1" t="shared" si="52"/>
        <v>1.00001312421379</v>
      </c>
      <c r="CZ18" s="580">
        <f ca="1" t="shared" si="53"/>
        <v>2.99699490830719e+16</v>
      </c>
      <c r="DA18" s="580">
        <f ca="1" t="shared" si="54"/>
        <v>129936988677.074</v>
      </c>
      <c r="DB18" s="586">
        <f ca="1" t="shared" si="55"/>
        <v>7.80760716996584e-10</v>
      </c>
      <c r="DC18" s="594">
        <f ca="1" t="shared" si="56"/>
        <v>35479606022.9255</v>
      </c>
      <c r="DD18" s="580">
        <f ca="1" t="shared" si="57"/>
        <v>411519627469.424</v>
      </c>
      <c r="DE18" s="580">
        <f ca="1" t="shared" si="58"/>
        <v>54177348318.3024</v>
      </c>
      <c r="DF18" s="595">
        <f ca="1" t="shared" si="59"/>
        <v>54177348318.3024</v>
      </c>
      <c r="DG18" s="596">
        <f>DG$3*3600</f>
        <v>86400</v>
      </c>
      <c r="DH18" s="580">
        <f ca="1" t="shared" ref="DH18:DK18" si="182">CZ18</f>
        <v>2.99699490830719e+16</v>
      </c>
      <c r="DI18" s="580">
        <f ca="1" t="shared" si="182"/>
        <v>129936988677.074</v>
      </c>
      <c r="DJ18" s="581">
        <f ca="1" t="shared" si="182"/>
        <v>7.80760716996584e-10</v>
      </c>
      <c r="DK18" s="580">
        <f ca="1" t="shared" si="182"/>
        <v>35479606022.9255</v>
      </c>
      <c r="DL18" s="580">
        <f ca="1">MAX(INDIRECT("'"&amp;$B$2&amp;"-事故进程'!AB"&amp;(ROW()+22)),INDIRECT("'"&amp;$B$2&amp;"-事故进程'!AC"&amp;(ROW()+22)))</f>
        <v>1.44318521305243e-10</v>
      </c>
      <c r="DM18" s="580">
        <f ca="1">SUM(DL$3,-LN(1-DM$3)/DG18)</f>
        <v>1.01371476497628e-6</v>
      </c>
      <c r="DN18" s="580">
        <f>DN$3/24/3600</f>
        <v>1157407407407410</v>
      </c>
      <c r="DO18" s="582">
        <f ca="1" t="shared" si="61"/>
        <v>0.0794953329309305</v>
      </c>
      <c r="DP18" s="582">
        <f ca="1" t="shared" si="62"/>
        <v>0.0728298448622304</v>
      </c>
      <c r="DQ18" s="582">
        <f t="shared" si="63"/>
        <v>0</v>
      </c>
      <c r="DR18" s="582">
        <f ca="1" t="shared" si="64"/>
        <v>4193518.44363792</v>
      </c>
      <c r="DS18" s="582">
        <f ca="1" t="shared" si="65"/>
        <v>6.66955463033715e-10</v>
      </c>
      <c r="DT18" s="582">
        <f ca="1" t="shared" si="66"/>
        <v>1.00014238627597</v>
      </c>
      <c r="DU18" s="580">
        <f ca="1" t="shared" si="67"/>
        <v>2382471080281830</v>
      </c>
      <c r="DV18" s="580">
        <f ca="1" t="shared" si="68"/>
        <v>37906990891.5643</v>
      </c>
      <c r="DW18" s="586">
        <f ca="1" t="shared" si="69"/>
        <v>3.32008211772863e-11</v>
      </c>
      <c r="DX18" s="594">
        <f ca="1" t="shared" si="70"/>
        <v>4950523927.43567</v>
      </c>
      <c r="DY18" s="580">
        <f ca="1" t="shared" si="71"/>
        <v>135854597745.727</v>
      </c>
      <c r="DZ18" s="580">
        <f ca="1" t="shared" si="72"/>
        <v>7619116587.71258</v>
      </c>
      <c r="EA18" s="595">
        <f ca="1" t="shared" si="73"/>
        <v>7619116587.71258</v>
      </c>
      <c r="EB18" s="596">
        <f>EB$3*3600</f>
        <v>172800</v>
      </c>
      <c r="EC18" s="580">
        <f ca="1" t="shared" ref="EC18:EF18" si="183">DU18</f>
        <v>2382471080281830</v>
      </c>
      <c r="ED18" s="580">
        <f ca="1" t="shared" si="183"/>
        <v>37906990891.5643</v>
      </c>
      <c r="EE18" s="581">
        <f ca="1" t="shared" si="183"/>
        <v>3.32008211772863e-11</v>
      </c>
      <c r="EF18" s="580">
        <f ca="1" t="shared" si="183"/>
        <v>4950523927.43567</v>
      </c>
      <c r="EG18" s="580">
        <f ca="1">MAX(INDIRECT("'"&amp;$B$2&amp;"-事故进程'!AC"&amp;(ROW()+22)),INDIRECT("'"&amp;$B$2&amp;"-事故进程'!AD"&amp;(ROW()+22)),INDIRECT("'"&amp;$B$2&amp;"-事故进程'!AE"&amp;(ROW()+22)))</f>
        <v>1.44318521305243e-10</v>
      </c>
      <c r="EH18" s="580">
        <f ca="1">SUM(EG$3,-LN(1-EH$3)/EB18)</f>
        <v>5.81616658188741e-8</v>
      </c>
      <c r="EI18" s="580">
        <f>EI$3/24/3600</f>
        <v>1157407407407410</v>
      </c>
      <c r="EJ18" s="582">
        <f ca="1" t="shared" si="75"/>
        <v>0.00631950795779948</v>
      </c>
      <c r="EK18" s="582">
        <f ca="1" t="shared" si="76"/>
        <v>0.00625646890160204</v>
      </c>
      <c r="EL18" s="582">
        <f t="shared" si="77"/>
        <v>0</v>
      </c>
      <c r="EM18" s="582">
        <f ca="1" t="shared" si="78"/>
        <v>341635.440303217</v>
      </c>
      <c r="EN18" s="582">
        <f ca="1" t="shared" si="79"/>
        <v>3.12959312290071e-11</v>
      </c>
      <c r="EO18" s="582">
        <f ca="1" t="shared" si="80"/>
        <v>1.00248750637572</v>
      </c>
      <c r="EP18" s="580">
        <f ca="1" t="shared" si="81"/>
        <v>15056044951068.2</v>
      </c>
      <c r="EQ18" s="580">
        <f ca="1" t="shared" si="82"/>
        <v>610759328.920815</v>
      </c>
      <c r="ER18" s="586">
        <f ca="1" t="shared" si="83"/>
        <v>3.06916819065664e-14</v>
      </c>
      <c r="ES18" s="594">
        <f ca="1" t="shared" si="84"/>
        <v>35561782.8721542</v>
      </c>
      <c r="ET18" s="580">
        <f ca="1" t="shared" si="85"/>
        <v>11658340689.552</v>
      </c>
      <c r="EU18" s="580">
        <f ca="1" t="shared" si="86"/>
        <v>96964206.3540056</v>
      </c>
      <c r="EV18" s="595">
        <f ca="1" t="shared" si="87"/>
        <v>96964206.3540056</v>
      </c>
      <c r="EW18" s="596">
        <f>EW$3*3600</f>
        <v>2246400</v>
      </c>
      <c r="EX18" s="580">
        <f ca="1" t="shared" ref="EX18:FA18" si="184">EP18</f>
        <v>15056044951068.2</v>
      </c>
      <c r="EY18" s="580">
        <f ca="1" t="shared" si="184"/>
        <v>610759328.920815</v>
      </c>
      <c r="EZ18" s="581">
        <f ca="1" t="shared" si="184"/>
        <v>3.06916819065664e-14</v>
      </c>
      <c r="FA18" s="580">
        <f ca="1" t="shared" si="184"/>
        <v>35561782.8721542</v>
      </c>
      <c r="FB18" s="580">
        <f ca="1">INDIRECT("'"&amp;$B$2&amp;"-事故进程'!AE"&amp;(ROW()+22))</f>
        <v>9.95810629932858e-11</v>
      </c>
      <c r="FC18" s="580">
        <f ca="1">SUM(FB$3,-LN(1-FC$3)/EW18)</f>
        <v>4.47397429375955e-9</v>
      </c>
      <c r="FD18" s="580">
        <f>FD$3/24/3600</f>
        <v>1157407407407410</v>
      </c>
      <c r="FE18" s="582">
        <f ca="1" t="shared" si="89"/>
        <v>2.56404764922693e-29</v>
      </c>
      <c r="FF18" s="582">
        <f ca="1" t="shared" si="90"/>
        <v>2.53897507514393e-29</v>
      </c>
      <c r="FG18" s="582">
        <f t="shared" si="91"/>
        <v>0</v>
      </c>
      <c r="FH18" s="582">
        <f ca="1" t="shared" si="92"/>
        <v>1496.625259228</v>
      </c>
      <c r="FI18" s="582">
        <f ca="1" t="shared" si="93"/>
        <v>2.8330783298369e-14</v>
      </c>
      <c r="FJ18" s="582">
        <f ca="1" t="shared" si="94"/>
        <v>1.02276454304403</v>
      </c>
      <c r="FK18" s="580">
        <f ca="1" t="shared" si="95"/>
        <v>3.86044166634413e-16</v>
      </c>
      <c r="FL18" s="580">
        <f ca="1" t="shared" si="96"/>
        <v>1.01441766273731e-19</v>
      </c>
      <c r="FM18" s="586">
        <f ca="1" t="shared" si="97"/>
        <v>3.92124546393604e-43</v>
      </c>
      <c r="FN18" s="594">
        <f ca="1" t="shared" si="98"/>
        <v>1.50123771436897e-21</v>
      </c>
      <c r="FO18" s="580">
        <f ca="1" t="shared" si="99"/>
        <v>51159771.2764469</v>
      </c>
      <c r="FP18" s="580">
        <f ca="1" t="shared" si="100"/>
        <v>101035.620022521</v>
      </c>
      <c r="FQ18" s="595">
        <f ca="1" t="shared" si="101"/>
        <v>101035.620022519</v>
      </c>
      <c r="FR18" s="608" t="str">
        <f t="shared" si="102"/>
        <v>I-135</v>
      </c>
      <c r="FS18" s="609">
        <v>4810000000</v>
      </c>
      <c r="FT18" s="610">
        <v>54300000000</v>
      </c>
      <c r="FU18" s="610">
        <v>51900000000</v>
      </c>
      <c r="FV18" s="610">
        <v>9340000000</v>
      </c>
      <c r="FW18" s="610">
        <v>120000000000</v>
      </c>
      <c r="FX18" s="614">
        <f ca="1" t="shared" si="103"/>
        <v>0</v>
      </c>
      <c r="FY18" s="614">
        <f ca="1" t="shared" si="104"/>
        <v>1.20322303854684</v>
      </c>
      <c r="FZ18" s="614">
        <f ca="1" t="shared" si="105"/>
        <v>1.04387954370525</v>
      </c>
      <c r="GA18" s="614">
        <f ca="1" t="shared" si="106"/>
        <v>0.826132847330469</v>
      </c>
      <c r="GB18" s="614">
        <f ca="1" t="shared" si="107"/>
        <v>1.06023700087885</v>
      </c>
      <c r="GC18" s="455">
        <f ca="1" t="shared" si="108"/>
        <v>1.06023784284235</v>
      </c>
      <c r="GE18" s="609">
        <v>726033730.69528</v>
      </c>
      <c r="GF18" s="610">
        <v>3786646683.3777</v>
      </c>
      <c r="GG18" s="610">
        <v>5549819971.55389</v>
      </c>
      <c r="GH18" s="610">
        <v>1456467767.8455</v>
      </c>
      <c r="GI18" s="610">
        <v>242171333.196658</v>
      </c>
      <c r="GJ18" s="610">
        <v>891925.13624755</v>
      </c>
      <c r="GK18" s="617">
        <v>11762031411.8053</v>
      </c>
      <c r="GL18" s="614">
        <f ca="1" t="shared" si="109"/>
        <v>0</v>
      </c>
      <c r="GM18" s="614">
        <f ca="1" t="shared" si="110"/>
        <v>17.2540552251403</v>
      </c>
      <c r="GN18" s="614">
        <f ca="1" t="shared" si="111"/>
        <v>9.76200103714955</v>
      </c>
      <c r="GO18" s="614">
        <f ca="1" t="shared" si="112"/>
        <v>4.54250746337617</v>
      </c>
      <c r="GP18" s="614">
        <f ca="1" t="shared" si="113"/>
        <v>0.113278139516944</v>
      </c>
      <c r="GQ18" s="614">
        <f ca="1" t="shared" si="114"/>
        <v>10.8168849994216</v>
      </c>
      <c r="GR18" s="451">
        <f t="shared" si="115"/>
        <v>2.93060705462517e-5</v>
      </c>
      <c r="GS18" s="390">
        <f t="shared" si="116"/>
        <v>23652</v>
      </c>
    </row>
    <row r="19" s="389" customFormat="1" spans="1:201">
      <c r="A19" s="430"/>
      <c r="B19" s="407" t="s">
        <v>272</v>
      </c>
      <c r="C19" s="635">
        <v>1e+20</v>
      </c>
      <c r="D19" s="410" t="s">
        <v>273</v>
      </c>
      <c r="E19" s="409" t="s">
        <v>274</v>
      </c>
      <c r="G19" s="411" t="s">
        <v>60</v>
      </c>
      <c r="H19" s="412">
        <f ca="1" t="shared" si="1"/>
        <v>0</v>
      </c>
      <c r="I19" s="412">
        <f ca="1" t="shared" si="2"/>
        <v>12009438.6209051</v>
      </c>
      <c r="J19" s="412">
        <f ca="1" t="shared" si="3"/>
        <v>1021766.14600226</v>
      </c>
      <c r="K19" s="412">
        <f ca="1" t="shared" si="4"/>
        <v>544881220.389708</v>
      </c>
      <c r="L19" s="412">
        <f ca="1" t="shared" si="5"/>
        <v>497501064.493282</v>
      </c>
      <c r="M19" s="412">
        <f ca="1" t="shared" si="6"/>
        <v>172717147.740539</v>
      </c>
      <c r="N19" s="412">
        <f ca="1" t="shared" si="7"/>
        <v>1228130637.39044</v>
      </c>
      <c r="O19" s="450">
        <f ca="1" t="shared" si="8"/>
        <v>0</v>
      </c>
      <c r="P19" s="451"/>
      <c r="Q19" s="477" t="str">
        <f t="shared" si="0"/>
        <v>Sr-89</v>
      </c>
      <c r="R19" s="412">
        <f ca="1" t="shared" si="9"/>
        <v>0</v>
      </c>
      <c r="S19" s="412">
        <f ca="1">I19*(1-过滤效率!$B16)</f>
        <v>12009.4386209051</v>
      </c>
      <c r="T19" s="412">
        <f ca="1">J19*(1-过滤效率!$B16)</f>
        <v>1021.76614600226</v>
      </c>
      <c r="U19" s="412">
        <f ca="1">K19*(1-过滤效率!$B16)</f>
        <v>544881.220389708</v>
      </c>
      <c r="V19" s="412">
        <f ca="1">L19*(1-过滤效率!$B16)</f>
        <v>497501.064493283</v>
      </c>
      <c r="W19" s="412">
        <f ca="1">M19*(1-过滤效率!$B16)</f>
        <v>172717.147740539</v>
      </c>
      <c r="X19" s="412">
        <f ca="1" t="shared" si="10"/>
        <v>1228130.63739044</v>
      </c>
      <c r="Y19" s="493"/>
      <c r="Z19" s="494">
        <f>VLOOKUP(G19,衰变常数!$A$1:$H$3800,7,FALSE)</f>
        <v>1.58767797586313e-7</v>
      </c>
      <c r="AA19" s="495">
        <f>正常源项!C16</f>
        <v>2.39e+17</v>
      </c>
      <c r="AB19" s="496">
        <f>正常源项!F16</f>
        <v>0</v>
      </c>
      <c r="AC19" s="496">
        <f>正常源项!I16</f>
        <v>2860</v>
      </c>
      <c r="AD19" s="497"/>
      <c r="AE19" s="496">
        <f>正常源项!O16</f>
        <v>5990000000</v>
      </c>
      <c r="AF19" s="498">
        <f t="shared" si="157"/>
        <v>12326.6</v>
      </c>
      <c r="AG19" s="519">
        <f t="shared" ref="AG19:AG23" si="185">AE19*MIN(100%,$C$7/500)</f>
        <v>11980000</v>
      </c>
      <c r="AH19" s="523">
        <v>0.95</v>
      </c>
      <c r="AI19" s="519">
        <f t="shared" si="159"/>
        <v>0</v>
      </c>
      <c r="AJ19" s="521">
        <v>0.00041</v>
      </c>
      <c r="AK19" s="521">
        <v>2.47e-9</v>
      </c>
      <c r="AL19" s="524">
        <f t="shared" ref="AL19:AL21" si="186">AA19*(AJ19-AK19)*0.00000209</f>
        <v>204797866.2103</v>
      </c>
      <c r="AM19" s="520"/>
      <c r="AN19" s="519">
        <f ca="1">MAX(INDIRECT("'"&amp;$B$2&amp;"-事故进程'!Y"&amp;(ROW()+22)),INDIRECT("'"&amp;$B$2&amp;"-事故进程'!Z"&amp;(ROW()+22)),INDIRECT("'"&amp;$B$2&amp;"-事故进程'!AA"&amp;(ROW()+22)))</f>
        <v>2.039939e-16</v>
      </c>
      <c r="AO19" s="519">
        <f ca="1" t="shared" si="13"/>
        <v>0</v>
      </c>
      <c r="AP19" s="560">
        <f t="shared" si="14"/>
        <v>2.39e+17</v>
      </c>
      <c r="AQ19" s="561">
        <f ca="1">(AC19*$C$5+AD19*$C$8+AF19+AG19+AI19+(AL19+AM19)*$C$10)*EXP(-Z19*$C$12*3600)+AO19*$C$11</f>
        <v>11995186.6</v>
      </c>
      <c r="AR19" s="562">
        <f ca="1">AQ19*(1-AR$3)</f>
        <v>11995186.6</v>
      </c>
      <c r="AS19" s="563">
        <f ca="1" t="shared" si="15"/>
        <v>0</v>
      </c>
      <c r="AT19" s="562">
        <f ca="1">AS19*(1-AT$3)</f>
        <v>0</v>
      </c>
      <c r="AU19" s="564">
        <f ca="1" t="shared" si="16"/>
        <v>0</v>
      </c>
      <c r="AV19" s="565">
        <f>AV$3*3600</f>
        <v>7200</v>
      </c>
      <c r="AW19" s="580">
        <f>AP19*EXP(-Z19*AW$3*3600)</f>
        <v>2.39e+17</v>
      </c>
      <c r="AX19" s="580">
        <f ca="1" t="shared" si="17"/>
        <v>11995186.6</v>
      </c>
      <c r="AY19" s="581">
        <f ca="1" t="shared" si="18"/>
        <v>0</v>
      </c>
      <c r="AZ19" s="580">
        <v>0</v>
      </c>
      <c r="BA19" s="580">
        <f ca="1">MAX(INDIRECT("'"&amp;$B$2&amp;"-事故进程'!Y"&amp;(ROW()+22)),INDIRECT("'"&amp;$B$2&amp;"-事故进程'!Z"&amp;(ROW()+22)))</f>
        <v>9.908e-18</v>
      </c>
      <c r="BB19" s="580">
        <f ca="1">SUM(BA$3,-LN(1-BB$3)/AV19)</f>
        <v>0.00160041330566996</v>
      </c>
      <c r="BC19" s="580">
        <f>BC$3/24/3600</f>
        <v>1157407407407410</v>
      </c>
      <c r="BD19" s="582">
        <f ca="1" t="shared" si="19"/>
        <v>0.998857524979391</v>
      </c>
      <c r="BE19" s="582">
        <f ca="1" t="shared" si="20"/>
        <v>9.88868949729669e-6</v>
      </c>
      <c r="BF19" s="582">
        <f t="shared" si="21"/>
        <v>0</v>
      </c>
      <c r="BG19" s="582">
        <f ca="1" t="shared" si="22"/>
        <v>-19194.8882266339</v>
      </c>
      <c r="BH19" s="582">
        <f ca="1" t="shared" si="23"/>
        <v>-1.65864293901798e-11</v>
      </c>
      <c r="BI19" s="582">
        <f ca="1" t="shared" si="24"/>
        <v>1.00000000000001</v>
      </c>
      <c r="BJ19" s="580">
        <f ca="1" t="shared" si="25"/>
        <v>2.38726948470075e+17</v>
      </c>
      <c r="BK19" s="580">
        <f ca="1" t="shared" si="26"/>
        <v>1596.53689831102</v>
      </c>
      <c r="BL19" s="586">
        <f ca="1" t="shared" si="27"/>
        <v>2.20762272532321e-15</v>
      </c>
      <c r="BM19" s="594">
        <f ca="1" t="shared" si="28"/>
        <v>11996931.4631017</v>
      </c>
      <c r="BN19" s="580">
        <f ca="1" t="shared" si="29"/>
        <v>17039.9451240219</v>
      </c>
      <c r="BO19" s="580">
        <f ca="1" t="shared" si="30"/>
        <v>12009438.6209051</v>
      </c>
      <c r="BP19" s="595">
        <f ca="1" t="shared" si="31"/>
        <v>12009438.6209051</v>
      </c>
      <c r="BQ19" s="596">
        <f>BQ$3*3600</f>
        <v>21600</v>
      </c>
      <c r="BR19" s="580">
        <f ca="1" t="shared" ref="BR19:BU19" si="187">BJ19</f>
        <v>2.38726948470075e+17</v>
      </c>
      <c r="BS19" s="580">
        <f ca="1" t="shared" si="187"/>
        <v>1596.53689831102</v>
      </c>
      <c r="BT19" s="581">
        <f ca="1" t="shared" si="187"/>
        <v>2.20762272532321e-15</v>
      </c>
      <c r="BU19" s="580">
        <f ca="1" t="shared" si="187"/>
        <v>11996931.4631017</v>
      </c>
      <c r="BV19" s="580">
        <f ca="1">MAX(INDIRECT("'"&amp;$B$2&amp;"-事故进程'!Z"&amp;(ROW()+22)),INDIRECT("'"&amp;$B$2&amp;"-事故进程'!AA"&amp;(ROW()+22)))</f>
        <v>2.039939e-16</v>
      </c>
      <c r="BW19" s="580">
        <f ca="1">SUM(BV$3,-LN(1-BW$3)/BQ19)</f>
        <v>0.00162728102077123</v>
      </c>
      <c r="BX19" s="580">
        <f>BX$3/24/3600</f>
        <v>1157407407407410</v>
      </c>
      <c r="BY19" s="582">
        <f ca="1" t="shared" si="33"/>
        <v>0.9965764891903</v>
      </c>
      <c r="BZ19" s="582">
        <f ca="1" t="shared" si="34"/>
        <v>5.41223458557061e-16</v>
      </c>
      <c r="CA19" s="582">
        <f t="shared" si="35"/>
        <v>0</v>
      </c>
      <c r="CB19" s="582">
        <f ca="1" t="shared" si="36"/>
        <v>46.1008270599274</v>
      </c>
      <c r="CC19" s="582">
        <f ca="1" t="shared" si="37"/>
        <v>-3.70615379320662e-17</v>
      </c>
      <c r="CD19" s="582">
        <f ca="1" t="shared" si="38"/>
        <v>1.00000000000013</v>
      </c>
      <c r="CE19" s="580">
        <f ca="1" t="shared" si="39"/>
        <v>2.37909664181421e+17</v>
      </c>
      <c r="CF19" s="580">
        <f ca="1" t="shared" si="40"/>
        <v>29824.0559710228</v>
      </c>
      <c r="CG19" s="586">
        <f ca="1" t="shared" si="41"/>
        <v>4.19317518908716e-14</v>
      </c>
      <c r="CH19" s="594">
        <f ca="1" t="shared" si="42"/>
        <v>12975935.944029</v>
      </c>
      <c r="CI19" s="580">
        <f ca="1" t="shared" si="43"/>
        <v>1050093.35502316</v>
      </c>
      <c r="CJ19" s="580">
        <f ca="1" t="shared" si="44"/>
        <v>1021766.14600226</v>
      </c>
      <c r="CK19" s="595">
        <f ca="1" t="shared" si="45"/>
        <v>1021766.14600226</v>
      </c>
      <c r="CL19" s="596">
        <f>CL$3*3600</f>
        <v>57600</v>
      </c>
      <c r="CM19" s="580">
        <f ca="1" t="shared" ref="CM19:CP19" si="188">CE19</f>
        <v>2.37909664181421e+17</v>
      </c>
      <c r="CN19" s="580">
        <f ca="1" t="shared" si="188"/>
        <v>29824.0559710228</v>
      </c>
      <c r="CO19" s="581">
        <f ca="1" t="shared" si="188"/>
        <v>4.19317518908716e-14</v>
      </c>
      <c r="CP19" s="580">
        <f ca="1" t="shared" si="188"/>
        <v>12975935.944029</v>
      </c>
      <c r="CQ19" s="580">
        <f ca="1">MAX(INDIRECT("'"&amp;$B$2&amp;"-事故进程'!AA"&amp;(ROW()+22)),INDIRECT("'"&amp;$B$2&amp;"-事故进程'!AB"&amp;(ROW()+22)))</f>
        <v>2.272423325e-13</v>
      </c>
      <c r="CR19" s="580">
        <f ca="1">SUM(CQ$3,-LN(1-CR$3)/CL19)</f>
        <v>6.95458811586267e-6</v>
      </c>
      <c r="CS19" s="580">
        <f>CS$3/24/3600</f>
        <v>1157407407407410</v>
      </c>
      <c r="CT19" s="582">
        <f ca="1" t="shared" si="47"/>
        <v>0.990896650453662</v>
      </c>
      <c r="CU19" s="582">
        <f ca="1" t="shared" si="48"/>
        <v>0.663829924168839</v>
      </c>
      <c r="CV19" s="582">
        <f t="shared" si="49"/>
        <v>0</v>
      </c>
      <c r="CW19" s="582">
        <f ca="1" t="shared" si="50"/>
        <v>54062.9395988593</v>
      </c>
      <c r="CX19" s="582">
        <f ca="1" t="shared" si="51"/>
        <v>4.1752546173079e-14</v>
      </c>
      <c r="CY19" s="582">
        <f ca="1" t="shared" si="52"/>
        <v>1.00000003267517</v>
      </c>
      <c r="CZ19" s="580">
        <f ca="1" t="shared" si="53"/>
        <v>2.35743889347925e+17</v>
      </c>
      <c r="DA19" s="580">
        <f ca="1" t="shared" si="54"/>
        <v>2542550971.67188</v>
      </c>
      <c r="DB19" s="586">
        <f ca="1" t="shared" si="55"/>
        <v>1.52775890826316e-11</v>
      </c>
      <c r="DC19" s="594">
        <f ca="1" t="shared" si="56"/>
        <v>556025508.328119</v>
      </c>
      <c r="DD19" s="580">
        <f ca="1" t="shared" si="57"/>
        <v>3099841579.33865</v>
      </c>
      <c r="DE19" s="580">
        <f ca="1" t="shared" si="58"/>
        <v>544881220.389708</v>
      </c>
      <c r="DF19" s="595">
        <f ca="1" t="shared" si="59"/>
        <v>544881220.389708</v>
      </c>
      <c r="DG19" s="596">
        <f>DG$3*3600</f>
        <v>86400</v>
      </c>
      <c r="DH19" s="580">
        <f ca="1" t="shared" ref="DH19:DK19" si="189">CZ19</f>
        <v>2.35743889347925e+17</v>
      </c>
      <c r="DI19" s="580">
        <f ca="1" t="shared" si="189"/>
        <v>2542550971.67188</v>
      </c>
      <c r="DJ19" s="581">
        <f ca="1" t="shared" si="189"/>
        <v>1.52775890826316e-11</v>
      </c>
      <c r="DK19" s="580">
        <f ca="1" t="shared" si="189"/>
        <v>556025508.328119</v>
      </c>
      <c r="DL19" s="580">
        <f ca="1">MAX(INDIRECT("'"&amp;$B$2&amp;"-事故进程'!AB"&amp;(ROW()+22)),INDIRECT("'"&amp;$B$2&amp;"-事故进程'!AC"&amp;(ROW()+22)))</f>
        <v>2.272423325e-13</v>
      </c>
      <c r="DM19" s="580">
        <f ca="1">SUM(DL$3,-LN(1-DM$3)/DG19)</f>
        <v>1.01371476497628e-6</v>
      </c>
      <c r="DN19" s="580">
        <f>DN$3/24/3600</f>
        <v>1157407407407410</v>
      </c>
      <c r="DO19" s="582">
        <f ca="1" t="shared" si="61"/>
        <v>0.986376099607264</v>
      </c>
      <c r="DP19" s="582">
        <f ca="1" t="shared" si="62"/>
        <v>0.903659640456274</v>
      </c>
      <c r="DQ19" s="582">
        <f t="shared" si="63"/>
        <v>0</v>
      </c>
      <c r="DR19" s="582">
        <f ca="1" t="shared" si="64"/>
        <v>50993.570405131</v>
      </c>
      <c r="DS19" s="582">
        <f ca="1" t="shared" si="65"/>
        <v>1.30506969405967e-11</v>
      </c>
      <c r="DT19" s="582">
        <f ca="1" t="shared" si="66"/>
        <v>1.00000022416797</v>
      </c>
      <c r="DU19" s="580">
        <f ca="1" t="shared" si="67"/>
        <v>2.32532138081253e+17</v>
      </c>
      <c r="DV19" s="580">
        <f ca="1" t="shared" si="68"/>
        <v>6668853695.26763</v>
      </c>
      <c r="DW19" s="586">
        <f ca="1" t="shared" si="69"/>
        <v>5.84091255429452e-12</v>
      </c>
      <c r="DX19" s="594">
        <f ca="1" t="shared" si="70"/>
        <v>952983136.732368</v>
      </c>
      <c r="DY19" s="580">
        <f ca="1" t="shared" si="71"/>
        <v>4596932222.56909</v>
      </c>
      <c r="DZ19" s="580">
        <f ca="1" t="shared" si="72"/>
        <v>406900782.302419</v>
      </c>
      <c r="EA19" s="595">
        <f ca="1" t="shared" si="73"/>
        <v>406900782.302419</v>
      </c>
      <c r="EB19" s="596">
        <f>EB$3*3600</f>
        <v>172800</v>
      </c>
      <c r="EC19" s="580">
        <f ca="1" t="shared" ref="EC19:EF19" si="190">DU19</f>
        <v>2.32532138081253e+17</v>
      </c>
      <c r="ED19" s="580">
        <f ca="1" t="shared" si="190"/>
        <v>6668853695.26763</v>
      </c>
      <c r="EE19" s="581">
        <f ca="1" t="shared" si="190"/>
        <v>5.84091255429452e-12</v>
      </c>
      <c r="EF19" s="580">
        <f ca="1" t="shared" si="190"/>
        <v>952983136.732368</v>
      </c>
      <c r="EG19" s="580">
        <f ca="1">MAX(INDIRECT("'"&amp;$B$2&amp;"-事故进程'!AC"&amp;(ROW()+22)),INDIRECT("'"&amp;$B$2&amp;"-事故进程'!AD"&amp;(ROW()+22)),INDIRECT("'"&amp;$B$2&amp;"-事故进程'!AE"&amp;(ROW()+22)))</f>
        <v>1.2558905e-13</v>
      </c>
      <c r="EH19" s="580">
        <f ca="1">SUM(EG$3,-LN(1-EH$3)/EB19)</f>
        <v>5.81616658188741e-8</v>
      </c>
      <c r="EI19" s="580">
        <f>EI$3/24/3600</f>
        <v>1157407407407410</v>
      </c>
      <c r="EJ19" s="582">
        <f ca="1" t="shared" si="75"/>
        <v>0.97293782696676</v>
      </c>
      <c r="EK19" s="582">
        <f ca="1" t="shared" si="76"/>
        <v>0.963208469600438</v>
      </c>
      <c r="EL19" s="582">
        <f t="shared" si="77"/>
        <v>0</v>
      </c>
      <c r="EM19" s="582">
        <f ca="1" t="shared" si="78"/>
        <v>28815.6195136092</v>
      </c>
      <c r="EN19" s="582">
        <f ca="1" t="shared" si="79"/>
        <v>5.505791457318e-12</v>
      </c>
      <c r="EO19" s="582">
        <f ca="1" t="shared" si="80"/>
        <v>1.00000215931438</v>
      </c>
      <c r="EP19" s="580">
        <f ca="1" t="shared" si="81"/>
        <v>2.26239313124709e+17</v>
      </c>
      <c r="EQ19" s="580">
        <f ca="1" t="shared" si="82"/>
        <v>11308703880.4958</v>
      </c>
      <c r="ER19" s="586">
        <f ca="1" t="shared" si="83"/>
        <v>5.68281360333886e-13</v>
      </c>
      <c r="ES19" s="594">
        <f ca="1" t="shared" si="84"/>
        <v>1016667255.50421</v>
      </c>
      <c r="ET19" s="580">
        <f ca="1" t="shared" si="85"/>
        <v>4977768130.37818</v>
      </c>
      <c r="EU19" s="580">
        <f ca="1" t="shared" si="86"/>
        <v>90600282.1908636</v>
      </c>
      <c r="EV19" s="595">
        <f ca="1" t="shared" si="87"/>
        <v>90600282.1908636</v>
      </c>
      <c r="EW19" s="596">
        <f>EW$3*3600</f>
        <v>2246400</v>
      </c>
      <c r="EX19" s="580">
        <f ca="1" t="shared" ref="EX19:FA19" si="191">EP19</f>
        <v>2.26239313124709e+17</v>
      </c>
      <c r="EY19" s="580">
        <f ca="1" t="shared" si="191"/>
        <v>11308703880.4958</v>
      </c>
      <c r="EZ19" s="581">
        <f ca="1" t="shared" si="191"/>
        <v>5.68281360333886e-13</v>
      </c>
      <c r="FA19" s="580">
        <f ca="1" t="shared" si="191"/>
        <v>1016667255.50421</v>
      </c>
      <c r="FB19" s="580">
        <f ca="1">INDIRECT("'"&amp;$B$2&amp;"-事故进程'!AE"&amp;(ROW()+22))</f>
        <v>3.851261e-14</v>
      </c>
      <c r="FC19" s="580">
        <f ca="1">SUM(FB$3,-LN(1-FC$3)/EW19)</f>
        <v>4.47397429375955e-9</v>
      </c>
      <c r="FD19" s="580">
        <f>FD$3/24/3600</f>
        <v>1157407407407410</v>
      </c>
      <c r="FE19" s="582">
        <f ca="1" t="shared" si="89"/>
        <v>0.700013213972997</v>
      </c>
      <c r="FF19" s="582">
        <f ca="1" t="shared" si="90"/>
        <v>0.693013141789108</v>
      </c>
      <c r="FG19" s="582">
        <f t="shared" si="91"/>
        <v>0</v>
      </c>
      <c r="FH19" s="582">
        <f ca="1" t="shared" si="92"/>
        <v>8662.47201811041</v>
      </c>
      <c r="FI19" s="582">
        <f ca="1" t="shared" si="93"/>
        <v>5.24567409538971e-13</v>
      </c>
      <c r="FJ19" s="582">
        <f ca="1" t="shared" si="94"/>
        <v>1.00000860821699</v>
      </c>
      <c r="FK19" s="580">
        <f ca="1" t="shared" si="95"/>
        <v>1.58370508707471e+17</v>
      </c>
      <c r="FL19" s="580">
        <f ca="1" t="shared" si="96"/>
        <v>21469840677.2419</v>
      </c>
      <c r="FM19" s="586">
        <f ca="1" t="shared" si="97"/>
        <v>8.29919652028654e-14</v>
      </c>
      <c r="FN19" s="594">
        <f ca="1" t="shared" si="98"/>
        <v>859464698.758057</v>
      </c>
      <c r="FO19" s="580">
        <f ca="1" t="shared" si="99"/>
        <v>16463062418.126</v>
      </c>
      <c r="FP19" s="580">
        <f ca="1" t="shared" si="100"/>
        <v>172717147.740539</v>
      </c>
      <c r="FQ19" s="595">
        <f ca="1" t="shared" si="101"/>
        <v>172717147.740539</v>
      </c>
      <c r="FR19" s="608" t="str">
        <f t="shared" si="102"/>
        <v>Sr-89</v>
      </c>
      <c r="FS19" s="609">
        <v>42100000</v>
      </c>
      <c r="FT19" s="610">
        <v>13500000</v>
      </c>
      <c r="FU19" s="610">
        <v>52700000</v>
      </c>
      <c r="FV19" s="610">
        <v>187000000</v>
      </c>
      <c r="FW19" s="610">
        <v>296000000</v>
      </c>
      <c r="FX19" s="614">
        <f ca="1" t="shared" si="103"/>
        <v>0</v>
      </c>
      <c r="FY19" s="614">
        <f ca="1" t="shared" si="104"/>
        <v>0.965274427178324</v>
      </c>
      <c r="FZ19" s="614">
        <f ca="1" t="shared" si="105"/>
        <v>10.3393020946814</v>
      </c>
      <c r="GA19" s="614">
        <f ca="1" t="shared" si="106"/>
        <v>2.66043349996408</v>
      </c>
      <c r="GB19" s="614">
        <f ca="1" t="shared" si="107"/>
        <v>3.56558611368209</v>
      </c>
      <c r="GC19" s="455">
        <f ca="1" t="shared" si="108"/>
        <v>4.1490899911839</v>
      </c>
      <c r="GE19" s="609">
        <v>23804.6792898742</v>
      </c>
      <c r="GF19" s="610">
        <v>2700770.14423047</v>
      </c>
      <c r="GG19" s="610">
        <v>11085689.0457027</v>
      </c>
      <c r="GH19" s="610">
        <v>18773292.2186715</v>
      </c>
      <c r="GI19" s="610">
        <v>44774894.8661162</v>
      </c>
      <c r="GJ19" s="610">
        <v>261481194.733534</v>
      </c>
      <c r="GK19" s="617">
        <v>338839645.687544</v>
      </c>
      <c r="GL19" s="614">
        <f ca="1" t="shared" si="109"/>
        <v>0</v>
      </c>
      <c r="GM19" s="614">
        <f ca="1" t="shared" si="110"/>
        <v>4.82499586080857</v>
      </c>
      <c r="GN19" s="614">
        <f ca="1" t="shared" si="111"/>
        <v>49.1517683874533</v>
      </c>
      <c r="GO19" s="614">
        <f ca="1" t="shared" si="112"/>
        <v>7.82872159404804</v>
      </c>
      <c r="GP19" s="614">
        <f ca="1" t="shared" si="113"/>
        <v>0.660533725633877</v>
      </c>
      <c r="GQ19" s="614">
        <f ca="1" t="shared" si="114"/>
        <v>3.62451871562556</v>
      </c>
      <c r="GR19" s="451">
        <f t="shared" si="115"/>
        <v>1.58767797586313e-7</v>
      </c>
      <c r="GS19" s="390">
        <f t="shared" si="116"/>
        <v>4365792</v>
      </c>
    </row>
    <row r="20" s="389" customFormat="1" spans="1:201">
      <c r="A20" s="432" t="s">
        <v>275</v>
      </c>
      <c r="B20" s="407" t="s">
        <v>267</v>
      </c>
      <c r="C20" s="422">
        <f>-LN(1-100%+1E-20)/8/3600</f>
        <v>0.00159901742569031</v>
      </c>
      <c r="D20" s="410" t="s">
        <v>268</v>
      </c>
      <c r="E20" s="409" t="s">
        <v>269</v>
      </c>
      <c r="G20" s="411" t="s">
        <v>61</v>
      </c>
      <c r="H20" s="412">
        <f ca="1" t="shared" si="1"/>
        <v>0</v>
      </c>
      <c r="I20" s="412">
        <f ca="1" t="shared" si="2"/>
        <v>3580871.21735498</v>
      </c>
      <c r="J20" s="412">
        <f ca="1" t="shared" si="3"/>
        <v>46250.4888325128</v>
      </c>
      <c r="K20" s="412">
        <f ca="1" t="shared" si="4"/>
        <v>25768378.2324817</v>
      </c>
      <c r="L20" s="412">
        <f ca="1" t="shared" si="5"/>
        <v>23909861.1517569</v>
      </c>
      <c r="M20" s="412">
        <f ca="1" t="shared" si="6"/>
        <v>10760235.5844377</v>
      </c>
      <c r="N20" s="412">
        <f ca="1" t="shared" si="7"/>
        <v>64065596.6748638</v>
      </c>
      <c r="O20" s="450">
        <f ca="1" t="shared" si="8"/>
        <v>0</v>
      </c>
      <c r="P20" s="451"/>
      <c r="Q20" s="477" t="str">
        <f t="shared" si="0"/>
        <v>Sr-90</v>
      </c>
      <c r="R20" s="412">
        <f ca="1" t="shared" si="9"/>
        <v>0</v>
      </c>
      <c r="S20" s="412">
        <f ca="1">I20*(1-过滤效率!$B17)</f>
        <v>3580.87121735498</v>
      </c>
      <c r="T20" s="412">
        <f ca="1">J20*(1-过滤效率!$B17)</f>
        <v>46.2504888325128</v>
      </c>
      <c r="U20" s="412">
        <f ca="1">K20*(1-过滤效率!$B17)</f>
        <v>25768.3782324817</v>
      </c>
      <c r="V20" s="412">
        <f ca="1">L20*(1-过滤效率!$B17)</f>
        <v>23909.8611517569</v>
      </c>
      <c r="W20" s="412">
        <f ca="1">M20*(1-过滤效率!$B17)</f>
        <v>10760.2355844377</v>
      </c>
      <c r="X20" s="412">
        <f ca="1" t="shared" si="10"/>
        <v>64065.5966748639</v>
      </c>
      <c r="Y20" s="493"/>
      <c r="Z20" s="494">
        <f>VLOOKUP(G20,衰变常数!$A$1:$H$3800,7,FALSE)</f>
        <v>7.62921459615568e-10</v>
      </c>
      <c r="AA20" s="495">
        <f>正常源项!C17</f>
        <v>1.12e+16</v>
      </c>
      <c r="AB20" s="496">
        <f>正常源项!F17</f>
        <v>0</v>
      </c>
      <c r="AC20" s="496">
        <f>正常源项!I17</f>
        <v>39.4</v>
      </c>
      <c r="AD20" s="497"/>
      <c r="AE20" s="496">
        <f>正常源项!O17</f>
        <v>1790000000</v>
      </c>
      <c r="AF20" s="498">
        <f t="shared" si="157"/>
        <v>169.814</v>
      </c>
      <c r="AG20" s="519">
        <f t="shared" si="185"/>
        <v>3580000</v>
      </c>
      <c r="AH20" s="523">
        <v>0.95</v>
      </c>
      <c r="AI20" s="519">
        <f t="shared" si="159"/>
        <v>0</v>
      </c>
      <c r="AJ20" s="521">
        <v>0.00066</v>
      </c>
      <c r="AK20" s="521">
        <v>6.468e-8</v>
      </c>
      <c r="AL20" s="525">
        <f t="shared" si="186"/>
        <v>15447765.97056</v>
      </c>
      <c r="AM20" s="520"/>
      <c r="AN20" s="519">
        <f ca="1">MAX(INDIRECT("'"&amp;$B$2&amp;"-事故进程'!Y"&amp;(ROW()+22)),INDIRECT("'"&amp;$B$2&amp;"-事故进程'!Z"&amp;(ROW()+22)),INDIRECT("'"&amp;$B$2&amp;"-事故进程'!AA"&amp;(ROW()+22)))</f>
        <v>1.96348575e-16</v>
      </c>
      <c r="AO20" s="519">
        <f ca="1" t="shared" si="13"/>
        <v>0</v>
      </c>
      <c r="AP20" s="560">
        <f t="shared" si="14"/>
        <v>1.12e+16</v>
      </c>
      <c r="AQ20" s="561">
        <f ca="1">(AC20*$C$5+AD20*$C$8+AF20+AG20+AI20+(AL20+AM20)*$C$10)*EXP(-Z20*$C$12*3600)+AO20*$C$11</f>
        <v>3580209.214</v>
      </c>
      <c r="AR20" s="562">
        <f ca="1">AQ20*(1-AR$3)</f>
        <v>3580209.214</v>
      </c>
      <c r="AS20" s="563">
        <f ca="1" t="shared" si="15"/>
        <v>0</v>
      </c>
      <c r="AT20" s="562">
        <f ca="1">AS20*(1-AT$3)</f>
        <v>0</v>
      </c>
      <c r="AU20" s="564">
        <f ca="1" t="shared" si="16"/>
        <v>0</v>
      </c>
      <c r="AV20" s="565">
        <f>AV$3*3600</f>
        <v>7200</v>
      </c>
      <c r="AW20" s="580">
        <f>AP20*EXP(-Z20*AW$3*3600)</f>
        <v>1.12e+16</v>
      </c>
      <c r="AX20" s="580">
        <f ca="1" t="shared" si="17"/>
        <v>3580209.214</v>
      </c>
      <c r="AY20" s="581">
        <f ca="1" t="shared" si="18"/>
        <v>0</v>
      </c>
      <c r="AZ20" s="580">
        <v>0</v>
      </c>
      <c r="BA20" s="580">
        <f ca="1">MAX(INDIRECT("'"&amp;$B$2&amp;"-事故进程'!Y"&amp;(ROW()+22)),INDIRECT("'"&amp;$B$2&amp;"-事故进程'!Z"&amp;(ROW()+22)))</f>
        <v>9.494e-18</v>
      </c>
      <c r="BB20" s="580">
        <f ca="1">SUM(BA$3,-LN(1-BB$3)/AV20)</f>
        <v>0.00160041330566996</v>
      </c>
      <c r="BC20" s="580">
        <f>BC$3/24/3600</f>
        <v>1157407407407410</v>
      </c>
      <c r="BD20" s="582">
        <f ca="1" t="shared" si="19"/>
        <v>0.999994506980509</v>
      </c>
      <c r="BE20" s="582">
        <f ca="1" t="shared" si="20"/>
        <v>9.89994561910774e-6</v>
      </c>
      <c r="BF20" s="582">
        <f t="shared" si="21"/>
        <v>0</v>
      </c>
      <c r="BG20" s="582">
        <f ca="1" t="shared" si="22"/>
        <v>-5729.70813036776</v>
      </c>
      <c r="BH20" s="582">
        <f ca="1" t="shared" si="23"/>
        <v>-4.95055969617698e-12</v>
      </c>
      <c r="BI20" s="582">
        <f ca="1" t="shared" si="24"/>
        <v>1.00000000000001</v>
      </c>
      <c r="BJ20" s="580">
        <f ca="1" t="shared" si="25"/>
        <v>1.11999384781817e+16</v>
      </c>
      <c r="BK20" s="580">
        <f ca="1" t="shared" si="26"/>
        <v>101.883691067915</v>
      </c>
      <c r="BL20" s="586">
        <f ca="1" t="shared" si="27"/>
        <v>1.40880396800902e-16</v>
      </c>
      <c r="BM20" s="594">
        <f ca="1" t="shared" si="28"/>
        <v>3580854.11630893</v>
      </c>
      <c r="BN20" s="580">
        <f ca="1" t="shared" si="29"/>
        <v>765.594057284924</v>
      </c>
      <c r="BO20" s="580">
        <f ca="1" t="shared" si="30"/>
        <v>3580871.21735498</v>
      </c>
      <c r="BP20" s="595">
        <f ca="1" t="shared" si="31"/>
        <v>3580871.21735498</v>
      </c>
      <c r="BQ20" s="596">
        <f>BQ$3*3600</f>
        <v>21600</v>
      </c>
      <c r="BR20" s="580">
        <f ca="1" t="shared" ref="BR20:BU20" si="192">BJ20</f>
        <v>1.11999384781817e+16</v>
      </c>
      <c r="BS20" s="580">
        <f ca="1" t="shared" si="192"/>
        <v>101.883691067915</v>
      </c>
      <c r="BT20" s="581">
        <f ca="1" t="shared" si="192"/>
        <v>1.40880396800902e-16</v>
      </c>
      <c r="BU20" s="580">
        <f ca="1" t="shared" si="192"/>
        <v>3580854.11630893</v>
      </c>
      <c r="BV20" s="580">
        <f ca="1">MAX(INDIRECT("'"&amp;$B$2&amp;"-事故进程'!Z"&amp;(ROW()+22)),INDIRECT("'"&amp;$B$2&amp;"-事故进程'!AA"&amp;(ROW()+22)))</f>
        <v>1.96348575e-16</v>
      </c>
      <c r="BW20" s="580">
        <f ca="1">SUM(BV$3,-LN(1-BW$3)/BQ20)</f>
        <v>0.00162728102077123</v>
      </c>
      <c r="BX20" s="580">
        <f>BX$3/24/3600</f>
        <v>1157407407407410</v>
      </c>
      <c r="BY20" s="582">
        <f ca="1" t="shared" si="33"/>
        <v>0.999983521028011</v>
      </c>
      <c r="BZ20" s="582">
        <f ca="1" t="shared" si="34"/>
        <v>5.43073758633907e-16</v>
      </c>
      <c r="CA20" s="582">
        <f t="shared" si="35"/>
        <v>0</v>
      </c>
      <c r="CB20" s="582">
        <f ca="1" t="shared" si="36"/>
        <v>2.03329856347773</v>
      </c>
      <c r="CC20" s="582">
        <f ca="1" t="shared" si="37"/>
        <v>-2.36509803510777e-18</v>
      </c>
      <c r="CD20" s="582">
        <f ca="1" t="shared" si="38"/>
        <v>1.00000000000012</v>
      </c>
      <c r="CE20" s="580">
        <f ca="1" t="shared" si="39"/>
        <v>1.11997539147092e+16</v>
      </c>
      <c r="CF20" s="580">
        <f ca="1" t="shared" si="40"/>
        <v>1351.3681370547</v>
      </c>
      <c r="CG20" s="586">
        <f ca="1" t="shared" si="41"/>
        <v>1.89998414337954e-15</v>
      </c>
      <c r="CH20" s="594">
        <f ca="1" t="shared" si="42"/>
        <v>3627046.63186295</v>
      </c>
      <c r="CI20" s="580">
        <f ca="1" t="shared" si="43"/>
        <v>47499.99496221</v>
      </c>
      <c r="CJ20" s="580">
        <f ca="1" t="shared" si="44"/>
        <v>46250.4888325128</v>
      </c>
      <c r="CK20" s="595">
        <f ca="1" t="shared" si="45"/>
        <v>46250.4888325128</v>
      </c>
      <c r="CL20" s="596">
        <f>CL$3*3600</f>
        <v>57600</v>
      </c>
      <c r="CM20" s="580">
        <f ca="1" t="shared" ref="CM20:CP20" si="193">CE20</f>
        <v>1.11997539147092e+16</v>
      </c>
      <c r="CN20" s="580">
        <f ca="1" t="shared" si="193"/>
        <v>1351.3681370547</v>
      </c>
      <c r="CO20" s="581">
        <f ca="1" t="shared" si="193"/>
        <v>1.89998414337954e-15</v>
      </c>
      <c r="CP20" s="580">
        <f ca="1" t="shared" si="193"/>
        <v>3627046.63186295</v>
      </c>
      <c r="CQ20" s="580">
        <f ca="1">MAX(INDIRECT("'"&amp;$B$2&amp;"-事故进程'!AA"&amp;(ROW()+22)),INDIRECT("'"&amp;$B$2&amp;"-事故进程'!AB"&amp;(ROW()+22)))</f>
        <v>2.26927515e-13</v>
      </c>
      <c r="CR20" s="580">
        <f ca="1">SUM(CQ$3,-LN(1-CR$3)/CL20)</f>
        <v>6.95458811586267e-6</v>
      </c>
      <c r="CS20" s="580">
        <f>CS$3/24/3600</f>
        <v>1157407407407410</v>
      </c>
      <c r="CT20" s="582">
        <f ca="1" t="shared" si="47"/>
        <v>0.999956043619011</v>
      </c>
      <c r="CU20" s="582">
        <f ca="1" t="shared" si="48"/>
        <v>0.669899069990635</v>
      </c>
      <c r="CV20" s="582">
        <f t="shared" si="49"/>
        <v>0</v>
      </c>
      <c r="CW20" s="582">
        <f ca="1" t="shared" si="50"/>
        <v>2541.52292626801</v>
      </c>
      <c r="CX20" s="582">
        <f ca="1" t="shared" si="51"/>
        <v>1.89186409098833e-15</v>
      </c>
      <c r="CY20" s="582">
        <f ca="1" t="shared" si="52"/>
        <v>1.0000000326299</v>
      </c>
      <c r="CZ20" s="580">
        <f ca="1" t="shared" si="53"/>
        <v>1.11992616140592e+16</v>
      </c>
      <c r="DA20" s="580">
        <f ca="1" t="shared" si="54"/>
        <v>120619190.761994</v>
      </c>
      <c r="DB20" s="586">
        <f ca="1" t="shared" si="55"/>
        <v>7.24772267094242e-13</v>
      </c>
      <c r="DC20" s="594">
        <f ca="1" t="shared" si="56"/>
        <v>29394875.2380061</v>
      </c>
      <c r="DD20" s="580">
        <f ca="1" t="shared" si="57"/>
        <v>146389044.429077</v>
      </c>
      <c r="DE20" s="580">
        <f ca="1" t="shared" si="58"/>
        <v>25768378.2324817</v>
      </c>
      <c r="DF20" s="595">
        <f ca="1" t="shared" si="59"/>
        <v>25768378.2324817</v>
      </c>
      <c r="DG20" s="596">
        <f>DG$3*3600</f>
        <v>86400</v>
      </c>
      <c r="DH20" s="580">
        <f ca="1" t="shared" ref="DH20:DK20" si="194">CZ20</f>
        <v>1.11992616140592e+16</v>
      </c>
      <c r="DI20" s="580">
        <f ca="1" t="shared" si="194"/>
        <v>120619190.761994</v>
      </c>
      <c r="DJ20" s="581">
        <f ca="1" t="shared" si="194"/>
        <v>7.24772267094242e-13</v>
      </c>
      <c r="DK20" s="580">
        <f ca="1" t="shared" si="194"/>
        <v>29394875.2380061</v>
      </c>
      <c r="DL20" s="580">
        <f ca="1">MAX(INDIRECT("'"&amp;$B$2&amp;"-事故进程'!AB"&amp;(ROW()+22)),INDIRECT("'"&amp;$B$2&amp;"-事故进程'!AC"&amp;(ROW()+22)))</f>
        <v>2.26927515e-13</v>
      </c>
      <c r="DM20" s="580">
        <f ca="1">SUM(DL$3,-LN(1-DM$3)/DG20)</f>
        <v>1.01371476497628e-6</v>
      </c>
      <c r="DN20" s="580">
        <f>DN$3/24/3600</f>
        <v>1157407407407410</v>
      </c>
      <c r="DO20" s="582">
        <f ca="1" t="shared" si="61"/>
        <v>0.999934066153084</v>
      </c>
      <c r="DP20" s="582">
        <f ca="1" t="shared" si="62"/>
        <v>0.916080650205409</v>
      </c>
      <c r="DQ20" s="582">
        <f t="shared" si="63"/>
        <v>0</v>
      </c>
      <c r="DR20" s="582">
        <f ca="1" t="shared" si="64"/>
        <v>2419.14718067023</v>
      </c>
      <c r="DS20" s="582">
        <f ca="1" t="shared" si="65"/>
        <v>6.19128002306948e-13</v>
      </c>
      <c r="DT20" s="582">
        <f ca="1" t="shared" si="66"/>
        <v>1.00000022385741</v>
      </c>
      <c r="DU20" s="580">
        <f ca="1" t="shared" si="67"/>
        <v>1.11985232036583e+16</v>
      </c>
      <c r="DV20" s="580">
        <f ca="1" t="shared" si="68"/>
        <v>320720585.39366</v>
      </c>
      <c r="DW20" s="586">
        <f ca="1" t="shared" si="69"/>
        <v>2.80902982618414e-13</v>
      </c>
      <c r="DX20" s="594">
        <f ca="1" t="shared" si="70"/>
        <v>48847856.6063404</v>
      </c>
      <c r="DY20" s="580">
        <f ca="1" t="shared" si="71"/>
        <v>219571501.608618</v>
      </c>
      <c r="DZ20" s="580">
        <f ca="1" t="shared" si="72"/>
        <v>19455464.799375</v>
      </c>
      <c r="EA20" s="595">
        <f ca="1" t="shared" si="73"/>
        <v>19455464.799375</v>
      </c>
      <c r="EB20" s="596">
        <f>EB$3*3600</f>
        <v>172800</v>
      </c>
      <c r="EC20" s="580">
        <f ca="1" t="shared" ref="EC20:EF20" si="195">DU20</f>
        <v>1.11985232036583e+16</v>
      </c>
      <c r="ED20" s="580">
        <f ca="1" t="shared" si="195"/>
        <v>320720585.39366</v>
      </c>
      <c r="EE20" s="581">
        <f ca="1" t="shared" si="195"/>
        <v>2.80902982618414e-13</v>
      </c>
      <c r="EF20" s="580">
        <f ca="1" t="shared" si="195"/>
        <v>48847856.6063404</v>
      </c>
      <c r="EG20" s="580">
        <f ca="1">MAX(INDIRECT("'"&amp;$B$2&amp;"-事故进程'!AC"&amp;(ROW()+22)),INDIRECT("'"&amp;$B$2&amp;"-事故进程'!AD"&amp;(ROW()+22)),INDIRECT("'"&amp;$B$2&amp;"-事故进程'!AE"&amp;(ROW()+22)))</f>
        <v>1.28719125e-13</v>
      </c>
      <c r="EH20" s="580">
        <f ca="1">SUM(EG$3,-LN(1-EH$3)/EB20)</f>
        <v>5.81616658188741e-8</v>
      </c>
      <c r="EI20" s="580">
        <f>EI$3/24/3600</f>
        <v>1157407407407410</v>
      </c>
      <c r="EJ20" s="582">
        <f ca="1" t="shared" si="75"/>
        <v>0.999868153621611</v>
      </c>
      <c r="EK20" s="582">
        <f ca="1" t="shared" si="76"/>
        <v>0.98986949410273</v>
      </c>
      <c r="EL20" s="582">
        <f t="shared" si="77"/>
        <v>0</v>
      </c>
      <c r="EM20" s="582">
        <f ca="1" t="shared" si="78"/>
        <v>1422.81050584107</v>
      </c>
      <c r="EN20" s="582">
        <f ca="1" t="shared" si="79"/>
        <v>2.64786234626725e-13</v>
      </c>
      <c r="EO20" s="582">
        <f ca="1" t="shared" si="80"/>
        <v>1.00000221313142</v>
      </c>
      <c r="EP20" s="580">
        <f ca="1" t="shared" si="81"/>
        <v>1.11970467189306e+16</v>
      </c>
      <c r="EQ20" s="580">
        <f ca="1" t="shared" si="82"/>
        <v>565276336.619774</v>
      </c>
      <c r="ER20" s="586">
        <f ca="1" t="shared" si="83"/>
        <v>2.84060851653281e-14</v>
      </c>
      <c r="ES20" s="594">
        <f ca="1" t="shared" si="84"/>
        <v>53295547.3802261</v>
      </c>
      <c r="ET20" s="580">
        <f ca="1" t="shared" si="85"/>
        <v>249068577.035746</v>
      </c>
      <c r="EU20" s="580">
        <f ca="1" t="shared" si="86"/>
        <v>4454396.35238196</v>
      </c>
      <c r="EV20" s="595">
        <f ca="1" t="shared" si="87"/>
        <v>4454396.35238194</v>
      </c>
      <c r="EW20" s="596">
        <f>EW$3*3600</f>
        <v>2246400</v>
      </c>
      <c r="EX20" s="580">
        <f ca="1" t="shared" ref="EX20:FA20" si="196">EP20</f>
        <v>1.11970467189306e+16</v>
      </c>
      <c r="EY20" s="580">
        <f ca="1" t="shared" si="196"/>
        <v>565276336.619774</v>
      </c>
      <c r="EZ20" s="581">
        <f ca="1" t="shared" si="196"/>
        <v>2.84060851653281e-14</v>
      </c>
      <c r="FA20" s="580">
        <f ca="1" t="shared" si="196"/>
        <v>53295547.3802261</v>
      </c>
      <c r="FB20" s="580">
        <f ca="1">INDIRECT("'"&amp;$B$2&amp;"-事故进程'!AE"&amp;(ROW()+22))</f>
        <v>4.06279875e-14</v>
      </c>
      <c r="FC20" s="580">
        <f ca="1">SUM(FB$3,-LN(1-FC$3)/EW20)</f>
        <v>4.47397429375955e-9</v>
      </c>
      <c r="FD20" s="580">
        <f>FD$3/24/3600</f>
        <v>1157407407407410</v>
      </c>
      <c r="FE20" s="582">
        <f ca="1" t="shared" si="89"/>
        <v>0.998287549885171</v>
      </c>
      <c r="FF20" s="582">
        <f ca="1" t="shared" si="90"/>
        <v>0.98830476458564</v>
      </c>
      <c r="FG20" s="582">
        <f t="shared" si="91"/>
        <v>0</v>
      </c>
      <c r="FH20" s="582">
        <f ca="1" t="shared" si="92"/>
        <v>452.384465300763</v>
      </c>
      <c r="FI20" s="582">
        <f ca="1" t="shared" si="93"/>
        <v>2.6221001691072e-14</v>
      </c>
      <c r="FJ20" s="582">
        <f ca="1" t="shared" si="94"/>
        <v>1.00000908104378</v>
      </c>
      <c r="FK20" s="580">
        <f ca="1" t="shared" si="95"/>
        <v>1.11778723349911e+16</v>
      </c>
      <c r="FL20" s="580">
        <f ca="1" t="shared" si="96"/>
        <v>1573723605.96381</v>
      </c>
      <c r="FM20" s="586">
        <f ca="1" t="shared" si="97"/>
        <v>6.08325030019978e-15</v>
      </c>
      <c r="FN20" s="594">
        <f ca="1" t="shared" si="98"/>
        <v>63956752.0361938</v>
      </c>
      <c r="FO20" s="580">
        <f ca="1" t="shared" si="99"/>
        <v>1021042386.86986</v>
      </c>
      <c r="FP20" s="580">
        <f ca="1" t="shared" si="100"/>
        <v>10760235.5844377</v>
      </c>
      <c r="FQ20" s="595">
        <f ca="1" t="shared" si="101"/>
        <v>10760235.5844377</v>
      </c>
      <c r="FR20" s="608" t="str">
        <f t="shared" si="102"/>
        <v>Sr-90</v>
      </c>
      <c r="FS20" s="609">
        <v>5400000</v>
      </c>
      <c r="FT20" s="610">
        <v>657000</v>
      </c>
      <c r="FU20" s="610">
        <v>2620000</v>
      </c>
      <c r="FV20" s="610">
        <v>9480000</v>
      </c>
      <c r="FW20" s="610">
        <v>18200000</v>
      </c>
      <c r="FX20" s="614">
        <f ca="1" t="shared" si="103"/>
        <v>0</v>
      </c>
      <c r="FY20" s="614">
        <f ca="1" t="shared" si="104"/>
        <v>5.52073319054413</v>
      </c>
      <c r="FZ20" s="614">
        <f ca="1" t="shared" si="105"/>
        <v>9.83525886735942</v>
      </c>
      <c r="GA20" s="614">
        <f ca="1" t="shared" si="106"/>
        <v>2.52213725229503</v>
      </c>
      <c r="GB20" s="614">
        <f ca="1" t="shared" si="107"/>
        <v>2.92886599397946</v>
      </c>
      <c r="GC20" s="455">
        <f ca="1" t="shared" si="108"/>
        <v>3.52008772938812</v>
      </c>
      <c r="GE20" s="609">
        <v>156.853032020541</v>
      </c>
      <c r="GF20" s="610">
        <v>281017.280176744</v>
      </c>
      <c r="GG20" s="610">
        <v>832411.864529439</v>
      </c>
      <c r="GH20" s="610">
        <v>1332820.64230674</v>
      </c>
      <c r="GI20" s="610">
        <v>2967266.44188975</v>
      </c>
      <c r="GJ20" s="610">
        <v>18825190.0818027</v>
      </c>
      <c r="GK20" s="617">
        <v>24238863.1637374</v>
      </c>
      <c r="GL20" s="614">
        <f ca="1" t="shared" si="109"/>
        <v>0</v>
      </c>
      <c r="GM20" s="614">
        <f ca="1" t="shared" si="110"/>
        <v>12.9071127010632</v>
      </c>
      <c r="GN20" s="614">
        <f ca="1" t="shared" si="111"/>
        <v>30.9562841791647</v>
      </c>
      <c r="GO20" s="614">
        <f ca="1" t="shared" si="112"/>
        <v>5.56032021761362</v>
      </c>
      <c r="GP20" s="614">
        <f ca="1" t="shared" si="113"/>
        <v>0.571587088240828</v>
      </c>
      <c r="GQ20" s="614">
        <f ca="1" t="shared" si="114"/>
        <v>2.64309411881615</v>
      </c>
      <c r="GR20" s="451">
        <f t="shared" si="115"/>
        <v>7.62921459615568e-10</v>
      </c>
      <c r="GS20" s="390">
        <f t="shared" si="116"/>
        <v>908543300</v>
      </c>
    </row>
    <row r="21" s="389" customFormat="1" spans="1:201">
      <c r="A21" s="432"/>
      <c r="B21" s="407" t="s">
        <v>270</v>
      </c>
      <c r="C21" s="433">
        <f ca="1">IF(2&lt;=$C$13-$C$12,MAX(1%,INDIRECT("'"&amp;$B$2&amp;"-事故进程'!$AA$23")*150%),0.000000000000001)</f>
        <v>0.456917291923662</v>
      </c>
      <c r="D21" s="410"/>
      <c r="E21" s="409" t="s">
        <v>271</v>
      </c>
      <c r="G21" s="411" t="s">
        <v>62</v>
      </c>
      <c r="H21" s="412">
        <f ca="1" t="shared" si="1"/>
        <v>0</v>
      </c>
      <c r="I21" s="412">
        <f ca="1" t="shared" si="2"/>
        <v>1617917861.44465</v>
      </c>
      <c r="J21" s="412">
        <f ca="1" t="shared" si="3"/>
        <v>62549809.8623002</v>
      </c>
      <c r="K21" s="412">
        <f ca="1" t="shared" si="4"/>
        <v>7717403628.19096</v>
      </c>
      <c r="L21" s="412">
        <f ca="1" t="shared" si="5"/>
        <v>17776135652.9967</v>
      </c>
      <c r="M21" s="412">
        <f ca="1" t="shared" si="6"/>
        <v>23019944138.2358</v>
      </c>
      <c r="N21" s="412">
        <f ca="1" t="shared" si="7"/>
        <v>50193951090.7305</v>
      </c>
      <c r="O21" s="450">
        <f ca="1" t="shared" si="8"/>
        <v>0</v>
      </c>
      <c r="P21" s="451"/>
      <c r="Q21" s="477" t="str">
        <f t="shared" si="0"/>
        <v>Cs-134</v>
      </c>
      <c r="R21" s="412">
        <f ca="1" t="shared" si="9"/>
        <v>0</v>
      </c>
      <c r="S21" s="412">
        <f ca="1">I21*(1-过滤效率!$B18)</f>
        <v>1617917.86144466</v>
      </c>
      <c r="T21" s="412">
        <f ca="1">J21*(1-过滤效率!$B18)</f>
        <v>62549.8098623002</v>
      </c>
      <c r="U21" s="412">
        <f ca="1">K21*(1-过滤效率!$B18)</f>
        <v>7717403.62819096</v>
      </c>
      <c r="V21" s="412">
        <f ca="1">L21*(1-过滤效率!$B18)</f>
        <v>17776135.6529967</v>
      </c>
      <c r="W21" s="412">
        <f ca="1">M21*(1-过滤效率!$B18)</f>
        <v>23019944.1382359</v>
      </c>
      <c r="X21" s="412">
        <f ca="1" t="shared" si="10"/>
        <v>50193951.0907305</v>
      </c>
      <c r="Y21" s="493"/>
      <c r="Z21" s="494">
        <f>VLOOKUP(G21,衰变常数!$A$1:$H$3800,7,FALSE)</f>
        <v>1.06355351616218e-8</v>
      </c>
      <c r="AA21" s="495">
        <f>正常源项!C18</f>
        <v>1.46e+16</v>
      </c>
      <c r="AB21" s="496">
        <f>正常源项!F18</f>
        <v>0</v>
      </c>
      <c r="AC21" s="496">
        <f>正常源项!I18</f>
        <v>385000</v>
      </c>
      <c r="AD21" s="497"/>
      <c r="AE21" s="496">
        <f>正常源项!O18</f>
        <v>806000000000</v>
      </c>
      <c r="AF21" s="498">
        <f t="shared" si="157"/>
        <v>1659350</v>
      </c>
      <c r="AG21" s="519">
        <f t="shared" si="185"/>
        <v>1612000000</v>
      </c>
      <c r="AH21" s="523">
        <v>0.95</v>
      </c>
      <c r="AI21" s="519">
        <f t="shared" si="159"/>
        <v>0</v>
      </c>
      <c r="AJ21" s="521">
        <v>0.00066</v>
      </c>
      <c r="AK21" s="521">
        <v>0.000144</v>
      </c>
      <c r="AL21" s="525">
        <f t="shared" si="186"/>
        <v>15745224</v>
      </c>
      <c r="AM21" s="520"/>
      <c r="AN21" s="519">
        <f ca="1">MAX(INDIRECT("'"&amp;$B$2&amp;"-事故进程'!Y"&amp;(ROW()+22)),INDIRECT("'"&amp;$B$2&amp;"-事故进程'!Z"&amp;(ROW()+22)),INDIRECT("'"&amp;$B$2&amp;"-事故进程'!AA"&amp;(ROW()+22)))</f>
        <v>2.0293e-13</v>
      </c>
      <c r="AO21" s="519">
        <f ca="1" t="shared" si="13"/>
        <v>0</v>
      </c>
      <c r="AP21" s="560">
        <f t="shared" si="14"/>
        <v>1.46e+16</v>
      </c>
      <c r="AQ21" s="561">
        <f ca="1">(AC21*$C$5+AD21*$C$8+AF21+AG21+AI21+(AL21+AM21)*$C$10)*EXP(-Z21*$C$12*3600)+AO21*$C$11</f>
        <v>1614044350</v>
      </c>
      <c r="AR21" s="562">
        <f ca="1">AQ21*(1-AR$3)</f>
        <v>1614044350</v>
      </c>
      <c r="AS21" s="563">
        <f ca="1" t="shared" si="15"/>
        <v>0</v>
      </c>
      <c r="AT21" s="562">
        <f ca="1">AS21*(1-AT$3)</f>
        <v>0</v>
      </c>
      <c r="AU21" s="564">
        <f ca="1" t="shared" si="16"/>
        <v>0</v>
      </c>
      <c r="AV21" s="565">
        <f>AV$3*3600</f>
        <v>7200</v>
      </c>
      <c r="AW21" s="580">
        <f>AP21*EXP(-Z21*AW$3*3600)</f>
        <v>1.46e+16</v>
      </c>
      <c r="AX21" s="580">
        <f ca="1" t="shared" si="17"/>
        <v>1614044350</v>
      </c>
      <c r="AY21" s="581">
        <f ca="1" t="shared" si="18"/>
        <v>0</v>
      </c>
      <c r="AZ21" s="580">
        <v>0</v>
      </c>
      <c r="BA21" s="580">
        <f ca="1">MAX(INDIRECT("'"&amp;$B$2&amp;"-事故进程'!Y"&amp;(ROW()+22)),INDIRECT("'"&amp;$B$2&amp;"-事故进程'!Z"&amp;(ROW()+22)))</f>
        <v>4.063e-14</v>
      </c>
      <c r="BB21" s="580">
        <f ca="1">SUM(BA$3,-LN(1-BB$3)/AV21)</f>
        <v>0.00160041330566996</v>
      </c>
      <c r="BC21" s="580">
        <f>BC$3/24/3600</f>
        <v>1157407407407410</v>
      </c>
      <c r="BD21" s="582">
        <f ca="1" t="shared" si="19"/>
        <v>0.999923426786179</v>
      </c>
      <c r="BE21" s="582">
        <f ca="1" t="shared" si="20"/>
        <v>9.89924192807907e-6</v>
      </c>
      <c r="BF21" s="582">
        <f t="shared" si="21"/>
        <v>0</v>
      </c>
      <c r="BG21" s="582">
        <f ca="1" t="shared" si="22"/>
        <v>-2582544.85561585</v>
      </c>
      <c r="BH21" s="582">
        <f ca="1" t="shared" si="23"/>
        <v>-2.23183127838075e-9</v>
      </c>
      <c r="BI21" s="582">
        <f ca="1" t="shared" si="24"/>
        <v>1.00000000002539</v>
      </c>
      <c r="BJ21" s="580">
        <f ca="1" t="shared" si="25"/>
        <v>1.45988820310782e+16</v>
      </c>
      <c r="BK21" s="580">
        <f ca="1" t="shared" si="26"/>
        <v>386598.768619501</v>
      </c>
      <c r="BL21" s="586">
        <f ca="1" t="shared" si="27"/>
        <v>5.34572190651691e-13</v>
      </c>
      <c r="BM21" s="594">
        <f ca="1" t="shared" si="28"/>
        <v>1617804857.23138</v>
      </c>
      <c r="BN21" s="580">
        <f ca="1" t="shared" si="29"/>
        <v>4270862.07483559</v>
      </c>
      <c r="BO21" s="580">
        <f ca="1" t="shared" si="30"/>
        <v>1617917861.44465</v>
      </c>
      <c r="BP21" s="595">
        <f ca="1" t="shared" si="31"/>
        <v>1617917861.44465</v>
      </c>
      <c r="BQ21" s="596">
        <f>BQ$3*3600</f>
        <v>21600</v>
      </c>
      <c r="BR21" s="580">
        <f ca="1" t="shared" ref="BR21:BU21" si="197">BJ21</f>
        <v>1.45988820310782e+16</v>
      </c>
      <c r="BS21" s="580">
        <f ca="1" t="shared" si="197"/>
        <v>386598.768619501</v>
      </c>
      <c r="BT21" s="581">
        <f ca="1" t="shared" si="197"/>
        <v>5.34572190651691e-13</v>
      </c>
      <c r="BU21" s="580">
        <f ca="1" t="shared" si="197"/>
        <v>1617804857.23138</v>
      </c>
      <c r="BV21" s="580">
        <f ca="1">MAX(INDIRECT("'"&amp;$B$2&amp;"-事故进程'!Z"&amp;(ROW()+22)),INDIRECT("'"&amp;$B$2&amp;"-事故进程'!AA"&amp;(ROW()+22)))</f>
        <v>2.0293e-13</v>
      </c>
      <c r="BW21" s="580">
        <f ca="1">SUM(BV$3,-LN(1-BW$3)/BQ21)</f>
        <v>0.00162728102077123</v>
      </c>
      <c r="BX21" s="580">
        <f>BX$3/24/3600</f>
        <v>1157407407407410</v>
      </c>
      <c r="BY21" s="582">
        <f ca="1" t="shared" si="33"/>
        <v>0.999770294443583</v>
      </c>
      <c r="BZ21" s="582">
        <f ca="1" t="shared" si="34"/>
        <v>5.4295796134064e-16</v>
      </c>
      <c r="CA21" s="582">
        <f t="shared" si="35"/>
        <v>0</v>
      </c>
      <c r="CB21" s="582">
        <f ca="1" t="shared" si="36"/>
        <v>2333.44629181711</v>
      </c>
      <c r="CC21" s="582">
        <f ca="1" t="shared" si="37"/>
        <v>-8.97439009573741e-15</v>
      </c>
      <c r="CD21" s="582">
        <f ca="1" t="shared" si="38"/>
        <v>1.0000000001247</v>
      </c>
      <c r="CE21" s="580">
        <f ca="1" t="shared" si="39"/>
        <v>1.45955285867582e+16</v>
      </c>
      <c r="CF21" s="580">
        <f ca="1" t="shared" si="40"/>
        <v>1820134.67782993</v>
      </c>
      <c r="CG21" s="586">
        <f ca="1" t="shared" si="41"/>
        <v>2.55905621263889e-12</v>
      </c>
      <c r="CH21" s="594">
        <f ca="1" t="shared" si="42"/>
        <v>1679976027.32217</v>
      </c>
      <c r="CI21" s="580">
        <f ca="1" t="shared" si="43"/>
        <v>63983754.5827077</v>
      </c>
      <c r="CJ21" s="580">
        <f ca="1" t="shared" si="44"/>
        <v>62549809.8623002</v>
      </c>
      <c r="CK21" s="595">
        <f ca="1" t="shared" si="45"/>
        <v>62549809.8623002</v>
      </c>
      <c r="CL21" s="596">
        <f>CL$3*3600</f>
        <v>57600</v>
      </c>
      <c r="CM21" s="580">
        <f ca="1" t="shared" ref="CM21:CP21" si="198">CE21</f>
        <v>1.45955285867582e+16</v>
      </c>
      <c r="CN21" s="580">
        <f ca="1" t="shared" si="198"/>
        <v>1820134.67782993</v>
      </c>
      <c r="CO21" s="581">
        <f ca="1" t="shared" si="198"/>
        <v>2.55905621263889e-12</v>
      </c>
      <c r="CP21" s="580">
        <f ca="1" t="shared" si="198"/>
        <v>1679976027.32217</v>
      </c>
      <c r="CQ21" s="580">
        <f ca="1">MAX(INDIRECT("'"&amp;$B$2&amp;"-事故进程'!AA"&amp;(ROW()+22)),INDIRECT("'"&amp;$B$2&amp;"-事故进程'!AB"&amp;(ROW()+22)))</f>
        <v>5.2167025e-11</v>
      </c>
      <c r="CR21" s="580">
        <f ca="1">SUM(CQ$3,-LN(1-CR$3)/CL21)</f>
        <v>6.95458811586267e-6</v>
      </c>
      <c r="CS21" s="580">
        <f>CS$3/24/3600</f>
        <v>1157407407407410</v>
      </c>
      <c r="CT21" s="582">
        <f ca="1" t="shared" si="47"/>
        <v>0.999384577804022</v>
      </c>
      <c r="CU21" s="582">
        <f ca="1" t="shared" si="48"/>
        <v>0.669518231772243</v>
      </c>
      <c r="CV21" s="582">
        <f t="shared" si="49"/>
        <v>0</v>
      </c>
      <c r="CW21" s="582">
        <f ca="1" t="shared" si="50"/>
        <v>761392.646481581</v>
      </c>
      <c r="CX21" s="582">
        <f ca="1" t="shared" si="51"/>
        <v>2.54811945267115e-12</v>
      </c>
      <c r="CY21" s="582">
        <f ca="1" t="shared" si="52"/>
        <v>1.0000075011511</v>
      </c>
      <c r="CZ21" s="580">
        <f ca="1" t="shared" si="53"/>
        <v>1.45865461745039e+16</v>
      </c>
      <c r="DA21" s="580">
        <f ca="1" t="shared" si="54"/>
        <v>36116063306.027</v>
      </c>
      <c r="DB21" s="586">
        <f ca="1" t="shared" si="55"/>
        <v>2.17012905786101e-10</v>
      </c>
      <c r="DC21" s="594">
        <f ca="1" t="shared" si="56"/>
        <v>9394723753.97304</v>
      </c>
      <c r="DD21" s="580">
        <f ca="1" t="shared" si="57"/>
        <v>43843448895.6925</v>
      </c>
      <c r="DE21" s="580">
        <f ca="1" t="shared" si="58"/>
        <v>7717403628.19095</v>
      </c>
      <c r="DF21" s="595">
        <f ca="1" t="shared" si="59"/>
        <v>7717403628.19096</v>
      </c>
      <c r="DG21" s="596">
        <f>DG$3*3600</f>
        <v>86400</v>
      </c>
      <c r="DH21" s="580">
        <f ca="1" t="shared" ref="DH21:DK21" si="199">CZ21</f>
        <v>1.45865461745039e+16</v>
      </c>
      <c r="DI21" s="580">
        <f ca="1" t="shared" si="199"/>
        <v>36116063306.027</v>
      </c>
      <c r="DJ21" s="581">
        <f ca="1" t="shared" si="199"/>
        <v>2.17012905786101e-10</v>
      </c>
      <c r="DK21" s="580">
        <f ca="1" t="shared" si="199"/>
        <v>9394723753.97304</v>
      </c>
      <c r="DL21" s="580">
        <f ca="1">MAX(INDIRECT("'"&amp;$B$2&amp;"-事故进程'!AB"&amp;(ROW()+22)),INDIRECT("'"&amp;$B$2&amp;"-事故进程'!AC"&amp;(ROW()+22)))</f>
        <v>1.8432905e-10</v>
      </c>
      <c r="DM21" s="580">
        <f ca="1">SUM(DL$3,-LN(1-DM$3)/DG21)</f>
        <v>1.01371476497628e-6</v>
      </c>
      <c r="DN21" s="580">
        <f>DN$3/24/3600</f>
        <v>1157407407407410</v>
      </c>
      <c r="DO21" s="582">
        <f ca="1" t="shared" si="61"/>
        <v>0.99906560055541</v>
      </c>
      <c r="DP21" s="582">
        <f ca="1" t="shared" si="62"/>
        <v>0.91529957224333</v>
      </c>
      <c r="DQ21" s="582">
        <f t="shared" si="63"/>
        <v>0</v>
      </c>
      <c r="DR21" s="582">
        <f ca="1" t="shared" si="64"/>
        <v>2652119.46974093</v>
      </c>
      <c r="DS21" s="582">
        <f ca="1" t="shared" si="65"/>
        <v>1.85380667741118e-10</v>
      </c>
      <c r="DT21" s="582">
        <f ca="1" t="shared" si="66"/>
        <v>1.00018186829272</v>
      </c>
      <c r="DU21" s="580">
        <f ca="1" t="shared" si="67"/>
        <v>1.45729165138599e+16</v>
      </c>
      <c r="DV21" s="580">
        <f ca="1" t="shared" si="68"/>
        <v>255274071074.711</v>
      </c>
      <c r="DW21" s="586">
        <f ca="1" t="shared" si="69"/>
        <v>2.23581682048929e-10</v>
      </c>
      <c r="DX21" s="594">
        <f ca="1" t="shared" si="70"/>
        <v>22285467421.2891</v>
      </c>
      <c r="DY21" s="580">
        <f ca="1" t="shared" si="71"/>
        <v>232197220702.879</v>
      </c>
      <c r="DZ21" s="580">
        <f ca="1" t="shared" si="72"/>
        <v>12903830528.7594</v>
      </c>
      <c r="EA21" s="595">
        <f ca="1" t="shared" si="73"/>
        <v>12903830528.7594</v>
      </c>
      <c r="EB21" s="596">
        <f>EB$3*3600</f>
        <v>172800</v>
      </c>
      <c r="EC21" s="580">
        <f ca="1" t="shared" ref="EC21:EF21" si="200">DU21</f>
        <v>1.45729165138599e+16</v>
      </c>
      <c r="ED21" s="580">
        <f ca="1" t="shared" si="200"/>
        <v>255274071074.711</v>
      </c>
      <c r="EE21" s="581">
        <f ca="1" t="shared" si="200"/>
        <v>2.23581682048929e-10</v>
      </c>
      <c r="EF21" s="580">
        <f ca="1" t="shared" si="200"/>
        <v>22285467421.2891</v>
      </c>
      <c r="EG21" s="580">
        <f ca="1">MAX(INDIRECT("'"&amp;$B$2&amp;"-事故进程'!AC"&amp;(ROW()+22)),INDIRECT("'"&amp;$B$2&amp;"-事故进程'!AD"&amp;(ROW()+22)),INDIRECT("'"&amp;$B$2&amp;"-事故进程'!AE"&amp;(ROW()+22)))</f>
        <v>1.8432905e-10</v>
      </c>
      <c r="EH21" s="580">
        <f ca="1">SUM(EG$3,-LN(1-EH$3)/EB21)</f>
        <v>5.81616658188741e-8</v>
      </c>
      <c r="EI21" s="580">
        <f>EI$3/24/3600</f>
        <v>1157407407407410</v>
      </c>
      <c r="EJ21" s="582">
        <f ca="1" t="shared" si="75"/>
        <v>0.998132074213142</v>
      </c>
      <c r="EK21" s="582">
        <f ca="1" t="shared" si="76"/>
        <v>0.988182228609212</v>
      </c>
      <c r="EL21" s="582">
        <f t="shared" si="77"/>
        <v>0</v>
      </c>
      <c r="EM21" s="582">
        <f ca="1" t="shared" si="78"/>
        <v>2671411.74594205</v>
      </c>
      <c r="EN21" s="582">
        <f ca="1" t="shared" si="79"/>
        <v>2.10753731303971e-10</v>
      </c>
      <c r="EO21" s="582">
        <f ca="1" t="shared" si="80"/>
        <v>1.00317932937718</v>
      </c>
      <c r="EP21" s="580">
        <f ca="1" t="shared" si="81"/>
        <v>1.45456953873139e+16</v>
      </c>
      <c r="EQ21" s="580">
        <f ca="1" t="shared" si="82"/>
        <v>713254557724.367</v>
      </c>
      <c r="ER21" s="586">
        <f ca="1" t="shared" si="83"/>
        <v>3.58422392708531e-11</v>
      </c>
      <c r="ES21" s="594">
        <f ca="1" t="shared" si="84"/>
        <v>27113083283.6328</v>
      </c>
      <c r="ET21" s="580">
        <f ca="1" t="shared" si="85"/>
        <v>463743749275.496</v>
      </c>
      <c r="EU21" s="580">
        <f ca="1" t="shared" si="86"/>
        <v>4872305124.23731</v>
      </c>
      <c r="EV21" s="595">
        <f ca="1" t="shared" si="87"/>
        <v>4872305124.23726</v>
      </c>
      <c r="EW21" s="596">
        <f>EW$3*3600</f>
        <v>2246400</v>
      </c>
      <c r="EX21" s="580">
        <f ca="1" t="shared" ref="EX21:FA21" si="201">EP21</f>
        <v>1.45456953873139e+16</v>
      </c>
      <c r="EY21" s="580">
        <f ca="1" t="shared" si="201"/>
        <v>713254557724.367</v>
      </c>
      <c r="EZ21" s="581">
        <f ca="1" t="shared" si="201"/>
        <v>3.58422392708531e-11</v>
      </c>
      <c r="FA21" s="580">
        <f ca="1" t="shared" si="201"/>
        <v>27113083283.6328</v>
      </c>
      <c r="FB21" s="580">
        <f ca="1">INDIRECT("'"&amp;$B$2&amp;"-事故进程'!AE"&amp;(ROW()+22))</f>
        <v>9.916875e-11</v>
      </c>
      <c r="FC21" s="580">
        <f ca="1">SUM(FB$3,-LN(1-FC$3)/EW21)</f>
        <v>4.47397429375955e-9</v>
      </c>
      <c r="FD21" s="580">
        <f>FD$3/24/3600</f>
        <v>1157407407407410</v>
      </c>
      <c r="FE21" s="582">
        <f ca="1" t="shared" si="89"/>
        <v>0.97617399111995</v>
      </c>
      <c r="FF21" s="582">
        <f ca="1" t="shared" si="90"/>
        <v>0.96662756543811</v>
      </c>
      <c r="FG21" s="582">
        <f t="shared" si="91"/>
        <v>0</v>
      </c>
      <c r="FH21" s="582">
        <f ca="1" t="shared" si="92"/>
        <v>1439358.07944745</v>
      </c>
      <c r="FI21" s="582">
        <f ca="1" t="shared" si="93"/>
        <v>3.30851439423259e-11</v>
      </c>
      <c r="FJ21" s="582">
        <f ca="1" t="shared" si="94"/>
        <v>1.02266815039161</v>
      </c>
      <c r="FK21" s="580">
        <f ca="1" t="shared" si="95"/>
        <v>1.41991295198493e+16</v>
      </c>
      <c r="FL21" s="580">
        <f ca="1" t="shared" si="96"/>
        <v>3837137279288.25</v>
      </c>
      <c r="FM21" s="586">
        <f ca="1" t="shared" si="97"/>
        <v>1.48325070664759e-11</v>
      </c>
      <c r="FN21" s="594">
        <f ca="1" t="shared" si="98"/>
        <v>49281875441.75</v>
      </c>
      <c r="FO21" s="580">
        <f ca="1" t="shared" si="99"/>
        <v>3201625694764.25</v>
      </c>
      <c r="FP21" s="580">
        <f ca="1" t="shared" si="100"/>
        <v>23019944138.2359</v>
      </c>
      <c r="FQ21" s="595">
        <f ca="1" t="shared" si="101"/>
        <v>23019944138.2358</v>
      </c>
      <c r="FR21" s="608" t="str">
        <f t="shared" si="102"/>
        <v>Cs-134</v>
      </c>
      <c r="FS21" s="609">
        <v>461000000</v>
      </c>
      <c r="FT21" s="610">
        <v>114000000</v>
      </c>
      <c r="FU21" s="610">
        <v>1690000000</v>
      </c>
      <c r="FV21" s="610">
        <v>6030000000</v>
      </c>
      <c r="FW21" s="610">
        <v>8300000000</v>
      </c>
      <c r="FX21" s="614">
        <f ca="1" t="shared" si="103"/>
        <v>0</v>
      </c>
      <c r="FY21" s="614">
        <f ca="1" t="shared" si="104"/>
        <v>14.7409444851487</v>
      </c>
      <c r="FZ21" s="614">
        <f ca="1" t="shared" si="105"/>
        <v>4.5665110225982</v>
      </c>
      <c r="GA21" s="614">
        <f ca="1" t="shared" si="106"/>
        <v>2.94794952786015</v>
      </c>
      <c r="GB21" s="614">
        <f ca="1" t="shared" si="107"/>
        <v>3.27397674126441</v>
      </c>
      <c r="GC21" s="455">
        <f ca="1" t="shared" si="108"/>
        <v>6.04746398683499</v>
      </c>
      <c r="GE21" s="609">
        <v>138337.233401615</v>
      </c>
      <c r="GF21" s="610">
        <v>26274037.1054101</v>
      </c>
      <c r="GG21" s="610">
        <v>221424566.852603</v>
      </c>
      <c r="GH21" s="610">
        <v>424826527.579059</v>
      </c>
      <c r="GI21" s="610">
        <v>1106810296.94444</v>
      </c>
      <c r="GJ21" s="610">
        <v>7218955945.98593</v>
      </c>
      <c r="GK21" s="617">
        <v>8998429711.70084</v>
      </c>
      <c r="GL21" s="614">
        <f ca="1" t="shared" si="109"/>
        <v>0</v>
      </c>
      <c r="GM21" s="614">
        <f ca="1" t="shared" si="110"/>
        <v>63.9592486135649</v>
      </c>
      <c r="GN21" s="614">
        <f ca="1" t="shared" si="111"/>
        <v>34.8534209093801</v>
      </c>
      <c r="GO21" s="614">
        <f ca="1" t="shared" si="112"/>
        <v>11.6059730142144</v>
      </c>
      <c r="GP21" s="614">
        <f ca="1" t="shared" si="113"/>
        <v>3.18881903567177</v>
      </c>
      <c r="GQ21" s="614">
        <f ca="1" t="shared" si="114"/>
        <v>5.57807892031009</v>
      </c>
      <c r="GR21" s="451">
        <f t="shared" si="115"/>
        <v>1.06355351616218e-8</v>
      </c>
      <c r="GS21" s="390">
        <f t="shared" si="116"/>
        <v>65172760.0000006</v>
      </c>
    </row>
    <row r="22" s="389" customFormat="1" spans="1:201">
      <c r="A22" s="430"/>
      <c r="B22" s="407" t="s">
        <v>276</v>
      </c>
      <c r="C22" s="636">
        <f>C19</f>
        <v>1e+20</v>
      </c>
      <c r="D22" s="410" t="s">
        <v>273</v>
      </c>
      <c r="E22" s="409" t="s">
        <v>274</v>
      </c>
      <c r="G22" s="411" t="s">
        <v>63</v>
      </c>
      <c r="H22" s="412">
        <f ca="1" t="shared" si="1"/>
        <v>0</v>
      </c>
      <c r="I22" s="412">
        <f ca="1" t="shared" si="2"/>
        <v>24807995204.1671</v>
      </c>
      <c r="J22" s="412">
        <f ca="1" t="shared" si="3"/>
        <v>86312847.4647025</v>
      </c>
      <c r="K22" s="412">
        <f ca="1" t="shared" si="4"/>
        <v>9792149215.21178</v>
      </c>
      <c r="L22" s="412">
        <f ca="1" t="shared" si="5"/>
        <v>21527467261.9448</v>
      </c>
      <c r="M22" s="412">
        <f ca="1" t="shared" si="6"/>
        <v>27980941552.9611</v>
      </c>
      <c r="N22" s="412">
        <f ca="1" t="shared" si="7"/>
        <v>84194866081.7495</v>
      </c>
      <c r="O22" s="450">
        <f ca="1" t="shared" si="8"/>
        <v>0</v>
      </c>
      <c r="P22" s="451"/>
      <c r="Q22" s="477" t="str">
        <f t="shared" si="0"/>
        <v>Cs-137</v>
      </c>
      <c r="R22" s="412">
        <f ca="1" t="shared" si="9"/>
        <v>0</v>
      </c>
      <c r="S22" s="412">
        <f ca="1">I22*(1-过滤效率!$B19)</f>
        <v>24807995.2041671</v>
      </c>
      <c r="T22" s="412">
        <f ca="1">J22*(1-过滤效率!$B19)</f>
        <v>86312.8474647025</v>
      </c>
      <c r="U22" s="412">
        <f ca="1">K22*(1-过滤效率!$B19)</f>
        <v>9792149.21521179</v>
      </c>
      <c r="V22" s="412">
        <f ca="1">L22*(1-过滤效率!$B19)</f>
        <v>21527467.2619449</v>
      </c>
      <c r="W22" s="412">
        <f ca="1">M22*(1-过滤效率!$B19)</f>
        <v>27980941.5529611</v>
      </c>
      <c r="X22" s="412">
        <f ca="1" t="shared" si="10"/>
        <v>84194866.0817496</v>
      </c>
      <c r="Y22" s="493"/>
      <c r="Z22" s="494">
        <f>VLOOKUP(G22,衰变常数!$A$1:$H$3800,7,FALSE)</f>
        <v>7.302030887879e-10</v>
      </c>
      <c r="AA22" s="495">
        <f>正常源项!C19</f>
        <v>1.74e+16</v>
      </c>
      <c r="AB22" s="496">
        <f>正常源项!F19</f>
        <v>0</v>
      </c>
      <c r="AC22" s="496">
        <f>正常源项!I19</f>
        <v>544000</v>
      </c>
      <c r="AD22" s="497"/>
      <c r="AE22" s="496">
        <f>正常源项!O19</f>
        <v>12400000000000</v>
      </c>
      <c r="AF22" s="498">
        <f t="shared" si="157"/>
        <v>2344640</v>
      </c>
      <c r="AG22" s="519">
        <f t="shared" si="185"/>
        <v>24800000000</v>
      </c>
      <c r="AH22" s="523">
        <v>0.95</v>
      </c>
      <c r="AI22" s="519">
        <f t="shared" si="159"/>
        <v>0</v>
      </c>
      <c r="AJ22" s="521">
        <v>0.00066</v>
      </c>
      <c r="AK22" s="521">
        <v>0.001958</v>
      </c>
      <c r="AL22" s="525">
        <f>AA22*(AJ22)*0.00000209</f>
        <v>24001560</v>
      </c>
      <c r="AM22" s="520"/>
      <c r="AN22" s="519">
        <f ca="1">MAX(INDIRECT("'"&amp;$B$2&amp;"-事故进程'!Y"&amp;(ROW()+22)),INDIRECT("'"&amp;$B$2&amp;"-事故进程'!Z"&amp;(ROW()+22)),INDIRECT("'"&amp;$B$2&amp;"-事故进程'!AA"&amp;(ROW()+22)))</f>
        <v>2.34313e-13</v>
      </c>
      <c r="AO22" s="519">
        <f ca="1" t="shared" si="13"/>
        <v>0</v>
      </c>
      <c r="AP22" s="560">
        <f t="shared" si="14"/>
        <v>1.74e+16</v>
      </c>
      <c r="AQ22" s="561">
        <f ca="1">(AC22*$C$5+AD22*$C$8+AF22+AG22+AI22+(AL22+AM22)*$C$10)*EXP(-Z22*$C$12*3600)+AO22*$C$11</f>
        <v>24802888640</v>
      </c>
      <c r="AR22" s="562">
        <f ca="1">AQ22*(1-AR$3)</f>
        <v>24802888640</v>
      </c>
      <c r="AS22" s="563">
        <f ca="1" t="shared" si="15"/>
        <v>0</v>
      </c>
      <c r="AT22" s="562">
        <f ca="1">AS22*(1-AT$3)</f>
        <v>0</v>
      </c>
      <c r="AU22" s="564">
        <f ca="1" t="shared" si="16"/>
        <v>0</v>
      </c>
      <c r="AV22" s="565">
        <f>AV$3*3600</f>
        <v>7200</v>
      </c>
      <c r="AW22" s="580">
        <f>AP22*EXP(-Z22*AW$3*3600)</f>
        <v>1.74e+16</v>
      </c>
      <c r="AX22" s="580">
        <f ca="1" t="shared" si="17"/>
        <v>24802888640</v>
      </c>
      <c r="AY22" s="581">
        <f ca="1" t="shared" si="18"/>
        <v>0</v>
      </c>
      <c r="AZ22" s="580">
        <v>0</v>
      </c>
      <c r="BA22" s="580">
        <f ca="1">MAX(INDIRECT("'"&amp;$B$2&amp;"-事故进程'!Y"&amp;(ROW()+22)),INDIRECT("'"&amp;$B$2&amp;"-事故进程'!Z"&amp;(ROW()+22)))</f>
        <v>4.688e-14</v>
      </c>
      <c r="BB22" s="580">
        <f ca="1">SUM(BA$3,-LN(1-BB$3)/AV22)</f>
        <v>0.00160041330566996</v>
      </c>
      <c r="BC22" s="580">
        <f>BC$3/24/3600</f>
        <v>1157407407407410</v>
      </c>
      <c r="BD22" s="582">
        <f ca="1" t="shared" si="19"/>
        <v>0.999994742214047</v>
      </c>
      <c r="BE22" s="582">
        <f ca="1" t="shared" si="20"/>
        <v>9.89994795126067e-6</v>
      </c>
      <c r="BF22" s="582">
        <f t="shared" si="21"/>
        <v>0</v>
      </c>
      <c r="BG22" s="582">
        <f ca="1" t="shared" si="22"/>
        <v>-39694057.2853436</v>
      </c>
      <c r="BH22" s="582">
        <f ca="1" t="shared" si="23"/>
        <v>-3.42963702707095e-8</v>
      </c>
      <c r="BI22" s="582">
        <f ca="1" t="shared" si="24"/>
        <v>1.00000000002929</v>
      </c>
      <c r="BJ22" s="580">
        <f ca="1" t="shared" si="25"/>
        <v>1.73999085145244e+16</v>
      </c>
      <c r="BK22" s="580">
        <f ca="1" t="shared" si="26"/>
        <v>755227.920196275</v>
      </c>
      <c r="BL22" s="586">
        <f ca="1" t="shared" si="27"/>
        <v>1.04429676582337e-12</v>
      </c>
      <c r="BM22" s="594">
        <f ca="1" t="shared" si="28"/>
        <v>24807876108.0798</v>
      </c>
      <c r="BN22" s="580">
        <f ca="1" t="shared" si="29"/>
        <v>5873110.96015822</v>
      </c>
      <c r="BO22" s="580">
        <f ca="1" t="shared" si="30"/>
        <v>24807995204.1671</v>
      </c>
      <c r="BP22" s="595">
        <f ca="1" t="shared" si="31"/>
        <v>24807995204.1671</v>
      </c>
      <c r="BQ22" s="596">
        <f>BQ$3*3600</f>
        <v>21600</v>
      </c>
      <c r="BR22" s="580">
        <f ca="1" t="shared" ref="BR22:BU22" si="202">BJ22</f>
        <v>1.73999085145244e+16</v>
      </c>
      <c r="BS22" s="580">
        <f ca="1" t="shared" si="202"/>
        <v>755227.920196275</v>
      </c>
      <c r="BT22" s="581">
        <f ca="1" t="shared" si="202"/>
        <v>1.04429676582337e-12</v>
      </c>
      <c r="BU22" s="580">
        <f ca="1" t="shared" si="202"/>
        <v>24807876108.0798</v>
      </c>
      <c r="BV22" s="580">
        <f ca="1">MAX(INDIRECT("'"&amp;$B$2&amp;"-事故进程'!Z"&amp;(ROW()+22)),INDIRECT("'"&amp;$B$2&amp;"-事故进程'!AA"&amp;(ROW()+22)))</f>
        <v>2.34313e-13</v>
      </c>
      <c r="BW22" s="580">
        <f ca="1">SUM(BV$3,-LN(1-BW$3)/BQ22)</f>
        <v>0.00162728102077123</v>
      </c>
      <c r="BX22" s="580">
        <f>BX$3/24/3600</f>
        <v>1157407407407410</v>
      </c>
      <c r="BY22" s="582">
        <f ca="1" t="shared" si="33"/>
        <v>0.999984222676585</v>
      </c>
      <c r="BZ22" s="582">
        <f ca="1" t="shared" si="34"/>
        <v>5.43074142433398e-16</v>
      </c>
      <c r="CA22" s="582">
        <f t="shared" si="35"/>
        <v>0</v>
      </c>
      <c r="CB22" s="582">
        <f ca="1" t="shared" si="36"/>
        <v>2848.05670304879</v>
      </c>
      <c r="CC22" s="582">
        <f ca="1" t="shared" si="37"/>
        <v>-1.75316387872529e-14</v>
      </c>
      <c r="CD22" s="582">
        <f ca="1" t="shared" si="38"/>
        <v>1.00000000014399</v>
      </c>
      <c r="CE22" s="580">
        <f ca="1" t="shared" si="39"/>
        <v>1.73996339905404e+16</v>
      </c>
      <c r="CF22" s="580">
        <f ca="1" t="shared" si="40"/>
        <v>2505381.91484609</v>
      </c>
      <c r="CG22" s="586">
        <f ca="1" t="shared" si="41"/>
        <v>3.52249381999803e-12</v>
      </c>
      <c r="CH22" s="594">
        <f ca="1" t="shared" si="42"/>
        <v>24893797010.0852</v>
      </c>
      <c r="CI22" s="580">
        <f ca="1" t="shared" si="43"/>
        <v>88063040.1901597</v>
      </c>
      <c r="CJ22" s="580">
        <f ca="1" t="shared" si="44"/>
        <v>86312847.4647025</v>
      </c>
      <c r="CK22" s="595">
        <f ca="1" t="shared" si="45"/>
        <v>86312847.4647025</v>
      </c>
      <c r="CL22" s="596">
        <f>CL$3*3600</f>
        <v>57600</v>
      </c>
      <c r="CM22" s="580">
        <f ca="1" t="shared" ref="CM22:CP22" si="203">CE22</f>
        <v>1.73996339905404e+16</v>
      </c>
      <c r="CN22" s="580">
        <f ca="1" t="shared" si="203"/>
        <v>2505381.91484609</v>
      </c>
      <c r="CO22" s="581">
        <f ca="1" t="shared" si="203"/>
        <v>3.52249381999803e-12</v>
      </c>
      <c r="CP22" s="580">
        <f ca="1" t="shared" si="203"/>
        <v>24893797010.0852</v>
      </c>
      <c r="CQ22" s="580">
        <f ca="1">MAX(INDIRECT("'"&amp;$B$2&amp;"-事故进程'!AA"&amp;(ROW()+22)),INDIRECT("'"&amp;$B$2&amp;"-事故进程'!AB"&amp;(ROW()+22)))</f>
        <v>5.55031e-11</v>
      </c>
      <c r="CR22" s="580">
        <f ca="1">SUM(CQ$3,-LN(1-CR$3)/CL22)</f>
        <v>6.95458811586267e-6</v>
      </c>
      <c r="CS22" s="580">
        <f>CS$3/24/3600</f>
        <v>1157407407407410</v>
      </c>
      <c r="CT22" s="582">
        <f ca="1" t="shared" si="47"/>
        <v>0.999954744347594</v>
      </c>
      <c r="CU22" s="582">
        <f ca="1" t="shared" si="48"/>
        <v>0.669900332468981</v>
      </c>
      <c r="CV22" s="582">
        <f t="shared" si="49"/>
        <v>0</v>
      </c>
      <c r="CW22" s="582">
        <f ca="1" t="shared" si="50"/>
        <v>965716.201580128</v>
      </c>
      <c r="CX22" s="582">
        <f ca="1" t="shared" si="51"/>
        <v>3.50743957101088e-12</v>
      </c>
      <c r="CY22" s="582">
        <f ca="1" t="shared" si="52"/>
        <v>1.00000798085265</v>
      </c>
      <c r="CZ22" s="580">
        <f ca="1" t="shared" si="53"/>
        <v>1.73988465587525e+16</v>
      </c>
      <c r="DA22" s="580">
        <f ca="1" t="shared" si="54"/>
        <v>45834326140.1807</v>
      </c>
      <c r="DB22" s="586">
        <f ca="1" t="shared" si="55"/>
        <v>2.75407654930336e-10</v>
      </c>
      <c r="DC22" s="594">
        <f ca="1" t="shared" si="56"/>
        <v>34684757473.8193</v>
      </c>
      <c r="DD22" s="580">
        <f ca="1" t="shared" si="57"/>
        <v>55624998108.7868</v>
      </c>
      <c r="DE22" s="580">
        <f ca="1" t="shared" si="58"/>
        <v>9792149215.21178</v>
      </c>
      <c r="DF22" s="595">
        <f ca="1" t="shared" si="59"/>
        <v>9792149215.21178</v>
      </c>
      <c r="DG22" s="596">
        <f>DG$3*3600</f>
        <v>86400</v>
      </c>
      <c r="DH22" s="580">
        <f ca="1" t="shared" ref="DH22:DK22" si="204">CZ22</f>
        <v>1.73988465587525e+16</v>
      </c>
      <c r="DI22" s="580">
        <f ca="1" t="shared" si="204"/>
        <v>45834326140.1807</v>
      </c>
      <c r="DJ22" s="581">
        <f ca="1" t="shared" si="204"/>
        <v>2.75407654930336e-10</v>
      </c>
      <c r="DK22" s="580">
        <f ca="1" t="shared" si="204"/>
        <v>34684757473.8193</v>
      </c>
      <c r="DL22" s="580">
        <f ca="1">MAX(INDIRECT("'"&amp;$B$2&amp;"-事故进程'!AB"&amp;(ROW()+22)),INDIRECT("'"&amp;$B$2&amp;"-事故进程'!AC"&amp;(ROW()+22)))</f>
        <v>1.84852075e-10</v>
      </c>
      <c r="DM22" s="580">
        <f ca="1">SUM(DL$3,-LN(1-DM$3)/DG22)</f>
        <v>1.01371476497628e-6</v>
      </c>
      <c r="DN22" s="580">
        <f>DN$3/24/3600</f>
        <v>1157407407407410</v>
      </c>
      <c r="DO22" s="582">
        <f ca="1" t="shared" si="61"/>
        <v>0.999920942359069</v>
      </c>
      <c r="DP22" s="582">
        <f ca="1" t="shared" si="62"/>
        <v>0.916083239847448</v>
      </c>
      <c r="DQ22" s="582">
        <f t="shared" si="63"/>
        <v>0</v>
      </c>
      <c r="DR22" s="582">
        <f ca="1" t="shared" si="64"/>
        <v>3169758.42841127</v>
      </c>
      <c r="DS22" s="582">
        <f ca="1" t="shared" si="65"/>
        <v>2.35263680687839e-10</v>
      </c>
      <c r="DT22" s="582">
        <f ca="1" t="shared" si="66"/>
        <v>1.00018238442955</v>
      </c>
      <c r="DU22" s="580">
        <f ca="1" t="shared" si="67"/>
        <v>1.73974710469887e+16</v>
      </c>
      <c r="DV22" s="580">
        <f ca="1" t="shared" si="68"/>
        <v>308028454001.769</v>
      </c>
      <c r="DW22" s="586">
        <f ca="1" t="shared" si="69"/>
        <v>2.6978658496221e-10</v>
      </c>
      <c r="DX22" s="594">
        <f ca="1" t="shared" si="70"/>
        <v>50346593752.231</v>
      </c>
      <c r="DY22" s="580">
        <f ca="1" t="shared" si="71"/>
        <v>277869809164.304</v>
      </c>
      <c r="DZ22" s="580">
        <f ca="1" t="shared" si="72"/>
        <v>15664397860.768</v>
      </c>
      <c r="EA22" s="595">
        <f ca="1" t="shared" si="73"/>
        <v>15664397860.7679</v>
      </c>
      <c r="EB22" s="596">
        <f>EB$3*3600</f>
        <v>172800</v>
      </c>
      <c r="EC22" s="580">
        <f ca="1" t="shared" ref="EC22:EF22" si="205">DU22</f>
        <v>1.73974710469887e+16</v>
      </c>
      <c r="ED22" s="580">
        <f ca="1" t="shared" si="205"/>
        <v>308028454001.769</v>
      </c>
      <c r="EE22" s="581">
        <f ca="1" t="shared" si="205"/>
        <v>2.6978658496221e-10</v>
      </c>
      <c r="EF22" s="580">
        <f ca="1" t="shared" si="205"/>
        <v>50346593752.231</v>
      </c>
      <c r="EG22" s="580">
        <f ca="1">MAX(INDIRECT("'"&amp;$B$2&amp;"-事故进程'!AC"&amp;(ROW()+22)),INDIRECT("'"&amp;$B$2&amp;"-事故进程'!AD"&amp;(ROW()+22)),INDIRECT("'"&amp;$B$2&amp;"-事故进程'!AE"&amp;(ROW()+22)))</f>
        <v>1.84852075e-10</v>
      </c>
      <c r="EH22" s="580">
        <f ca="1">SUM(EG$3,-LN(1-EH$3)/EB22)</f>
        <v>5.81616658188741e-8</v>
      </c>
      <c r="EI22" s="580">
        <f>EI$3/24/3600</f>
        <v>1157407407407410</v>
      </c>
      <c r="EJ22" s="582">
        <f ca="1" t="shared" si="75"/>
        <v>0.999841890968248</v>
      </c>
      <c r="EK22" s="582">
        <f ca="1" t="shared" si="76"/>
        <v>0.989875090577839</v>
      </c>
      <c r="EL22" s="582">
        <f t="shared" si="77"/>
        <v>0</v>
      </c>
      <c r="EM22" s="582">
        <f ca="1" t="shared" si="78"/>
        <v>3198100.1144828</v>
      </c>
      <c r="EN22" s="582">
        <f ca="1" t="shared" si="79"/>
        <v>2.54307637886447e-10</v>
      </c>
      <c r="EO22" s="582">
        <f ca="1" t="shared" si="80"/>
        <v>1.00318837933759</v>
      </c>
      <c r="EP22" s="580">
        <f ca="1" t="shared" si="81"/>
        <v>1.73947203496865e+16</v>
      </c>
      <c r="EQ22" s="580">
        <f ca="1" t="shared" si="82"/>
        <v>857765492310.531</v>
      </c>
      <c r="ER22" s="586">
        <f ca="1" t="shared" si="83"/>
        <v>4.31041564063252e-11</v>
      </c>
      <c r="ES22" s="594">
        <f ca="1" t="shared" si="84"/>
        <v>56202999075.4687</v>
      </c>
      <c r="ET22" s="580">
        <f ca="1" t="shared" si="85"/>
        <v>555673716870.312</v>
      </c>
      <c r="EU22" s="580">
        <f ca="1" t="shared" si="86"/>
        <v>5863069401.17686</v>
      </c>
      <c r="EV22" s="595">
        <f ca="1" t="shared" si="87"/>
        <v>5863069401.17689</v>
      </c>
      <c r="EW22" s="596">
        <f>EW$3*3600</f>
        <v>2246400</v>
      </c>
      <c r="EX22" s="580">
        <f ca="1" t="shared" ref="EX22:FA22" si="206">EP22</f>
        <v>1.73947203496865e+16</v>
      </c>
      <c r="EY22" s="580">
        <f ca="1" t="shared" si="206"/>
        <v>857765492310.531</v>
      </c>
      <c r="EZ22" s="581">
        <f ca="1" t="shared" si="206"/>
        <v>4.31041564063252e-11</v>
      </c>
      <c r="FA22" s="580">
        <f ca="1" t="shared" si="206"/>
        <v>56202999075.4687</v>
      </c>
      <c r="FB22" s="580">
        <f ca="1">INDIRECT("'"&amp;$B$2&amp;"-事故进程'!AE"&amp;(ROW()+22))</f>
        <v>9.9297425e-11</v>
      </c>
      <c r="FC22" s="580">
        <f ca="1">SUM(FB$3,-LN(1-FC$3)/EW22)</f>
        <v>4.47397429375955e-9</v>
      </c>
      <c r="FD22" s="580">
        <f>FD$3/24/3600</f>
        <v>1157407407407410</v>
      </c>
      <c r="FE22" s="582">
        <f ca="1" t="shared" si="89"/>
        <v>0.998138345079039</v>
      </c>
      <c r="FF22" s="582">
        <f ca="1" t="shared" si="90"/>
        <v>0.988377406220538</v>
      </c>
      <c r="FG22" s="582">
        <f t="shared" si="91"/>
        <v>0</v>
      </c>
      <c r="FH22" s="582">
        <f ca="1" t="shared" si="92"/>
        <v>1723498.49246094</v>
      </c>
      <c r="FI22" s="582">
        <f ca="1" t="shared" si="93"/>
        <v>3.97884520673771e-11</v>
      </c>
      <c r="FJ22" s="582">
        <f ca="1" t="shared" si="94"/>
        <v>1.02269823074456</v>
      </c>
      <c r="FK22" s="580">
        <f ca="1" t="shared" si="95"/>
        <v>1.73623373829487e+16</v>
      </c>
      <c r="FL22" s="580">
        <f ca="1" t="shared" si="96"/>
        <v>4701701433398.44</v>
      </c>
      <c r="FM22" s="586">
        <f ca="1" t="shared" si="97"/>
        <v>1.81744917263629e-11</v>
      </c>
      <c r="FN22" s="594">
        <f ca="1" t="shared" si="98"/>
        <v>84074164943.5625</v>
      </c>
      <c r="FO22" s="580">
        <f ca="1" t="shared" si="99"/>
        <v>3876483688037.49</v>
      </c>
      <c r="FP22" s="580">
        <f ca="1" t="shared" si="100"/>
        <v>27980941552.9608</v>
      </c>
      <c r="FQ22" s="595">
        <f ca="1" t="shared" si="101"/>
        <v>27980941552.9611</v>
      </c>
      <c r="FR22" s="608" t="str">
        <f t="shared" si="102"/>
        <v>Cs-137</v>
      </c>
      <c r="FS22" s="609">
        <v>4800000000</v>
      </c>
      <c r="FT22" s="610">
        <v>160000000</v>
      </c>
      <c r="FU22" s="610">
        <v>2210000000</v>
      </c>
      <c r="FV22" s="610">
        <v>7860000000</v>
      </c>
      <c r="FW22" s="610">
        <v>15000000000</v>
      </c>
      <c r="FX22" s="614">
        <f ca="1" t="shared" si="103"/>
        <v>0</v>
      </c>
      <c r="FY22" s="614">
        <f ca="1" t="shared" si="104"/>
        <v>155.589425322699</v>
      </c>
      <c r="FZ22" s="614">
        <f ca="1" t="shared" si="105"/>
        <v>4.43083674896461</v>
      </c>
      <c r="GA22" s="614">
        <f ca="1" t="shared" si="106"/>
        <v>2.7388635193314</v>
      </c>
      <c r="GB22" s="614">
        <f ca="1" t="shared" si="107"/>
        <v>3.74759496858589</v>
      </c>
      <c r="GC22" s="455">
        <f ca="1" t="shared" si="108"/>
        <v>5.61299107211663</v>
      </c>
      <c r="GE22" s="609">
        <v>227252.597555914</v>
      </c>
      <c r="GF22" s="610">
        <v>212417376.915186</v>
      </c>
      <c r="GG22" s="610">
        <v>628318264.087984</v>
      </c>
      <c r="GH22" s="610">
        <v>1022851382.69255</v>
      </c>
      <c r="GI22" s="610">
        <v>2255281278.4136</v>
      </c>
      <c r="GJ22" s="610">
        <v>12982879176.6197</v>
      </c>
      <c r="GK22" s="617">
        <v>17101974731.3265</v>
      </c>
      <c r="GL22" s="614">
        <f ca="1" t="shared" si="109"/>
        <v>0</v>
      </c>
      <c r="GM22" s="614">
        <f ca="1" t="shared" si="110"/>
        <v>117.195252164194</v>
      </c>
      <c r="GN22" s="614">
        <f ca="1" t="shared" si="111"/>
        <v>15.5846961243842</v>
      </c>
      <c r="GO22" s="614">
        <f ca="1" t="shared" si="112"/>
        <v>6.56699087177294</v>
      </c>
      <c r="GP22" s="614">
        <f ca="1" t="shared" si="113"/>
        <v>2.15521851295903</v>
      </c>
      <c r="GQ22" s="614">
        <f ca="1" t="shared" si="114"/>
        <v>4.92310785183922</v>
      </c>
      <c r="GR22" s="451">
        <f t="shared" si="115"/>
        <v>7.302030887879e-10</v>
      </c>
      <c r="GS22" s="390">
        <f t="shared" si="116"/>
        <v>949252600</v>
      </c>
    </row>
    <row r="23" s="389" customFormat="1" spans="1:201">
      <c r="A23" s="432" t="s">
        <v>235</v>
      </c>
      <c r="B23" s="407" t="s">
        <v>267</v>
      </c>
      <c r="C23" s="428">
        <f>-LN(1-0%)/8/3600</f>
        <v>0</v>
      </c>
      <c r="D23" s="410" t="s">
        <v>268</v>
      </c>
      <c r="E23" s="409" t="s">
        <v>269</v>
      </c>
      <c r="G23" s="411" t="s">
        <v>64</v>
      </c>
      <c r="H23" s="412">
        <f ca="1" t="shared" si="1"/>
        <v>0</v>
      </c>
      <c r="I23" s="412">
        <f ca="1" t="shared" si="2"/>
        <v>569144297.404426</v>
      </c>
      <c r="J23" s="412">
        <f ca="1" t="shared" si="3"/>
        <v>117557265.075005</v>
      </c>
      <c r="K23" s="412">
        <f ca="1" t="shared" si="4"/>
        <v>1102560822.79439</v>
      </c>
      <c r="L23" s="412">
        <f ca="1" t="shared" si="5"/>
        <v>9992164562.86318</v>
      </c>
      <c r="M23" s="412">
        <f ca="1" t="shared" si="6"/>
        <v>61698550857.2066</v>
      </c>
      <c r="N23" s="412">
        <f ca="1" t="shared" si="7"/>
        <v>73479977805.3436</v>
      </c>
      <c r="O23" s="450">
        <f ca="1" t="shared" si="8"/>
        <v>0</v>
      </c>
      <c r="P23" s="451"/>
      <c r="Q23" s="477" t="str">
        <f t="shared" si="0"/>
        <v>Ag-110m</v>
      </c>
      <c r="R23" s="412">
        <f ca="1" t="shared" si="9"/>
        <v>0</v>
      </c>
      <c r="S23" s="412">
        <f ca="1">I23*(1-过滤效率!$B20)</f>
        <v>569144.297404426</v>
      </c>
      <c r="T23" s="412">
        <f ca="1">J23*(1-过滤效率!$B20)</f>
        <v>117557.265075005</v>
      </c>
      <c r="U23" s="412">
        <f ca="1">K23*(1-过滤效率!$B20)</f>
        <v>1102560.82279439</v>
      </c>
      <c r="V23" s="412">
        <f ca="1">L23*(1-过滤效率!$B20)</f>
        <v>9992164.56286319</v>
      </c>
      <c r="W23" s="412">
        <f ca="1">M23*(1-过滤效率!$B20)</f>
        <v>61698550.8572066</v>
      </c>
      <c r="X23" s="412">
        <f ca="1" t="shared" si="10"/>
        <v>73479977.8053436</v>
      </c>
      <c r="Y23" s="493"/>
      <c r="Z23" s="494">
        <f>VLOOKUP(G23,衰变常数!$A$1:$H$3800,7,FALSE)</f>
        <v>3.21209893462493e-8</v>
      </c>
      <c r="AA23" s="495">
        <f>正常源项!C20</f>
        <v>242000000000000</v>
      </c>
      <c r="AB23" s="496">
        <f>正常源项!F20</f>
        <v>0</v>
      </c>
      <c r="AC23" s="496">
        <f>正常源项!I20</f>
        <v>409000</v>
      </c>
      <c r="AD23" s="497"/>
      <c r="AE23" s="496">
        <f>正常源项!O20</f>
        <v>282000000000</v>
      </c>
      <c r="AF23" s="498">
        <f t="shared" si="157"/>
        <v>1762790</v>
      </c>
      <c r="AG23" s="519">
        <f t="shared" si="185"/>
        <v>564000000</v>
      </c>
      <c r="AH23" s="523">
        <v>0.9</v>
      </c>
      <c r="AI23" s="519">
        <f t="shared" si="159"/>
        <v>0</v>
      </c>
      <c r="AJ23" s="521">
        <v>0.00066</v>
      </c>
      <c r="AK23" s="521">
        <v>5.457e-5</v>
      </c>
      <c r="AL23" s="526">
        <f>AA23*(AJ23-AK23)*0.00000209</f>
        <v>306214.3854</v>
      </c>
      <c r="AM23" s="520"/>
      <c r="AN23" s="519">
        <f ca="1">MAX(INDIRECT("'"&amp;$B$2&amp;"-事故进程'!Y"&amp;(ROW()+22)),INDIRECT("'"&amp;$B$2&amp;"-事故进程'!Z"&amp;(ROW()+22)),INDIRECT("'"&amp;$B$2&amp;"-事故进程'!AA"&amp;(ROW()+22)))</f>
        <v>2.310464e-11</v>
      </c>
      <c r="AO23" s="519">
        <f ca="1" t="shared" si="13"/>
        <v>0</v>
      </c>
      <c r="AP23" s="560">
        <f t="shared" si="14"/>
        <v>242000000000000</v>
      </c>
      <c r="AQ23" s="561">
        <f ca="1">(AC23*$C$5+AD23*$C$8+AF23+AG23+AI23+(AL23+AM23)*$C$10)*EXP(-Z23*$C$12*3600)+AO23*$C$11</f>
        <v>566171790</v>
      </c>
      <c r="AR23" s="562">
        <f ca="1">AQ23*(1-AR$3)</f>
        <v>566171790</v>
      </c>
      <c r="AS23" s="563">
        <f ca="1" t="shared" si="15"/>
        <v>0</v>
      </c>
      <c r="AT23" s="562">
        <f ca="1">AS23*(1-AT$3)</f>
        <v>0</v>
      </c>
      <c r="AU23" s="564">
        <f ca="1" t="shared" si="16"/>
        <v>0</v>
      </c>
      <c r="AV23" s="565">
        <f>AV$3*3600</f>
        <v>7200</v>
      </c>
      <c r="AW23" s="580">
        <f>AP23*EXP(-Z23*AW$3*3600)</f>
        <v>242000000000000</v>
      </c>
      <c r="AX23" s="580">
        <f ca="1" t="shared" si="17"/>
        <v>566171790</v>
      </c>
      <c r="AY23" s="581">
        <f ca="1" t="shared" si="18"/>
        <v>0</v>
      </c>
      <c r="AZ23" s="580">
        <v>0</v>
      </c>
      <c r="BA23" s="580">
        <f ca="1">MAX(INDIRECT("'"&amp;$B$2&amp;"-事故进程'!Y"&amp;(ROW()+22)),INDIRECT("'"&amp;$B$2&amp;"-事故进程'!Z"&amp;(ROW()+22)))</f>
        <v>1.879e-12</v>
      </c>
      <c r="BB23" s="580">
        <f ca="1">SUM(BA$3,-LN(1-BB$3)/AV23)</f>
        <v>0.00160041330566996</v>
      </c>
      <c r="BC23" s="580">
        <f>BC$3/24/3600</f>
        <v>1157407407407410</v>
      </c>
      <c r="BD23" s="582">
        <f ca="1" t="shared" si="19"/>
        <v>0.99976874209214</v>
      </c>
      <c r="BE23" s="582">
        <f ca="1" t="shared" si="20"/>
        <v>9.89771068061635e-6</v>
      </c>
      <c r="BF23" s="582">
        <f t="shared" si="21"/>
        <v>0</v>
      </c>
      <c r="BG23" s="582">
        <f ca="1" t="shared" si="22"/>
        <v>-905654.146947143</v>
      </c>
      <c r="BH23" s="582">
        <f ca="1" t="shared" si="23"/>
        <v>-7.82878060233487e-10</v>
      </c>
      <c r="BI23" s="582">
        <f ca="1" t="shared" si="24"/>
        <v>1.00000000117407</v>
      </c>
      <c r="BJ23" s="580">
        <f ca="1" t="shared" si="25"/>
        <v>241944035586298</v>
      </c>
      <c r="BK23" s="580">
        <f ca="1" t="shared" si="26"/>
        <v>289660.642342665</v>
      </c>
      <c r="BL23" s="586">
        <f ca="1" t="shared" si="27"/>
        <v>4.00530308659871e-13</v>
      </c>
      <c r="BM23" s="594">
        <f ca="1" t="shared" si="28"/>
        <v>569024417.826407</v>
      </c>
      <c r="BN23" s="580">
        <f ca="1" t="shared" si="29"/>
        <v>3273591.01972701</v>
      </c>
      <c r="BO23" s="580">
        <f ca="1" t="shared" si="30"/>
        <v>569144297.404426</v>
      </c>
      <c r="BP23" s="595">
        <f ca="1" t="shared" si="31"/>
        <v>569144297.404426</v>
      </c>
      <c r="BQ23" s="596">
        <f>BQ$3*3600</f>
        <v>21600</v>
      </c>
      <c r="BR23" s="580">
        <f ca="1" t="shared" ref="BR23:BU23" si="207">BJ23</f>
        <v>241944035586298</v>
      </c>
      <c r="BS23" s="580">
        <f ca="1" t="shared" si="207"/>
        <v>289660.642342665</v>
      </c>
      <c r="BT23" s="581">
        <f ca="1" t="shared" si="207"/>
        <v>4.00530308659871e-13</v>
      </c>
      <c r="BU23" s="580">
        <f ca="1" t="shared" si="207"/>
        <v>569024417.826407</v>
      </c>
      <c r="BV23" s="580">
        <f ca="1">MAX(INDIRECT("'"&amp;$B$2&amp;"-事故进程'!Z"&amp;(ROW()+22)),INDIRECT("'"&amp;$B$2&amp;"-事故进程'!AA"&amp;(ROW()+22)))</f>
        <v>2.310464e-11</v>
      </c>
      <c r="BW23" s="580">
        <f ca="1">SUM(BV$3,-LN(1-BW$3)/BQ23)</f>
        <v>0.00162728102077123</v>
      </c>
      <c r="BX23" s="580">
        <f>BX$3/24/3600</f>
        <v>1157407407407410</v>
      </c>
      <c r="BY23" s="582">
        <f ca="1" t="shared" si="33"/>
        <v>0.999305928548997</v>
      </c>
      <c r="BZ23" s="582">
        <f ca="1" t="shared" si="34"/>
        <v>5.42706040716061e-16</v>
      </c>
      <c r="CA23" s="582">
        <f t="shared" si="35"/>
        <v>0</v>
      </c>
      <c r="CB23" s="582">
        <f ca="1" t="shared" si="36"/>
        <v>5118.67058331249</v>
      </c>
      <c r="CC23" s="582">
        <f ca="1" t="shared" si="37"/>
        <v>-6.72409694693946e-15</v>
      </c>
      <c r="CD23" s="582">
        <f ca="1" t="shared" si="38"/>
        <v>1.00000001419831</v>
      </c>
      <c r="CE23" s="580">
        <f ca="1" t="shared" si="39"/>
        <v>241776109138457</v>
      </c>
      <c r="CF23" s="580">
        <f ca="1" t="shared" si="40"/>
        <v>3432812.13893293</v>
      </c>
      <c r="CG23" s="586">
        <f ca="1" t="shared" si="41"/>
        <v>4.82643363590667e-12</v>
      </c>
      <c r="CH23" s="594">
        <f ca="1" t="shared" si="42"/>
        <v>686147274.892317</v>
      </c>
      <c r="CI23" s="580">
        <f ca="1" t="shared" si="43"/>
        <v>120702737.0409</v>
      </c>
      <c r="CJ23" s="580">
        <f ca="1" t="shared" si="44"/>
        <v>117557265.075005</v>
      </c>
      <c r="CK23" s="595">
        <f ca="1" t="shared" si="45"/>
        <v>117557265.075005</v>
      </c>
      <c r="CL23" s="596">
        <f>CL$3*3600</f>
        <v>57600</v>
      </c>
      <c r="CM23" s="580">
        <f ca="1" t="shared" ref="CM23:CP23" si="208">CE23</f>
        <v>241776109138457</v>
      </c>
      <c r="CN23" s="580">
        <f ca="1" t="shared" si="208"/>
        <v>3432812.13893293</v>
      </c>
      <c r="CO23" s="581">
        <f ca="1" t="shared" si="208"/>
        <v>4.82643363590667e-12</v>
      </c>
      <c r="CP23" s="580">
        <f ca="1" t="shared" si="208"/>
        <v>686147274.892317</v>
      </c>
      <c r="CQ23" s="580">
        <f ca="1">MAX(INDIRECT("'"&amp;$B$2&amp;"-事故进程'!AA"&amp;(ROW()+22)),INDIRECT("'"&amp;$B$2&amp;"-事故进程'!AB"&amp;(ROW()+22)))</f>
        <v>4.4986e-10</v>
      </c>
      <c r="CR23" s="580">
        <f ca="1">SUM(CQ$3,-LN(1-CR$3)/CL23)</f>
        <v>6.95458811586267e-6</v>
      </c>
      <c r="CS23" s="580">
        <f>CS$3/24/3600</f>
        <v>1157407407407410</v>
      </c>
      <c r="CT23" s="582">
        <f ca="1" t="shared" si="47"/>
        <v>0.998125677817452</v>
      </c>
      <c r="CU23" s="582">
        <f ca="1" t="shared" si="48"/>
        <v>0.668690173834749</v>
      </c>
      <c r="CV23" s="582">
        <f t="shared" si="49"/>
        <v>0</v>
      </c>
      <c r="CW23" s="582">
        <f ca="1" t="shared" si="50"/>
        <v>108741.528206806</v>
      </c>
      <c r="CX23" s="582">
        <f ca="1" t="shared" si="51"/>
        <v>4.805806677454e-12</v>
      </c>
      <c r="CY23" s="582">
        <f ca="1" t="shared" si="52"/>
        <v>1.0000646895393</v>
      </c>
      <c r="CZ23" s="580">
        <f ca="1" t="shared" si="53"/>
        <v>241322942813889</v>
      </c>
      <c r="DA23" s="580">
        <f ca="1" t="shared" si="54"/>
        <v>5154793640.22852</v>
      </c>
      <c r="DB23" s="586">
        <f ca="1" t="shared" si="55"/>
        <v>3.09739391338099e-11</v>
      </c>
      <c r="DC23" s="594">
        <f ca="1" t="shared" si="56"/>
        <v>1786737452.39648</v>
      </c>
      <c r="DD23" s="580">
        <f ca="1" t="shared" si="57"/>
        <v>6259014022.11467</v>
      </c>
      <c r="DE23" s="580">
        <f ca="1" t="shared" si="58"/>
        <v>1102560822.79439</v>
      </c>
      <c r="DF23" s="595">
        <f ca="1" t="shared" si="59"/>
        <v>1102560822.79439</v>
      </c>
      <c r="DG23" s="596">
        <f>DG$3*3600</f>
        <v>86400</v>
      </c>
      <c r="DH23" s="580">
        <f ca="1" t="shared" ref="DH23:DK23" si="209">CZ23</f>
        <v>241322942813889</v>
      </c>
      <c r="DI23" s="580">
        <f ca="1" t="shared" si="209"/>
        <v>5154793640.22852</v>
      </c>
      <c r="DJ23" s="581">
        <f ca="1" t="shared" si="209"/>
        <v>3.09739391338099e-11</v>
      </c>
      <c r="DK23" s="580">
        <f ca="1" t="shared" si="209"/>
        <v>1786737452.39648</v>
      </c>
      <c r="DL23" s="580">
        <f ca="1">MAX(INDIRECT("'"&amp;$B$2&amp;"-事故进程'!AB"&amp;(ROW()+22)),INDIRECT("'"&amp;$B$2&amp;"-事故进程'!AC"&amp;(ROW()+22)))</f>
        <v>4.7921125e-9</v>
      </c>
      <c r="DM23" s="580">
        <f ca="1">SUM(DL$3,-LN(1-DM$3)/DG23)</f>
        <v>1.01371476497628e-6</v>
      </c>
      <c r="DN23" s="580">
        <f>DN$3/24/3600</f>
        <v>1157407407407410</v>
      </c>
      <c r="DO23" s="582">
        <f ca="1" t="shared" si="61"/>
        <v>0.99681578838983</v>
      </c>
      <c r="DP23" s="582">
        <f ca="1" t="shared" si="62"/>
        <v>0.91360203815884</v>
      </c>
      <c r="DQ23" s="582">
        <f t="shared" si="63"/>
        <v>0</v>
      </c>
      <c r="DR23" s="582">
        <f ca="1" t="shared" si="64"/>
        <v>1151245.90272275</v>
      </c>
      <c r="DS23" s="582">
        <f ca="1" t="shared" si="65"/>
        <v>2.64591154079012e-11</v>
      </c>
      <c r="DT23" s="582">
        <f ca="1" t="shared" si="66"/>
        <v>1.00474973228943</v>
      </c>
      <c r="DU23" s="580">
        <f ca="1" t="shared" si="67"/>
        <v>240554519497580</v>
      </c>
      <c r="DV23" s="580">
        <f ca="1" t="shared" si="68"/>
        <v>100090642645.87</v>
      </c>
      <c r="DW23" s="586">
        <f ca="1" t="shared" si="69"/>
        <v>8.76643450151749e-11</v>
      </c>
      <c r="DX23" s="594">
        <f ca="1" t="shared" si="70"/>
        <v>6451109601.31799</v>
      </c>
      <c r="DY23" s="580">
        <f ca="1" t="shared" si="71"/>
        <v>99757831100.4874</v>
      </c>
      <c r="DZ23" s="580">
        <f ca="1" t="shared" si="72"/>
        <v>4673883471.46642</v>
      </c>
      <c r="EA23" s="595">
        <f ca="1" t="shared" si="73"/>
        <v>4673883471.46642</v>
      </c>
      <c r="EB23" s="596">
        <f>EB$3*3600</f>
        <v>172800</v>
      </c>
      <c r="EC23" s="580">
        <f ca="1" t="shared" ref="EC23:EF23" si="210">DU23</f>
        <v>240554519497580</v>
      </c>
      <c r="ED23" s="580">
        <f ca="1" t="shared" si="210"/>
        <v>100090642645.87</v>
      </c>
      <c r="EE23" s="581">
        <f ca="1" t="shared" si="210"/>
        <v>8.76643450151749e-11</v>
      </c>
      <c r="EF23" s="580">
        <f ca="1" t="shared" si="210"/>
        <v>6451109601.31799</v>
      </c>
      <c r="EG23" s="580">
        <f ca="1">MAX(INDIRECT("'"&amp;$B$2&amp;"-事故进程'!AC"&amp;(ROW()+22)),INDIRECT("'"&amp;$B$2&amp;"-事故进程'!AD"&amp;(ROW()+22)),INDIRECT("'"&amp;$B$2&amp;"-事故进程'!AE"&amp;(ROW()+22)))</f>
        <v>2.0853149e-8</v>
      </c>
      <c r="EH23" s="580">
        <f ca="1">SUM(EG$3,-LN(1-EH$3)/EB23)</f>
        <v>5.81616658188741e-8</v>
      </c>
      <c r="EI23" s="580">
        <f>EI$3/24/3600</f>
        <v>1157407407407410</v>
      </c>
      <c r="EJ23" s="582">
        <f ca="1" t="shared" si="75"/>
        <v>0.990887838571701</v>
      </c>
      <c r="EK23" s="582">
        <f ca="1" t="shared" si="76"/>
        <v>0.984520219957661</v>
      </c>
      <c r="EL23" s="582">
        <f t="shared" si="77"/>
        <v>0</v>
      </c>
      <c r="EM23" s="582">
        <f ca="1" t="shared" si="78"/>
        <v>5012585.00428188</v>
      </c>
      <c r="EN23" s="582">
        <f ca="1" t="shared" si="79"/>
        <v>8.26346221432559e-11</v>
      </c>
      <c r="EO23" s="582">
        <f ca="1" t="shared" si="80"/>
        <v>1.55893803286896</v>
      </c>
      <c r="EP23" s="580">
        <f ca="1" t="shared" si="81"/>
        <v>238362547883611</v>
      </c>
      <c r="EQ23" s="580">
        <f ca="1" t="shared" si="82"/>
        <v>954699867524.437</v>
      </c>
      <c r="ER23" s="586">
        <f ca="1" t="shared" si="83"/>
        <v>4.79752715395695e-11</v>
      </c>
      <c r="ES23" s="594">
        <f ca="1" t="shared" si="84"/>
        <v>11722912424.0312</v>
      </c>
      <c r="ET23" s="580">
        <f ca="1" t="shared" si="85"/>
        <v>862864637289.569</v>
      </c>
      <c r="EU23" s="580">
        <f ca="1" t="shared" si="86"/>
        <v>5318281091.39682</v>
      </c>
      <c r="EV23" s="595">
        <f ca="1" t="shared" si="87"/>
        <v>5318281091.39676</v>
      </c>
      <c r="EW23" s="596">
        <f>EW$3*3600</f>
        <v>2246400</v>
      </c>
      <c r="EX23" s="580">
        <f ca="1" t="shared" ref="EX23:FA23" si="211">EP23</f>
        <v>238362547883611</v>
      </c>
      <c r="EY23" s="580">
        <f ca="1" t="shared" si="211"/>
        <v>954699867524.437</v>
      </c>
      <c r="EZ23" s="581">
        <f ca="1" t="shared" si="211"/>
        <v>4.79752715395695e-11</v>
      </c>
      <c r="FA23" s="580">
        <f ca="1" t="shared" si="211"/>
        <v>11722912424.0312</v>
      </c>
      <c r="FB23" s="580">
        <f ca="1">INDIRECT("'"&amp;$B$2&amp;"-事故进程'!AE"&amp;(ROW()+22))</f>
        <v>2.0853149e-8</v>
      </c>
      <c r="FC23" s="580">
        <f ca="1">SUM(FB$3,-LN(1-FC$3)/EW23)</f>
        <v>4.47397429375955e-9</v>
      </c>
      <c r="FD23" s="580">
        <f>FD$3/24/3600</f>
        <v>1157407407407410</v>
      </c>
      <c r="FE23" s="582">
        <f ca="1" t="shared" si="89"/>
        <v>0.887806820284412</v>
      </c>
      <c r="FF23" s="582">
        <f ca="1" t="shared" si="90"/>
        <v>0.921081343001755</v>
      </c>
      <c r="FG23" s="582">
        <f t="shared" si="91"/>
        <v>0</v>
      </c>
      <c r="FH23" s="582">
        <f ca="1" t="shared" si="92"/>
        <v>4986246.92295879</v>
      </c>
      <c r="FI23" s="582">
        <f ca="1" t="shared" si="93"/>
        <v>4.42848660365257e-11</v>
      </c>
      <c r="FJ23" s="582">
        <f ca="1" t="shared" si="94"/>
        <v>-0.273150166232427</v>
      </c>
      <c r="FK23" s="580">
        <f ca="1" t="shared" si="95"/>
        <v>211619895711440</v>
      </c>
      <c r="FL23" s="580">
        <f ca="1" t="shared" si="96"/>
        <v>10977219483081.3</v>
      </c>
      <c r="FM23" s="586">
        <f ca="1" t="shared" si="97"/>
        <v>4.24325932856022e-11</v>
      </c>
      <c r="FN23" s="594">
        <f ca="1" t="shared" si="98"/>
        <v>71015833781.1875</v>
      </c>
      <c r="FO23" s="580">
        <f ca="1" t="shared" si="99"/>
        <v>10527184165912</v>
      </c>
      <c r="FP23" s="580">
        <f ca="1" t="shared" si="100"/>
        <v>61698550857.2068</v>
      </c>
      <c r="FQ23" s="595">
        <f ca="1" t="shared" si="101"/>
        <v>61698550857.2066</v>
      </c>
      <c r="FR23" s="608" t="str">
        <f t="shared" si="102"/>
        <v>Ag-110m</v>
      </c>
      <c r="FS23" s="609">
        <v>127000000</v>
      </c>
      <c r="FT23" s="610">
        <v>442000000</v>
      </c>
      <c r="FU23" s="610">
        <v>1160000000</v>
      </c>
      <c r="FV23" s="610">
        <v>3990000000</v>
      </c>
      <c r="FW23" s="610">
        <v>5720000000</v>
      </c>
      <c r="FX23" s="614">
        <f ca="1" t="shared" si="103"/>
        <v>0</v>
      </c>
      <c r="FY23" s="614">
        <f ca="1" t="shared" si="104"/>
        <v>1.5536234445236</v>
      </c>
      <c r="FZ23" s="614">
        <f ca="1" t="shared" si="105"/>
        <v>0.950483467926196</v>
      </c>
      <c r="GA23" s="614">
        <f ca="1" t="shared" si="106"/>
        <v>2.50430189545443</v>
      </c>
      <c r="GB23" s="614">
        <f ca="1" t="shared" si="107"/>
        <v>2.05969002589808</v>
      </c>
      <c r="GC23" s="455">
        <f ca="1" t="shared" si="108"/>
        <v>12.8461499659692</v>
      </c>
      <c r="GE23" s="609">
        <v>119532.747822784</v>
      </c>
      <c r="GF23" s="610">
        <v>47625559.870575</v>
      </c>
      <c r="GG23" s="610">
        <v>232397824.418568</v>
      </c>
      <c r="GH23" s="610">
        <v>395119538.985329</v>
      </c>
      <c r="GI23" s="610">
        <v>1005803168.81349</v>
      </c>
      <c r="GJ23" s="610">
        <v>7934681196.38171</v>
      </c>
      <c r="GK23" s="617">
        <v>9615746821.21749</v>
      </c>
      <c r="GL23" s="614">
        <f ca="1" t="shared" si="109"/>
        <v>0</v>
      </c>
      <c r="GM23" s="614">
        <f ca="1" t="shared" si="110"/>
        <v>14.4187609415108</v>
      </c>
      <c r="GN23" s="614">
        <f ca="1" t="shared" si="111"/>
        <v>4.74428203255717</v>
      </c>
      <c r="GO23" s="614">
        <f ca="1" t="shared" si="112"/>
        <v>7.13255949613611</v>
      </c>
      <c r="GP23" s="614">
        <f ca="1" t="shared" si="113"/>
        <v>7.77580715975605</v>
      </c>
      <c r="GQ23" s="614">
        <f ca="1" t="shared" si="114"/>
        <v>7.6416298360942</v>
      </c>
      <c r="GR23" s="451">
        <f t="shared" si="115"/>
        <v>3.21209893462493e-8</v>
      </c>
      <c r="GS23" s="390">
        <f t="shared" si="116"/>
        <v>21579260</v>
      </c>
    </row>
    <row r="24" spans="1:201">
      <c r="A24" s="430"/>
      <c r="B24" s="407" t="s">
        <v>270</v>
      </c>
      <c r="C24" s="433">
        <f ca="1">IF(8&lt;=$C$13-$C$12,MAX(1%,INDIRECT("'"&amp;$B$2&amp;"-事故进程'!$AB$23")*150%),0.000000000000001)</f>
        <v>0.330071491132861</v>
      </c>
      <c r="D24" s="410"/>
      <c r="E24" s="409" t="s">
        <v>271</v>
      </c>
      <c r="G24" s="411" t="s">
        <v>65</v>
      </c>
      <c r="H24" s="412">
        <f t="shared" si="1"/>
        <v>0</v>
      </c>
      <c r="I24" s="412">
        <f ca="1" t="shared" si="2"/>
        <v>13043856335419.9</v>
      </c>
      <c r="J24" s="412">
        <f ca="1" t="shared" si="3"/>
        <v>129133800.896364</v>
      </c>
      <c r="K24" s="412">
        <f ca="1" t="shared" si="4"/>
        <v>2.31460486490287e-8</v>
      </c>
      <c r="L24" s="412">
        <f ca="1" t="shared" si="5"/>
        <v>4.36926837910491e-9</v>
      </c>
      <c r="M24" s="412">
        <f ca="1" t="shared" si="6"/>
        <v>4.25013224030318e-10</v>
      </c>
      <c r="N24" s="412">
        <f ca="1" t="shared" si="7"/>
        <v>13043985469220.8</v>
      </c>
      <c r="O24" s="450">
        <f t="shared" si="8"/>
        <v>0</v>
      </c>
      <c r="P24" s="451"/>
      <c r="Q24" s="477" t="str">
        <f t="shared" si="0"/>
        <v>H-3</v>
      </c>
      <c r="R24" s="412">
        <f t="shared" si="9"/>
        <v>0</v>
      </c>
      <c r="S24" s="412">
        <f ca="1">I24*(1-过滤效率!$B21)</f>
        <v>13043856335419.9</v>
      </c>
      <c r="T24" s="412">
        <f ca="1">J24*(1-过滤效率!$B21)</f>
        <v>129133800.896364</v>
      </c>
      <c r="U24" s="412">
        <f ca="1">K24*(1-过滤效率!$B21)</f>
        <v>2.31460486490287e-8</v>
      </c>
      <c r="V24" s="412">
        <f ca="1">L24*(1-过滤效率!$B21)</f>
        <v>4.36926837910491e-9</v>
      </c>
      <c r="W24" s="412">
        <f ca="1">M24*(1-过滤效率!$B21)</f>
        <v>4.25013224030318e-10</v>
      </c>
      <c r="X24" s="412">
        <f ca="1" t="shared" si="10"/>
        <v>13043985469220.8</v>
      </c>
      <c r="Y24" s="493"/>
      <c r="Z24" s="494">
        <f>VLOOKUP(G24,衰变常数!$A$1:$H$3800,7,FALSE)</f>
        <v>1.78283364719618e-9</v>
      </c>
      <c r="AA24" s="495">
        <f>正常源项!C21</f>
        <v>111000000000000</v>
      </c>
      <c r="AB24" s="496">
        <f>正常源项!F21</f>
        <v>0</v>
      </c>
      <c r="AC24" s="496">
        <f>正常源项!I21</f>
        <v>144000000000</v>
      </c>
      <c r="AD24" s="496">
        <f>正常源项!L21</f>
        <v>12900000000000</v>
      </c>
      <c r="AE24" s="496"/>
      <c r="AF24" s="498"/>
      <c r="AG24" s="483"/>
      <c r="AH24" s="523"/>
      <c r="AI24" s="519"/>
      <c r="AK24" s="527"/>
      <c r="AL24" s="527"/>
      <c r="AM24" s="528"/>
      <c r="AN24" s="527"/>
      <c r="AO24" s="527"/>
      <c r="AP24" s="560">
        <f t="shared" si="14"/>
        <v>111000000000000</v>
      </c>
      <c r="AQ24" s="561">
        <f>(AC24*$C$5+AD24*$C$8+AF24+AG24+AI24+(AL24+AM24)*$C$10)*EXP(-Z24*$C$12*3600)+AO24*$C$11</f>
        <v>13044000000000</v>
      </c>
      <c r="AR24" s="562">
        <f>AQ24*(1-AR$3)</f>
        <v>13044000000000</v>
      </c>
      <c r="AS24" s="563">
        <f t="shared" si="15"/>
        <v>0</v>
      </c>
      <c r="AT24" s="562">
        <f>AS24*(1-AT$3)</f>
        <v>0</v>
      </c>
      <c r="AU24" s="564">
        <f t="shared" si="16"/>
        <v>0</v>
      </c>
      <c r="AV24" s="565">
        <f>AV$3*3600</f>
        <v>7200</v>
      </c>
      <c r="AW24" s="580">
        <f>AP24*EXP(-Z24*AW$3*3600)</f>
        <v>111000000000000</v>
      </c>
      <c r="AX24" s="580">
        <f t="shared" si="17"/>
        <v>13044000000000</v>
      </c>
      <c r="AY24" s="581">
        <f t="shared" si="18"/>
        <v>0</v>
      </c>
      <c r="AZ24" s="580">
        <v>0</v>
      </c>
      <c r="BA24" s="580">
        <f ca="1">MAX(INDIRECT("'"&amp;$B$2&amp;"-事故进程'!Y"&amp;(ROW()+22)),INDIRECT("'"&amp;$B$2&amp;"-事故进程'!Z"&amp;(ROW()+22)))</f>
        <v>0</v>
      </c>
      <c r="BB24" s="580">
        <f ca="1">SUM(BA$3,-LN(1-BB$3)/AV24)</f>
        <v>0.00160041330566996</v>
      </c>
      <c r="BC24" s="580">
        <f>BC$3/24/3600</f>
        <v>1157407407407410</v>
      </c>
      <c r="BD24" s="582">
        <f ca="1" t="shared" si="19"/>
        <v>0.999987163680126</v>
      </c>
      <c r="BE24" s="582">
        <f ca="1" t="shared" si="20"/>
        <v>9.89987292043326e-6</v>
      </c>
      <c r="BF24" s="582">
        <f t="shared" si="21"/>
        <v>0</v>
      </c>
      <c r="BG24" s="582">
        <f ca="1" t="shared" si="22"/>
        <v>-20875791159.159</v>
      </c>
      <c r="BH24" s="582">
        <f ca="1" t="shared" si="23"/>
        <v>-1.80366835615134e-5</v>
      </c>
      <c r="BI24" s="582">
        <f ca="1" t="shared" si="24"/>
        <v>1</v>
      </c>
      <c r="BJ24" s="580">
        <f ca="1" t="shared" si="25"/>
        <v>110998575168494</v>
      </c>
      <c r="BK24" s="580">
        <f ca="1" t="shared" si="26"/>
        <v>129133942.374131</v>
      </c>
      <c r="BL24" s="586">
        <f ca="1" t="shared" si="27"/>
        <v>1.7856087516505e-10</v>
      </c>
      <c r="BM24" s="594">
        <f ca="1" t="shared" si="28"/>
        <v>13043703429101.2</v>
      </c>
      <c r="BN24" s="580">
        <f ca="1" t="shared" si="29"/>
        <v>0</v>
      </c>
      <c r="BO24" s="580">
        <f ca="1" t="shared" si="30"/>
        <v>13043856335419.9</v>
      </c>
      <c r="BP24" s="595">
        <f ca="1" t="shared" si="31"/>
        <v>13043856335419.9</v>
      </c>
      <c r="BQ24" s="596">
        <f>BQ$3*3600</f>
        <v>21600</v>
      </c>
      <c r="BR24" s="580">
        <f ca="1" t="shared" ref="BR24:BU24" si="212">BJ24</f>
        <v>110998575168494</v>
      </c>
      <c r="BS24" s="580">
        <f ca="1" t="shared" si="212"/>
        <v>129133942.374131</v>
      </c>
      <c r="BT24" s="581">
        <f ca="1" t="shared" si="212"/>
        <v>1.7856087516505e-10</v>
      </c>
      <c r="BU24" s="580">
        <f ca="1" t="shared" si="212"/>
        <v>13043703429101.2</v>
      </c>
      <c r="BV24" s="580">
        <f ca="1">MAX(INDIRECT("'"&amp;$B$2&amp;"-事故进程'!Z"&amp;(ROW()+22)),INDIRECT("'"&amp;$B$2&amp;"-事故进程'!AA"&amp;(ROW()+22)))</f>
        <v>0</v>
      </c>
      <c r="BW24" s="580">
        <f ca="1">SUM(BV$3,-LN(1-BW$3)/BQ24)</f>
        <v>0.00162728102077123</v>
      </c>
      <c r="BX24" s="580">
        <f>BX$3/24/3600</f>
        <v>1157407407407410</v>
      </c>
      <c r="BY24" s="582">
        <f ca="1" t="shared" si="33"/>
        <v>0.99996149153469</v>
      </c>
      <c r="BZ24" s="582">
        <f ca="1" t="shared" si="34"/>
        <v>5.43061794794714e-16</v>
      </c>
      <c r="CA24" s="582">
        <f t="shared" si="35"/>
        <v>0</v>
      </c>
      <c r="CB24" s="582">
        <f ca="1" t="shared" si="36"/>
        <v>-210137.21356279</v>
      </c>
      <c r="CC24" s="582">
        <f ca="1" t="shared" si="37"/>
        <v>-2.99767735320063e-12</v>
      </c>
      <c r="CD24" s="582">
        <f ca="1" t="shared" si="38"/>
        <v>1</v>
      </c>
      <c r="CE24" s="580">
        <f ca="1" t="shared" si="39"/>
        <v>110994300783713</v>
      </c>
      <c r="CF24" s="580">
        <f ca="1" t="shared" si="40"/>
        <v>7.01277105146129e-8</v>
      </c>
      <c r="CG24" s="586">
        <f ca="1" t="shared" si="41"/>
        <v>9.85975133908914e-26</v>
      </c>
      <c r="CH24" s="594">
        <f ca="1" t="shared" si="42"/>
        <v>13043330265069.8</v>
      </c>
      <c r="CI24" s="580">
        <f ca="1" t="shared" si="43"/>
        <v>0</v>
      </c>
      <c r="CJ24" s="580">
        <f ca="1" t="shared" si="44"/>
        <v>129133800.896364</v>
      </c>
      <c r="CK24" s="595">
        <f ca="1" t="shared" si="45"/>
        <v>129133800.896364</v>
      </c>
      <c r="CL24" s="596">
        <f>CL$3*3600</f>
        <v>57600</v>
      </c>
      <c r="CM24" s="580">
        <f ca="1" t="shared" ref="CM24:CP24" si="213">CE24</f>
        <v>110994300783713</v>
      </c>
      <c r="CN24" s="580">
        <f ca="1" t="shared" si="213"/>
        <v>7.01277105146129e-8</v>
      </c>
      <c r="CO24" s="581">
        <f ca="1" t="shared" si="213"/>
        <v>9.85975133908914e-26</v>
      </c>
      <c r="CP24" s="580">
        <f ca="1" t="shared" si="213"/>
        <v>13043330265069.8</v>
      </c>
      <c r="CQ24" s="580">
        <f ca="1">MAX(INDIRECT("'"&amp;$B$2&amp;"-事故进程'!AA"&amp;(ROW()+22)),INDIRECT("'"&amp;$B$2&amp;"-事故进程'!AB"&amp;(ROW()+22)))</f>
        <v>0</v>
      </c>
      <c r="CR24" s="580">
        <f ca="1">SUM(CQ$3,-LN(1-CR$3)/CL24)</f>
        <v>6.95458811586267e-6</v>
      </c>
      <c r="CS24" s="580">
        <f>CS$3/24/3600</f>
        <v>1157407407407410</v>
      </c>
      <c r="CT24" s="582">
        <f ca="1" t="shared" si="47"/>
        <v>0.999897314054484</v>
      </c>
      <c r="CU24" s="582">
        <f ca="1" t="shared" si="48"/>
        <v>0.669859716624778</v>
      </c>
      <c r="CV24" s="582">
        <f t="shared" si="49"/>
        <v>0</v>
      </c>
      <c r="CW24" s="582">
        <f ca="1" t="shared" si="50"/>
        <v>-4.87709342137585e-13</v>
      </c>
      <c r="CX24" s="582">
        <f ca="1" t="shared" si="51"/>
        <v>9.81761325192845e-26</v>
      </c>
      <c r="CY24" s="582">
        <f ca="1" t="shared" si="52"/>
        <v>1</v>
      </c>
      <c r="CZ24" s="580">
        <f ca="1" t="shared" si="53"/>
        <v>110982903228990</v>
      </c>
      <c r="DA24" s="580">
        <f ca="1" t="shared" si="54"/>
        <v>4.6975728292863e-8</v>
      </c>
      <c r="DB24" s="586">
        <f ca="1" t="shared" si="55"/>
        <v>2.82266071245682e-28</v>
      </c>
      <c r="DC24" s="594">
        <f ca="1" t="shared" si="56"/>
        <v>13041990898368.9</v>
      </c>
      <c r="DD24" s="580">
        <f ca="1" t="shared" si="57"/>
        <v>0</v>
      </c>
      <c r="DE24" s="580">
        <f ca="1" t="shared" si="58"/>
        <v>2.31460486490287e-8</v>
      </c>
      <c r="DF24" s="595">
        <f ca="1" t="shared" si="59"/>
        <v>2.31460486490287e-8</v>
      </c>
      <c r="DG24" s="596">
        <f>DG$3*3600</f>
        <v>86400</v>
      </c>
      <c r="DH24" s="580">
        <f ca="1" t="shared" ref="DH24:DK24" si="214">CZ24</f>
        <v>110982903228990</v>
      </c>
      <c r="DI24" s="580">
        <f ca="1" t="shared" si="214"/>
        <v>4.6975728292863e-8</v>
      </c>
      <c r="DJ24" s="581">
        <f ca="1" t="shared" si="214"/>
        <v>2.82266071245682e-28</v>
      </c>
      <c r="DK24" s="580">
        <f ca="1" t="shared" si="214"/>
        <v>13041990898368.9</v>
      </c>
      <c r="DL24" s="580">
        <f ca="1">MAX(INDIRECT("'"&amp;$B$2&amp;"-事故进程'!AB"&amp;(ROW()+22)),INDIRECT("'"&amp;$B$2&amp;"-事故进程'!AC"&amp;(ROW()+22)))</f>
        <v>0</v>
      </c>
      <c r="DM24" s="580">
        <f ca="1">SUM(DL$3,-LN(1-DM$3)/DG24)</f>
        <v>1.01371476497628e-6</v>
      </c>
      <c r="DN24" s="580">
        <f>DN$3/24/3600</f>
        <v>1157407407407410</v>
      </c>
      <c r="DO24" s="582">
        <f ca="1" t="shared" si="61"/>
        <v>0.999845975035945</v>
      </c>
      <c r="DP24" s="582">
        <f ca="1" t="shared" si="62"/>
        <v>0.915999928356839</v>
      </c>
      <c r="DQ24" s="582">
        <f t="shared" si="63"/>
        <v>0</v>
      </c>
      <c r="DR24" s="582">
        <f ca="1" t="shared" si="64"/>
        <v>-4.7619989365989e-14</v>
      </c>
      <c r="DS24" s="582">
        <f ca="1" t="shared" si="65"/>
        <v>2.41122400433467e-28</v>
      </c>
      <c r="DT24" s="582">
        <f ca="1" t="shared" si="66"/>
        <v>1</v>
      </c>
      <c r="DU24" s="580">
        <f ca="1" t="shared" si="67"/>
        <v>110965809091309</v>
      </c>
      <c r="DV24" s="580">
        <f ca="1" t="shared" si="68"/>
        <v>4.30297637507729e-8</v>
      </c>
      <c r="DW24" s="586">
        <f ca="1" t="shared" si="69"/>
        <v>3.76875995163259e-29</v>
      </c>
      <c r="DX24" s="594">
        <f ca="1" t="shared" si="70"/>
        <v>13039982106189.5</v>
      </c>
      <c r="DY24" s="580">
        <f ca="1" t="shared" si="71"/>
        <v>0</v>
      </c>
      <c r="DZ24" s="580">
        <f ca="1" t="shared" si="72"/>
        <v>3.93903690546571e-9</v>
      </c>
      <c r="EA24" s="595">
        <f ca="1" t="shared" si="73"/>
        <v>3.93903690546571e-9</v>
      </c>
      <c r="EB24" s="596">
        <f>EB$3*3600</f>
        <v>172800</v>
      </c>
      <c r="EC24" s="580">
        <f ca="1" t="shared" ref="EC24:EF24" si="215">DU24</f>
        <v>110965809091309</v>
      </c>
      <c r="ED24" s="580">
        <f ca="1" t="shared" si="215"/>
        <v>4.30297637507729e-8</v>
      </c>
      <c r="EE24" s="581">
        <f ca="1" t="shared" si="215"/>
        <v>3.76875995163259e-29</v>
      </c>
      <c r="EF24" s="580">
        <f ca="1" t="shared" si="215"/>
        <v>13039982106189.5</v>
      </c>
      <c r="EG24" s="580">
        <f ca="1">MAX(INDIRECT("'"&amp;$B$2&amp;"-事故进程'!AC"&amp;(ROW()+22)),INDIRECT("'"&amp;$B$2&amp;"-事故进程'!AD"&amp;(ROW()+22)),INDIRECT("'"&amp;$B$2&amp;"-事故进程'!AE"&amp;(ROW()+22)))</f>
        <v>0</v>
      </c>
      <c r="EH24" s="580">
        <f ca="1">SUM(EG$3,-LN(1-EH$3)/EB24)</f>
        <v>5.81616658188741e-8</v>
      </c>
      <c r="EI24" s="580">
        <f>EI$3/24/3600</f>
        <v>1157407407407410</v>
      </c>
      <c r="EJ24" s="582">
        <f ca="1" t="shared" si="75"/>
        <v>0.99969197379558</v>
      </c>
      <c r="EK24" s="582">
        <f ca="1" t="shared" si="76"/>
        <v>0.989695054057624</v>
      </c>
      <c r="EL24" s="582">
        <f t="shared" si="77"/>
        <v>0</v>
      </c>
      <c r="EM24" s="582">
        <f ca="1" t="shared" si="78"/>
        <v>-2.50268273953756e-15</v>
      </c>
      <c r="EN24" s="582">
        <f ca="1" t="shared" si="79"/>
        <v>3.55252816293654e-29</v>
      </c>
      <c r="EO24" s="582">
        <f ca="1" t="shared" si="80"/>
        <v>1</v>
      </c>
      <c r="EP24" s="580">
        <f ca="1" t="shared" si="81"/>
        <v>110931628714315</v>
      </c>
      <c r="EQ24" s="580">
        <f ca="1" t="shared" si="82"/>
        <v>4.2586344361408e-8</v>
      </c>
      <c r="ER24" s="586">
        <f ca="1" t="shared" si="83"/>
        <v>2.14003531802509e-30</v>
      </c>
      <c r="ES24" s="594">
        <f ca="1" t="shared" si="84"/>
        <v>13035965449995.7</v>
      </c>
      <c r="ET24" s="580">
        <f ca="1" t="shared" si="85"/>
        <v>0</v>
      </c>
      <c r="EU24" s="580">
        <f ca="1" t="shared" si="86"/>
        <v>4.30231473639199e-10</v>
      </c>
      <c r="EV24" s="595">
        <f ca="1" t="shared" si="87"/>
        <v>4.30231473639199e-10</v>
      </c>
      <c r="EW24" s="596">
        <f>EW$3*3600</f>
        <v>2246400</v>
      </c>
      <c r="EX24" s="580">
        <f ca="1" t="shared" ref="EX24:FA24" si="216">EP24</f>
        <v>110931628714315</v>
      </c>
      <c r="EY24" s="580">
        <f ca="1" t="shared" si="216"/>
        <v>4.2586344361408e-8</v>
      </c>
      <c r="EZ24" s="581">
        <f ca="1" t="shared" si="216"/>
        <v>2.14003531802509e-30</v>
      </c>
      <c r="FA24" s="580">
        <f ca="1" t="shared" si="216"/>
        <v>13035965449995.7</v>
      </c>
      <c r="FB24" s="580">
        <f ca="1">INDIRECT("'"&amp;$B$2&amp;"-事故进程'!AE"&amp;(ROW()+22))</f>
        <v>0</v>
      </c>
      <c r="FC24" s="580">
        <f ca="1">SUM(FB$3,-LN(1-FC$3)/EW24)</f>
        <v>4.47397429375955e-9</v>
      </c>
      <c r="FD24" s="580">
        <f>FD$3/24/3600</f>
        <v>1157407407407410</v>
      </c>
      <c r="FE24" s="582">
        <f ca="1" t="shared" si="89"/>
        <v>0.996003051641582</v>
      </c>
      <c r="FF24" s="582">
        <f ca="1" t="shared" si="90"/>
        <v>0.986043021125167</v>
      </c>
      <c r="FG24" s="582">
        <f t="shared" si="91"/>
        <v>0</v>
      </c>
      <c r="FH24" s="582">
        <f ca="1" t="shared" si="92"/>
        <v>-1.90530209938131e-16</v>
      </c>
      <c r="FI24" s="582">
        <f ca="1" t="shared" si="93"/>
        <v>1.97541721663854e-30</v>
      </c>
      <c r="FJ24" s="582">
        <f ca="1" t="shared" si="94"/>
        <v>1</v>
      </c>
      <c r="FK24" s="580">
        <f ca="1" t="shared" si="95"/>
        <v>110488240723028</v>
      </c>
      <c r="FL24" s="580">
        <f ca="1" t="shared" si="96"/>
        <v>4.19919676527994e-8</v>
      </c>
      <c r="FM24" s="586">
        <f ca="1" t="shared" si="97"/>
        <v>1.62320530023078e-31</v>
      </c>
      <c r="FN24" s="594">
        <f ca="1" t="shared" si="98"/>
        <v>12983861369289.9</v>
      </c>
      <c r="FO24" s="580">
        <f ca="1" t="shared" si="99"/>
        <v>0</v>
      </c>
      <c r="FP24" s="580">
        <f ca="1" t="shared" si="100"/>
        <v>4.25013224030318e-10</v>
      </c>
      <c r="FQ24" s="595">
        <f ca="1" t="shared" si="101"/>
        <v>4.25013224030318e-10</v>
      </c>
      <c r="FR24" s="608" t="str">
        <f t="shared" si="102"/>
        <v>H-3</v>
      </c>
      <c r="FS24" s="609">
        <v>7740000000000</v>
      </c>
      <c r="FT24" s="610">
        <v>0</v>
      </c>
      <c r="FU24" s="610">
        <v>0</v>
      </c>
      <c r="FV24" s="610">
        <v>0</v>
      </c>
      <c r="FW24" s="610">
        <v>7740000000000</v>
      </c>
      <c r="FX24" s="614">
        <f t="shared" si="103"/>
        <v>0</v>
      </c>
      <c r="FY24" s="614"/>
      <c r="FZ24" s="614"/>
      <c r="GA24" s="614"/>
      <c r="GB24" s="614">
        <f ca="1" t="shared" si="107"/>
        <v>1.6852694404678</v>
      </c>
      <c r="GC24" s="455">
        <f ca="1" t="shared" si="108"/>
        <v>1.6852694404678</v>
      </c>
      <c r="GE24" s="609">
        <v>2598482866976.27</v>
      </c>
      <c r="GF24" s="610">
        <v>340744870520.487</v>
      </c>
      <c r="GG24" s="610">
        <v>648293276966.639</v>
      </c>
      <c r="GH24" s="610">
        <v>894780329863.181</v>
      </c>
      <c r="GI24" s="610">
        <v>1541863130089.09</v>
      </c>
      <c r="GJ24" s="610">
        <v>6437907247922.24</v>
      </c>
      <c r="GK24" s="617">
        <v>12462071722337.9</v>
      </c>
      <c r="GL24" s="614">
        <f t="shared" si="109"/>
        <v>0</v>
      </c>
      <c r="GM24" s="614">
        <f ca="1" t="shared" si="110"/>
        <v>38.2807977396582</v>
      </c>
      <c r="GN24" s="614">
        <f ca="1" t="shared" si="111"/>
        <v>3.57030521083435e-20</v>
      </c>
      <c r="GO24" s="614">
        <f ca="1" t="shared" si="112"/>
        <v>1.79315047560979e-21</v>
      </c>
      <c r="GP24" s="614">
        <f ca="1" t="shared" si="113"/>
        <v>6.60172953202278e-23</v>
      </c>
      <c r="GQ24" s="614">
        <f ca="1" t="shared" si="114"/>
        <v>1.04669478396917</v>
      </c>
      <c r="GR24" s="451">
        <f t="shared" si="115"/>
        <v>1.78283364719618e-9</v>
      </c>
      <c r="GS24" s="390">
        <f t="shared" si="116"/>
        <v>388789600.000001</v>
      </c>
    </row>
    <row r="25" spans="1:201">
      <c r="A25" s="430"/>
      <c r="B25" s="407" t="s">
        <v>276</v>
      </c>
      <c r="C25" s="636">
        <f>C22</f>
        <v>1e+20</v>
      </c>
      <c r="D25" s="410" t="s">
        <v>273</v>
      </c>
      <c r="E25" s="409" t="s">
        <v>274</v>
      </c>
      <c r="G25" s="411" t="s">
        <v>66</v>
      </c>
      <c r="H25" s="412">
        <f t="shared" si="1"/>
        <v>0</v>
      </c>
      <c r="I25" s="412">
        <f ca="1" t="shared" si="2"/>
        <v>18907812765.2795</v>
      </c>
      <c r="J25" s="412">
        <f ca="1" t="shared" si="3"/>
        <v>187189.194363226</v>
      </c>
      <c r="K25" s="412">
        <f ca="1" t="shared" si="4"/>
        <v>3.35548023602048e-11</v>
      </c>
      <c r="L25" s="412">
        <f ca="1" t="shared" si="5"/>
        <v>6.33509401189975e-12</v>
      </c>
      <c r="M25" s="412">
        <f ca="1" t="shared" si="6"/>
        <v>6.17689614654309e-13</v>
      </c>
      <c r="N25" s="412">
        <f ca="1" t="shared" si="7"/>
        <v>18907999954.4739</v>
      </c>
      <c r="O25" s="450">
        <f t="shared" si="8"/>
        <v>0</v>
      </c>
      <c r="P25" s="451"/>
      <c r="Q25" s="477" t="str">
        <f t="shared" si="0"/>
        <v>C-14</v>
      </c>
      <c r="R25" s="412">
        <f t="shared" si="9"/>
        <v>0</v>
      </c>
      <c r="S25" s="412">
        <f ca="1">I25*(1-过滤效率!$B22)</f>
        <v>18907812765.2795</v>
      </c>
      <c r="T25" s="412">
        <f ca="1">J25*(1-过滤效率!$B22)</f>
        <v>187189.194363226</v>
      </c>
      <c r="U25" s="412">
        <f ca="1">K25*(1-过滤效率!$B22)</f>
        <v>3.35548023602048e-11</v>
      </c>
      <c r="V25" s="412">
        <f ca="1">L25*(1-过滤效率!$B22)</f>
        <v>6.33509401189975e-12</v>
      </c>
      <c r="W25" s="412">
        <f ca="1">M25*(1-过滤效率!$B22)</f>
        <v>6.17689614654309e-13</v>
      </c>
      <c r="X25" s="412">
        <f ca="1" t="shared" si="10"/>
        <v>18907999954.4739</v>
      </c>
      <c r="Y25" s="493"/>
      <c r="Z25" s="494">
        <f>VLOOKUP(G25,衰变常数!$A$1:$H$3800,7,FALSE)</f>
        <v>3.8534294386192e-12</v>
      </c>
      <c r="AA25" s="495"/>
      <c r="AB25" s="496">
        <f>正常源项!F22</f>
        <v>0</v>
      </c>
      <c r="AC25" s="496">
        <f>正常源项!I22</f>
        <v>208000000</v>
      </c>
      <c r="AD25" s="496">
        <f>正常源项!L22</f>
        <v>18700000000</v>
      </c>
      <c r="AE25" s="496"/>
      <c r="AF25" s="498"/>
      <c r="AG25" s="519"/>
      <c r="AH25" s="523"/>
      <c r="AI25" s="519"/>
      <c r="AK25" s="527"/>
      <c r="AL25" s="527"/>
      <c r="AM25" s="528"/>
      <c r="AN25" s="527"/>
      <c r="AO25" s="527"/>
      <c r="AP25" s="560">
        <f t="shared" si="14"/>
        <v>0</v>
      </c>
      <c r="AQ25" s="561">
        <f>(AC25*$C$5+AD25*$C$8+AF25+AG25+AI25+(AL25+AM25)*$C$10)*EXP(-Z25*$C$12*3600)+AO25*$C$11</f>
        <v>18908000000</v>
      </c>
      <c r="AR25" s="562">
        <f>AQ25*(1-AR$3)</f>
        <v>18908000000</v>
      </c>
      <c r="AS25" s="563">
        <f t="shared" si="15"/>
        <v>0</v>
      </c>
      <c r="AT25" s="562">
        <f>AS25*(1-AT$3)</f>
        <v>0</v>
      </c>
      <c r="AU25" s="564">
        <f t="shared" si="16"/>
        <v>0</v>
      </c>
      <c r="AV25" s="565">
        <f>AV$3*3600</f>
        <v>7200</v>
      </c>
      <c r="AW25" s="580">
        <f>AP25*EXP(-Z25*AW$3*3600)</f>
        <v>0</v>
      </c>
      <c r="AX25" s="580">
        <f t="shared" si="17"/>
        <v>18908000000</v>
      </c>
      <c r="AY25" s="581">
        <f t="shared" si="18"/>
        <v>0</v>
      </c>
      <c r="AZ25" s="580">
        <v>0</v>
      </c>
      <c r="BA25" s="580">
        <f ca="1">MAX(INDIRECT("'"&amp;$B$2&amp;"-事故进程'!Y"&amp;(ROW()+22)),INDIRECT("'"&amp;$B$2&amp;"-事故进程'!Z"&amp;(ROW()+22)))</f>
        <v>0</v>
      </c>
      <c r="BB25" s="580">
        <f ca="1">SUM(BA$3,-LN(1-BB$3)/AV25)</f>
        <v>0.00160041330566996</v>
      </c>
      <c r="BC25" s="580">
        <f>BC$3/24/3600</f>
        <v>1157407407407410</v>
      </c>
      <c r="BD25" s="582">
        <f ca="1" t="shared" si="19"/>
        <v>0.999999972255308</v>
      </c>
      <c r="BE25" s="582">
        <f ca="1" t="shared" si="20"/>
        <v>9.89999972532756e-6</v>
      </c>
      <c r="BF25" s="582">
        <f t="shared" si="21"/>
        <v>0</v>
      </c>
      <c r="BG25" s="582">
        <f ca="1" t="shared" si="22"/>
        <v>-30260614.7836077</v>
      </c>
      <c r="BH25" s="582">
        <f ca="1" t="shared" si="23"/>
        <v>-2.6145171173037e-8</v>
      </c>
      <c r="BI25" s="582">
        <f ca="1" t="shared" si="24"/>
        <v>1</v>
      </c>
      <c r="BJ25" s="580">
        <f ca="1" t="shared" si="25"/>
        <v>0</v>
      </c>
      <c r="BK25" s="580">
        <f ca="1" t="shared" si="26"/>
        <v>187189.194806493</v>
      </c>
      <c r="BL25" s="586">
        <f ca="1" t="shared" si="27"/>
        <v>2.58837187431708e-13</v>
      </c>
      <c r="BM25" s="594">
        <f ca="1" t="shared" si="28"/>
        <v>18907812286.2086</v>
      </c>
      <c r="BN25" s="580">
        <f ca="1" t="shared" si="29"/>
        <v>0</v>
      </c>
      <c r="BO25" s="580">
        <f ca="1" t="shared" si="30"/>
        <v>18907812765.2795</v>
      </c>
      <c r="BP25" s="595">
        <f ca="1" t="shared" si="31"/>
        <v>18907812765.2795</v>
      </c>
      <c r="BQ25" s="596">
        <f>BQ$3*3600</f>
        <v>21600</v>
      </c>
      <c r="BR25" s="580">
        <f ca="1" t="shared" ref="BR25:BU25" si="217">BJ25</f>
        <v>0</v>
      </c>
      <c r="BS25" s="580">
        <f ca="1" t="shared" si="217"/>
        <v>187189.194806493</v>
      </c>
      <c r="BT25" s="581">
        <f ca="1" t="shared" si="217"/>
        <v>2.58837187431708e-13</v>
      </c>
      <c r="BU25" s="580">
        <f ca="1" t="shared" si="217"/>
        <v>18907812286.2086</v>
      </c>
      <c r="BV25" s="580">
        <f ca="1">MAX(INDIRECT("'"&amp;$B$2&amp;"-事故进程'!Z"&amp;(ROW()+22)),INDIRECT("'"&amp;$B$2&amp;"-事故进程'!AA"&amp;(ROW()+22)))</f>
        <v>0</v>
      </c>
      <c r="BW25" s="580">
        <f ca="1">SUM(BV$3,-LN(1-BW$3)/BQ25)</f>
        <v>0.00162728102077123</v>
      </c>
      <c r="BX25" s="580">
        <f>BX$3/24/3600</f>
        <v>1157407407407410</v>
      </c>
      <c r="BY25" s="582">
        <f ca="1" t="shared" si="33"/>
        <v>0.999999916765928</v>
      </c>
      <c r="BZ25" s="582">
        <f ca="1" t="shared" si="34"/>
        <v>5.43082662873353e-16</v>
      </c>
      <c r="CA25" s="582">
        <f t="shared" si="35"/>
        <v>0</v>
      </c>
      <c r="CB25" s="582">
        <f ca="1" t="shared" si="36"/>
        <v>-304.609424002056</v>
      </c>
      <c r="CC25" s="582">
        <f ca="1" t="shared" si="37"/>
        <v>-4.34535490606765e-15</v>
      </c>
      <c r="CD25" s="582">
        <f ca="1" t="shared" si="38"/>
        <v>1</v>
      </c>
      <c r="CE25" s="580">
        <f ca="1" t="shared" si="39"/>
        <v>0</v>
      </c>
      <c r="CF25" s="580">
        <f ca="1" t="shared" si="40"/>
        <v>1.01659206376629e-10</v>
      </c>
      <c r="CG25" s="586">
        <f ca="1" t="shared" si="41"/>
        <v>1.42929875914578e-28</v>
      </c>
      <c r="CH25" s="594">
        <f ca="1" t="shared" si="42"/>
        <v>18907997901.6136</v>
      </c>
      <c r="CI25" s="580">
        <f ca="1" t="shared" si="43"/>
        <v>0</v>
      </c>
      <c r="CJ25" s="580">
        <f ca="1" t="shared" si="44"/>
        <v>187189.194363226</v>
      </c>
      <c r="CK25" s="595">
        <f ca="1" t="shared" si="45"/>
        <v>187189.194363226</v>
      </c>
      <c r="CL25" s="596">
        <f>CL$3*3600</f>
        <v>57600</v>
      </c>
      <c r="CM25" s="580">
        <f ca="1" t="shared" ref="CM25:CP25" si="218">CE25</f>
        <v>0</v>
      </c>
      <c r="CN25" s="580">
        <f ca="1" t="shared" si="218"/>
        <v>1.01659206376629e-10</v>
      </c>
      <c r="CO25" s="581">
        <f ca="1" t="shared" si="218"/>
        <v>1.42929875914578e-28</v>
      </c>
      <c r="CP25" s="580">
        <f ca="1" t="shared" si="218"/>
        <v>18907997901.6136</v>
      </c>
      <c r="CQ25" s="580">
        <f ca="1">MAX(INDIRECT("'"&amp;$B$2&amp;"-事故进程'!AA"&amp;(ROW()+22)),INDIRECT("'"&amp;$B$2&amp;"-事故进程'!AB"&amp;(ROW()+22)))</f>
        <v>0</v>
      </c>
      <c r="CR25" s="580">
        <f ca="1">SUM(CQ$3,-LN(1-CR$3)/CL25)</f>
        <v>6.95458811586267e-6</v>
      </c>
      <c r="CS25" s="580">
        <f>CS$3/24/3600</f>
        <v>1157407407407410</v>
      </c>
      <c r="CT25" s="582">
        <f ca="1" t="shared" si="47"/>
        <v>0.999999778042489</v>
      </c>
      <c r="CU25" s="582">
        <f ca="1" t="shared" si="48"/>
        <v>0.669928360171474</v>
      </c>
      <c r="CV25" s="582">
        <f t="shared" si="49"/>
        <v>0</v>
      </c>
      <c r="CW25" s="582">
        <f ca="1" t="shared" si="50"/>
        <v>-7.06997908534936e-16</v>
      </c>
      <c r="CX25" s="582">
        <f ca="1" t="shared" si="51"/>
        <v>1.42319029721604e-28</v>
      </c>
      <c r="CY25" s="582">
        <f ca="1" t="shared" si="52"/>
        <v>1</v>
      </c>
      <c r="CZ25" s="580">
        <f ca="1" t="shared" si="53"/>
        <v>0</v>
      </c>
      <c r="DA25" s="580">
        <f ca="1" t="shared" si="54"/>
        <v>6.81043854242287e-11</v>
      </c>
      <c r="DB25" s="586">
        <f ca="1" t="shared" si="55"/>
        <v>4.09223188376184e-31</v>
      </c>
      <c r="DC25" s="594">
        <f ca="1" t="shared" si="56"/>
        <v>18907993704.8414</v>
      </c>
      <c r="DD25" s="580">
        <f ca="1" t="shared" si="57"/>
        <v>0</v>
      </c>
      <c r="DE25" s="580">
        <f ca="1" t="shared" si="58"/>
        <v>3.35548023602048e-11</v>
      </c>
      <c r="DF25" s="595">
        <f ca="1" t="shared" si="59"/>
        <v>3.35548023602048e-11</v>
      </c>
      <c r="DG25" s="596">
        <f>DG$3*3600</f>
        <v>86400</v>
      </c>
      <c r="DH25" s="580">
        <f ca="1" t="shared" ref="DH25:DK25" si="219">CZ25</f>
        <v>0</v>
      </c>
      <c r="DI25" s="580">
        <f ca="1" t="shared" si="219"/>
        <v>6.81043854242287e-11</v>
      </c>
      <c r="DJ25" s="581">
        <f ca="1" t="shared" si="219"/>
        <v>4.09223188376184e-31</v>
      </c>
      <c r="DK25" s="580">
        <f ca="1" t="shared" si="219"/>
        <v>18907993704.8414</v>
      </c>
      <c r="DL25" s="580">
        <f ca="1">MAX(INDIRECT("'"&amp;$B$2&amp;"-事故进程'!AB"&amp;(ROW()+22)),INDIRECT("'"&amp;$B$2&amp;"-事故进程'!AC"&amp;(ROW()+22)))</f>
        <v>0</v>
      </c>
      <c r="DM25" s="580">
        <f ca="1">SUM(DL$3,-LN(1-DM$3)/DG25)</f>
        <v>1.01371476497628e-6</v>
      </c>
      <c r="DN25" s="580">
        <f>DN$3/24/3600</f>
        <v>1157407407407410</v>
      </c>
      <c r="DO25" s="582">
        <f ca="1" t="shared" si="61"/>
        <v>0.999999667063752</v>
      </c>
      <c r="DP25" s="582">
        <f ca="1" t="shared" si="62"/>
        <v>0.916140731930564</v>
      </c>
      <c r="DQ25" s="582">
        <f t="shared" si="63"/>
        <v>0</v>
      </c>
      <c r="DR25" s="582">
        <f ca="1" t="shared" si="64"/>
        <v>-6.90384210641757e-17</v>
      </c>
      <c r="DS25" s="582">
        <f ca="1" t="shared" si="65"/>
        <v>3.49573992576736e-31</v>
      </c>
      <c r="DT25" s="582">
        <f ca="1" t="shared" si="66"/>
        <v>1</v>
      </c>
      <c r="DU25" s="580">
        <f ca="1" t="shared" si="67"/>
        <v>0</v>
      </c>
      <c r="DV25" s="580">
        <f ca="1" t="shared" si="68"/>
        <v>6.23932015102341e-11</v>
      </c>
      <c r="DW25" s="586">
        <f ca="1" t="shared" si="69"/>
        <v>5.46470578987756e-32</v>
      </c>
      <c r="DX25" s="594">
        <f ca="1" t="shared" si="70"/>
        <v>18907987409.6849</v>
      </c>
      <c r="DY25" s="580">
        <f ca="1" t="shared" si="71"/>
        <v>0</v>
      </c>
      <c r="DZ25" s="580">
        <f ca="1" t="shared" si="72"/>
        <v>5.71116220417903e-12</v>
      </c>
      <c r="EA25" s="595">
        <f ca="1" t="shared" si="73"/>
        <v>5.71116220417903e-12</v>
      </c>
      <c r="EB25" s="596">
        <f>EB$3*3600</f>
        <v>172800</v>
      </c>
      <c r="EC25" s="580">
        <f ca="1" t="shared" ref="EC25:EF25" si="220">DU25</f>
        <v>0</v>
      </c>
      <c r="ED25" s="580">
        <f ca="1" t="shared" si="220"/>
        <v>6.23932015102341e-11</v>
      </c>
      <c r="EE25" s="581">
        <f ca="1" t="shared" si="220"/>
        <v>5.46470578987756e-32</v>
      </c>
      <c r="EF25" s="580">
        <f ca="1" t="shared" si="220"/>
        <v>18907987409.6849</v>
      </c>
      <c r="EG25" s="580">
        <f ca="1">MAX(INDIRECT("'"&amp;$B$2&amp;"-事故进程'!AC"&amp;(ROW()+22)),INDIRECT("'"&amp;$B$2&amp;"-事故进程'!AD"&amp;(ROW()+22)),INDIRECT("'"&amp;$B$2&amp;"-事故进程'!AE"&amp;(ROW()+22)))</f>
        <v>0</v>
      </c>
      <c r="EH25" s="580">
        <f ca="1">SUM(EG$3,-LN(1-EH$3)/EB25)</f>
        <v>5.81616658188741e-8</v>
      </c>
      <c r="EI25" s="580">
        <f>EI$3/24/3600</f>
        <v>1157407407407410</v>
      </c>
      <c r="EJ25" s="582">
        <f ca="1" t="shared" si="75"/>
        <v>0.999999334127615</v>
      </c>
      <c r="EK25" s="582">
        <f ca="1" t="shared" si="76"/>
        <v>0.989999340786339</v>
      </c>
      <c r="EL25" s="582">
        <f t="shared" si="77"/>
        <v>0</v>
      </c>
      <c r="EM25" s="582">
        <f ca="1" t="shared" si="78"/>
        <v>-3.62889253560791e-18</v>
      </c>
      <c r="EN25" s="582">
        <f ca="1" t="shared" si="79"/>
        <v>5.15116947480104e-32</v>
      </c>
      <c r="EO25" s="582">
        <f ca="1" t="shared" si="80"/>
        <v>1</v>
      </c>
      <c r="EP25" s="580">
        <f ca="1" t="shared" si="81"/>
        <v>0</v>
      </c>
      <c r="EQ25" s="580">
        <f ca="1" t="shared" si="82"/>
        <v>6.1769228364681e-11</v>
      </c>
      <c r="ER25" s="586">
        <f ca="1" t="shared" si="83"/>
        <v>3.10400745238336e-33</v>
      </c>
      <c r="ES25" s="594">
        <f ca="1" t="shared" si="84"/>
        <v>18907974819.3783</v>
      </c>
      <c r="ET25" s="580">
        <f ca="1" t="shared" si="85"/>
        <v>0</v>
      </c>
      <c r="EU25" s="580">
        <f ca="1" t="shared" si="86"/>
        <v>6.23931807720727e-13</v>
      </c>
      <c r="EV25" s="595">
        <f ca="1" t="shared" si="87"/>
        <v>6.23931807720727e-13</v>
      </c>
      <c r="EW25" s="596">
        <f>EW$3*3600</f>
        <v>2246400</v>
      </c>
      <c r="EX25" s="580">
        <f ca="1" t="shared" ref="EX25:FA25" si="221">EP25</f>
        <v>0</v>
      </c>
      <c r="EY25" s="580">
        <f ca="1" t="shared" si="221"/>
        <v>6.1769228364681e-11</v>
      </c>
      <c r="EZ25" s="581">
        <f ca="1" t="shared" si="221"/>
        <v>3.10400745238336e-33</v>
      </c>
      <c r="FA25" s="580">
        <f ca="1" t="shared" si="221"/>
        <v>18907974819.3783</v>
      </c>
      <c r="FB25" s="580">
        <f ca="1">INDIRECT("'"&amp;$B$2&amp;"-事故进程'!AE"&amp;(ROW()+22))</f>
        <v>0</v>
      </c>
      <c r="FC25" s="580">
        <f ca="1">SUM(FB$3,-LN(1-FC$3)/EW25)</f>
        <v>4.47397429375955e-9</v>
      </c>
      <c r="FD25" s="580">
        <f>FD$3/24/3600</f>
        <v>1157407407407410</v>
      </c>
      <c r="FE25" s="582">
        <f ca="1" t="shared" si="89"/>
        <v>0.999991343693575</v>
      </c>
      <c r="FF25" s="582">
        <f ca="1" t="shared" si="90"/>
        <v>0.989991430256639</v>
      </c>
      <c r="FG25" s="582">
        <f t="shared" si="91"/>
        <v>0</v>
      </c>
      <c r="FH25" s="582">
        <f ca="1" t="shared" si="92"/>
        <v>-2.76353939848946e-19</v>
      </c>
      <c r="FI25" s="582">
        <f ca="1" t="shared" si="93"/>
        <v>2.86523764835387e-33</v>
      </c>
      <c r="FJ25" s="582">
        <f ca="1" t="shared" si="94"/>
        <v>1</v>
      </c>
      <c r="FK25" s="580">
        <f ca="1" t="shared" si="95"/>
        <v>0</v>
      </c>
      <c r="FL25" s="580">
        <f ca="1" t="shared" si="96"/>
        <v>6.11510067345995e-11</v>
      </c>
      <c r="FM25" s="586">
        <f ca="1" t="shared" si="97"/>
        <v>2.36380059793251e-34</v>
      </c>
      <c r="FN25" s="594">
        <f ca="1" t="shared" si="98"/>
        <v>18907811146.1544</v>
      </c>
      <c r="FO25" s="580">
        <f ca="1" t="shared" si="99"/>
        <v>0</v>
      </c>
      <c r="FP25" s="580">
        <f ca="1" t="shared" si="100"/>
        <v>6.17689614654309e-13</v>
      </c>
      <c r="FQ25" s="595">
        <f ca="1" t="shared" si="101"/>
        <v>6.17689614654309e-13</v>
      </c>
      <c r="FR25" s="608" t="str">
        <f t="shared" si="102"/>
        <v>C-14</v>
      </c>
      <c r="FS25" s="609">
        <v>4940000000</v>
      </c>
      <c r="FT25" s="610">
        <v>0</v>
      </c>
      <c r="FU25" s="610">
        <v>0</v>
      </c>
      <c r="FV25" s="610">
        <v>0</v>
      </c>
      <c r="FW25" s="610">
        <v>4940000000</v>
      </c>
      <c r="FX25" s="614">
        <f t="shared" si="103"/>
        <v>0</v>
      </c>
      <c r="FY25" s="614"/>
      <c r="FZ25" s="614"/>
      <c r="GA25" s="614"/>
      <c r="GB25" s="614">
        <f ca="1" t="shared" si="107"/>
        <v>3.82753035515665</v>
      </c>
      <c r="GC25" s="455">
        <f ca="1" t="shared" si="108"/>
        <v>3.82753035515665</v>
      </c>
      <c r="GE25" s="609">
        <v>3837456881.37195</v>
      </c>
      <c r="GF25" s="610">
        <v>504669667.114012</v>
      </c>
      <c r="GG25" s="610">
        <v>960246468.180332</v>
      </c>
      <c r="GH25" s="610">
        <v>1325510494.87155</v>
      </c>
      <c r="GI25" s="610">
        <v>2284606584.31661</v>
      </c>
      <c r="GJ25" s="610">
        <v>9552339972.24301</v>
      </c>
      <c r="GK25" s="617">
        <v>18464830068.0975</v>
      </c>
      <c r="GL25" s="614">
        <f t="shared" si="109"/>
        <v>0</v>
      </c>
      <c r="GM25" s="614">
        <f ca="1" t="shared" si="110"/>
        <v>37.4660915576729</v>
      </c>
      <c r="GN25" s="614">
        <f ca="1" t="shared" si="111"/>
        <v>3.49439476968774e-20</v>
      </c>
      <c r="GO25" s="614">
        <f ca="1" t="shared" si="112"/>
        <v>1.7548167754505e-21</v>
      </c>
      <c r="GP25" s="614">
        <f ca="1" t="shared" si="113"/>
        <v>6.46636966909866e-23</v>
      </c>
      <c r="GQ25" s="614">
        <f ca="1" t="shared" si="114"/>
        <v>1.02400075628868</v>
      </c>
      <c r="GR25" s="451">
        <f t="shared" si="115"/>
        <v>3.8534294386192e-12</v>
      </c>
      <c r="GS25" s="390">
        <f t="shared" si="116"/>
        <v>179878000000</v>
      </c>
    </row>
    <row r="26" spans="1:201">
      <c r="A26" s="432" t="s">
        <v>277</v>
      </c>
      <c r="B26" s="407" t="s">
        <v>267</v>
      </c>
      <c r="C26" s="428">
        <f>-LN(1-0%)/8/3600</f>
        <v>0</v>
      </c>
      <c r="D26" s="410" t="s">
        <v>268</v>
      </c>
      <c r="E26" s="409" t="s">
        <v>269</v>
      </c>
      <c r="G26" s="435" t="s">
        <v>67</v>
      </c>
      <c r="H26" s="412">
        <f t="shared" si="1"/>
        <v>0</v>
      </c>
      <c r="I26" s="412">
        <f ca="1" t="shared" si="2"/>
        <v>4245787.91281205</v>
      </c>
      <c r="J26" s="412">
        <f ca="1" t="shared" si="3"/>
        <v>42.0324571881622</v>
      </c>
      <c r="K26" s="412">
        <f ca="1" t="shared" si="4"/>
        <v>7.53307246132174e-15</v>
      </c>
      <c r="L26" s="412">
        <f ca="1" t="shared" si="5"/>
        <v>1.42172258931209e-15</v>
      </c>
      <c r="M26" s="412">
        <f ca="1" t="shared" si="6"/>
        <v>1.37859855090879e-16</v>
      </c>
      <c r="N26" s="412">
        <f ca="1" t="shared" si="7"/>
        <v>4245829.94526924</v>
      </c>
      <c r="O26" s="450">
        <f t="shared" si="8"/>
        <v>0</v>
      </c>
      <c r="P26" s="451"/>
      <c r="Q26" s="477" t="str">
        <f t="shared" si="0"/>
        <v>Co-60</v>
      </c>
      <c r="R26" s="412">
        <f t="shared" si="9"/>
        <v>0</v>
      </c>
      <c r="S26" s="412">
        <f ca="1">I26*(1-过滤效率!$B23)</f>
        <v>4245.78791281206</v>
      </c>
      <c r="T26" s="412">
        <f ca="1">J26*(1-过滤效率!$B23)</f>
        <v>0.0420324571881623</v>
      </c>
      <c r="U26" s="412">
        <f ca="1">K26*(1-过滤效率!$B23)</f>
        <v>7.53307246132175e-18</v>
      </c>
      <c r="V26" s="412">
        <f ca="1">L26*(1-过滤效率!$B23)</f>
        <v>1.42172258931209e-18</v>
      </c>
      <c r="W26" s="412">
        <f ca="1">M26*(1-过滤效率!$B23)</f>
        <v>1.3785985509088e-19</v>
      </c>
      <c r="X26" s="412">
        <f ca="1" t="shared" si="10"/>
        <v>4245.82994526925</v>
      </c>
      <c r="Y26" s="493"/>
      <c r="Z26" s="494">
        <f>VLOOKUP(G26,衰变常数!$A$1:$H$3800,7,FALSE)</f>
        <v>4.16694528910503e-9</v>
      </c>
      <c r="AA26" s="495"/>
      <c r="AB26" s="496">
        <f>正常源项!F23</f>
        <v>0</v>
      </c>
      <c r="AC26" s="496">
        <f>正常源项!I23</f>
        <v>1100</v>
      </c>
      <c r="AD26" s="497"/>
      <c r="AE26" s="496">
        <f>正常源项!O23</f>
        <v>2120000000</v>
      </c>
      <c r="AF26" s="498">
        <f>AC26*$C$6</f>
        <v>4741</v>
      </c>
      <c r="AG26" s="519">
        <f>AE26*MIN(100%,$C$7/500)</f>
        <v>4240000</v>
      </c>
      <c r="AH26" s="523">
        <v>1</v>
      </c>
      <c r="AI26" s="519">
        <f>AE26*AH26*$C$9</f>
        <v>0</v>
      </c>
      <c r="AK26" s="527"/>
      <c r="AL26" s="527"/>
      <c r="AM26" s="528"/>
      <c r="AN26" s="527"/>
      <c r="AO26" s="527"/>
      <c r="AP26" s="560">
        <f t="shared" si="14"/>
        <v>0</v>
      </c>
      <c r="AQ26" s="561">
        <f>(AC26*$C$5+AD26*$C$8+AF26+AG26+AI26+(AL26+AM26)*$C$10)*EXP(-Z26*$C$12*3600)+AO26*$C$11</f>
        <v>4245841</v>
      </c>
      <c r="AR26" s="562">
        <f>AQ26*(1-AR$3)</f>
        <v>4245841</v>
      </c>
      <c r="AS26" s="563">
        <f t="shared" si="15"/>
        <v>0</v>
      </c>
      <c r="AT26" s="562">
        <f>AS26*(1-AT$3)</f>
        <v>0</v>
      </c>
      <c r="AU26" s="564">
        <f t="shared" si="16"/>
        <v>0</v>
      </c>
      <c r="AV26" s="565">
        <f>AV$3*3600</f>
        <v>7200</v>
      </c>
      <c r="AW26" s="580">
        <f>AP26*EXP(-Z26*AW$3*3600)</f>
        <v>0</v>
      </c>
      <c r="AX26" s="580">
        <f t="shared" si="17"/>
        <v>4245841</v>
      </c>
      <c r="AY26" s="581">
        <f t="shared" si="18"/>
        <v>0</v>
      </c>
      <c r="AZ26" s="580">
        <v>0</v>
      </c>
      <c r="BA26" s="580">
        <f ca="1">MAX(INDIRECT("'"&amp;$B$2&amp;"-事故进程'!Y"&amp;(ROW()+22)),INDIRECT("'"&amp;$B$2&amp;"-事故进程'!Z"&amp;(ROW()+22)))</f>
        <v>0</v>
      </c>
      <c r="BB26" s="580">
        <f ca="1">SUM(BA$3,-LN(1-BB$3)/AV26)</f>
        <v>0.00160041330566996</v>
      </c>
      <c r="BC26" s="580">
        <f>BC$3/24/3600</f>
        <v>1157407407407410</v>
      </c>
      <c r="BD26" s="582">
        <f ca="1" t="shared" si="19"/>
        <v>0.999969998443974</v>
      </c>
      <c r="BE26" s="582">
        <f ca="1" t="shared" si="20"/>
        <v>9.89970298459535e-6</v>
      </c>
      <c r="BF26" s="582">
        <f t="shared" si="21"/>
        <v>0</v>
      </c>
      <c r="BG26" s="582">
        <f ca="1" t="shared" si="22"/>
        <v>-6795.10043015906</v>
      </c>
      <c r="BH26" s="582">
        <f ca="1" t="shared" si="23"/>
        <v>-5.87096677165743e-12</v>
      </c>
      <c r="BI26" s="582">
        <f ca="1" t="shared" si="24"/>
        <v>1</v>
      </c>
      <c r="BJ26" s="580">
        <f ca="1" t="shared" si="25"/>
        <v>0</v>
      </c>
      <c r="BK26" s="580">
        <f ca="1" t="shared" si="26"/>
        <v>42.0325648198173</v>
      </c>
      <c r="BL26" s="586">
        <f ca="1" t="shared" si="27"/>
        <v>5.81208272718372e-17</v>
      </c>
      <c r="BM26" s="594">
        <f ca="1" t="shared" si="28"/>
        <v>4245671.58559854</v>
      </c>
      <c r="BN26" s="580">
        <f ca="1" t="shared" si="29"/>
        <v>0</v>
      </c>
      <c r="BO26" s="580">
        <f ca="1" t="shared" si="30"/>
        <v>4245787.91281205</v>
      </c>
      <c r="BP26" s="595">
        <f ca="1" t="shared" si="31"/>
        <v>4245787.91281205</v>
      </c>
      <c r="BQ26" s="596">
        <f>BQ$3*3600</f>
        <v>21600</v>
      </c>
      <c r="BR26" s="580">
        <f ca="1" t="shared" ref="BR26:BU26" si="222">BJ26</f>
        <v>0</v>
      </c>
      <c r="BS26" s="580">
        <f ca="1" t="shared" si="222"/>
        <v>42.0325648198173</v>
      </c>
      <c r="BT26" s="581">
        <f ca="1" t="shared" si="222"/>
        <v>5.81208272718372e-17</v>
      </c>
      <c r="BU26" s="580">
        <f ca="1" t="shared" si="222"/>
        <v>4245671.58559854</v>
      </c>
      <c r="BV26" s="580">
        <f ca="1">MAX(INDIRECT("'"&amp;$B$2&amp;"-事故进程'!Z"&amp;(ROW()+22)),INDIRECT("'"&amp;$B$2&amp;"-事故进程'!AA"&amp;(ROW()+22)))</f>
        <v>0</v>
      </c>
      <c r="BW26" s="580">
        <f ca="1">SUM(BV$3,-LN(1-BW$3)/BQ26)</f>
        <v>0.00162728102077123</v>
      </c>
      <c r="BX26" s="580">
        <f>BX$3/24/3600</f>
        <v>1157407407407410</v>
      </c>
      <c r="BY26" s="582">
        <f ca="1" t="shared" si="33"/>
        <v>0.999909998032176</v>
      </c>
      <c r="BZ26" s="582">
        <f ca="1" t="shared" si="34"/>
        <v>5.43033829563919e-16</v>
      </c>
      <c r="CA26" s="582">
        <f t="shared" si="35"/>
        <v>0</v>
      </c>
      <c r="CB26" s="582">
        <f ca="1" t="shared" si="36"/>
        <v>-0.0683987949856252</v>
      </c>
      <c r="CC26" s="582">
        <f ca="1" t="shared" si="37"/>
        <v>-9.75731595743052e-19</v>
      </c>
      <c r="CD26" s="582">
        <f ca="1" t="shared" si="38"/>
        <v>1</v>
      </c>
      <c r="CE26" s="580">
        <f ca="1" t="shared" si="39"/>
        <v>0</v>
      </c>
      <c r="CF26" s="580">
        <f ca="1" t="shared" si="40"/>
        <v>2.2825104640499e-14</v>
      </c>
      <c r="CG26" s="586">
        <f ca="1" t="shared" si="41"/>
        <v>3.20914306759117e-32</v>
      </c>
      <c r="CH26" s="594">
        <f ca="1" t="shared" si="42"/>
        <v>4245331.49558291</v>
      </c>
      <c r="CI26" s="580">
        <f ca="1" t="shared" si="43"/>
        <v>0</v>
      </c>
      <c r="CJ26" s="580">
        <f ca="1" t="shared" si="44"/>
        <v>42.0324571881622</v>
      </c>
      <c r="CK26" s="595">
        <f ca="1" t="shared" si="45"/>
        <v>42.0324571881622</v>
      </c>
      <c r="CL26" s="596">
        <f>CL$3*3600</f>
        <v>57600</v>
      </c>
      <c r="CM26" s="580">
        <f ca="1" t="shared" ref="CM26:CP26" si="223">CE26</f>
        <v>0</v>
      </c>
      <c r="CN26" s="580">
        <f ca="1" t="shared" si="223"/>
        <v>2.2825104640499e-14</v>
      </c>
      <c r="CO26" s="581">
        <f ca="1" t="shared" si="223"/>
        <v>3.20914306759117e-32</v>
      </c>
      <c r="CP26" s="580">
        <f ca="1" t="shared" si="223"/>
        <v>4245331.49558291</v>
      </c>
      <c r="CQ26" s="580">
        <f ca="1">MAX(INDIRECT("'"&amp;$B$2&amp;"-事故进程'!AA"&amp;(ROW()+22)),INDIRECT("'"&amp;$B$2&amp;"-事故进程'!AB"&amp;(ROW()+22)))</f>
        <v>0</v>
      </c>
      <c r="CR26" s="580">
        <f ca="1">SUM(CQ$3,-LN(1-CR$3)/CL26)</f>
        <v>6.95458811586267e-6</v>
      </c>
      <c r="CS26" s="580">
        <f>CS$3/24/3600</f>
        <v>1157407407407410</v>
      </c>
      <c r="CT26" s="582">
        <f ca="1" t="shared" si="47"/>
        <v>0.999760012752895</v>
      </c>
      <c r="CU26" s="582">
        <f ca="1" t="shared" si="48"/>
        <v>0.669767734568539</v>
      </c>
      <c r="CV26" s="582">
        <f t="shared" si="49"/>
        <v>0</v>
      </c>
      <c r="CW26" s="582">
        <f ca="1" t="shared" si="50"/>
        <v>-1.58739201476137e-19</v>
      </c>
      <c r="CX26" s="582">
        <f ca="1" t="shared" si="51"/>
        <v>3.19542800058363e-32</v>
      </c>
      <c r="CY26" s="582">
        <f ca="1" t="shared" si="52"/>
        <v>1</v>
      </c>
      <c r="CZ26" s="580">
        <f ca="1" t="shared" si="53"/>
        <v>0</v>
      </c>
      <c r="DA26" s="580">
        <f ca="1" t="shared" si="54"/>
        <v>1.52875186263569e-14</v>
      </c>
      <c r="DB26" s="586">
        <f ca="1" t="shared" si="55"/>
        <v>9.18590935909457e-35</v>
      </c>
      <c r="DC26" s="594">
        <f ca="1" t="shared" si="56"/>
        <v>4244312.67016424</v>
      </c>
      <c r="DD26" s="580">
        <f ca="1" t="shared" si="57"/>
        <v>0</v>
      </c>
      <c r="DE26" s="580">
        <f ca="1" t="shared" si="58"/>
        <v>7.53307246132174e-15</v>
      </c>
      <c r="DF26" s="595">
        <f ca="1" t="shared" si="59"/>
        <v>7.53307246132174e-15</v>
      </c>
      <c r="DG26" s="596">
        <f>DG$3*3600</f>
        <v>86400</v>
      </c>
      <c r="DH26" s="580">
        <f ca="1" t="shared" ref="DH26:DK26" si="224">CZ26</f>
        <v>0</v>
      </c>
      <c r="DI26" s="580">
        <f ca="1" t="shared" si="224"/>
        <v>1.52875186263569e-14</v>
      </c>
      <c r="DJ26" s="581">
        <f ca="1" t="shared" si="224"/>
        <v>9.18590935909457e-35</v>
      </c>
      <c r="DK26" s="580">
        <f ca="1" t="shared" si="224"/>
        <v>4244312.67016424</v>
      </c>
      <c r="DL26" s="580">
        <f ca="1">MAX(INDIRECT("'"&amp;$B$2&amp;"-事故进程'!AB"&amp;(ROW()+22)),INDIRECT("'"&amp;$B$2&amp;"-事故进程'!AC"&amp;(ROW()+22)))</f>
        <v>0</v>
      </c>
      <c r="DM26" s="580">
        <f ca="1">SUM(DL$3,-LN(1-DM$3)/DG26)</f>
        <v>1.01371476497628e-6</v>
      </c>
      <c r="DN26" s="580">
        <f>DN$3/24/3600</f>
        <v>1157407407407410</v>
      </c>
      <c r="DO26" s="582">
        <f ca="1" t="shared" si="61"/>
        <v>0.999640040727911</v>
      </c>
      <c r="DP26" s="582">
        <f ca="1" t="shared" si="62"/>
        <v>0.915811263486333</v>
      </c>
      <c r="DQ26" s="582">
        <f t="shared" si="63"/>
        <v>0</v>
      </c>
      <c r="DR26" s="582">
        <f ca="1" t="shared" si="64"/>
        <v>-1.54971833513878e-20</v>
      </c>
      <c r="DS26" s="582">
        <f ca="1" t="shared" si="65"/>
        <v>7.84695271753466e-35</v>
      </c>
      <c r="DT26" s="582">
        <f ca="1" t="shared" si="66"/>
        <v>1</v>
      </c>
      <c r="DU26" s="580">
        <f ca="1" t="shared" si="67"/>
        <v>0</v>
      </c>
      <c r="DV26" s="580">
        <f ca="1" t="shared" si="68"/>
        <v>1.40004817487747e-14</v>
      </c>
      <c r="DW26" s="586">
        <f ca="1" t="shared" si="69"/>
        <v>1.2262315736604e-35</v>
      </c>
      <c r="DX26" s="594">
        <f ca="1" t="shared" si="70"/>
        <v>4242784.89046497</v>
      </c>
      <c r="DY26" s="580">
        <f ca="1" t="shared" si="71"/>
        <v>0</v>
      </c>
      <c r="DZ26" s="580">
        <f ca="1" t="shared" si="72"/>
        <v>1.28176808043227e-15</v>
      </c>
      <c r="EA26" s="595">
        <f ca="1" t="shared" si="73"/>
        <v>1.28176808043227e-15</v>
      </c>
      <c r="EB26" s="596">
        <f>EB$3*3600</f>
        <v>172800</v>
      </c>
      <c r="EC26" s="580">
        <f ca="1" t="shared" ref="EC26:EF26" si="225">DU26</f>
        <v>0</v>
      </c>
      <c r="ED26" s="580">
        <f ca="1" t="shared" si="225"/>
        <v>1.40004817487747e-14</v>
      </c>
      <c r="EE26" s="581">
        <f ca="1" t="shared" si="225"/>
        <v>1.2262315736604e-35</v>
      </c>
      <c r="EF26" s="580">
        <f ca="1" t="shared" si="225"/>
        <v>4242784.89046497</v>
      </c>
      <c r="EG26" s="580">
        <f ca="1">MAX(INDIRECT("'"&amp;$B$2&amp;"-事故进程'!AC"&amp;(ROW()+22)),INDIRECT("'"&amp;$B$2&amp;"-事故进程'!AD"&amp;(ROW()+22)),INDIRECT("'"&amp;$B$2&amp;"-事故进程'!AE"&amp;(ROW()+22)))</f>
        <v>0</v>
      </c>
      <c r="EH26" s="580">
        <f ca="1">SUM(EG$3,-LN(1-EH$3)/EB26)</f>
        <v>5.81616658188741e-8</v>
      </c>
      <c r="EI26" s="580">
        <f>EI$3/24/3600</f>
        <v>1157407407407410</v>
      </c>
      <c r="EJ26" s="582">
        <f ca="1" t="shared" si="75"/>
        <v>0.9992802110265</v>
      </c>
      <c r="EK26" s="582">
        <f ca="1" t="shared" si="76"/>
        <v>0.989287408916235</v>
      </c>
      <c r="EL26" s="582">
        <f t="shared" si="77"/>
        <v>0</v>
      </c>
      <c r="EM26" s="582">
        <f ca="1" t="shared" si="78"/>
        <v>-8.14291340775483e-22</v>
      </c>
      <c r="EN26" s="582">
        <f ca="1" t="shared" si="79"/>
        <v>1.15587680181739e-35</v>
      </c>
      <c r="EO26" s="582">
        <f ca="1" t="shared" si="80"/>
        <v>1</v>
      </c>
      <c r="EP26" s="580">
        <f ca="1" t="shared" si="81"/>
        <v>0</v>
      </c>
      <c r="EQ26" s="580">
        <f ca="1" t="shared" si="82"/>
        <v>1.38505003128244e-14</v>
      </c>
      <c r="ER26" s="586">
        <f ca="1" t="shared" si="83"/>
        <v>6.96010899414561e-37</v>
      </c>
      <c r="ES26" s="594">
        <f ca="1" t="shared" si="84"/>
        <v>4239730.98068387</v>
      </c>
      <c r="ET26" s="580">
        <f ca="1" t="shared" si="85"/>
        <v>0</v>
      </c>
      <c r="EU26" s="580">
        <f ca="1" t="shared" si="86"/>
        <v>1.39954508879825e-16</v>
      </c>
      <c r="EV26" s="595">
        <f ca="1" t="shared" si="87"/>
        <v>1.39954508879825e-16</v>
      </c>
      <c r="EW26" s="596">
        <f>EW$3*3600</f>
        <v>2246400</v>
      </c>
      <c r="EX26" s="580">
        <f ca="1" t="shared" ref="EX26:FA26" si="226">EP26</f>
        <v>0</v>
      </c>
      <c r="EY26" s="580">
        <f ca="1" t="shared" si="226"/>
        <v>1.38505003128244e-14</v>
      </c>
      <c r="EZ26" s="581">
        <f ca="1" t="shared" si="226"/>
        <v>6.96010899414561e-37</v>
      </c>
      <c r="FA26" s="580">
        <f ca="1" t="shared" si="226"/>
        <v>4239730.98068387</v>
      </c>
      <c r="FB26" s="580">
        <f ca="1">INDIRECT("'"&amp;$B$2&amp;"-事故进程'!AE"&amp;(ROW()+22))</f>
        <v>0</v>
      </c>
      <c r="FC26" s="580">
        <f ca="1">SUM(FB$3,-LN(1-FC$3)/EW26)</f>
        <v>4.47397429375955e-9</v>
      </c>
      <c r="FD26" s="580">
        <f>FD$3/24/3600</f>
        <v>1157407407407410</v>
      </c>
      <c r="FE26" s="582">
        <f ca="1" t="shared" si="89"/>
        <v>0.990683048382053</v>
      </c>
      <c r="FF26" s="582">
        <f ca="1" t="shared" si="90"/>
        <v>0.980776217898232</v>
      </c>
      <c r="FG26" s="582">
        <f t="shared" si="91"/>
        <v>0</v>
      </c>
      <c r="FH26" s="582">
        <f ca="1" t="shared" si="92"/>
        <v>-6.1966782355285e-23</v>
      </c>
      <c r="FI26" s="582">
        <f ca="1" t="shared" si="93"/>
        <v>6.42471599459595e-37</v>
      </c>
      <c r="FJ26" s="582">
        <f ca="1" t="shared" si="94"/>
        <v>1</v>
      </c>
      <c r="FK26" s="580">
        <f ca="1" t="shared" si="95"/>
        <v>0</v>
      </c>
      <c r="FL26" s="580">
        <f ca="1" t="shared" si="96"/>
        <v>1.35842413128102e-14</v>
      </c>
      <c r="FM26" s="586">
        <f ca="1" t="shared" si="97"/>
        <v>5.25100721187508e-38</v>
      </c>
      <c r="FN26" s="594">
        <f ca="1" t="shared" si="98"/>
        <v>4200229.61226373</v>
      </c>
      <c r="FO26" s="580">
        <f ca="1" t="shared" si="99"/>
        <v>0</v>
      </c>
      <c r="FP26" s="580">
        <f ca="1" t="shared" si="100"/>
        <v>1.37859855090879e-16</v>
      </c>
      <c r="FQ26" s="595">
        <f ca="1" t="shared" si="101"/>
        <v>1.37859855090879e-16</v>
      </c>
      <c r="FR26" s="608" t="str">
        <f t="shared" si="102"/>
        <v>Co-60</v>
      </c>
      <c r="FS26" s="609">
        <v>172000000</v>
      </c>
      <c r="FT26" s="610">
        <v>0</v>
      </c>
      <c r="FU26" s="610">
        <v>0</v>
      </c>
      <c r="FV26" s="610">
        <v>0</v>
      </c>
      <c r="FW26" s="610">
        <v>172000000</v>
      </c>
      <c r="FX26" s="614">
        <f t="shared" si="103"/>
        <v>0</v>
      </c>
      <c r="FY26" s="614"/>
      <c r="FZ26" s="614"/>
      <c r="GA26" s="614"/>
      <c r="GB26" s="614">
        <f ca="1" t="shared" si="107"/>
        <v>0.0246850578213328</v>
      </c>
      <c r="GC26" s="455">
        <f ca="1" t="shared" si="108"/>
        <v>0.0246850578213328</v>
      </c>
      <c r="GE26" s="609">
        <v>11430.4546063246</v>
      </c>
      <c r="GF26" s="610">
        <v>5639990.43821344</v>
      </c>
      <c r="GG26" s="610">
        <v>10729403.9250134</v>
      </c>
      <c r="GH26" s="610">
        <v>14806266.6574133</v>
      </c>
      <c r="GI26" s="610">
        <v>25505954.5046211</v>
      </c>
      <c r="GJ26" s="610">
        <v>106299770.702725</v>
      </c>
      <c r="GK26" s="617">
        <v>162992816.682593</v>
      </c>
      <c r="GL26" s="614">
        <f t="shared" si="109"/>
        <v>0</v>
      </c>
      <c r="GM26" s="614">
        <f ca="1" t="shared" si="110"/>
        <v>0.752808004159344</v>
      </c>
      <c r="GN26" s="614">
        <f ca="1" t="shared" si="111"/>
        <v>7.02096082314501e-22</v>
      </c>
      <c r="GO26" s="614">
        <f ca="1" t="shared" si="112"/>
        <v>3.52677810433094e-23</v>
      </c>
      <c r="GP26" s="614">
        <f ca="1" t="shared" si="113"/>
        <v>1.29689701284883e-24</v>
      </c>
      <c r="GQ26" s="614">
        <f ca="1" t="shared" si="114"/>
        <v>0.0260491844468056</v>
      </c>
      <c r="GR26" s="451">
        <f t="shared" si="115"/>
        <v>4.16694528910503e-9</v>
      </c>
      <c r="GS26" s="390">
        <f t="shared" si="116"/>
        <v>166344200</v>
      </c>
    </row>
    <row r="27" s="390" customFormat="1" ht="13.5" spans="1:201">
      <c r="A27" s="430"/>
      <c r="B27" s="407" t="s">
        <v>278</v>
      </c>
      <c r="C27" s="433">
        <f ca="1">IF(24&lt;=$C$13-$C$12,MAX(1%,INDIRECT("'"&amp;$B$2&amp;"-事故进程'!$AC$23")*150%),0.000000000000001)</f>
        <v>0.0838589630528763</v>
      </c>
      <c r="D27" s="410"/>
      <c r="E27" s="409" t="s">
        <v>271</v>
      </c>
      <c r="G27" s="411" t="s">
        <v>68</v>
      </c>
      <c r="H27" s="412">
        <f t="shared" si="1"/>
        <v>0</v>
      </c>
      <c r="I27" s="412">
        <f ca="1" t="shared" si="2"/>
        <v>0</v>
      </c>
      <c r="J27" s="412">
        <f ca="1" t="shared" si="3"/>
        <v>0</v>
      </c>
      <c r="K27" s="412">
        <f ca="1" t="shared" si="4"/>
        <v>0</v>
      </c>
      <c r="L27" s="412">
        <f ca="1" t="shared" si="5"/>
        <v>0</v>
      </c>
      <c r="M27" s="412">
        <f ca="1" t="shared" si="6"/>
        <v>0</v>
      </c>
      <c r="N27" s="412">
        <f ca="1" t="shared" si="7"/>
        <v>0</v>
      </c>
      <c r="O27" s="450">
        <f t="shared" si="8"/>
        <v>0</v>
      </c>
      <c r="P27" s="451"/>
      <c r="Q27" s="477" t="str">
        <f t="shared" si="0"/>
        <v>Ar-41</v>
      </c>
      <c r="R27" s="412">
        <f t="shared" si="9"/>
        <v>0</v>
      </c>
      <c r="S27" s="412">
        <f ca="1">I27*(1-过滤效率!$B24)</f>
        <v>0</v>
      </c>
      <c r="T27" s="412">
        <f ca="1">J27*(1-过滤效率!$B24)</f>
        <v>0</v>
      </c>
      <c r="U27" s="412">
        <f ca="1">K27*(1-过滤效率!$B24)</f>
        <v>0</v>
      </c>
      <c r="V27" s="412">
        <f ca="1">L27*(1-过滤效率!$B24)</f>
        <v>0</v>
      </c>
      <c r="W27" s="412">
        <f ca="1">M27*(1-过滤效率!$B24)</f>
        <v>0</v>
      </c>
      <c r="X27" s="412">
        <f ca="1" t="shared" si="10"/>
        <v>0</v>
      </c>
      <c r="Y27" s="499"/>
      <c r="Z27" s="500">
        <f>VLOOKUP(G27,衰变常数!$A$1:$H$3800,7,FALSE)</f>
        <v>0.000105395976729608</v>
      </c>
      <c r="AA27" s="501"/>
      <c r="AB27" s="502">
        <f>正常源项!F24</f>
        <v>0</v>
      </c>
      <c r="AC27" s="502"/>
      <c r="AD27" s="502"/>
      <c r="AE27" s="503"/>
      <c r="AF27" s="504"/>
      <c r="AG27" s="529"/>
      <c r="AH27" s="530"/>
      <c r="AI27" s="531"/>
      <c r="AJ27" s="529"/>
      <c r="AK27" s="531"/>
      <c r="AL27" s="531"/>
      <c r="AM27" s="532"/>
      <c r="AN27" s="531"/>
      <c r="AO27" s="531"/>
      <c r="AP27" s="566">
        <f t="shared" si="14"/>
        <v>0</v>
      </c>
      <c r="AQ27" s="567">
        <f>(AC27*$C$5+AD27*$C$8+AF27+AG27+AI27+(AL27+AM27)*$C$10)*EXP(-Z27*$C$12*3600)+AO27*$C$11</f>
        <v>0</v>
      </c>
      <c r="AR27" s="568">
        <f>AQ27*(1-AR$3)</f>
        <v>0</v>
      </c>
      <c r="AS27" s="569">
        <f t="shared" si="15"/>
        <v>0</v>
      </c>
      <c r="AT27" s="568">
        <f>AS27*(1-AT$3)</f>
        <v>0</v>
      </c>
      <c r="AU27" s="570">
        <f t="shared" si="16"/>
        <v>0</v>
      </c>
      <c r="AV27" s="571">
        <f>AV$3*3600</f>
        <v>7200</v>
      </c>
      <c r="AW27" s="583">
        <f>AP27*EXP(-Z27*AW$3*3600)</f>
        <v>0</v>
      </c>
      <c r="AX27" s="583">
        <f t="shared" si="17"/>
        <v>0</v>
      </c>
      <c r="AY27" s="584">
        <f t="shared" si="18"/>
        <v>0</v>
      </c>
      <c r="AZ27" s="583">
        <v>0</v>
      </c>
      <c r="BA27" s="583">
        <f ca="1">MAX(INDIRECT("'"&amp;$B$2&amp;"-事故进程'!Y"&amp;(ROW()+22)),INDIRECT("'"&amp;$B$2&amp;"-事故进程'!Z"&amp;(ROW()+22)))</f>
        <v>0</v>
      </c>
      <c r="BB27" s="583">
        <f ca="1">SUM(BA$3,-LN(1-BB$3)/AV27)</f>
        <v>0.00160041330566996</v>
      </c>
      <c r="BC27" s="583">
        <f>BC$3/24/3600</f>
        <v>1157407407407410</v>
      </c>
      <c r="BD27" s="585">
        <f ca="1" t="shared" si="19"/>
        <v>0.468204069364945</v>
      </c>
      <c r="BE27" s="585">
        <f ca="1" t="shared" si="20"/>
        <v>4.63522028671295e-6</v>
      </c>
      <c r="BF27" s="585">
        <f t="shared" si="21"/>
        <v>0</v>
      </c>
      <c r="BG27" s="585">
        <f ca="1" t="shared" si="22"/>
        <v>0</v>
      </c>
      <c r="BH27" s="585">
        <f ca="1" t="shared" si="23"/>
        <v>0</v>
      </c>
      <c r="BI27" s="585">
        <f ca="1" t="shared" si="24"/>
        <v>1</v>
      </c>
      <c r="BJ27" s="583">
        <f ca="1" t="shared" si="25"/>
        <v>0</v>
      </c>
      <c r="BK27" s="583">
        <f ca="1" t="shared" si="26"/>
        <v>0</v>
      </c>
      <c r="BL27" s="587">
        <f ca="1" t="shared" si="27"/>
        <v>0</v>
      </c>
      <c r="BM27" s="597">
        <f ca="1" t="shared" si="28"/>
        <v>0</v>
      </c>
      <c r="BN27" s="583">
        <f ca="1" t="shared" si="29"/>
        <v>0</v>
      </c>
      <c r="BO27" s="583">
        <f ca="1" t="shared" si="30"/>
        <v>0</v>
      </c>
      <c r="BP27" s="598">
        <f ca="1" t="shared" si="31"/>
        <v>0</v>
      </c>
      <c r="BQ27" s="599">
        <f>BQ$3*3600</f>
        <v>21600</v>
      </c>
      <c r="BR27" s="583">
        <f ca="1" t="shared" ref="BR27:BU27" si="227">BJ27</f>
        <v>0</v>
      </c>
      <c r="BS27" s="583">
        <f ca="1" t="shared" si="227"/>
        <v>0</v>
      </c>
      <c r="BT27" s="584">
        <f ca="1" t="shared" si="227"/>
        <v>0</v>
      </c>
      <c r="BU27" s="583">
        <f ca="1" t="shared" si="227"/>
        <v>0</v>
      </c>
      <c r="BV27" s="583">
        <f ca="1">MAX(INDIRECT("'"&amp;$B$2&amp;"-事故进程'!Z"&amp;(ROW()+22)),INDIRECT("'"&amp;$B$2&amp;"-事故进程'!AA"&amp;(ROW()+22)))</f>
        <v>0</v>
      </c>
      <c r="BW27" s="583">
        <f ca="1">SUM(BV$3,-LN(1-BW$3)/BQ27)</f>
        <v>0.00162728102077123</v>
      </c>
      <c r="BX27" s="583">
        <f>BX$3/24/3600</f>
        <v>1157407407407410</v>
      </c>
      <c r="BY27" s="585">
        <f ca="1" t="shared" si="33"/>
        <v>0.102637378742866</v>
      </c>
      <c r="BZ27" s="585">
        <f ca="1" t="shared" si="34"/>
        <v>5.57405855975324e-17</v>
      </c>
      <c r="CA27" s="585">
        <f t="shared" si="35"/>
        <v>0</v>
      </c>
      <c r="CB27" s="585">
        <f ca="1" t="shared" si="36"/>
        <v>0</v>
      </c>
      <c r="CC27" s="585">
        <f ca="1" t="shared" si="37"/>
        <v>0</v>
      </c>
      <c r="CD27" s="585">
        <f ca="1" t="shared" si="38"/>
        <v>1</v>
      </c>
      <c r="CE27" s="583">
        <f ca="1" t="shared" si="39"/>
        <v>0</v>
      </c>
      <c r="CF27" s="583">
        <f ca="1" t="shared" si="40"/>
        <v>0</v>
      </c>
      <c r="CG27" s="587">
        <f ca="1" t="shared" si="41"/>
        <v>0</v>
      </c>
      <c r="CH27" s="597">
        <f ca="1" t="shared" si="42"/>
        <v>0</v>
      </c>
      <c r="CI27" s="583">
        <f ca="1" t="shared" si="43"/>
        <v>0</v>
      </c>
      <c r="CJ27" s="583">
        <f ca="1" t="shared" si="44"/>
        <v>0</v>
      </c>
      <c r="CK27" s="598">
        <f ca="1" t="shared" si="45"/>
        <v>0</v>
      </c>
      <c r="CL27" s="599">
        <f>CL$3*3600</f>
        <v>57600</v>
      </c>
      <c r="CM27" s="583">
        <f ca="1" t="shared" ref="CM27:CP27" si="228">CE27</f>
        <v>0</v>
      </c>
      <c r="CN27" s="583">
        <f ca="1" t="shared" si="228"/>
        <v>0</v>
      </c>
      <c r="CO27" s="584">
        <f ca="1" t="shared" si="228"/>
        <v>0</v>
      </c>
      <c r="CP27" s="583">
        <f ca="1" t="shared" si="228"/>
        <v>0</v>
      </c>
      <c r="CQ27" s="583">
        <f ca="1">MAX(INDIRECT("'"&amp;$B$2&amp;"-事故进程'!AA"&amp;(ROW()+22)),INDIRECT("'"&amp;$B$2&amp;"-事故进程'!AB"&amp;(ROW()+22)))</f>
        <v>0</v>
      </c>
      <c r="CR27" s="583">
        <f ca="1">SUM(CQ$3,-LN(1-CR$3)/CL27)</f>
        <v>6.95458811586267e-6</v>
      </c>
      <c r="CS27" s="583">
        <f>CS$3/24/3600</f>
        <v>1157407407407410</v>
      </c>
      <c r="CT27" s="585">
        <f ca="1" t="shared" si="47"/>
        <v>0.0023093059373311</v>
      </c>
      <c r="CU27" s="585">
        <f ca="1" t="shared" si="48"/>
        <v>0.00154706988311425</v>
      </c>
      <c r="CV27" s="585">
        <f t="shared" si="49"/>
        <v>0</v>
      </c>
      <c r="CW27" s="585">
        <f ca="1" t="shared" si="50"/>
        <v>0</v>
      </c>
      <c r="CX27" s="585">
        <f ca="1" t="shared" si="51"/>
        <v>0</v>
      </c>
      <c r="CY27" s="585">
        <f ca="1" t="shared" si="52"/>
        <v>1</v>
      </c>
      <c r="CZ27" s="583">
        <f ca="1" t="shared" si="53"/>
        <v>0</v>
      </c>
      <c r="DA27" s="583">
        <f ca="1" t="shared" si="54"/>
        <v>0</v>
      </c>
      <c r="DB27" s="587">
        <f ca="1" t="shared" si="55"/>
        <v>0</v>
      </c>
      <c r="DC27" s="597">
        <f ca="1" t="shared" si="56"/>
        <v>0</v>
      </c>
      <c r="DD27" s="583">
        <f ca="1" t="shared" si="57"/>
        <v>0</v>
      </c>
      <c r="DE27" s="583">
        <f ca="1" t="shared" si="58"/>
        <v>0</v>
      </c>
      <c r="DF27" s="598">
        <f ca="1" t="shared" si="59"/>
        <v>0</v>
      </c>
      <c r="DG27" s="599">
        <f>DG$3*3600</f>
        <v>86400</v>
      </c>
      <c r="DH27" s="583">
        <f ca="1" t="shared" ref="DH27:DK27" si="229">CZ27</f>
        <v>0</v>
      </c>
      <c r="DI27" s="583">
        <f ca="1" t="shared" si="229"/>
        <v>0</v>
      </c>
      <c r="DJ27" s="584">
        <f ca="1" t="shared" si="229"/>
        <v>0</v>
      </c>
      <c r="DK27" s="583">
        <f ca="1" t="shared" si="229"/>
        <v>0</v>
      </c>
      <c r="DL27" s="583">
        <f ca="1">MAX(INDIRECT("'"&amp;$B$2&amp;"-事故进程'!AB"&amp;(ROW()+22)),INDIRECT("'"&amp;$B$2&amp;"-事故进程'!AC"&amp;(ROW()+22)))</f>
        <v>0</v>
      </c>
      <c r="DM27" s="583">
        <f ca="1">SUM(DL$3,-LN(1-DM$3)/DG27)</f>
        <v>1.01371476497628e-6</v>
      </c>
      <c r="DN27" s="583">
        <f>DN$3/24/3600</f>
        <v>1157407407407410</v>
      </c>
      <c r="DO27" s="585">
        <f ca="1" t="shared" si="61"/>
        <v>0.000110974247348578</v>
      </c>
      <c r="DP27" s="585">
        <f ca="1" t="shared" si="62"/>
        <v>0.000101668062040353</v>
      </c>
      <c r="DQ27" s="585">
        <f t="shared" si="63"/>
        <v>0</v>
      </c>
      <c r="DR27" s="585">
        <f ca="1" t="shared" si="64"/>
        <v>0</v>
      </c>
      <c r="DS27" s="585">
        <f ca="1" t="shared" si="65"/>
        <v>0</v>
      </c>
      <c r="DT27" s="585">
        <f ca="1" t="shared" si="66"/>
        <v>1</v>
      </c>
      <c r="DU27" s="583">
        <f ca="1" t="shared" si="67"/>
        <v>0</v>
      </c>
      <c r="DV27" s="583">
        <f ca="1" t="shared" si="68"/>
        <v>0</v>
      </c>
      <c r="DW27" s="587">
        <f ca="1" t="shared" si="69"/>
        <v>0</v>
      </c>
      <c r="DX27" s="597">
        <f ca="1" t="shared" si="70"/>
        <v>0</v>
      </c>
      <c r="DY27" s="583">
        <f ca="1" t="shared" si="71"/>
        <v>0</v>
      </c>
      <c r="DZ27" s="583">
        <f ca="1" t="shared" si="72"/>
        <v>0</v>
      </c>
      <c r="EA27" s="598">
        <f ca="1" t="shared" si="73"/>
        <v>0</v>
      </c>
      <c r="EB27" s="599">
        <f>EB$3*3600</f>
        <v>172800</v>
      </c>
      <c r="EC27" s="583">
        <f ca="1" t="shared" ref="EC27:EF27" si="230">DU27</f>
        <v>0</v>
      </c>
      <c r="ED27" s="583">
        <f ca="1" t="shared" si="230"/>
        <v>0</v>
      </c>
      <c r="EE27" s="584">
        <f ca="1" t="shared" si="230"/>
        <v>0</v>
      </c>
      <c r="EF27" s="583">
        <f ca="1" t="shared" si="230"/>
        <v>0</v>
      </c>
      <c r="EG27" s="583">
        <f ca="1">MAX(INDIRECT("'"&amp;$B$2&amp;"-事故进程'!AC"&amp;(ROW()+22)),INDIRECT("'"&amp;$B$2&amp;"-事故进程'!AD"&amp;(ROW()+22)),INDIRECT("'"&amp;$B$2&amp;"-事故进程'!AE"&amp;(ROW()+22)))</f>
        <v>0</v>
      </c>
      <c r="EH27" s="583">
        <f ca="1">SUM(EG$3,-LN(1-EH$3)/EB27)</f>
        <v>5.81616658188741e-8</v>
      </c>
      <c r="EI27" s="583">
        <f>EI$3/24/3600</f>
        <v>1157407407407410</v>
      </c>
      <c r="EJ27" s="585">
        <f ca="1" t="shared" si="75"/>
        <v>1.23152835745834e-8</v>
      </c>
      <c r="EK27" s="585">
        <f ca="1" t="shared" si="76"/>
        <v>1.21921307388375e-8</v>
      </c>
      <c r="EL27" s="585">
        <f t="shared" si="77"/>
        <v>0</v>
      </c>
      <c r="EM27" s="585">
        <f ca="1" t="shared" si="78"/>
        <v>0</v>
      </c>
      <c r="EN27" s="585">
        <f ca="1" t="shared" si="79"/>
        <v>0</v>
      </c>
      <c r="EO27" s="585">
        <f ca="1" t="shared" si="80"/>
        <v>1</v>
      </c>
      <c r="EP27" s="583">
        <f ca="1" t="shared" si="81"/>
        <v>0</v>
      </c>
      <c r="EQ27" s="583">
        <f ca="1" t="shared" si="82"/>
        <v>0</v>
      </c>
      <c r="ER27" s="587">
        <f ca="1" t="shared" si="83"/>
        <v>0</v>
      </c>
      <c r="ES27" s="597">
        <f ca="1" t="shared" si="84"/>
        <v>0</v>
      </c>
      <c r="ET27" s="583">
        <f ca="1" t="shared" si="85"/>
        <v>0</v>
      </c>
      <c r="EU27" s="583">
        <f ca="1" t="shared" si="86"/>
        <v>0</v>
      </c>
      <c r="EV27" s="598">
        <f ca="1" t="shared" si="87"/>
        <v>0</v>
      </c>
      <c r="EW27" s="599">
        <f>EW$3*3600</f>
        <v>2246400</v>
      </c>
      <c r="EX27" s="583">
        <f ca="1" t="shared" ref="EX27:FA27" si="231">EP27</f>
        <v>0</v>
      </c>
      <c r="EY27" s="583">
        <f ca="1" t="shared" si="231"/>
        <v>0</v>
      </c>
      <c r="EZ27" s="584">
        <f ca="1" t="shared" si="231"/>
        <v>0</v>
      </c>
      <c r="FA27" s="583">
        <f ca="1" t="shared" si="231"/>
        <v>0</v>
      </c>
      <c r="FB27" s="583">
        <f ca="1">INDIRECT("'"&amp;$B$2&amp;"-事故进程'!AE"&amp;(ROW()+22))</f>
        <v>0</v>
      </c>
      <c r="FC27" s="583">
        <f ca="1">SUM(FB$3,-LN(1-FC$3)/EW27)</f>
        <v>4.47397429375955e-9</v>
      </c>
      <c r="FD27" s="583">
        <f>FD$3/24/3600</f>
        <v>1157407407407410</v>
      </c>
      <c r="FE27" s="585">
        <f ca="1" t="shared" si="89"/>
        <v>1.49891640890916e-103</v>
      </c>
      <c r="FF27" s="585">
        <f ca="1" t="shared" si="90"/>
        <v>1.48392724482008e-103</v>
      </c>
      <c r="FG27" s="585">
        <f t="shared" si="91"/>
        <v>0</v>
      </c>
      <c r="FH27" s="585">
        <f ca="1" t="shared" si="92"/>
        <v>0</v>
      </c>
      <c r="FI27" s="585">
        <f ca="1" t="shared" si="93"/>
        <v>0</v>
      </c>
      <c r="FJ27" s="585">
        <f ca="1" t="shared" si="94"/>
        <v>1</v>
      </c>
      <c r="FK27" s="583">
        <f ca="1" t="shared" si="95"/>
        <v>0</v>
      </c>
      <c r="FL27" s="583">
        <f ca="1" t="shared" si="96"/>
        <v>0</v>
      </c>
      <c r="FM27" s="587">
        <f ca="1" t="shared" si="97"/>
        <v>0</v>
      </c>
      <c r="FN27" s="597">
        <f ca="1" t="shared" si="98"/>
        <v>0</v>
      </c>
      <c r="FO27" s="583">
        <f ca="1" t="shared" si="99"/>
        <v>0</v>
      </c>
      <c r="FP27" s="583">
        <f ca="1" t="shared" si="100"/>
        <v>0</v>
      </c>
      <c r="FQ27" s="598">
        <f ca="1" t="shared" si="101"/>
        <v>0</v>
      </c>
      <c r="FR27" s="608" t="str">
        <f t="shared" si="102"/>
        <v>Ar-41</v>
      </c>
      <c r="FS27" s="609"/>
      <c r="FT27" s="610"/>
      <c r="FU27" s="610"/>
      <c r="FV27" s="610"/>
      <c r="FW27" s="610"/>
      <c r="FX27" s="615"/>
      <c r="FY27" s="615"/>
      <c r="FZ27" s="615"/>
      <c r="GA27" s="615"/>
      <c r="GB27" s="615"/>
      <c r="GC27" s="455"/>
      <c r="GE27" s="609">
        <v>9981776543.449</v>
      </c>
      <c r="GF27" s="610">
        <v>411553901.319185</v>
      </c>
      <c r="GG27" s="610">
        <v>19657763.9071776</v>
      </c>
      <c r="GH27" s="610">
        <v>41097.7900978501</v>
      </c>
      <c r="GI27" s="610">
        <v>3.91730897966321</v>
      </c>
      <c r="GJ27" s="610">
        <v>3.55830990489314e-8</v>
      </c>
      <c r="GK27" s="617">
        <v>10413029310.3828</v>
      </c>
      <c r="GL27" s="614">
        <f t="shared" si="109"/>
        <v>0</v>
      </c>
      <c r="GM27" s="614">
        <f ca="1" t="shared" si="110"/>
        <v>0</v>
      </c>
      <c r="GN27" s="614">
        <f ca="1" t="shared" si="111"/>
        <v>0</v>
      </c>
      <c r="GO27" s="614">
        <f ca="1" t="shared" si="112"/>
        <v>0</v>
      </c>
      <c r="GP27" s="614">
        <f ca="1" t="shared" si="113"/>
        <v>0</v>
      </c>
      <c r="GQ27" s="614">
        <f ca="1" t="shared" si="114"/>
        <v>0</v>
      </c>
      <c r="GR27" s="451">
        <f t="shared" si="115"/>
        <v>0.000105395976729608</v>
      </c>
      <c r="GS27" s="390">
        <f t="shared" si="116"/>
        <v>6576.60000000005</v>
      </c>
    </row>
    <row r="28" spans="1:173">
      <c r="A28" s="430"/>
      <c r="B28" s="407" t="s">
        <v>276</v>
      </c>
      <c r="C28" s="636">
        <f>C25</f>
        <v>1e+20</v>
      </c>
      <c r="D28" s="410" t="s">
        <v>273</v>
      </c>
      <c r="E28" s="409" t="s">
        <v>274</v>
      </c>
      <c r="G28" s="436" t="s">
        <v>73</v>
      </c>
      <c r="AA28" s="390">
        <f t="shared" ref="AA28:AG28" si="232">SUM(AA5:AA27)</f>
        <v>3.190513e+18</v>
      </c>
      <c r="AB28" s="390">
        <f t="shared" si="232"/>
        <v>0</v>
      </c>
      <c r="AC28" s="390">
        <f t="shared" si="232"/>
        <v>490140141999.4</v>
      </c>
      <c r="AD28" s="390">
        <f t="shared" si="232"/>
        <v>13434246000000</v>
      </c>
      <c r="AE28" s="390">
        <f t="shared" si="232"/>
        <v>14488800000000</v>
      </c>
      <c r="AF28" s="390">
        <f t="shared" si="232"/>
        <v>5288120017.414</v>
      </c>
      <c r="AG28" s="390">
        <f t="shared" si="232"/>
        <v>46813800000</v>
      </c>
      <c r="AI28" s="390">
        <f t="shared" ref="AI28:AM28" si="233">SUM(AI5:AI27)</f>
        <v>0</v>
      </c>
      <c r="AL28" s="390">
        <f t="shared" si="233"/>
        <v>687814609.14826</v>
      </c>
      <c r="AM28" s="390">
        <f t="shared" si="233"/>
        <v>12293040000000</v>
      </c>
      <c r="AO28" s="390">
        <f ca="1" t="shared" ref="AO28:AQ28" si="234">SUM(AO5:AO27)</f>
        <v>0</v>
      </c>
      <c r="AP28" s="390">
        <f t="shared" si="234"/>
        <v>3.190513e+18</v>
      </c>
      <c r="AQ28" s="390">
        <f ca="1" t="shared" si="234"/>
        <v>13976488062016.8</v>
      </c>
      <c r="AS28" s="390">
        <f ca="1">SUM(AS5:AS27)</f>
        <v>0</v>
      </c>
      <c r="AU28" s="390">
        <f ca="1" t="shared" ref="AS28:AZ28" si="235">SUM(AU5:AU27)</f>
        <v>0</v>
      </c>
      <c r="AW28" s="390">
        <f t="shared" si="235"/>
        <v>3.190513e+18</v>
      </c>
      <c r="AX28" s="390">
        <f ca="1" t="shared" si="235"/>
        <v>13976488062016.8</v>
      </c>
      <c r="AY28" s="390">
        <f ca="1" t="shared" si="235"/>
        <v>0</v>
      </c>
      <c r="AZ28" s="390">
        <f t="shared" si="235"/>
        <v>0</v>
      </c>
      <c r="BB28" s="580"/>
      <c r="BC28" s="580"/>
      <c r="BD28" s="521"/>
      <c r="BE28" s="521"/>
      <c r="BF28" s="521"/>
      <c r="BG28" s="521"/>
      <c r="BH28" s="521"/>
      <c r="BI28" s="521"/>
      <c r="BJ28" s="390">
        <f ca="1" t="shared" ref="BJ28:BL28" si="236">SUM(BJ5:BJ27)</f>
        <v>2.30898241135269e+18</v>
      </c>
      <c r="BK28" s="390">
        <f ca="1" t="shared" si="236"/>
        <v>16296551084.9897</v>
      </c>
      <c r="BL28" s="390">
        <f ca="1" t="shared" si="236"/>
        <v>2.25341716547069e-8</v>
      </c>
      <c r="BM28" s="390"/>
      <c r="BN28" s="390">
        <f ca="1" t="shared" ref="BN28:BP28" si="237">SUM(BN5:BN27)</f>
        <v>253235290286.317</v>
      </c>
      <c r="BO28" s="390">
        <f ca="1" t="shared" si="237"/>
        <v>14194769159664.9</v>
      </c>
      <c r="BP28" s="451">
        <f ca="1" t="shared" si="237"/>
        <v>14194769159664.9</v>
      </c>
      <c r="BR28" s="390">
        <f ca="1" t="shared" ref="BR28:BU28" si="238">SUM(BR5:BR27)</f>
        <v>2.30898241135269e+18</v>
      </c>
      <c r="BS28" s="390">
        <f ca="1" t="shared" si="238"/>
        <v>16296551084.9897</v>
      </c>
      <c r="BT28" s="390">
        <f ca="1" t="shared" si="238"/>
        <v>2.25341716547069e-8</v>
      </c>
      <c r="BU28" s="390">
        <f ca="1" t="shared" si="238"/>
        <v>14087873238681.8</v>
      </c>
      <c r="BW28" s="580"/>
      <c r="BX28" s="580"/>
      <c r="BY28" s="521"/>
      <c r="BZ28" s="521"/>
      <c r="CA28" s="521"/>
      <c r="CB28" s="521"/>
      <c r="CC28" s="521"/>
      <c r="CD28" s="521"/>
      <c r="CE28" s="390">
        <f ca="1" t="shared" ref="CE28:CG28" si="239">SUM(CE5:CE27)</f>
        <v>1.60427933118205e+18</v>
      </c>
      <c r="CF28" s="390">
        <f ca="1" t="shared" si="239"/>
        <v>7095139579.61579</v>
      </c>
      <c r="CG28" s="390">
        <f ca="1" t="shared" si="239"/>
        <v>9.97555908467365e-9</v>
      </c>
      <c r="CH28" s="390"/>
      <c r="CI28" s="390">
        <f ca="1" t="shared" ref="CI28:CK28" si="240">SUM(CI5:CI27)</f>
        <v>375889873926.434</v>
      </c>
      <c r="CJ28" s="390">
        <f ca="1" t="shared" si="240"/>
        <v>374701005764.638</v>
      </c>
      <c r="CK28" s="390">
        <f ca="1" t="shared" si="240"/>
        <v>374701005764.638</v>
      </c>
      <c r="CM28" s="390">
        <f ca="1" t="shared" ref="CM28:CP28" si="241">SUM(CM5:CM27)</f>
        <v>1.60427933118205e+18</v>
      </c>
      <c r="CN28" s="390">
        <f ca="1" t="shared" si="241"/>
        <v>7095139579.61579</v>
      </c>
      <c r="CO28" s="390">
        <f ca="1" t="shared" si="241"/>
        <v>9.97555908467365e-9</v>
      </c>
      <c r="CP28" s="390">
        <f ca="1" t="shared" si="241"/>
        <v>14154710900203</v>
      </c>
      <c r="CR28" s="580"/>
      <c r="CS28" s="580"/>
      <c r="CT28" s="521"/>
      <c r="CU28" s="521"/>
      <c r="CV28" s="521"/>
      <c r="CW28" s="521"/>
      <c r="CX28" s="521"/>
      <c r="CY28" s="521"/>
      <c r="CZ28" s="390">
        <f ca="1" t="shared" ref="CZ28:DB28" si="242">SUM(CZ5:CZ27)</f>
        <v>1.15663237796278e+18</v>
      </c>
      <c r="DA28" s="390">
        <f ca="1" t="shared" si="242"/>
        <v>1435718783538.56</v>
      </c>
      <c r="DB28" s="390">
        <f ca="1" t="shared" si="242"/>
        <v>8.62689553031644e-9</v>
      </c>
      <c r="DC28" s="390"/>
      <c r="DD28" s="390">
        <f ca="1" t="shared" ref="DD28:DF28" si="243">SUM(DD5:DD27)</f>
        <v>2468453809568.87</v>
      </c>
      <c r="DE28" s="390">
        <f ca="1" t="shared" si="243"/>
        <v>382694822172.901</v>
      </c>
      <c r="DF28" s="390">
        <f ca="1" t="shared" si="243"/>
        <v>382694822172.901</v>
      </c>
      <c r="DH28" s="390">
        <f ca="1" t="shared" ref="DH28:DJ28" si="244">SUM(DH5:DH27)</f>
        <v>1.15663237796278e+18</v>
      </c>
      <c r="DI28" s="390">
        <f ca="1" t="shared" si="244"/>
        <v>1435718783538.56</v>
      </c>
      <c r="DJ28" s="390">
        <f ca="1" t="shared" si="244"/>
        <v>8.62689553031644e-9</v>
      </c>
      <c r="DK28" s="390"/>
      <c r="DM28" s="580"/>
      <c r="DN28" s="580"/>
      <c r="DO28" s="521"/>
      <c r="DP28" s="521"/>
      <c r="DQ28" s="521"/>
      <c r="DR28" s="521"/>
      <c r="DS28" s="521"/>
      <c r="DT28" s="521"/>
      <c r="DU28" s="390">
        <f ca="1" t="shared" ref="DU28:DW28" si="245">SUM(DU5:DU27)</f>
        <v>9.268252167758e+17</v>
      </c>
      <c r="DV28" s="390">
        <f ca="1" t="shared" si="245"/>
        <v>3486971996435.04</v>
      </c>
      <c r="DW28" s="390">
        <f ca="1" t="shared" si="245"/>
        <v>3.05406287813809e-9</v>
      </c>
      <c r="DX28" s="390"/>
      <c r="DY28" s="390">
        <f ca="1" t="shared" ref="DY28:EA28" si="246">SUM(DY5:DY27)</f>
        <v>3401230019190.85</v>
      </c>
      <c r="DZ28" s="390">
        <f ca="1" t="shared" si="246"/>
        <v>227521492488.564</v>
      </c>
      <c r="EA28" s="390">
        <f ca="1" t="shared" si="246"/>
        <v>227521492488.564</v>
      </c>
      <c r="EC28" s="390">
        <f ca="1" t="shared" ref="EC28:EE28" si="247">SUM(EC5:EC27)</f>
        <v>9.268252167758e+17</v>
      </c>
      <c r="ED28" s="390">
        <f ca="1" t="shared" si="247"/>
        <v>3486971996435.04</v>
      </c>
      <c r="EE28" s="390">
        <f ca="1" t="shared" si="247"/>
        <v>3.05406287813809e-9</v>
      </c>
      <c r="EF28" s="390"/>
      <c r="EH28" s="580"/>
      <c r="EI28" s="580"/>
      <c r="EJ28" s="521"/>
      <c r="EK28" s="521"/>
      <c r="EL28" s="521"/>
      <c r="EM28" s="521"/>
      <c r="EN28" s="521"/>
      <c r="EO28" s="521"/>
      <c r="EP28" s="390">
        <f ca="1" t="shared" ref="EP28:ER28" si="248">SUM(EP5:EP27)</f>
        <v>7.26519061678633e+17</v>
      </c>
      <c r="EQ28" s="390">
        <f ca="1" t="shared" si="248"/>
        <v>6748049706142.91</v>
      </c>
      <c r="ER28" s="390">
        <f ca="1" t="shared" si="248"/>
        <v>3.39100829514292e-10</v>
      </c>
      <c r="ES28" s="390"/>
      <c r="ET28" s="390">
        <f ca="1" t="shared" ref="ET28:EV28" si="249">SUM(ET5:ET27)</f>
        <v>5170343860728.76</v>
      </c>
      <c r="EU28" s="390">
        <f ca="1" t="shared" si="249"/>
        <v>52453949056.1507</v>
      </c>
      <c r="EV28" s="390">
        <f ca="1" t="shared" si="249"/>
        <v>52453949056.1507</v>
      </c>
      <c r="EX28" s="390">
        <f ca="1" t="shared" ref="EX28:EZ28" si="250">SUM(EX5:EX27)</f>
        <v>7.26519061678633e+17</v>
      </c>
      <c r="EY28" s="390">
        <f ca="1" t="shared" si="250"/>
        <v>6748049706142.91</v>
      </c>
      <c r="EZ28" s="390">
        <f ca="1" t="shared" si="250"/>
        <v>3.39100829514292e-10</v>
      </c>
      <c r="FA28" s="390"/>
      <c r="FC28" s="580"/>
      <c r="FD28" s="580"/>
      <c r="FE28" s="521"/>
      <c r="FF28" s="521"/>
      <c r="FG28" s="521"/>
      <c r="FH28" s="521"/>
      <c r="FI28" s="521"/>
      <c r="FJ28" s="521"/>
      <c r="FK28" s="390">
        <f ca="1" t="shared" ref="FK28:FM28" si="251">SUM(FK5:FK27)</f>
        <v>2.29401121045685e+17</v>
      </c>
      <c r="FL28" s="390">
        <f ca="1" t="shared" si="251"/>
        <v>20946039492012.9</v>
      </c>
      <c r="FM28" s="390">
        <f ca="1" t="shared" si="251"/>
        <v>8.09672044982435e-11</v>
      </c>
      <c r="FN28" s="390"/>
      <c r="FO28" s="390">
        <f ca="1" t="shared" ref="FO28:FQ28" si="252">SUM(FO5:FO27)</f>
        <v>24702513153898</v>
      </c>
      <c r="FP28" s="390">
        <f ca="1" t="shared" si="252"/>
        <v>144859683644.987</v>
      </c>
      <c r="FQ28" s="390">
        <f ca="1" t="shared" si="252"/>
        <v>144859683644.987</v>
      </c>
    </row>
    <row r="29" spans="1:189">
      <c r="A29" s="432" t="s">
        <v>279</v>
      </c>
      <c r="B29" s="407" t="s">
        <v>267</v>
      </c>
      <c r="C29" s="428">
        <f>-LN(1-0%)/8/3600</f>
        <v>0</v>
      </c>
      <c r="D29" s="410" t="s">
        <v>268</v>
      </c>
      <c r="E29" s="409" t="s">
        <v>269</v>
      </c>
      <c r="H29" s="390" t="s">
        <v>280</v>
      </c>
      <c r="J29" s="390" t="s">
        <v>281</v>
      </c>
      <c r="R29" s="390" t="s">
        <v>280</v>
      </c>
      <c r="T29" s="390" t="s">
        <v>281</v>
      </c>
      <c r="AN29" s="390" t="s">
        <v>282</v>
      </c>
      <c r="BA29" s="394" t="s">
        <v>283</v>
      </c>
      <c r="BB29" s="580"/>
      <c r="BC29" s="580"/>
      <c r="BD29" s="580"/>
      <c r="BE29" s="580"/>
      <c r="BF29" s="580"/>
      <c r="BG29" s="580"/>
      <c r="BH29" s="580"/>
      <c r="BI29" s="580"/>
      <c r="BJ29" s="580"/>
      <c r="BK29" s="580"/>
      <c r="BL29" s="580"/>
      <c r="BM29" s="580"/>
      <c r="BN29" s="580"/>
      <c r="BO29" s="600"/>
      <c r="BP29" s="601"/>
      <c r="BS29" s="580"/>
      <c r="BT29" s="521"/>
      <c r="BV29" s="394" t="s">
        <v>284</v>
      </c>
      <c r="BW29" s="580"/>
      <c r="BX29" s="580"/>
      <c r="BY29" s="580"/>
      <c r="BZ29" s="580"/>
      <c r="CA29" s="580"/>
      <c r="CB29" s="580"/>
      <c r="CC29" s="580"/>
      <c r="CD29" s="580"/>
      <c r="CE29" s="580"/>
      <c r="CF29" s="580"/>
      <c r="CG29" s="580"/>
      <c r="CH29" s="580"/>
      <c r="CI29" s="580"/>
      <c r="CJ29" s="600"/>
      <c r="CN29" s="580"/>
      <c r="CO29" s="580"/>
      <c r="CQ29" s="394" t="s">
        <v>285</v>
      </c>
      <c r="CR29" s="580"/>
      <c r="CS29" s="580"/>
      <c r="CT29" s="580"/>
      <c r="CU29" s="580"/>
      <c r="CV29" s="580"/>
      <c r="CW29" s="580"/>
      <c r="CX29" s="580"/>
      <c r="CY29" s="580"/>
      <c r="CZ29" s="580"/>
      <c r="DA29" s="580"/>
      <c r="DB29" s="580"/>
      <c r="DC29" s="580"/>
      <c r="DD29" s="580"/>
      <c r="DE29" s="580"/>
      <c r="DI29" s="580"/>
      <c r="DJ29" s="580"/>
      <c r="DK29" s="521"/>
      <c r="DL29" s="394" t="s">
        <v>286</v>
      </c>
      <c r="DM29" s="580"/>
      <c r="DN29" s="580"/>
      <c r="DO29" s="580"/>
      <c r="DP29" s="580"/>
      <c r="DQ29" s="580"/>
      <c r="DR29" s="580"/>
      <c r="DS29" s="580"/>
      <c r="DT29" s="580"/>
      <c r="DU29" s="580"/>
      <c r="DV29" s="580"/>
      <c r="DW29" s="580"/>
      <c r="DX29" s="580"/>
      <c r="DY29" s="580"/>
      <c r="DZ29" s="600"/>
      <c r="ED29" s="580"/>
      <c r="EE29" s="580"/>
      <c r="EF29" s="521"/>
      <c r="EG29" s="394" t="s">
        <v>287</v>
      </c>
      <c r="EJ29" s="580"/>
      <c r="EK29" s="580"/>
      <c r="EL29" s="580"/>
      <c r="EM29" s="580"/>
      <c r="EN29" s="580"/>
      <c r="EO29" s="580"/>
      <c r="EP29" s="580"/>
      <c r="EQ29" s="580"/>
      <c r="ER29" s="580"/>
      <c r="ES29" s="580"/>
      <c r="ET29" s="580"/>
      <c r="EU29" s="603"/>
      <c r="EY29" s="580"/>
      <c r="EZ29" s="580"/>
      <c r="FA29" s="521"/>
      <c r="FB29" s="394" t="s">
        <v>288</v>
      </c>
      <c r="FE29" s="580"/>
      <c r="FF29" s="580"/>
      <c r="FG29" s="580"/>
      <c r="FH29" s="580"/>
      <c r="FI29" s="580"/>
      <c r="FJ29" s="580"/>
      <c r="FK29" s="580"/>
      <c r="FL29" s="580"/>
      <c r="FM29" s="580"/>
      <c r="FN29" s="580"/>
      <c r="FO29" s="580"/>
      <c r="FP29" s="603"/>
      <c r="FS29" s="390" t="s">
        <v>280</v>
      </c>
      <c r="FU29" s="390" t="s">
        <v>281</v>
      </c>
      <c r="GD29" s="392"/>
      <c r="GE29" s="390" t="s">
        <v>280</v>
      </c>
      <c r="GG29" s="390" t="s">
        <v>281</v>
      </c>
    </row>
    <row r="30" spans="1:192">
      <c r="A30" s="430"/>
      <c r="B30" s="407" t="s">
        <v>270</v>
      </c>
      <c r="C30" s="437">
        <f ca="1">IF(48&lt;=$C$13-$C$12,MAX(1%,INDIRECT("'"&amp;$B$2&amp;"-事故进程'!$AD$23")*150%),0.000000000000001)</f>
        <v>0.01</v>
      </c>
      <c r="D30" s="410"/>
      <c r="E30" s="409" t="s">
        <v>271</v>
      </c>
      <c r="G30" s="438" t="s">
        <v>289</v>
      </c>
      <c r="H30" s="439" t="s">
        <v>290</v>
      </c>
      <c r="I30" s="439" t="s">
        <v>291</v>
      </c>
      <c r="J30" s="452" t="s">
        <v>290</v>
      </c>
      <c r="K30" s="452" t="s">
        <v>291</v>
      </c>
      <c r="L30" s="452" t="s">
        <v>292</v>
      </c>
      <c r="M30" s="452" t="s">
        <v>292</v>
      </c>
      <c r="Q30" s="438" t="s">
        <v>289</v>
      </c>
      <c r="R30" s="439" t="s">
        <v>290</v>
      </c>
      <c r="S30" s="439" t="s">
        <v>291</v>
      </c>
      <c r="T30" s="452" t="s">
        <v>290</v>
      </c>
      <c r="U30" s="452" t="s">
        <v>291</v>
      </c>
      <c r="V30" s="452" t="s">
        <v>292</v>
      </c>
      <c r="W30" s="452" t="s">
        <v>292</v>
      </c>
      <c r="AD30" s="451"/>
      <c r="AN30" s="533"/>
      <c r="AS30" s="572"/>
      <c r="BO30" s="600"/>
      <c r="BP30" s="601"/>
      <c r="CJ30" s="600"/>
      <c r="DZ30" s="602"/>
      <c r="EU30" s="603"/>
      <c r="FP30" s="603"/>
      <c r="FS30" s="439" t="s">
        <v>290</v>
      </c>
      <c r="FT30" s="439" t="s">
        <v>291</v>
      </c>
      <c r="FU30" s="452" t="s">
        <v>290</v>
      </c>
      <c r="FV30" s="452" t="s">
        <v>291</v>
      </c>
      <c r="FW30" s="452" t="s">
        <v>292</v>
      </c>
      <c r="FX30" s="452" t="s">
        <v>292</v>
      </c>
      <c r="GD30" s="438" t="s">
        <v>289</v>
      </c>
      <c r="GE30" s="439" t="s">
        <v>290</v>
      </c>
      <c r="GF30" s="439" t="s">
        <v>291</v>
      </c>
      <c r="GG30" s="439" t="s">
        <v>290</v>
      </c>
      <c r="GH30" s="439" t="s">
        <v>291</v>
      </c>
      <c r="GI30" s="439" t="s">
        <v>292</v>
      </c>
      <c r="GJ30" s="439" t="s">
        <v>292</v>
      </c>
    </row>
    <row r="31" spans="1:192">
      <c r="A31" s="430"/>
      <c r="B31" s="407" t="s">
        <v>276</v>
      </c>
      <c r="C31" s="636">
        <f>C28</f>
        <v>1e+20</v>
      </c>
      <c r="D31" s="410" t="s">
        <v>273</v>
      </c>
      <c r="E31" s="409" t="s">
        <v>274</v>
      </c>
      <c r="G31" s="440">
        <f>后果有效剂量!$P5</f>
        <v>0</v>
      </c>
      <c r="H31" s="441">
        <f ca="1">SUMPRODUCT(H$5:H$27,后果有效剂量!$I$5:$I$27)*后果有效剂量!$Q5+SUMPRODUCT(I$5:I$27,后果有效剂量!$I$5:$I$27)*后果有效剂量!$Q5+SUMPRODUCT(J$5:J$27,后果有效剂量!$I$5:$I$27)*后果有效剂量!$R5+SUMPRODUCT(K$5:K$27,后果有效剂量!$I$5:$I$27)*后果有效剂量!$S5+SUMPRODUCT(L$5:L$27,后果有效剂量!$I$5:$I$27)*后果有效剂量!$T5+SUMPRODUCT(M$5:M$27,后果有效剂量!$I$5:$I$27)*后果有效剂量!$U5+SUMPRODUCT(H$5:H$27,后果有效剂量!$J$5:$J$27)*后果有效剂量!$Q5*后果有效剂量!$Q$3+SUMPRODUCT(I$5:I$27,后果有效剂量!$J$5:$J$27)*后果有效剂量!$Q5*后果有效剂量!$Q$3+SUMPRODUCT(J$5:J$27,后果有效剂量!$J$5:$J$27)*后果有效剂量!$R5*后果有效剂量!$R$3+SUMPRODUCT(K$5:K$27,后果有效剂量!$J$5:$J$27)*后果有效剂量!$S5*后果有效剂量!$S$3+SUMPRODUCT(L$5:L$27,后果有效剂量!$J$5:$J$27)*后果有效剂量!$T5*后果有效剂量!$T$3+SUMPRODUCT(M$5:M$27,后果有效剂量!$J$5:$J$27)*后果有效剂量!$U5*后果有效剂量!$U$3+SUMPRODUCT(H$5:H$27,后果有效剂量!$K$5:$K$27)*后果有效剂量!$Q5+SUMPRODUCT(I$5:I$27,后果有效剂量!$K$5:$K$27)*后果有效剂量!$Q5+SUMPRODUCT(J$5:J$27,后果有效剂量!$K$5:$K$27)*后果有效剂量!$R5+SUMPRODUCT(K$5:K$27,后果有效剂量!$K$5:$K$27)*后果有效剂量!$S5+SUMPRODUCT(L$5:L$27,后果有效剂量!$K$5:$K$27)*后果有效剂量!$T5+SUMPRODUCT(M$5:M$27,后果有效剂量!$K$5:$K$27)*后果有效剂量!$U5</f>
        <v>0</v>
      </c>
      <c r="I31" s="453">
        <f ca="1">SUMPRODUCT(H$5:H$27,后果甲状腺剂量!$I$5:$I$27)*后果甲状腺剂量!$Q5+SUMPRODUCT(I$5:I$27,后果甲状腺剂量!$I$5:$I$27)*后果甲状腺剂量!$Q5+SUMPRODUCT(J$5:J$27,后果甲状腺剂量!$I$5:$I$27)*后果甲状腺剂量!$R5+SUMPRODUCT(K$5:K$27,后果甲状腺剂量!$I$5:$I$27)*后果甲状腺剂量!$S5+SUMPRODUCT(L$5:L$27,后果甲状腺剂量!$I$5:$I$27)*后果甲状腺剂量!$T5+SUMPRODUCT(M$5:M$27,后果甲状腺剂量!$I$5:$I$27)*后果甲状腺剂量!$U5+SUMPRODUCT(H$5:H$27,后果甲状腺剂量!$J$5:$J$27)*后果甲状腺剂量!$Q5*后果甲状腺剂量!$Q$3+SUMPRODUCT(I$5:I$27,后果甲状腺剂量!$J$5:$J$27)*后果甲状腺剂量!$Q5*后果甲状腺剂量!$Q$3+SUMPRODUCT(J$5:J$27,后果甲状腺剂量!$J$5:$J$27)*后果甲状腺剂量!$R5*后果甲状腺剂量!$R$3+SUMPRODUCT(K$5:K$27,后果甲状腺剂量!$J$5:$J$27)*后果甲状腺剂量!$S5*后果甲状腺剂量!$S$3+SUMPRODUCT(L$5:L$27,后果甲状腺剂量!$J$5:$J$27)*后果甲状腺剂量!$T5*后果甲状腺剂量!$T$3+SUMPRODUCT(M$5:M$27,后果甲状腺剂量!$J$5:$J$27)*后果甲状腺剂量!$U5*后果甲状腺剂量!$U$3+SUMPRODUCT(H$5:H$27,后果甲状腺剂量!$K$5:$K$27)*后果甲状腺剂量!$Q5+SUMPRODUCT(I$5:I$27,后果甲状腺剂量!$K$5:$K$27)*后果甲状腺剂量!$Q5+SUMPRODUCT(J$5:J$27,后果甲状腺剂量!$K$5:$K$27)*后果甲状腺剂量!$R5+SUMPRODUCT(K$5:K$27,后果甲状腺剂量!$K$5:$K$27)*后果甲状腺剂量!$S5+SUMPRODUCT(L$5:L$27,后果甲状腺剂量!$K$5:$K$27)*后果甲状腺剂量!$T5+SUMPRODUCT(M$5:M$27,后果甲状腺剂量!$K$5:$K$27)*后果甲状腺剂量!$U5</f>
        <v>0</v>
      </c>
      <c r="J31" s="454">
        <f ca="1" t="shared" ref="J31:J56" si="253">H31*1000</f>
        <v>0</v>
      </c>
      <c r="K31" s="454">
        <f ca="1" t="shared" ref="K31:K56" si="254">I31*1000</f>
        <v>0</v>
      </c>
      <c r="L31" s="436"/>
      <c r="M31" s="436"/>
      <c r="N31" s="455"/>
      <c r="Q31" s="440">
        <f>后果有效剂量!$P5</f>
        <v>0</v>
      </c>
      <c r="R31" s="441">
        <f ca="1">SUMPRODUCT(R$5:R$27,后果有效剂量!$I$5:$I$27)*后果有效剂量!$Q5+SUMPRODUCT(S$5:S$27,后果有效剂量!$I$5:$I$27)*后果有效剂量!$Q5+SUMPRODUCT(T$5:T$27,后果有效剂量!$I$5:$I$27)*后果有效剂量!$R5+SUMPRODUCT(U$5:U$27,后果有效剂量!$I$5:$I$27)*后果有效剂量!$S5+SUMPRODUCT(V$5:V$27,后果有效剂量!$I$5:$I$27)*后果有效剂量!$T5+SUMPRODUCT(W$5:W$27,后果有效剂量!$I$5:$I$27)*后果有效剂量!$U5+SUMPRODUCT(R$5:R$27,后果有效剂量!$J$5:$J$27)*后果有效剂量!$Q5*后果有效剂量!$Q$3+SUMPRODUCT(S$5:S$27,后果有效剂量!$J$5:$J$27)*后果有效剂量!$Q5*后果有效剂量!$Q$3+SUMPRODUCT(T$5:T$27,后果有效剂量!$J$5:$J$27)*后果有效剂量!$R5*后果有效剂量!$R$3+SUMPRODUCT(U$5:U$27,后果有效剂量!$J$5:$J$27)*后果有效剂量!$S5*后果有效剂量!$S$3+SUMPRODUCT(V$5:V$27,后果有效剂量!$J$5:$J$27)*后果有效剂量!$T5*后果有效剂量!$T$3+SUMPRODUCT(W$5:W$27,后果有效剂量!$J$5:$J$27)*后果有效剂量!$U5*后果有效剂量!$U$3+SUMPRODUCT(R$5:R$27,后果有效剂量!$K$5:$K$27)*后果有效剂量!$Q5+SUMPRODUCT(S$5:S$27,后果有效剂量!$K$5:$K$27)*后果有效剂量!$Q5+SUMPRODUCT(T$5:T$27,后果有效剂量!$K$5:$K$27)*后果有效剂量!$R5+SUMPRODUCT(U$5:U$27,后果有效剂量!$K$5:$K$27)*后果有效剂量!$S5+SUMPRODUCT(V$5:V$27,后果有效剂量!$K$5:$K$27)*后果有效剂量!$T5+SUMPRODUCT(W$5:W$27,后果有效剂量!$K$5:$K$27)*后果有效剂量!$U5</f>
        <v>0</v>
      </c>
      <c r="S31" s="453">
        <f ca="1">SUMPRODUCT(R$5:R$27,后果甲状腺剂量!$I$5:$I$27)*后果甲状腺剂量!$Q5+SUMPRODUCT(S$5:S$27,后果甲状腺剂量!$I$5:$I$27)*后果甲状腺剂量!$Q5+SUMPRODUCT(T$5:T$27,后果甲状腺剂量!$I$5:$I$27)*后果甲状腺剂量!$R5+SUMPRODUCT(U$5:U$27,后果甲状腺剂量!$I$5:$I$27)*后果甲状腺剂量!$S5+SUMPRODUCT(V$5:V$27,后果甲状腺剂量!$I$5:$I$27)*后果甲状腺剂量!$T5+SUMPRODUCT(W$5:W$27,后果甲状腺剂量!$I$5:$I$27)*后果甲状腺剂量!$U5+SUMPRODUCT(R$5:R$27,后果甲状腺剂量!$J$5:$J$27)*后果甲状腺剂量!$Q5*后果甲状腺剂量!$Q$3+SUMPRODUCT(S$5:S$27,后果甲状腺剂量!$J$5:$J$27)*后果甲状腺剂量!$Q5*后果甲状腺剂量!$Q$3+SUMPRODUCT(T$5:T$27,后果甲状腺剂量!$J$5:$J$27)*后果甲状腺剂量!$R5*后果甲状腺剂量!$R$3+SUMPRODUCT(U$5:U$27,后果甲状腺剂量!$J$5:$J$27)*后果甲状腺剂量!$S5*后果甲状腺剂量!$S$3+SUMPRODUCT(V$5:V$27,后果甲状腺剂量!$J$5:$J$27)*后果甲状腺剂量!$T5*后果甲状腺剂量!$T$3+SUMPRODUCT(W$5:W$27,后果甲状腺剂量!$J$5:$J$27)*后果甲状腺剂量!$U5*后果甲状腺剂量!$U$3+SUMPRODUCT(R$5:R$27,后果甲状腺剂量!$K$5:$K$27)*后果甲状腺剂量!$Q5+SUMPRODUCT(S$5:S$27,后果甲状腺剂量!$K$5:$K$27)*后果甲状腺剂量!$Q5+SUMPRODUCT(T$5:T$27,后果甲状腺剂量!$K$5:$K$27)*后果甲状腺剂量!$R5+SUMPRODUCT(U$5:U$27,后果甲状腺剂量!$K$5:$K$27)*后果甲状腺剂量!$S5+SUMPRODUCT(V$5:V$27,后果甲状腺剂量!$K$5:$K$27)*后果甲状腺剂量!$T5+SUMPRODUCT(W$5:W$27,后果甲状腺剂量!$K$5:$K$27)*后果甲状腺剂量!$U5</f>
        <v>0</v>
      </c>
      <c r="T31" s="454">
        <f ca="1" t="shared" ref="T31:T56" si="255">R31*1000</f>
        <v>0</v>
      </c>
      <c r="U31" s="454">
        <f ca="1" t="shared" ref="U31:U56" si="256">S31*1000</f>
        <v>0</v>
      </c>
      <c r="V31" s="436"/>
      <c r="W31" s="436"/>
      <c r="AN31" s="533"/>
      <c r="AS31" s="572"/>
      <c r="BO31" s="600"/>
      <c r="BP31" s="600"/>
      <c r="CJ31" s="600"/>
      <c r="DZ31" s="600"/>
      <c r="EU31" s="603"/>
      <c r="FP31" s="603"/>
      <c r="FS31" s="441">
        <f>SUMPRODUCT(FS$5:FS$27,后果有效剂量!$I$5:$I$27)*后果有效剂量!$Q5+SUMPRODUCT(FT$5:FT$27,后果有效剂量!$I$5:$I$27)*后果有效剂量!$R5+SUMPRODUCT(FU$5:FU$27,后果有效剂量!$I$5:$I$27)*后果有效剂量!$S5+SUMPRODUCT(FV$5:FV$27,后果有效剂量!$I$5:$I$27)*后果有效剂量!$T5+SUMPRODUCT(FS$5:FS$27,后果有效剂量!$J$5:$J$27)*后果有效剂量!$Q5*后果有效剂量!$Q$3+SUMPRODUCT(FT$5:FT$27,后果有效剂量!$J$5:$J$27)*后果有效剂量!$R5*后果有效剂量!$R$3+SUMPRODUCT(FU$5:FU$27,后果有效剂量!$J$5:$J$27)*后果有效剂量!$S5*后果有效剂量!$S$3+SUMPRODUCT(FV$5:FV$27,后果有效剂量!$J$5:$J$27)*后果有效剂量!$T5*后果有效剂量!$T$3+SUMPRODUCT(FS$5:FS$27,后果有效剂量!$K$5:$K$27)*后果有效剂量!$Q5+SUMPRODUCT(FT$5:FT$27,后果有效剂量!$K$5:$K$27)*后果有效剂量!$R5+SUMPRODUCT(FU$5:FU$27,后果有效剂量!$K$5:$K$27)*后果有效剂量!$S5+SUMPRODUCT(FV$5:FV$27,后果有效剂量!$K$5:$K$27)*后果有效剂量!$T5</f>
        <v>0</v>
      </c>
      <c r="FT31" s="441">
        <f>SUMPRODUCT(FS$5:FS$27,后果甲状腺剂量!$I$5:$I$27)*后果甲状腺剂量!$Q5+SUMPRODUCT(FT$5:FT$27,后果甲状腺剂量!$I$5:$I$27)*后果甲状腺剂量!$R5+SUMPRODUCT(FU$5:FU$27,后果甲状腺剂量!$I$5:$I$27)*后果甲状腺剂量!$S5+SUMPRODUCT(FV$5:FV$27,后果甲状腺剂量!$I$5:$I$27)*后果甲状腺剂量!$T5+SUMPRODUCT(FS$5:FS$27,后果甲状腺剂量!$J$5:$J$27)*后果甲状腺剂量!$Q5*后果甲状腺剂量!$Q$3+SUMPRODUCT(FT$5:FT$27,后果甲状腺剂量!$J$5:$J$27)*后果甲状腺剂量!$R5*后果甲状腺剂量!$R$3+SUMPRODUCT(FU$5:FU$27,后果甲状腺剂量!$J$5:$J$27)*后果甲状腺剂量!$S5*后果甲状腺剂量!$S$3+SUMPRODUCT(FV$5:FV$27,后果甲状腺剂量!$J$5:$J$27)*后果甲状腺剂量!$T5*后果甲状腺剂量!$T$3+SUMPRODUCT(FS$5:FS$27,后果甲状腺剂量!$K$5:$K$27)*后果甲状腺剂量!$Q5+SUMPRODUCT(FT$5:FT$27,后果甲状腺剂量!$K$5:$K$27)*后果甲状腺剂量!$R5+SUMPRODUCT(FU$5:FU$27,后果甲状腺剂量!$K$5:$K$27)*后果甲状腺剂量!$S5+SUMPRODUCT(FV$5:FV$27,后果甲状腺剂量!$K$5:$K$27)*后果甲状腺剂量!$T5</f>
        <v>0</v>
      </c>
      <c r="FU31" s="454">
        <f t="shared" ref="FU31:FU56" si="257">FS31*1000</f>
        <v>0</v>
      </c>
      <c r="FV31" s="454">
        <f t="shared" ref="FV31:FV56" si="258">FT31*1000</f>
        <v>0</v>
      </c>
      <c r="FW31" s="436"/>
      <c r="FX31" s="436"/>
      <c r="GD31" s="440">
        <f>后果有效剂量!$P5</f>
        <v>0</v>
      </c>
      <c r="GE31" s="441">
        <f>SUMPRODUCT(GE$5:GE$27,后果有效剂量!$I$5:$I$27)*后果有效剂量!$Q5+SUMPRODUCT(GF$5:GF$27,后果有效剂量!$I$5:$I$27)*后果有效剂量!$R5+SUMPRODUCT(GG$5:GG$27,后果有效剂量!$I$5:$I$27)*后果有效剂量!$S5+(SUMPRODUCT(GH$5:GH$27,后果有效剂量!$I$5:$I$27)+SUMPRODUCT(GI$5:GI$27,后果有效剂量!$I$5:$I$27))*后果有效剂量!$T5+SUMPRODUCT(GJ$5:GJ$27,后果有效剂量!$I$5:$I$27)*后果有效剂量!$U5+SUMPRODUCT(GE$5:GE$27,后果有效剂量!$J$5:$J$27)*后果有效剂量!$Q5*后果有效剂量!$Q$3+SUMPRODUCT(GF$5:GF$27,后果有效剂量!$J$5:$J$27)*后果有效剂量!$R5*后果有效剂量!$R$3+SUMPRODUCT(GG$5:GG$27,后果有效剂量!$J$5:$J$27)*后果有效剂量!$S5*后果有效剂量!$S$3+(SUMPRODUCT(GH$5:GH$27,后果有效剂量!$J$5:$J$27)+SUMPRODUCT(GI$5:GI$27,后果有效剂量!$J$5:$J$27))*后果有效剂量!$T5*后果有效剂量!$T$3+SUMPRODUCT(GJ$5:GJ$27,后果有效剂量!$J$5:$J$27)*后果有效剂量!$U5*后果有效剂量!$U$3+SUMPRODUCT(GE$5:GE$27,后果有效剂量!$K$5:$K$27)*后果有效剂量!$Q5+SUMPRODUCT(GF$5:GF$27,后果有效剂量!$K$5:$K$27)*后果有效剂量!$R5+SUMPRODUCT(GG$5:GG$27,后果有效剂量!$K$5:$K$27)*后果有效剂量!$S5+(SUMPRODUCT(GH$5:GH$27,后果有效剂量!$K$5:$K$27)+SUMPRODUCT(GI$5:GI$27,后果有效剂量!$K$5:$K$27))*后果有效剂量!$T5+SUMPRODUCT(GJ$5:GJ$27,后果有效剂量!$K$5:$K$27)*后果有效剂量!$U5</f>
        <v>0</v>
      </c>
      <c r="GF31" s="453">
        <f>SUMPRODUCT(GE$5:GE$27,后果甲状腺剂量!$I$5:$I$27)*后果甲状腺剂量!$Q5+SUMPRODUCT(GF$5:GF$27,后果甲状腺剂量!$I$5:$I$27)*后果甲状腺剂量!$R5+SUMPRODUCT(GG$5:GG$27,后果甲状腺剂量!$I$5:$I$27)*后果甲状腺剂量!$S5+(SUMPRODUCT(GH$5:GH$27,后果甲状腺剂量!$I$5:$I$27)+SUMPRODUCT(GI$5:GI$27,后果甲状腺剂量!$I$5:$I$27))*后果甲状腺剂量!$T5+SUMPRODUCT(GJ$5:GJ$27,后果甲状腺剂量!$I$5:$I$27)*后果甲状腺剂量!$U5+SUMPRODUCT(GE$5:GE$27,后果甲状腺剂量!$J$5:$J$27)*后果甲状腺剂量!$Q5*后果甲状腺剂量!$Q$3+SUMPRODUCT(GF$5:GF$27,后果甲状腺剂量!$J$5:$J$27)*后果甲状腺剂量!$R5*后果甲状腺剂量!$R$3+SUMPRODUCT(GG$5:GG$27,后果甲状腺剂量!$J$5:$J$27)*后果甲状腺剂量!$S5*后果甲状腺剂量!$S$3+(SUMPRODUCT(GH$5:GH$27,后果甲状腺剂量!$J$5:$J$27)+SUMPRODUCT(GI$5:GI$27,后果甲状腺剂量!$J$5:$J$27))*后果甲状腺剂量!$T5*后果甲状腺剂量!$T$3+SUMPRODUCT(GJ$5:GJ$27,后果甲状腺剂量!$J$5:$J$27)*后果甲状腺剂量!$U5*后果甲状腺剂量!$U$3+SUMPRODUCT(GE$5:GE$27,后果甲状腺剂量!$K$5:$K$27)*后果甲状腺剂量!$Q5+SUMPRODUCT(GF$5:GF$27,后果甲状腺剂量!$K$5:$K$27)*后果甲状腺剂量!$R5+SUMPRODUCT(GG$5:GG$27,后果甲状腺剂量!$K$5:$K$27)*后果甲状腺剂量!$S5+(SUMPRODUCT(GH$5:GH$27,后果甲状腺剂量!$K$5:$K$27)+SUMPRODUCT(GI$5:GI$27,后果甲状腺剂量!$K$5:$K$27))*后果甲状腺剂量!$T5+SUMPRODUCT(GJ$5:GJ$27,后果甲状腺剂量!$K$5:$K$27)*后果甲状腺剂量!$U5</f>
        <v>0</v>
      </c>
      <c r="GG31" s="454">
        <f t="shared" ref="GG31:GG56" si="259">GE31*1000</f>
        <v>0</v>
      </c>
      <c r="GH31" s="454">
        <f t="shared" ref="GH31:GH56" si="260">GF31*1000</f>
        <v>0</v>
      </c>
      <c r="GI31" s="436"/>
      <c r="GJ31" s="436"/>
    </row>
    <row r="32" spans="1:192">
      <c r="A32" s="432" t="s">
        <v>293</v>
      </c>
      <c r="B32" s="407" t="s">
        <v>267</v>
      </c>
      <c r="C32" s="428">
        <f>-LN(1-0%)/8/3600</f>
        <v>0</v>
      </c>
      <c r="D32" s="410" t="s">
        <v>268</v>
      </c>
      <c r="E32" s="409" t="s">
        <v>269</v>
      </c>
      <c r="G32" s="440">
        <f>后果有效剂量!$P6</f>
        <v>0</v>
      </c>
      <c r="H32" s="441">
        <f ca="1">SUMPRODUCT(H$5:H$27,后果有效剂量!$I$5:$I$27)*后果有效剂量!$Q6+SUMPRODUCT(I$5:I$27,后果有效剂量!$I$5:$I$27)*后果有效剂量!$Q6+SUMPRODUCT(J$5:J$27,后果有效剂量!$I$5:$I$27)*后果有效剂量!$R6+SUMPRODUCT(K$5:K$27,后果有效剂量!$I$5:$I$27)*后果有效剂量!$S6+SUMPRODUCT(L$5:L$27,后果有效剂量!$I$5:$I$27)*后果有效剂量!$T6+SUMPRODUCT(M$5:M$27,后果有效剂量!$I$5:$I$27)*后果有效剂量!$U6+SUMPRODUCT(H$5:H$27,后果有效剂量!$J$5:$J$27)*后果有效剂量!$Q6*后果有效剂量!$Q$3+SUMPRODUCT(I$5:I$27,后果有效剂量!$J$5:$J$27)*后果有效剂量!$Q6*后果有效剂量!$Q$3+SUMPRODUCT(J$5:J$27,后果有效剂量!$J$5:$J$27)*后果有效剂量!$R6*后果有效剂量!$R$3+SUMPRODUCT(K$5:K$27,后果有效剂量!$J$5:$J$27)*后果有效剂量!$S6*后果有效剂量!$S$3+SUMPRODUCT(L$5:L$27,后果有效剂量!$J$5:$J$27)*后果有效剂量!$T6*后果有效剂量!$T$3+SUMPRODUCT(M$5:M$27,后果有效剂量!$J$5:$J$27)*后果有效剂量!$U6*后果有效剂量!$U$3+SUMPRODUCT(H$5:H$27,后果有效剂量!$K$5:$K$27)*后果有效剂量!$Q6+SUMPRODUCT(I$5:I$27,后果有效剂量!$K$5:$K$27)*后果有效剂量!$Q6+SUMPRODUCT(J$5:J$27,后果有效剂量!$K$5:$K$27)*后果有效剂量!$R6+SUMPRODUCT(K$5:K$27,后果有效剂量!$K$5:$K$27)*后果有效剂量!$S6+SUMPRODUCT(L$5:L$27,后果有效剂量!$K$5:$K$27)*后果有效剂量!$T6+SUMPRODUCT(M$5:M$27,后果有效剂量!$K$5:$K$27)*后果有效剂量!$U6</f>
        <v>0</v>
      </c>
      <c r="I32" s="453">
        <f ca="1">SUMPRODUCT(H$5:H$27,后果甲状腺剂量!$I$5:$I$27)*后果甲状腺剂量!$Q6+SUMPRODUCT(I$5:I$27,后果甲状腺剂量!$I$5:$I$27)*后果甲状腺剂量!$Q6+SUMPRODUCT(J$5:J$27,后果甲状腺剂量!$I$5:$I$27)*后果甲状腺剂量!$R6+SUMPRODUCT(K$5:K$27,后果甲状腺剂量!$I$5:$I$27)*后果甲状腺剂量!$S6+SUMPRODUCT(L$5:L$27,后果甲状腺剂量!$I$5:$I$27)*后果甲状腺剂量!$T6+SUMPRODUCT(M$5:M$27,后果甲状腺剂量!$I$5:$I$27)*后果甲状腺剂量!$U6+SUMPRODUCT(H$5:H$27,后果甲状腺剂量!$J$5:$J$27)*后果甲状腺剂量!$Q6*后果甲状腺剂量!$Q$3+SUMPRODUCT(I$5:I$27,后果甲状腺剂量!$J$5:$J$27)*后果甲状腺剂量!$Q6*后果甲状腺剂量!$Q$3+SUMPRODUCT(J$5:J$27,后果甲状腺剂量!$J$5:$J$27)*后果甲状腺剂量!$R6*后果甲状腺剂量!$R$3+SUMPRODUCT(K$5:K$27,后果甲状腺剂量!$J$5:$J$27)*后果甲状腺剂量!$S6*后果甲状腺剂量!$S$3+SUMPRODUCT(L$5:L$27,后果甲状腺剂量!$J$5:$J$27)*后果甲状腺剂量!$T6*后果甲状腺剂量!$T$3+SUMPRODUCT(M$5:M$27,后果甲状腺剂量!$J$5:$J$27)*后果甲状腺剂量!$U6*后果甲状腺剂量!$U$3+SUMPRODUCT(H$5:H$27,后果甲状腺剂量!$K$5:$K$27)*后果甲状腺剂量!$Q6+SUMPRODUCT(I$5:I$27,后果甲状腺剂量!$K$5:$K$27)*后果甲状腺剂量!$Q6+SUMPRODUCT(J$5:J$27,后果甲状腺剂量!$K$5:$K$27)*后果甲状腺剂量!$R6+SUMPRODUCT(K$5:K$27,后果甲状腺剂量!$K$5:$K$27)*后果甲状腺剂量!$S6+SUMPRODUCT(L$5:L$27,后果甲状腺剂量!$K$5:$K$27)*后果甲状腺剂量!$T6+SUMPRODUCT(M$5:M$27,后果甲状腺剂量!$K$5:$K$27)*后果甲状腺剂量!$U6</f>
        <v>0</v>
      </c>
      <c r="J32" s="454">
        <f ca="1" t="shared" si="253"/>
        <v>0</v>
      </c>
      <c r="K32" s="454">
        <f ca="1" t="shared" si="254"/>
        <v>0</v>
      </c>
      <c r="L32" s="436"/>
      <c r="M32" s="436"/>
      <c r="N32" s="455"/>
      <c r="Q32" s="440">
        <f>后果有效剂量!$P6</f>
        <v>0</v>
      </c>
      <c r="R32" s="441">
        <f ca="1">SUMPRODUCT(R$5:R$27,后果有效剂量!$I$5:$I$27)*后果有效剂量!$Q6+SUMPRODUCT(S$5:S$27,后果有效剂量!$I$5:$I$27)*后果有效剂量!$Q6+SUMPRODUCT(T$5:T$27,后果有效剂量!$I$5:$I$27)*后果有效剂量!$R6+SUMPRODUCT(U$5:U$27,后果有效剂量!$I$5:$I$27)*后果有效剂量!$S6+SUMPRODUCT(V$5:V$27,后果有效剂量!$I$5:$I$27)*后果有效剂量!$T6+SUMPRODUCT(W$5:W$27,后果有效剂量!$I$5:$I$27)*后果有效剂量!$U6+SUMPRODUCT(R$5:R$27,后果有效剂量!$J$5:$J$27)*后果有效剂量!$Q6*后果有效剂量!$Q$3+SUMPRODUCT(S$5:S$27,后果有效剂量!$J$5:$J$27)*后果有效剂量!$Q6*后果有效剂量!$Q$3+SUMPRODUCT(T$5:T$27,后果有效剂量!$J$5:$J$27)*后果有效剂量!$R6*后果有效剂量!$R$3+SUMPRODUCT(U$5:U$27,后果有效剂量!$J$5:$J$27)*后果有效剂量!$S6*后果有效剂量!$S$3+SUMPRODUCT(V$5:V$27,后果有效剂量!$J$5:$J$27)*后果有效剂量!$T6*后果有效剂量!$T$3+SUMPRODUCT(W$5:W$27,后果有效剂量!$J$5:$J$27)*后果有效剂量!$U6*后果有效剂量!$U$3+SUMPRODUCT(R$5:R$27,后果有效剂量!$K$5:$K$27)*后果有效剂量!$Q6+SUMPRODUCT(S$5:S$27,后果有效剂量!$K$5:$K$27)*后果有效剂量!$Q6+SUMPRODUCT(T$5:T$27,后果有效剂量!$K$5:$K$27)*后果有效剂量!$R6+SUMPRODUCT(U$5:U$27,后果有效剂量!$K$5:$K$27)*后果有效剂量!$S6+SUMPRODUCT(V$5:V$27,后果有效剂量!$K$5:$K$27)*后果有效剂量!$T6+SUMPRODUCT(W$5:W$27,后果有效剂量!$K$5:$K$27)*后果有效剂量!$U6</f>
        <v>0</v>
      </c>
      <c r="S32" s="453">
        <f ca="1">SUMPRODUCT(R$5:R$27,后果甲状腺剂量!$I$5:$I$27)*后果甲状腺剂量!$Q6+SUMPRODUCT(S$5:S$27,后果甲状腺剂量!$I$5:$I$27)*后果甲状腺剂量!$Q6+SUMPRODUCT(T$5:T$27,后果甲状腺剂量!$I$5:$I$27)*后果甲状腺剂量!$R6+SUMPRODUCT(U$5:U$27,后果甲状腺剂量!$I$5:$I$27)*后果甲状腺剂量!$S6+SUMPRODUCT(V$5:V$27,后果甲状腺剂量!$I$5:$I$27)*后果甲状腺剂量!$T6+SUMPRODUCT(W$5:W$27,后果甲状腺剂量!$I$5:$I$27)*后果甲状腺剂量!$U6+SUMPRODUCT(R$5:R$27,后果甲状腺剂量!$J$5:$J$27)*后果甲状腺剂量!$Q6*后果甲状腺剂量!$Q$3+SUMPRODUCT(S$5:S$27,后果甲状腺剂量!$J$5:$J$27)*后果甲状腺剂量!$Q6*后果甲状腺剂量!$Q$3+SUMPRODUCT(T$5:T$27,后果甲状腺剂量!$J$5:$J$27)*后果甲状腺剂量!$R6*后果甲状腺剂量!$R$3+SUMPRODUCT(U$5:U$27,后果甲状腺剂量!$J$5:$J$27)*后果甲状腺剂量!$S6*后果甲状腺剂量!$S$3+SUMPRODUCT(V$5:V$27,后果甲状腺剂量!$J$5:$J$27)*后果甲状腺剂量!$T6*后果甲状腺剂量!$T$3+SUMPRODUCT(W$5:W$27,后果甲状腺剂量!$J$5:$J$27)*后果甲状腺剂量!$U6*后果甲状腺剂量!$U$3+SUMPRODUCT(R$5:R$27,后果甲状腺剂量!$K$5:$K$27)*后果甲状腺剂量!$Q6+SUMPRODUCT(S$5:S$27,后果甲状腺剂量!$K$5:$K$27)*后果甲状腺剂量!$Q6+SUMPRODUCT(T$5:T$27,后果甲状腺剂量!$K$5:$K$27)*后果甲状腺剂量!$R6+SUMPRODUCT(U$5:U$27,后果甲状腺剂量!$K$5:$K$27)*后果甲状腺剂量!$S6+SUMPRODUCT(V$5:V$27,后果甲状腺剂量!$K$5:$K$27)*后果甲状腺剂量!$T6+SUMPRODUCT(W$5:W$27,后果甲状腺剂量!$K$5:$K$27)*后果甲状腺剂量!$U6</f>
        <v>0</v>
      </c>
      <c r="T32" s="454">
        <f ca="1" t="shared" si="255"/>
        <v>0</v>
      </c>
      <c r="U32" s="454">
        <f ca="1" t="shared" si="256"/>
        <v>0</v>
      </c>
      <c r="V32" s="436"/>
      <c r="W32" s="436"/>
      <c r="AN32" s="533"/>
      <c r="AS32" s="572"/>
      <c r="BO32" s="600"/>
      <c r="BP32" s="600"/>
      <c r="CJ32" s="600"/>
      <c r="DZ32" s="600"/>
      <c r="EU32" s="603"/>
      <c r="FP32" s="603"/>
      <c r="FS32" s="441">
        <f>SUMPRODUCT(FS$5:FS$27,后果有效剂量!$I$5:$I$27)*后果有效剂量!$Q6+SUMPRODUCT(FT$5:FT$27,后果有效剂量!$I$5:$I$27)*后果有效剂量!$R6+SUMPRODUCT(FU$5:FU$27,后果有效剂量!$I$5:$I$27)*后果有效剂量!$S6+SUMPRODUCT(FV$5:FV$27,后果有效剂量!$I$5:$I$27)*后果有效剂量!$T6+SUMPRODUCT(FS$5:FS$27,后果有效剂量!$J$5:$J$27)*后果有效剂量!$Q6*后果有效剂量!$Q$3+SUMPRODUCT(FT$5:FT$27,后果有效剂量!$J$5:$J$27)*后果有效剂量!$R6*后果有效剂量!$R$3+SUMPRODUCT(FU$5:FU$27,后果有效剂量!$J$5:$J$27)*后果有效剂量!$S6*后果有效剂量!$S$3+SUMPRODUCT(FV$5:FV$27,后果有效剂量!$J$5:$J$27)*后果有效剂量!$T6*后果有效剂量!$T$3+SUMPRODUCT(FS$5:FS$27,后果有效剂量!$K$5:$K$27)*后果有效剂量!$Q6+SUMPRODUCT(FT$5:FT$27,后果有效剂量!$K$5:$K$27)*后果有效剂量!$R6+SUMPRODUCT(FU$5:FU$27,后果有效剂量!$K$5:$K$27)*后果有效剂量!$S6+SUMPRODUCT(FV$5:FV$27,后果有效剂量!$K$5:$K$27)*后果有效剂量!$T6</f>
        <v>0</v>
      </c>
      <c r="FT32" s="453">
        <f>SUMPRODUCT(FS$5:FS$27,后果甲状腺剂量!$I$5:$I$27)*后果甲状腺剂量!$Q6+SUMPRODUCT(FT$5:FT$27,后果甲状腺剂量!$I$5:$I$27)*后果甲状腺剂量!$R6+SUMPRODUCT(FU$5:FU$27,后果甲状腺剂量!$I$5:$I$27)*后果甲状腺剂量!$S6+SUMPRODUCT(FV$5:FV$27,后果甲状腺剂量!$I$5:$I$27)*后果甲状腺剂量!$T6+SUMPRODUCT(FS$5:FS$27,后果甲状腺剂量!$J$5:$J$27)*后果甲状腺剂量!$Q6*后果甲状腺剂量!$Q$3+SUMPRODUCT(FT$5:FT$27,后果甲状腺剂量!$J$5:$J$27)*后果甲状腺剂量!$R6*后果甲状腺剂量!$R$3+SUMPRODUCT(FU$5:FU$27,后果甲状腺剂量!$J$5:$J$27)*后果甲状腺剂量!$S6*后果甲状腺剂量!$S$3+SUMPRODUCT(FV$5:FV$27,后果甲状腺剂量!$J$5:$J$27)*后果甲状腺剂量!$T6*后果甲状腺剂量!$T$3+SUMPRODUCT(FS$5:FS$27,后果甲状腺剂量!$K$5:$K$27)*后果甲状腺剂量!$Q6+SUMPRODUCT(FT$5:FT$27,后果甲状腺剂量!$K$5:$K$27)*后果甲状腺剂量!$R6+SUMPRODUCT(FU$5:FU$27,后果甲状腺剂量!$K$5:$K$27)*后果甲状腺剂量!$S6+SUMPRODUCT(FV$5:FV$27,后果甲状腺剂量!$K$5:$K$27)*后果甲状腺剂量!$T6</f>
        <v>0</v>
      </c>
      <c r="FU32" s="454">
        <f t="shared" si="257"/>
        <v>0</v>
      </c>
      <c r="FV32" s="454">
        <f t="shared" si="258"/>
        <v>0</v>
      </c>
      <c r="FW32" s="436"/>
      <c r="FX32" s="436"/>
      <c r="GD32" s="440">
        <f>后果有效剂量!$P6</f>
        <v>0</v>
      </c>
      <c r="GE32" s="441">
        <f>SUMPRODUCT(GE$5:GE$27,后果有效剂量!$I$5:$I$27)*后果有效剂量!$Q6+SUMPRODUCT(GF$5:GF$27,后果有效剂量!$I$5:$I$27)*后果有效剂量!$R6+SUMPRODUCT(GG$5:GG$27,后果有效剂量!$I$5:$I$27)*后果有效剂量!$S6+(SUMPRODUCT(GH$5:GH$27,后果有效剂量!$I$5:$I$27)+SUMPRODUCT(GI$5:GI$27,后果有效剂量!$I$5:$I$27))*后果有效剂量!$T6+SUMPRODUCT(GJ$5:GJ$27,后果有效剂量!$I$5:$I$27)*后果有效剂量!$U6+SUMPRODUCT(GE$5:GE$27,后果有效剂量!$J$5:$J$27)*后果有效剂量!$Q6*后果有效剂量!$Q$3+SUMPRODUCT(GF$5:GF$27,后果有效剂量!$J$5:$J$27)*后果有效剂量!$R6*后果有效剂量!$R$3+SUMPRODUCT(GG$5:GG$27,后果有效剂量!$J$5:$J$27)*后果有效剂量!$S6*后果有效剂量!$S$3+(SUMPRODUCT(GH$5:GH$27,后果有效剂量!$J$5:$J$27)+SUMPRODUCT(GI$5:GI$27,后果有效剂量!$J$5:$J$27))*后果有效剂量!$T6*后果有效剂量!$T$3+SUMPRODUCT(GJ$5:GJ$27,后果有效剂量!$J$5:$J$27)*后果有效剂量!$U6*后果有效剂量!$U$3+SUMPRODUCT(GE$5:GE$27,后果有效剂量!$K$5:$K$27)*后果有效剂量!$Q6+SUMPRODUCT(GF$5:GF$27,后果有效剂量!$K$5:$K$27)*后果有效剂量!$R6+SUMPRODUCT(GG$5:GG$27,后果有效剂量!$K$5:$K$27)*后果有效剂量!$S6+(SUMPRODUCT(GH$5:GH$27,后果有效剂量!$K$5:$K$27)+SUMPRODUCT(GI$5:GI$27,后果有效剂量!$K$5:$K$27))*后果有效剂量!$T6+SUMPRODUCT(GJ$5:GJ$27,后果有效剂量!$K$5:$K$27)*后果有效剂量!$U6</f>
        <v>0</v>
      </c>
      <c r="GF32" s="453">
        <f>SUMPRODUCT(GE$5:GE$27,后果甲状腺剂量!$I$5:$I$27)*后果甲状腺剂量!$Q6+SUMPRODUCT(GF$5:GF$27,后果甲状腺剂量!$I$5:$I$27)*后果甲状腺剂量!$R6+SUMPRODUCT(GG$5:GG$27,后果甲状腺剂量!$I$5:$I$27)*后果甲状腺剂量!$S6+(SUMPRODUCT(GH$5:GH$27,后果甲状腺剂量!$I$5:$I$27)+SUMPRODUCT(GI$5:GI$27,后果甲状腺剂量!$I$5:$I$27))*后果甲状腺剂量!$T6+SUMPRODUCT(GJ$5:GJ$27,后果甲状腺剂量!$I$5:$I$27)*后果甲状腺剂量!$U6+SUMPRODUCT(GE$5:GE$27,后果甲状腺剂量!$J$5:$J$27)*后果甲状腺剂量!$Q6*后果甲状腺剂量!$Q$3+SUMPRODUCT(GF$5:GF$27,后果甲状腺剂量!$J$5:$J$27)*后果甲状腺剂量!$R6*后果甲状腺剂量!$R$3+SUMPRODUCT(GG$5:GG$27,后果甲状腺剂量!$J$5:$J$27)*后果甲状腺剂量!$S6*后果甲状腺剂量!$S$3+(SUMPRODUCT(GH$5:GH$27,后果甲状腺剂量!$J$5:$J$27)+SUMPRODUCT(GI$5:GI$27,后果甲状腺剂量!$J$5:$J$27))*后果甲状腺剂量!$T6*后果甲状腺剂量!$T$3+SUMPRODUCT(GJ$5:GJ$27,后果甲状腺剂量!$J$5:$J$27)*后果甲状腺剂量!$U6*后果甲状腺剂量!$U$3+SUMPRODUCT(GE$5:GE$27,后果甲状腺剂量!$K$5:$K$27)*后果甲状腺剂量!$Q6+SUMPRODUCT(GF$5:GF$27,后果甲状腺剂量!$K$5:$K$27)*后果甲状腺剂量!$R6+SUMPRODUCT(GG$5:GG$27,后果甲状腺剂量!$K$5:$K$27)*后果甲状腺剂量!$S6+(SUMPRODUCT(GH$5:GH$27,后果甲状腺剂量!$K$5:$K$27)+SUMPRODUCT(GI$5:GI$27,后果甲状腺剂量!$K$5:$K$27))*后果甲状腺剂量!$T6+SUMPRODUCT(GJ$5:GJ$27,后果甲状腺剂量!$K$5:$K$27)*后果甲状腺剂量!$U6</f>
        <v>0</v>
      </c>
      <c r="GG32" s="454">
        <f t="shared" si="259"/>
        <v>0</v>
      </c>
      <c r="GH32" s="454">
        <f t="shared" si="260"/>
        <v>0</v>
      </c>
      <c r="GI32" s="436"/>
      <c r="GJ32" s="436"/>
    </row>
    <row r="33" spans="1:192">
      <c r="A33" s="430"/>
      <c r="B33" s="407" t="s">
        <v>270</v>
      </c>
      <c r="C33" s="437">
        <f ca="1">IF(96&lt;=$C$13-$C$12,MAX(1%,INDIRECT("'"&amp;$B$2&amp;"-事故进程'!$AE$23")*150%),0.000000000000001)</f>
        <v>0.01</v>
      </c>
      <c r="D33" s="410"/>
      <c r="E33" s="409" t="s">
        <v>271</v>
      </c>
      <c r="G33" s="440">
        <f>后果有效剂量!$P7</f>
        <v>0</v>
      </c>
      <c r="H33" s="441">
        <f ca="1">SUMPRODUCT(H$5:H$27,后果有效剂量!$I$5:$I$27)*后果有效剂量!$Q7+SUMPRODUCT(I$5:I$27,后果有效剂量!$I$5:$I$27)*后果有效剂量!$Q7+SUMPRODUCT(J$5:J$27,后果有效剂量!$I$5:$I$27)*后果有效剂量!$R7+SUMPRODUCT(K$5:K$27,后果有效剂量!$I$5:$I$27)*后果有效剂量!$S7+SUMPRODUCT(L$5:L$27,后果有效剂量!$I$5:$I$27)*后果有效剂量!$T7+SUMPRODUCT(M$5:M$27,后果有效剂量!$I$5:$I$27)*后果有效剂量!$U7+SUMPRODUCT(H$5:H$27,后果有效剂量!$J$5:$J$27)*后果有效剂量!$Q7*后果有效剂量!$Q$3+SUMPRODUCT(I$5:I$27,后果有效剂量!$J$5:$J$27)*后果有效剂量!$Q7*后果有效剂量!$Q$3+SUMPRODUCT(J$5:J$27,后果有效剂量!$J$5:$J$27)*后果有效剂量!$R7*后果有效剂量!$R$3+SUMPRODUCT(K$5:K$27,后果有效剂量!$J$5:$J$27)*后果有效剂量!$S7*后果有效剂量!$S$3+SUMPRODUCT(L$5:L$27,后果有效剂量!$J$5:$J$27)*后果有效剂量!$T7*后果有效剂量!$T$3+SUMPRODUCT(M$5:M$27,后果有效剂量!$J$5:$J$27)*后果有效剂量!$U7*后果有效剂量!$U$3+SUMPRODUCT(H$5:H$27,后果有效剂量!$K$5:$K$27)*后果有效剂量!$Q7+SUMPRODUCT(I$5:I$27,后果有效剂量!$K$5:$K$27)*后果有效剂量!$Q7+SUMPRODUCT(J$5:J$27,后果有效剂量!$K$5:$K$27)*后果有效剂量!$R7+SUMPRODUCT(K$5:K$27,后果有效剂量!$K$5:$K$27)*后果有效剂量!$S7+SUMPRODUCT(L$5:L$27,后果有效剂量!$K$5:$K$27)*后果有效剂量!$T7+SUMPRODUCT(M$5:M$27,后果有效剂量!$K$5:$K$27)*后果有效剂量!$U7</f>
        <v>0</v>
      </c>
      <c r="I33" s="453">
        <f ca="1">SUMPRODUCT(H$5:H$27,后果甲状腺剂量!$I$5:$I$27)*后果甲状腺剂量!$Q7+SUMPRODUCT(I$5:I$27,后果甲状腺剂量!$I$5:$I$27)*后果甲状腺剂量!$Q7+SUMPRODUCT(J$5:J$27,后果甲状腺剂量!$I$5:$I$27)*后果甲状腺剂量!$R7+SUMPRODUCT(K$5:K$27,后果甲状腺剂量!$I$5:$I$27)*后果甲状腺剂量!$S7+SUMPRODUCT(L$5:L$27,后果甲状腺剂量!$I$5:$I$27)*后果甲状腺剂量!$T7+SUMPRODUCT(M$5:M$27,后果甲状腺剂量!$I$5:$I$27)*后果甲状腺剂量!$U7+SUMPRODUCT(H$5:H$27,后果甲状腺剂量!$J$5:$J$27)*后果甲状腺剂量!$Q7*后果甲状腺剂量!$Q$3+SUMPRODUCT(I$5:I$27,后果甲状腺剂量!$J$5:$J$27)*后果甲状腺剂量!$Q7*后果甲状腺剂量!$Q$3+SUMPRODUCT(J$5:J$27,后果甲状腺剂量!$J$5:$J$27)*后果甲状腺剂量!$R7*后果甲状腺剂量!$R$3+SUMPRODUCT(K$5:K$27,后果甲状腺剂量!$J$5:$J$27)*后果甲状腺剂量!$S7*后果甲状腺剂量!$S$3+SUMPRODUCT(L$5:L$27,后果甲状腺剂量!$J$5:$J$27)*后果甲状腺剂量!$T7*后果甲状腺剂量!$T$3+SUMPRODUCT(M$5:M$27,后果甲状腺剂量!$J$5:$J$27)*后果甲状腺剂量!$U7*后果甲状腺剂量!$U$3+SUMPRODUCT(H$5:H$27,后果甲状腺剂量!$K$5:$K$27)*后果甲状腺剂量!$Q7+SUMPRODUCT(I$5:I$27,后果甲状腺剂量!$K$5:$K$27)*后果甲状腺剂量!$Q7+SUMPRODUCT(J$5:J$27,后果甲状腺剂量!$K$5:$K$27)*后果甲状腺剂量!$R7+SUMPRODUCT(K$5:K$27,后果甲状腺剂量!$K$5:$K$27)*后果甲状腺剂量!$S7+SUMPRODUCT(L$5:L$27,后果甲状腺剂量!$K$5:$K$27)*后果甲状腺剂量!$T7+SUMPRODUCT(M$5:M$27,后果甲状腺剂量!$K$5:$K$27)*后果甲状腺剂量!$U7</f>
        <v>0</v>
      </c>
      <c r="J33" s="454">
        <f ca="1" t="shared" si="253"/>
        <v>0</v>
      </c>
      <c r="K33" s="454">
        <f ca="1" t="shared" si="254"/>
        <v>0</v>
      </c>
      <c r="L33" s="436"/>
      <c r="M33" s="436"/>
      <c r="N33" s="455"/>
      <c r="Q33" s="440">
        <f>后果有效剂量!$P7</f>
        <v>0</v>
      </c>
      <c r="R33" s="441">
        <f ca="1">SUMPRODUCT(R$5:R$27,后果有效剂量!$I$5:$I$27)*后果有效剂量!$Q7+SUMPRODUCT(S$5:S$27,后果有效剂量!$I$5:$I$27)*后果有效剂量!$Q7+SUMPRODUCT(T$5:T$27,后果有效剂量!$I$5:$I$27)*后果有效剂量!$R7+SUMPRODUCT(U$5:U$27,后果有效剂量!$I$5:$I$27)*后果有效剂量!$S7+SUMPRODUCT(V$5:V$27,后果有效剂量!$I$5:$I$27)*后果有效剂量!$T7+SUMPRODUCT(W$5:W$27,后果有效剂量!$I$5:$I$27)*后果有效剂量!$U7+SUMPRODUCT(R$5:R$27,后果有效剂量!$J$5:$J$27)*后果有效剂量!$Q7*后果有效剂量!$Q$3+SUMPRODUCT(S$5:S$27,后果有效剂量!$J$5:$J$27)*后果有效剂量!$Q7*后果有效剂量!$Q$3+SUMPRODUCT(T$5:T$27,后果有效剂量!$J$5:$J$27)*后果有效剂量!$R7*后果有效剂量!$R$3+SUMPRODUCT(U$5:U$27,后果有效剂量!$J$5:$J$27)*后果有效剂量!$S7*后果有效剂量!$S$3+SUMPRODUCT(V$5:V$27,后果有效剂量!$J$5:$J$27)*后果有效剂量!$T7*后果有效剂量!$T$3+SUMPRODUCT(W$5:W$27,后果有效剂量!$J$5:$J$27)*后果有效剂量!$U7*后果有效剂量!$U$3+SUMPRODUCT(R$5:R$27,后果有效剂量!$K$5:$K$27)*后果有效剂量!$Q7+SUMPRODUCT(S$5:S$27,后果有效剂量!$K$5:$K$27)*后果有效剂量!$Q7+SUMPRODUCT(T$5:T$27,后果有效剂量!$K$5:$K$27)*后果有效剂量!$R7+SUMPRODUCT(U$5:U$27,后果有效剂量!$K$5:$K$27)*后果有效剂量!$S7+SUMPRODUCT(V$5:V$27,后果有效剂量!$K$5:$K$27)*后果有效剂量!$T7+SUMPRODUCT(W$5:W$27,后果有效剂量!$K$5:$K$27)*后果有效剂量!$U7</f>
        <v>0</v>
      </c>
      <c r="S33" s="453">
        <f ca="1">SUMPRODUCT(R$5:R$27,后果甲状腺剂量!$I$5:$I$27)*后果甲状腺剂量!$Q7+SUMPRODUCT(S$5:S$27,后果甲状腺剂量!$I$5:$I$27)*后果甲状腺剂量!$Q7+SUMPRODUCT(T$5:T$27,后果甲状腺剂量!$I$5:$I$27)*后果甲状腺剂量!$R7+SUMPRODUCT(U$5:U$27,后果甲状腺剂量!$I$5:$I$27)*后果甲状腺剂量!$S7+SUMPRODUCT(V$5:V$27,后果甲状腺剂量!$I$5:$I$27)*后果甲状腺剂量!$T7+SUMPRODUCT(W$5:W$27,后果甲状腺剂量!$I$5:$I$27)*后果甲状腺剂量!$U7+SUMPRODUCT(R$5:R$27,后果甲状腺剂量!$J$5:$J$27)*后果甲状腺剂量!$Q7*后果甲状腺剂量!$Q$3+SUMPRODUCT(S$5:S$27,后果甲状腺剂量!$J$5:$J$27)*后果甲状腺剂量!$Q7*后果甲状腺剂量!$Q$3+SUMPRODUCT(T$5:T$27,后果甲状腺剂量!$J$5:$J$27)*后果甲状腺剂量!$R7*后果甲状腺剂量!$R$3+SUMPRODUCT(U$5:U$27,后果甲状腺剂量!$J$5:$J$27)*后果甲状腺剂量!$S7*后果甲状腺剂量!$S$3+SUMPRODUCT(V$5:V$27,后果甲状腺剂量!$J$5:$J$27)*后果甲状腺剂量!$T7*后果甲状腺剂量!$T$3+SUMPRODUCT(W$5:W$27,后果甲状腺剂量!$J$5:$J$27)*后果甲状腺剂量!$U7*后果甲状腺剂量!$U$3+SUMPRODUCT(R$5:R$27,后果甲状腺剂量!$K$5:$K$27)*后果甲状腺剂量!$Q7+SUMPRODUCT(S$5:S$27,后果甲状腺剂量!$K$5:$K$27)*后果甲状腺剂量!$Q7+SUMPRODUCT(T$5:T$27,后果甲状腺剂量!$K$5:$K$27)*后果甲状腺剂量!$R7+SUMPRODUCT(U$5:U$27,后果甲状腺剂量!$K$5:$K$27)*后果甲状腺剂量!$S7+SUMPRODUCT(V$5:V$27,后果甲状腺剂量!$K$5:$K$27)*后果甲状腺剂量!$T7+SUMPRODUCT(W$5:W$27,后果甲状腺剂量!$K$5:$K$27)*后果甲状腺剂量!$U7</f>
        <v>0</v>
      </c>
      <c r="T33" s="454">
        <f ca="1" t="shared" si="255"/>
        <v>0</v>
      </c>
      <c r="U33" s="454">
        <f ca="1" t="shared" si="256"/>
        <v>0</v>
      </c>
      <c r="V33" s="436"/>
      <c r="W33" s="436"/>
      <c r="AN33" s="533"/>
      <c r="AS33" s="572"/>
      <c r="BO33" s="600"/>
      <c r="BP33" s="600"/>
      <c r="CJ33" s="600"/>
      <c r="DZ33" s="600"/>
      <c r="EU33" s="603"/>
      <c r="FP33" s="603"/>
      <c r="FS33" s="441">
        <f>SUMPRODUCT(FS$5:FS$27,后果有效剂量!$I$5:$I$27)*后果有效剂量!$Q7+SUMPRODUCT(FT$5:FT$27,后果有效剂量!$I$5:$I$27)*后果有效剂量!$R7+SUMPRODUCT(FU$5:FU$27,后果有效剂量!$I$5:$I$27)*后果有效剂量!$S7+SUMPRODUCT(FV$5:FV$27,后果有效剂量!$I$5:$I$27)*后果有效剂量!$T7+SUMPRODUCT(FS$5:FS$27,后果有效剂量!$J$5:$J$27)*后果有效剂量!$Q7*后果有效剂量!$Q$3+SUMPRODUCT(FT$5:FT$27,后果有效剂量!$J$5:$J$27)*后果有效剂量!$R7*后果有效剂量!$R$3+SUMPRODUCT(FU$5:FU$27,后果有效剂量!$J$5:$J$27)*后果有效剂量!$S7*后果有效剂量!$S$3+SUMPRODUCT(FV$5:FV$27,后果有效剂量!$J$5:$J$27)*后果有效剂量!$T7*后果有效剂量!$T$3+SUMPRODUCT(FS$5:FS$27,后果有效剂量!$K$5:$K$27)*后果有效剂量!$Q7+SUMPRODUCT(FT$5:FT$27,后果有效剂量!$K$5:$K$27)*后果有效剂量!$R7+SUMPRODUCT(FU$5:FU$27,后果有效剂量!$K$5:$K$27)*后果有效剂量!$S7+SUMPRODUCT(FV$5:FV$27,后果有效剂量!$K$5:$K$27)*后果有效剂量!$T7</f>
        <v>0</v>
      </c>
      <c r="FT33" s="453">
        <f>SUMPRODUCT(FS$5:FS$27,后果甲状腺剂量!$I$5:$I$27)*后果甲状腺剂量!$Q7+SUMPRODUCT(FT$5:FT$27,后果甲状腺剂量!$I$5:$I$27)*后果甲状腺剂量!$R7+SUMPRODUCT(FU$5:FU$27,后果甲状腺剂量!$I$5:$I$27)*后果甲状腺剂量!$S7+SUMPRODUCT(FV$5:FV$27,后果甲状腺剂量!$I$5:$I$27)*后果甲状腺剂量!$T7+SUMPRODUCT(FS$5:FS$27,后果甲状腺剂量!$J$5:$J$27)*后果甲状腺剂量!$Q7*后果甲状腺剂量!$Q$3+SUMPRODUCT(FT$5:FT$27,后果甲状腺剂量!$J$5:$J$27)*后果甲状腺剂量!$R7*后果甲状腺剂量!$R$3+SUMPRODUCT(FU$5:FU$27,后果甲状腺剂量!$J$5:$J$27)*后果甲状腺剂量!$S7*后果甲状腺剂量!$S$3+SUMPRODUCT(FV$5:FV$27,后果甲状腺剂量!$J$5:$J$27)*后果甲状腺剂量!$T7*后果甲状腺剂量!$T$3+SUMPRODUCT(FS$5:FS$27,后果甲状腺剂量!$K$5:$K$27)*后果甲状腺剂量!$Q7+SUMPRODUCT(FT$5:FT$27,后果甲状腺剂量!$K$5:$K$27)*后果甲状腺剂量!$R7+SUMPRODUCT(FU$5:FU$27,后果甲状腺剂量!$K$5:$K$27)*后果甲状腺剂量!$S7+SUMPRODUCT(FV$5:FV$27,后果甲状腺剂量!$K$5:$K$27)*后果甲状腺剂量!$T7</f>
        <v>0</v>
      </c>
      <c r="FU33" s="454">
        <f t="shared" si="257"/>
        <v>0</v>
      </c>
      <c r="FV33" s="454">
        <f t="shared" si="258"/>
        <v>0</v>
      </c>
      <c r="FW33" s="436"/>
      <c r="FX33" s="436"/>
      <c r="GD33" s="440">
        <f>后果有效剂量!$P7</f>
        <v>0</v>
      </c>
      <c r="GE33" s="441">
        <f>SUMPRODUCT(GE$5:GE$27,后果有效剂量!$I$5:$I$27)*后果有效剂量!$Q7+SUMPRODUCT(GF$5:GF$27,后果有效剂量!$I$5:$I$27)*后果有效剂量!$R7+SUMPRODUCT(GG$5:GG$27,后果有效剂量!$I$5:$I$27)*后果有效剂量!$S7+(SUMPRODUCT(GH$5:GH$27,后果有效剂量!$I$5:$I$27)+SUMPRODUCT(GI$5:GI$27,后果有效剂量!$I$5:$I$27))*后果有效剂量!$T7+SUMPRODUCT(GJ$5:GJ$27,后果有效剂量!$I$5:$I$27)*后果有效剂量!$U7+SUMPRODUCT(GE$5:GE$27,后果有效剂量!$J$5:$J$27)*后果有效剂量!$Q7*后果有效剂量!$Q$3+SUMPRODUCT(GF$5:GF$27,后果有效剂量!$J$5:$J$27)*后果有效剂量!$R7*后果有效剂量!$R$3+SUMPRODUCT(GG$5:GG$27,后果有效剂量!$J$5:$J$27)*后果有效剂量!$S7*后果有效剂量!$S$3+(SUMPRODUCT(GH$5:GH$27,后果有效剂量!$J$5:$J$27)+SUMPRODUCT(GI$5:GI$27,后果有效剂量!$J$5:$J$27))*后果有效剂量!$T7*后果有效剂量!$T$3+SUMPRODUCT(GJ$5:GJ$27,后果有效剂量!$J$5:$J$27)*后果有效剂量!$U7*后果有效剂量!$U$3+SUMPRODUCT(GE$5:GE$27,后果有效剂量!$K$5:$K$27)*后果有效剂量!$Q7+SUMPRODUCT(GF$5:GF$27,后果有效剂量!$K$5:$K$27)*后果有效剂量!$R7+SUMPRODUCT(GG$5:GG$27,后果有效剂量!$K$5:$K$27)*后果有效剂量!$S7+(SUMPRODUCT(GH$5:GH$27,后果有效剂量!$K$5:$K$27)+SUMPRODUCT(GI$5:GI$27,后果有效剂量!$K$5:$K$27))*后果有效剂量!$T7+SUMPRODUCT(GJ$5:GJ$27,后果有效剂量!$K$5:$K$27)*后果有效剂量!$U7</f>
        <v>0</v>
      </c>
      <c r="GF33" s="453">
        <f>SUMPRODUCT(GE$5:GE$27,后果甲状腺剂量!$I$5:$I$27)*后果甲状腺剂量!$Q7+SUMPRODUCT(GF$5:GF$27,后果甲状腺剂量!$I$5:$I$27)*后果甲状腺剂量!$R7+SUMPRODUCT(GG$5:GG$27,后果甲状腺剂量!$I$5:$I$27)*后果甲状腺剂量!$S7+(SUMPRODUCT(GH$5:GH$27,后果甲状腺剂量!$I$5:$I$27)+SUMPRODUCT(GI$5:GI$27,后果甲状腺剂量!$I$5:$I$27))*后果甲状腺剂量!$T7+SUMPRODUCT(GJ$5:GJ$27,后果甲状腺剂量!$I$5:$I$27)*后果甲状腺剂量!$U7+SUMPRODUCT(GE$5:GE$27,后果甲状腺剂量!$J$5:$J$27)*后果甲状腺剂量!$Q7*后果甲状腺剂量!$Q$3+SUMPRODUCT(GF$5:GF$27,后果甲状腺剂量!$J$5:$J$27)*后果甲状腺剂量!$R7*后果甲状腺剂量!$R$3+SUMPRODUCT(GG$5:GG$27,后果甲状腺剂量!$J$5:$J$27)*后果甲状腺剂量!$S7*后果甲状腺剂量!$S$3+(SUMPRODUCT(GH$5:GH$27,后果甲状腺剂量!$J$5:$J$27)+SUMPRODUCT(GI$5:GI$27,后果甲状腺剂量!$J$5:$J$27))*后果甲状腺剂量!$T7*后果甲状腺剂量!$T$3+SUMPRODUCT(GJ$5:GJ$27,后果甲状腺剂量!$J$5:$J$27)*后果甲状腺剂量!$U7*后果甲状腺剂量!$U$3+SUMPRODUCT(GE$5:GE$27,后果甲状腺剂量!$K$5:$K$27)*后果甲状腺剂量!$Q7+SUMPRODUCT(GF$5:GF$27,后果甲状腺剂量!$K$5:$K$27)*后果甲状腺剂量!$R7+SUMPRODUCT(GG$5:GG$27,后果甲状腺剂量!$K$5:$K$27)*后果甲状腺剂量!$S7+(SUMPRODUCT(GH$5:GH$27,后果甲状腺剂量!$K$5:$K$27)+SUMPRODUCT(GI$5:GI$27,后果甲状腺剂量!$K$5:$K$27))*后果甲状腺剂量!$T7+SUMPRODUCT(GJ$5:GJ$27,后果甲状腺剂量!$K$5:$K$27)*后果甲状腺剂量!$U7</f>
        <v>0</v>
      </c>
      <c r="GG33" s="454">
        <f t="shared" si="259"/>
        <v>0</v>
      </c>
      <c r="GH33" s="454">
        <f t="shared" si="260"/>
        <v>0</v>
      </c>
      <c r="GI33" s="436"/>
      <c r="GJ33" s="436"/>
    </row>
    <row r="34" spans="1:192">
      <c r="A34" s="442"/>
      <c r="B34" s="407" t="s">
        <v>276</v>
      </c>
      <c r="C34" s="636">
        <f>C31</f>
        <v>1e+20</v>
      </c>
      <c r="D34" s="410" t="s">
        <v>273</v>
      </c>
      <c r="E34" s="409" t="s">
        <v>274</v>
      </c>
      <c r="G34" s="440" t="str">
        <f>后果有效剂量!$P8</f>
        <v>500m</v>
      </c>
      <c r="H34" s="443">
        <f ca="1">SUMPRODUCT(H$5:H$27,后果有效剂量!$I$5:$I$27)*后果有效剂量!$Q8+SUMPRODUCT(I$5:I$27,后果有效剂量!$I$5:$I$27)*后果有效剂量!$Q8+SUMPRODUCT(J$5:J$27,后果有效剂量!$I$5:$I$27)*后果有效剂量!$R8+SUMPRODUCT(K$5:K$27,后果有效剂量!$I$5:$I$27)*后果有效剂量!$S8+SUMPRODUCT(L$5:L$27,后果有效剂量!$I$5:$I$27)*后果有效剂量!$T8+SUMPRODUCT(M$5:M$27,后果有效剂量!$I$5:$I$27)*后果有效剂量!$U8+SUMPRODUCT(H$5:H$27,后果有效剂量!$J$5:$J$27)*后果有效剂量!$Q8*后果有效剂量!$Q$3+SUMPRODUCT(I$5:I$27,后果有效剂量!$J$5:$J$27)*后果有效剂量!$Q8*后果有效剂量!$Q$3+SUMPRODUCT(J$5:J$27,后果有效剂量!$J$5:$J$27)*后果有效剂量!$R8*后果有效剂量!$R$3+SUMPRODUCT(K$5:K$27,后果有效剂量!$J$5:$J$27)*后果有效剂量!$S8*后果有效剂量!$S$3+SUMPRODUCT(L$5:L$27,后果有效剂量!$J$5:$J$27)*后果有效剂量!$T8*后果有效剂量!$T$3+SUMPRODUCT(M$5:M$27,后果有效剂量!$J$5:$J$27)*后果有效剂量!$U8*后果有效剂量!$U$3+SUMPRODUCT(H$5:H$27,后果有效剂量!$K$5:$K$27)*后果有效剂量!$Q8+SUMPRODUCT(I$5:I$27,后果有效剂量!$K$5:$K$27)*后果有效剂量!$Q8+SUMPRODUCT(J$5:J$27,后果有效剂量!$K$5:$K$27)*后果有效剂量!$R8+SUMPRODUCT(K$5:K$27,后果有效剂量!$K$5:$K$27)*后果有效剂量!$S8+SUMPRODUCT(L$5:L$27,后果有效剂量!$K$5:$K$27)*后果有效剂量!$T8+SUMPRODUCT(M$5:M$27,后果有效剂量!$K$5:$K$27)*后果有效剂量!$U8</f>
        <v>0.000649896940255078</v>
      </c>
      <c r="I34" s="456">
        <f ca="1">SUMPRODUCT(H$5:H$27,后果甲状腺剂量!$I$5:$I$27)*后果甲状腺剂量!$Q8+SUMPRODUCT(I$5:I$27,后果甲状腺剂量!$I$5:$I$27)*后果甲状腺剂量!$Q8+SUMPRODUCT(J$5:J$27,后果甲状腺剂量!$I$5:$I$27)*后果甲状腺剂量!$R8+SUMPRODUCT(K$5:K$27,后果甲状腺剂量!$I$5:$I$27)*后果甲状腺剂量!$S8+SUMPRODUCT(L$5:L$27,后果甲状腺剂量!$I$5:$I$27)*后果甲状腺剂量!$T8+SUMPRODUCT(M$5:M$27,后果甲状腺剂量!$I$5:$I$27)*后果甲状腺剂量!$U8+SUMPRODUCT(H$5:H$27,后果甲状腺剂量!$J$5:$J$27)*后果甲状腺剂量!$Q8*后果甲状腺剂量!$Q$3+SUMPRODUCT(I$5:I$27,后果甲状腺剂量!$J$5:$J$27)*后果甲状腺剂量!$Q8*后果甲状腺剂量!$Q$3+SUMPRODUCT(J$5:J$27,后果甲状腺剂量!$J$5:$J$27)*后果甲状腺剂量!$R8*后果甲状腺剂量!$R$3+SUMPRODUCT(K$5:K$27,后果甲状腺剂量!$J$5:$J$27)*后果甲状腺剂量!$S8*后果甲状腺剂量!$S$3+SUMPRODUCT(L$5:L$27,后果甲状腺剂量!$J$5:$J$27)*后果甲状腺剂量!$T8*后果甲状腺剂量!$T$3+SUMPRODUCT(M$5:M$27,后果甲状腺剂量!$J$5:$J$27)*后果甲状腺剂量!$U8*后果甲状腺剂量!$U$3+SUMPRODUCT(H$5:H$27,后果甲状腺剂量!$K$5:$K$27)*后果甲状腺剂量!$Q8+SUMPRODUCT(I$5:I$27,后果甲状腺剂量!$K$5:$K$27)*后果甲状腺剂量!$Q8+SUMPRODUCT(J$5:J$27,后果甲状腺剂量!$K$5:$K$27)*后果甲状腺剂量!$R8+SUMPRODUCT(K$5:K$27,后果甲状腺剂量!$K$5:$K$27)*后果甲状腺剂量!$S8+SUMPRODUCT(L$5:L$27,后果甲状腺剂量!$K$5:$K$27)*后果甲状腺剂量!$T8+SUMPRODUCT(M$5:M$27,后果甲状腺剂量!$K$5:$K$27)*后果甲状腺剂量!$U8</f>
        <v>0.0236348191511087</v>
      </c>
      <c r="J34" s="457">
        <f ca="1" t="shared" si="253"/>
        <v>0.649896940255078</v>
      </c>
      <c r="K34" s="457">
        <f ca="1" t="shared" si="254"/>
        <v>23.6348191511087</v>
      </c>
      <c r="L34" s="458">
        <f ca="1">J34/$C$35</f>
        <v>0.129979388051016</v>
      </c>
      <c r="M34" s="458">
        <f ca="1">K34/$C$36</f>
        <v>0.472696383022175</v>
      </c>
      <c r="N34" s="455"/>
      <c r="Q34" s="440" t="str">
        <f>后果有效剂量!$P8</f>
        <v>500m</v>
      </c>
      <c r="R34" s="443">
        <f ca="1">SUMPRODUCT(R$5:R$27,后果有效剂量!$I$5:$I$27)*后果有效剂量!$Q8+SUMPRODUCT(S$5:S$27,后果有效剂量!$I$5:$I$27)*后果有效剂量!$Q8+SUMPRODUCT(T$5:T$27,后果有效剂量!$I$5:$I$27)*后果有效剂量!$R8+SUMPRODUCT(U$5:U$27,后果有效剂量!$I$5:$I$27)*后果有效剂量!$S8+SUMPRODUCT(V$5:V$27,后果有效剂量!$I$5:$I$27)*后果有效剂量!$T8+SUMPRODUCT(W$5:W$27,后果有效剂量!$I$5:$I$27)*后果有效剂量!$U8+SUMPRODUCT(R$5:R$27,后果有效剂量!$J$5:$J$27)*后果有效剂量!$Q8*后果有效剂量!$Q$3+SUMPRODUCT(S$5:S$27,后果有效剂量!$J$5:$J$27)*后果有效剂量!$Q8*后果有效剂量!$Q$3+SUMPRODUCT(T$5:T$27,后果有效剂量!$J$5:$J$27)*后果有效剂量!$R8*后果有效剂量!$R$3+SUMPRODUCT(U$5:U$27,后果有效剂量!$J$5:$J$27)*后果有效剂量!$S8*后果有效剂量!$S$3+SUMPRODUCT(V$5:V$27,后果有效剂量!$J$5:$J$27)*后果有效剂量!$T8*后果有效剂量!$T$3+SUMPRODUCT(W$5:W$27,后果有效剂量!$J$5:$J$27)*后果有效剂量!$U8*后果有效剂量!$U$3+SUMPRODUCT(R$5:R$27,后果有效剂量!$K$5:$K$27)*后果有效剂量!$Q8+SUMPRODUCT(S$5:S$27,后果有效剂量!$K$5:$K$27)*后果有效剂量!$Q8+SUMPRODUCT(T$5:T$27,后果有效剂量!$K$5:$K$27)*后果有效剂量!$R8+SUMPRODUCT(U$5:U$27,后果有效剂量!$K$5:$K$27)*后果有效剂量!$S8+SUMPRODUCT(V$5:V$27,后果有效剂量!$K$5:$K$27)*后果有效剂量!$T8+SUMPRODUCT(W$5:W$27,后果有效剂量!$K$5:$K$27)*后果有效剂量!$U8</f>
        <v>0.000121639272188905</v>
      </c>
      <c r="S34" s="456">
        <f ca="1">SUMPRODUCT(R$5:R$27,后果甲状腺剂量!$I$5:$I$27)*后果甲状腺剂量!$Q8+SUMPRODUCT(S$5:S$27,后果甲状腺剂量!$I$5:$I$27)*后果甲状腺剂量!$Q8+SUMPRODUCT(T$5:T$27,后果甲状腺剂量!$I$5:$I$27)*后果甲状腺剂量!$R8+SUMPRODUCT(U$5:U$27,后果甲状腺剂量!$I$5:$I$27)*后果甲状腺剂量!$S8+SUMPRODUCT(V$5:V$27,后果甲状腺剂量!$I$5:$I$27)*后果甲状腺剂量!$T8+SUMPRODUCT(W$5:W$27,后果甲状腺剂量!$I$5:$I$27)*后果甲状腺剂量!$U8+SUMPRODUCT(R$5:R$27,后果甲状腺剂量!$J$5:$J$27)*后果甲状腺剂量!$Q8*后果甲状腺剂量!$Q$3+SUMPRODUCT(S$5:S$27,后果甲状腺剂量!$J$5:$J$27)*后果甲状腺剂量!$Q8*后果甲状腺剂量!$Q$3+SUMPRODUCT(T$5:T$27,后果甲状腺剂量!$J$5:$J$27)*后果甲状腺剂量!$R8*后果甲状腺剂量!$R$3+SUMPRODUCT(U$5:U$27,后果甲状腺剂量!$J$5:$J$27)*后果甲状腺剂量!$S8*后果甲状腺剂量!$S$3+SUMPRODUCT(V$5:V$27,后果甲状腺剂量!$J$5:$J$27)*后果甲状腺剂量!$T8*后果甲状腺剂量!$T$3+SUMPRODUCT(W$5:W$27,后果甲状腺剂量!$J$5:$J$27)*后果甲状腺剂量!$U8*后果甲状腺剂量!$U$3+SUMPRODUCT(R$5:R$27,后果甲状腺剂量!$K$5:$K$27)*后果甲状腺剂量!$Q8+SUMPRODUCT(S$5:S$27,后果甲状腺剂量!$K$5:$K$27)*后果甲状腺剂量!$Q8+SUMPRODUCT(T$5:T$27,后果甲状腺剂量!$K$5:$K$27)*后果甲状腺剂量!$R8+SUMPRODUCT(U$5:U$27,后果甲状腺剂量!$K$5:$K$27)*后果甲状腺剂量!$S8+SUMPRODUCT(V$5:V$27,后果甲状腺剂量!$K$5:$K$27)*后果甲状腺剂量!$T8+SUMPRODUCT(W$5:W$27,后果甲状腺剂量!$K$5:$K$27)*后果甲状腺剂量!$U8</f>
        <v>0.00146404045635325</v>
      </c>
      <c r="T34" s="457">
        <f ca="1" t="shared" si="255"/>
        <v>0.121639272188905</v>
      </c>
      <c r="U34" s="457">
        <f ca="1" t="shared" si="256"/>
        <v>1.46404045635325</v>
      </c>
      <c r="V34" s="458">
        <f ca="1">T34/$C$35</f>
        <v>0.024327854437781</v>
      </c>
      <c r="W34" s="458">
        <f ca="1">U34/$C$36</f>
        <v>0.0292808091270651</v>
      </c>
      <c r="AN34" s="533"/>
      <c r="AS34" s="572"/>
      <c r="BO34" s="600"/>
      <c r="BP34" s="600"/>
      <c r="CJ34" s="600"/>
      <c r="DZ34" s="600"/>
      <c r="EU34" s="603"/>
      <c r="FP34" s="603"/>
      <c r="FS34" s="443">
        <f>SUMPRODUCT(FS$5:FS$27,后果有效剂量!$I$5:$I$27)*后果有效剂量!$Q8+SUMPRODUCT(FT$5:FT$27,后果有效剂量!$I$5:$I$27)*后果有效剂量!$R8+SUMPRODUCT(FU$5:FU$27,后果有效剂量!$I$5:$I$27)*后果有效剂量!$S8+SUMPRODUCT(FV$5:FV$27,后果有效剂量!$I$5:$I$27)*后果有效剂量!$T8+SUMPRODUCT(FS$5:FS$27,后果有效剂量!$J$5:$J$27)*后果有效剂量!$Q8*后果有效剂量!$Q$3+SUMPRODUCT(FT$5:FT$27,后果有效剂量!$J$5:$J$27)*后果有效剂量!$R8*后果有效剂量!$R$3+SUMPRODUCT(FU$5:FU$27,后果有效剂量!$J$5:$J$27)*后果有效剂量!$S8*后果有效剂量!$S$3+SUMPRODUCT(FV$5:FV$27,后果有效剂量!$J$5:$J$27)*后果有效剂量!$T8*后果有效剂量!$T$3+SUMPRODUCT(FS$5:FS$27,后果有效剂量!$K$5:$K$27)*后果有效剂量!$Q8+SUMPRODUCT(FT$5:FT$27,后果有效剂量!$K$5:$K$27)*后果有效剂量!$R8+SUMPRODUCT(FU$5:FU$27,后果有效剂量!$K$5:$K$27)*后果有效剂量!$S8+SUMPRODUCT(FV$5:FV$27,后果有效剂量!$K$5:$K$27)*后果有效剂量!$T8</f>
        <v>0.000430699305079664</v>
      </c>
      <c r="FT34" s="456">
        <f>SUMPRODUCT(FS$5:FS$27,后果甲状腺剂量!$I$5:$I$27)*后果甲状腺剂量!$Q8+SUMPRODUCT(FT$5:FT$27,后果甲状腺剂量!$I$5:$I$27)*后果甲状腺剂量!$R8+SUMPRODUCT(FU$5:FU$27,后果甲状腺剂量!$I$5:$I$27)*后果甲状腺剂量!$S8+SUMPRODUCT(FV$5:FV$27,后果甲状腺剂量!$I$5:$I$27)*后果甲状腺剂量!$T8+SUMPRODUCT(FS$5:FS$27,后果甲状腺剂量!$J$5:$J$27)*后果甲状腺剂量!$Q8*后果甲状腺剂量!$Q$3+SUMPRODUCT(FT$5:FT$27,后果甲状腺剂量!$J$5:$J$27)*后果甲状腺剂量!$R8*后果甲状腺剂量!$R$3+SUMPRODUCT(FU$5:FU$27,后果甲状腺剂量!$J$5:$J$27)*后果甲状腺剂量!$S8*后果甲状腺剂量!$S$3+SUMPRODUCT(FV$5:FV$27,后果甲状腺剂量!$J$5:$J$27)*后果甲状腺剂量!$T8*后果甲状腺剂量!$T$3+SUMPRODUCT(FS$5:FS$27,后果甲状腺剂量!$K$5:$K$27)*后果甲状腺剂量!$Q8+SUMPRODUCT(FT$5:FT$27,后果甲状腺剂量!$K$5:$K$27)*后果甲状腺剂量!$R8+SUMPRODUCT(FU$5:FU$27,后果甲状腺剂量!$K$5:$K$27)*后果甲状腺剂量!$S8+SUMPRODUCT(FV$5:FV$27,后果甲状腺剂量!$K$5:$K$27)*后果甲状腺剂量!$T8</f>
        <v>0.0235018831581312</v>
      </c>
      <c r="FU34" s="457">
        <f t="shared" si="257"/>
        <v>0.430699305079664</v>
      </c>
      <c r="FV34" s="457">
        <f t="shared" si="258"/>
        <v>23.5018831581312</v>
      </c>
      <c r="FW34" s="459">
        <f>FU34/10*100</f>
        <v>4.30699305079664</v>
      </c>
      <c r="FX34" s="459">
        <f>FV34/100*100</f>
        <v>23.5018831581312</v>
      </c>
      <c r="GD34" s="440" t="str">
        <f>后果有效剂量!$P8</f>
        <v>500m</v>
      </c>
      <c r="GE34" s="443">
        <f>SUMPRODUCT(GE$5:GE$27,后果有效剂量!$I$5:$I$27)*后果有效剂量!$Q8+SUMPRODUCT(GF$5:GF$27,后果有效剂量!$I$5:$I$27)*后果有效剂量!$R8+SUMPRODUCT(GG$5:GG$27,后果有效剂量!$I$5:$I$27)*后果有效剂量!$S8+(SUMPRODUCT(GH$5:GH$27,后果有效剂量!$I$5:$I$27)+SUMPRODUCT(GI$5:GI$27,后果有效剂量!$I$5:$I$27))*后果有效剂量!$T8+SUMPRODUCT(GJ$5:GJ$27,后果有效剂量!$I$5:$I$27)*后果有效剂量!$U8+SUMPRODUCT(GE$5:GE$27,后果有效剂量!$J$5:$J$27)*后果有效剂量!$Q8*后果有效剂量!$Q$3+SUMPRODUCT(GF$5:GF$27,后果有效剂量!$J$5:$J$27)*后果有效剂量!$R8*后果有效剂量!$R$3+SUMPRODUCT(GG$5:GG$27,后果有效剂量!$J$5:$J$27)*后果有效剂量!$S8*后果有效剂量!$S$3+(SUMPRODUCT(GH$5:GH$27,后果有效剂量!$J$5:$J$27)+SUMPRODUCT(GI$5:GI$27,后果有效剂量!$J$5:$J$27))*后果有效剂量!$T8*后果有效剂量!$T$3+SUMPRODUCT(GJ$5:GJ$27,后果有效剂量!$J$5:$J$27)*后果有效剂量!$U8*后果有效剂量!$U$3+SUMPRODUCT(GE$5:GE$27,后果有效剂量!$K$5:$K$27)*后果有效剂量!$Q8+SUMPRODUCT(GF$5:GF$27,后果有效剂量!$K$5:$K$27)*后果有效剂量!$R8+SUMPRODUCT(GG$5:GG$27,后果有效剂量!$K$5:$K$27)*后果有效剂量!$S8+(SUMPRODUCT(GH$5:GH$27,后果有效剂量!$K$5:$K$27)+SUMPRODUCT(GI$5:GI$27,后果有效剂量!$K$5:$K$27))*后果有效剂量!$T8+SUMPRODUCT(GJ$5:GJ$27,后果有效剂量!$K$5:$K$27)*后果有效剂量!$U8</f>
        <v>0.000177662497114534</v>
      </c>
      <c r="GF34" s="456">
        <f>SUMPRODUCT(GE$5:GE$27,后果甲状腺剂量!$I$5:$I$27)*后果甲状腺剂量!$Q8+SUMPRODUCT(GF$5:GF$27,后果甲状腺剂量!$I$5:$I$27)*后果甲状腺剂量!$R8+SUMPRODUCT(GG$5:GG$27,后果甲状腺剂量!$I$5:$I$27)*后果甲状腺剂量!$S8+(SUMPRODUCT(GH$5:GH$27,后果甲状腺剂量!$I$5:$I$27)+SUMPRODUCT(GI$5:GI$27,后果甲状腺剂量!$I$5:$I$27))*后果甲状腺剂量!$T8+SUMPRODUCT(GJ$5:GJ$27,后果甲状腺剂量!$I$5:$I$27)*后果甲状腺剂量!$U8+SUMPRODUCT(GE$5:GE$27,后果甲状腺剂量!$J$5:$J$27)*后果甲状腺剂量!$Q8*后果甲状腺剂量!$Q$3+SUMPRODUCT(GF$5:GF$27,后果甲状腺剂量!$J$5:$J$27)*后果甲状腺剂量!$R8*后果甲状腺剂量!$R$3+SUMPRODUCT(GG$5:GG$27,后果甲状腺剂量!$J$5:$J$27)*后果甲状腺剂量!$S8*后果甲状腺剂量!$S$3+(SUMPRODUCT(GH$5:GH$27,后果甲状腺剂量!$J$5:$J$27)+SUMPRODUCT(GI$5:GI$27,后果甲状腺剂量!$J$5:$J$27))*后果甲状腺剂量!$T8*后果甲状腺剂量!$T$3+SUMPRODUCT(GJ$5:GJ$27,后果甲状腺剂量!$J$5:$J$27)*后果甲状腺剂量!$U8*后果甲状腺剂量!$U$3+SUMPRODUCT(GE$5:GE$27,后果甲状腺剂量!$K$5:$K$27)*后果甲状腺剂量!$Q8+SUMPRODUCT(GF$5:GF$27,后果甲状腺剂量!$K$5:$K$27)*后果甲状腺剂量!$R8+SUMPRODUCT(GG$5:GG$27,后果甲状腺剂量!$K$5:$K$27)*后果甲状腺剂量!$S8+(SUMPRODUCT(GH$5:GH$27,后果甲状腺剂量!$K$5:$K$27)+SUMPRODUCT(GI$5:GI$27,后果甲状腺剂量!$K$5:$K$27))*后果甲状腺剂量!$T8+SUMPRODUCT(GJ$5:GJ$27,后果甲状腺剂量!$K$5:$K$27)*后果甲状腺剂量!$U8</f>
        <v>0.00783546060769133</v>
      </c>
      <c r="GG34" s="457">
        <f t="shared" si="259"/>
        <v>0.177662497114534</v>
      </c>
      <c r="GH34" s="457">
        <f t="shared" si="260"/>
        <v>7.83546060769133</v>
      </c>
      <c r="GI34" s="459">
        <f>GG34/10*100</f>
        <v>1.77662497114534</v>
      </c>
      <c r="GJ34" s="459">
        <f>GH34/100*100</f>
        <v>7.83546060769132</v>
      </c>
    </row>
    <row r="35" spans="1:192">
      <c r="A35" s="444" t="s">
        <v>294</v>
      </c>
      <c r="B35" s="445" t="s">
        <v>290</v>
      </c>
      <c r="C35" s="422">
        <v>5</v>
      </c>
      <c r="D35" s="410" t="s">
        <v>281</v>
      </c>
      <c r="E35" s="409" t="s">
        <v>295</v>
      </c>
      <c r="G35" s="440" t="str">
        <f>后果有效剂量!$P9</f>
        <v>1500m</v>
      </c>
      <c r="H35" s="441">
        <f ca="1">SUMPRODUCT(H$5:H$27,后果有效剂量!$I$5:$I$27)*后果有效剂量!$Q9+SUMPRODUCT(I$5:I$27,后果有效剂量!$I$5:$I$27)*后果有效剂量!$Q9+SUMPRODUCT(J$5:J$27,后果有效剂量!$I$5:$I$27)*后果有效剂量!$R9+SUMPRODUCT(K$5:K$27,后果有效剂量!$I$5:$I$27)*后果有效剂量!$S9+SUMPRODUCT(L$5:L$27,后果有效剂量!$I$5:$I$27)*后果有效剂量!$T9+SUMPRODUCT(M$5:M$27,后果有效剂量!$I$5:$I$27)*后果有效剂量!$U9+SUMPRODUCT(H$5:H$27,后果有效剂量!$J$5:$J$27)*后果有效剂量!$Q9*后果有效剂量!$Q$3+SUMPRODUCT(I$5:I$27,后果有效剂量!$J$5:$J$27)*后果有效剂量!$Q9*后果有效剂量!$Q$3+SUMPRODUCT(J$5:J$27,后果有效剂量!$J$5:$J$27)*后果有效剂量!$R9*后果有效剂量!$R$3+SUMPRODUCT(K$5:K$27,后果有效剂量!$J$5:$J$27)*后果有效剂量!$S9*后果有效剂量!$S$3+SUMPRODUCT(L$5:L$27,后果有效剂量!$J$5:$J$27)*后果有效剂量!$T9*后果有效剂量!$T$3+SUMPRODUCT(M$5:M$27,后果有效剂量!$J$5:$J$27)*后果有效剂量!$U9*后果有效剂量!$U$3+SUMPRODUCT(H$5:H$27,后果有效剂量!$K$5:$K$27)*后果有效剂量!$Q9+SUMPRODUCT(I$5:I$27,后果有效剂量!$K$5:$K$27)*后果有效剂量!$Q9+SUMPRODUCT(J$5:J$27,后果有效剂量!$K$5:$K$27)*后果有效剂量!$R9+SUMPRODUCT(K$5:K$27,后果有效剂量!$K$5:$K$27)*后果有效剂量!$S9+SUMPRODUCT(L$5:L$27,后果有效剂量!$K$5:$K$27)*后果有效剂量!$T9+SUMPRODUCT(M$5:M$27,后果有效剂量!$K$5:$K$27)*后果有效剂量!$U9</f>
        <v>0.000182914127531859</v>
      </c>
      <c r="I35" s="453">
        <f ca="1">SUMPRODUCT(H$5:H$27,后果甲状腺剂量!$I$5:$I$27)*后果甲状腺剂量!$Q9+SUMPRODUCT(I$5:I$27,后果甲状腺剂量!$I$5:$I$27)*后果甲状腺剂量!$Q9+SUMPRODUCT(J$5:J$27,后果甲状腺剂量!$I$5:$I$27)*后果甲状腺剂量!$R9+SUMPRODUCT(K$5:K$27,后果甲状腺剂量!$I$5:$I$27)*后果甲状腺剂量!$S9+SUMPRODUCT(L$5:L$27,后果甲状腺剂量!$I$5:$I$27)*后果甲状腺剂量!$T9+SUMPRODUCT(M$5:M$27,后果甲状腺剂量!$I$5:$I$27)*后果甲状腺剂量!$U9+SUMPRODUCT(H$5:H$27,后果甲状腺剂量!$J$5:$J$27)*后果甲状腺剂量!$Q9*后果甲状腺剂量!$Q$3+SUMPRODUCT(I$5:I$27,后果甲状腺剂量!$J$5:$J$27)*后果甲状腺剂量!$Q9*后果甲状腺剂量!$Q$3+SUMPRODUCT(J$5:J$27,后果甲状腺剂量!$J$5:$J$27)*后果甲状腺剂量!$R9*后果甲状腺剂量!$R$3+SUMPRODUCT(K$5:K$27,后果甲状腺剂量!$J$5:$J$27)*后果甲状腺剂量!$S9*后果甲状腺剂量!$S$3+SUMPRODUCT(L$5:L$27,后果甲状腺剂量!$J$5:$J$27)*后果甲状腺剂量!$T9*后果甲状腺剂量!$T$3+SUMPRODUCT(M$5:M$27,后果甲状腺剂量!$J$5:$J$27)*后果甲状腺剂量!$U9*后果甲状腺剂量!$U$3+SUMPRODUCT(H$5:H$27,后果甲状腺剂量!$K$5:$K$27)*后果甲状腺剂量!$Q9+SUMPRODUCT(I$5:I$27,后果甲状腺剂量!$K$5:$K$27)*后果甲状腺剂量!$Q9+SUMPRODUCT(J$5:J$27,后果甲状腺剂量!$K$5:$K$27)*后果甲状腺剂量!$R9+SUMPRODUCT(K$5:K$27,后果甲状腺剂量!$K$5:$K$27)*后果甲状腺剂量!$S9+SUMPRODUCT(L$5:L$27,后果甲状腺剂量!$K$5:$K$27)*后果甲状腺剂量!$T9+SUMPRODUCT(M$5:M$27,后果甲状腺剂量!$K$5:$K$27)*后果甲状腺剂量!$U9</f>
        <v>0.0073875700130332</v>
      </c>
      <c r="J35" s="454">
        <f ca="1" t="shared" si="253"/>
        <v>0.182914127531859</v>
      </c>
      <c r="K35" s="454">
        <f ca="1" t="shared" si="254"/>
        <v>7.3875700130332</v>
      </c>
      <c r="L35" s="436"/>
      <c r="M35" s="436"/>
      <c r="N35" s="455"/>
      <c r="Q35" s="440" t="str">
        <f>后果有效剂量!$P9</f>
        <v>1500m</v>
      </c>
      <c r="R35" s="441">
        <f ca="1">SUMPRODUCT(R$5:R$27,后果有效剂量!$I$5:$I$27)*后果有效剂量!$Q9+SUMPRODUCT(S$5:S$27,后果有效剂量!$I$5:$I$27)*后果有效剂量!$Q9+SUMPRODUCT(T$5:T$27,后果有效剂量!$I$5:$I$27)*后果有效剂量!$R9+SUMPRODUCT(U$5:U$27,后果有效剂量!$I$5:$I$27)*后果有效剂量!$S9+SUMPRODUCT(V$5:V$27,后果有效剂量!$I$5:$I$27)*后果有效剂量!$T9+SUMPRODUCT(W$5:W$27,后果有效剂量!$I$5:$I$27)*后果有效剂量!$U9+SUMPRODUCT(R$5:R$27,后果有效剂量!$J$5:$J$27)*后果有效剂量!$Q9*后果有效剂量!$Q$3+SUMPRODUCT(S$5:S$27,后果有效剂量!$J$5:$J$27)*后果有效剂量!$Q9*后果有效剂量!$Q$3+SUMPRODUCT(T$5:T$27,后果有效剂量!$J$5:$J$27)*后果有效剂量!$R9*后果有效剂量!$R$3+SUMPRODUCT(U$5:U$27,后果有效剂量!$J$5:$J$27)*后果有效剂量!$S9*后果有效剂量!$S$3+SUMPRODUCT(V$5:V$27,后果有效剂量!$J$5:$J$27)*后果有效剂量!$T9*后果有效剂量!$T$3+SUMPRODUCT(W$5:W$27,后果有效剂量!$J$5:$J$27)*后果有效剂量!$U9*后果有效剂量!$U$3+SUMPRODUCT(R$5:R$27,后果有效剂量!$K$5:$K$27)*后果有效剂量!$Q9+SUMPRODUCT(S$5:S$27,后果有效剂量!$K$5:$K$27)*后果有效剂量!$Q9+SUMPRODUCT(T$5:T$27,后果有效剂量!$K$5:$K$27)*后果有效剂量!$R9+SUMPRODUCT(U$5:U$27,后果有效剂量!$K$5:$K$27)*后果有效剂量!$S9+SUMPRODUCT(V$5:V$27,后果有效剂量!$K$5:$K$27)*后果有效剂量!$T9+SUMPRODUCT(W$5:W$27,后果有效剂量!$K$5:$K$27)*后果有效剂量!$U9</f>
        <v>3.98270940611487e-5</v>
      </c>
      <c r="S35" s="453">
        <f ca="1">SUMPRODUCT(R$5:R$27,后果甲状腺剂量!$I$5:$I$27)*后果甲状腺剂量!$Q9+SUMPRODUCT(S$5:S$27,后果甲状腺剂量!$I$5:$I$27)*后果甲状腺剂量!$Q9+SUMPRODUCT(T$5:T$27,后果甲状腺剂量!$I$5:$I$27)*后果甲状腺剂量!$R9+SUMPRODUCT(U$5:U$27,后果甲状腺剂量!$I$5:$I$27)*后果甲状腺剂量!$S9+SUMPRODUCT(V$5:V$27,后果甲状腺剂量!$I$5:$I$27)*后果甲状腺剂量!$T9+SUMPRODUCT(W$5:W$27,后果甲状腺剂量!$I$5:$I$27)*后果甲状腺剂量!$U9+SUMPRODUCT(R$5:R$27,后果甲状腺剂量!$J$5:$J$27)*后果甲状腺剂量!$Q9*后果甲状腺剂量!$Q$3+SUMPRODUCT(S$5:S$27,后果甲状腺剂量!$J$5:$J$27)*后果甲状腺剂量!$Q9*后果甲状腺剂量!$Q$3+SUMPRODUCT(T$5:T$27,后果甲状腺剂量!$J$5:$J$27)*后果甲状腺剂量!$R9*后果甲状腺剂量!$R$3+SUMPRODUCT(U$5:U$27,后果甲状腺剂量!$J$5:$J$27)*后果甲状腺剂量!$S9*后果甲状腺剂量!$S$3+SUMPRODUCT(V$5:V$27,后果甲状腺剂量!$J$5:$J$27)*后果甲状腺剂量!$T9*后果甲状腺剂量!$T$3+SUMPRODUCT(W$5:W$27,后果甲状腺剂量!$J$5:$J$27)*后果甲状腺剂量!$U9*后果甲状腺剂量!$U$3+SUMPRODUCT(R$5:R$27,后果甲状腺剂量!$K$5:$K$27)*后果甲状腺剂量!$Q9+SUMPRODUCT(S$5:S$27,后果甲状腺剂量!$K$5:$K$27)*后果甲状腺剂量!$Q9+SUMPRODUCT(T$5:T$27,后果甲状腺剂量!$K$5:$K$27)*后果甲状腺剂量!$R9+SUMPRODUCT(U$5:U$27,后果甲状腺剂量!$K$5:$K$27)*后果甲状腺剂量!$S9+SUMPRODUCT(V$5:V$27,后果甲状腺剂量!$K$5:$K$27)*后果甲状腺剂量!$T9+SUMPRODUCT(W$5:W$27,后果甲状腺剂量!$K$5:$K$27)*后果甲状腺剂量!$U9</f>
        <v>0.000472921548843807</v>
      </c>
      <c r="T35" s="454">
        <f ca="1" t="shared" si="255"/>
        <v>0.0398270940611486</v>
      </c>
      <c r="U35" s="454">
        <f ca="1" t="shared" si="256"/>
        <v>0.472921548843807</v>
      </c>
      <c r="V35" s="436"/>
      <c r="W35" s="436"/>
      <c r="AN35" s="533"/>
      <c r="AS35" s="572"/>
      <c r="BO35" s="600"/>
      <c r="BP35" s="600"/>
      <c r="CJ35" s="600"/>
      <c r="DZ35" s="600"/>
      <c r="EU35" s="603"/>
      <c r="FP35" s="603"/>
      <c r="FS35" s="441">
        <f>SUMPRODUCT(FS$5:FS$27,后果有效剂量!$I$5:$I$27)*后果有效剂量!$Q9+SUMPRODUCT(FT$5:FT$27,后果有效剂量!$I$5:$I$27)*后果有效剂量!$R9+SUMPRODUCT(FU$5:FU$27,后果有效剂量!$I$5:$I$27)*后果有效剂量!$S9+SUMPRODUCT(FV$5:FV$27,后果有效剂量!$I$5:$I$27)*后果有效剂量!$T9+SUMPRODUCT(FS$5:FS$27,后果有效剂量!$J$5:$J$27)*后果有效剂量!$Q9*后果有效剂量!$Q$3+SUMPRODUCT(FT$5:FT$27,后果有效剂量!$J$5:$J$27)*后果有效剂量!$R9*后果有效剂量!$R$3+SUMPRODUCT(FU$5:FU$27,后果有效剂量!$J$5:$J$27)*后果有效剂量!$S9*后果有效剂量!$S$3+SUMPRODUCT(FV$5:FV$27,后果有效剂量!$J$5:$J$27)*后果有效剂量!$T9*后果有效剂量!$T$3+SUMPRODUCT(FS$5:FS$27,后果有效剂量!$K$5:$K$27)*后果有效剂量!$Q9+SUMPRODUCT(FT$5:FT$27,后果有效剂量!$K$5:$K$27)*后果有效剂量!$R9+SUMPRODUCT(FU$5:FU$27,后果有效剂量!$K$5:$K$27)*后果有效剂量!$S9+SUMPRODUCT(FV$5:FV$27,后果有效剂量!$K$5:$K$27)*后果有效剂量!$T9</f>
        <v>0.000122787235560545</v>
      </c>
      <c r="FT35" s="453">
        <f>SUMPRODUCT(FS$5:FS$27,后果甲状腺剂量!$I$5:$I$27)*后果甲状腺剂量!$Q9+SUMPRODUCT(FT$5:FT$27,后果甲状腺剂量!$I$5:$I$27)*后果甲状腺剂量!$R9+SUMPRODUCT(FU$5:FU$27,后果甲状腺剂量!$I$5:$I$27)*后果甲状腺剂量!$S9+SUMPRODUCT(FV$5:FV$27,后果甲状腺剂量!$I$5:$I$27)*后果甲状腺剂量!$T9+SUMPRODUCT(FS$5:FS$27,后果甲状腺剂量!$J$5:$J$27)*后果甲状腺剂量!$Q9*后果甲状腺剂量!$Q$3+SUMPRODUCT(FT$5:FT$27,后果甲状腺剂量!$J$5:$J$27)*后果甲状腺剂量!$R9*后果甲状腺剂量!$R$3+SUMPRODUCT(FU$5:FU$27,后果甲状腺剂量!$J$5:$J$27)*后果甲状腺剂量!$S9*后果甲状腺剂量!$S$3+SUMPRODUCT(FV$5:FV$27,后果甲状腺剂量!$J$5:$J$27)*后果甲状腺剂量!$T9*后果甲状腺剂量!$T$3+SUMPRODUCT(FS$5:FS$27,后果甲状腺剂量!$K$5:$K$27)*后果甲状腺剂量!$Q9+SUMPRODUCT(FT$5:FT$27,后果甲状腺剂量!$K$5:$K$27)*后果甲状腺剂量!$R9+SUMPRODUCT(FU$5:FU$27,后果甲状腺剂量!$K$5:$K$27)*后果甲状腺剂量!$S9+SUMPRODUCT(FV$5:FV$27,后果甲状腺剂量!$K$5:$K$27)*后果甲状腺剂量!$T9</f>
        <v>0.00717817440586791</v>
      </c>
      <c r="FU35" s="454">
        <f t="shared" si="257"/>
        <v>0.122787235560545</v>
      </c>
      <c r="FV35" s="454">
        <f t="shared" si="258"/>
        <v>7.17817440586791</v>
      </c>
      <c r="FW35" s="436"/>
      <c r="FX35" s="436"/>
      <c r="GD35" s="440" t="str">
        <f>后果有效剂量!$P9</f>
        <v>1500m</v>
      </c>
      <c r="GE35" s="441">
        <f>SUMPRODUCT(GE$5:GE$27,后果有效剂量!$I$5:$I$27)*后果有效剂量!$Q9+SUMPRODUCT(GF$5:GF$27,后果有效剂量!$I$5:$I$27)*后果有效剂量!$R9+SUMPRODUCT(GG$5:GG$27,后果有效剂量!$I$5:$I$27)*后果有效剂量!$S9+(SUMPRODUCT(GH$5:GH$27,后果有效剂量!$I$5:$I$27)+SUMPRODUCT(GI$5:GI$27,后果有效剂量!$I$5:$I$27))*后果有效剂量!$T9+SUMPRODUCT(GJ$5:GJ$27,后果有效剂量!$I$5:$I$27)*后果有效剂量!$U9+SUMPRODUCT(GE$5:GE$27,后果有效剂量!$J$5:$J$27)*后果有效剂量!$Q9*后果有效剂量!$Q$3+SUMPRODUCT(GF$5:GF$27,后果有效剂量!$J$5:$J$27)*后果有效剂量!$R9*后果有效剂量!$R$3+SUMPRODUCT(GG$5:GG$27,后果有效剂量!$J$5:$J$27)*后果有效剂量!$S9*后果有效剂量!$S$3+(SUMPRODUCT(GH$5:GH$27,后果有效剂量!$J$5:$J$27)+SUMPRODUCT(GI$5:GI$27,后果有效剂量!$J$5:$J$27))*后果有效剂量!$T9*后果有效剂量!$T$3+SUMPRODUCT(GJ$5:GJ$27,后果有效剂量!$J$5:$J$27)*后果有效剂量!$U9*后果有效剂量!$U$3+SUMPRODUCT(GE$5:GE$27,后果有效剂量!$K$5:$K$27)*后果有效剂量!$Q9+SUMPRODUCT(GF$5:GF$27,后果有效剂量!$K$5:$K$27)*后果有效剂量!$R9+SUMPRODUCT(GG$5:GG$27,后果有效剂量!$K$5:$K$27)*后果有效剂量!$S9+(SUMPRODUCT(GH$5:GH$27,后果有效剂量!$K$5:$K$27)+SUMPRODUCT(GI$5:GI$27,后果有效剂量!$K$5:$K$27))*后果有效剂量!$T9+SUMPRODUCT(GJ$5:GJ$27,后果有效剂量!$K$5:$K$27)*后果有效剂量!$U9</f>
        <v>4.31227309385956e-5</v>
      </c>
      <c r="GF35" s="453">
        <f>SUMPRODUCT(GE$5:GE$27,后果甲状腺剂量!$I$5:$I$27)*后果甲状腺剂量!$Q9+SUMPRODUCT(GF$5:GF$27,后果甲状腺剂量!$I$5:$I$27)*后果甲状腺剂量!$R9+SUMPRODUCT(GG$5:GG$27,后果甲状腺剂量!$I$5:$I$27)*后果甲状腺剂量!$S9+(SUMPRODUCT(GH$5:GH$27,后果甲状腺剂量!$I$5:$I$27)+SUMPRODUCT(GI$5:GI$27,后果甲状腺剂量!$I$5:$I$27))*后果甲状腺剂量!$T9+SUMPRODUCT(GJ$5:GJ$27,后果甲状腺剂量!$I$5:$I$27)*后果甲状腺剂量!$U9+SUMPRODUCT(GE$5:GE$27,后果甲状腺剂量!$J$5:$J$27)*后果甲状腺剂量!$Q9*后果甲状腺剂量!$Q$3+SUMPRODUCT(GF$5:GF$27,后果甲状腺剂量!$J$5:$J$27)*后果甲状腺剂量!$R9*后果甲状腺剂量!$R$3+SUMPRODUCT(GG$5:GG$27,后果甲状腺剂量!$J$5:$J$27)*后果甲状腺剂量!$S9*后果甲状腺剂量!$S$3+(SUMPRODUCT(GH$5:GH$27,后果甲状腺剂量!$J$5:$J$27)+SUMPRODUCT(GI$5:GI$27,后果甲状腺剂量!$J$5:$J$27))*后果甲状腺剂量!$T9*后果甲状腺剂量!$T$3+SUMPRODUCT(GJ$5:GJ$27,后果甲状腺剂量!$J$5:$J$27)*后果甲状腺剂量!$U9*后果甲状腺剂量!$U$3+SUMPRODUCT(GE$5:GE$27,后果甲状腺剂量!$K$5:$K$27)*后果甲状腺剂量!$Q9+SUMPRODUCT(GF$5:GF$27,后果甲状腺剂量!$K$5:$K$27)*后果甲状腺剂量!$R9+SUMPRODUCT(GG$5:GG$27,后果甲状腺剂量!$K$5:$K$27)*后果甲状腺剂量!$S9+(SUMPRODUCT(GH$5:GH$27,后果甲状腺剂量!$K$5:$K$27)+SUMPRODUCT(GI$5:GI$27,后果甲状腺剂量!$K$5:$K$27))*后果甲状腺剂量!$T9+SUMPRODUCT(GJ$5:GJ$27,后果甲状腺剂量!$K$5:$K$27)*后果甲状腺剂量!$U9</f>
        <v>0.00196417473419171</v>
      </c>
      <c r="GG35" s="454">
        <f t="shared" si="259"/>
        <v>0.0431227309385956</v>
      </c>
      <c r="GH35" s="454">
        <f t="shared" si="260"/>
        <v>1.96417473419171</v>
      </c>
      <c r="GI35" s="436"/>
      <c r="GJ35" s="436"/>
    </row>
    <row r="36" spans="1:192">
      <c r="A36" s="446"/>
      <c r="B36" s="445" t="s">
        <v>291</v>
      </c>
      <c r="C36" s="422">
        <v>50</v>
      </c>
      <c r="D36" s="410" t="s">
        <v>281</v>
      </c>
      <c r="E36" s="410"/>
      <c r="G36" s="440" t="str">
        <f>后果有效剂量!$P10</f>
        <v>2500m</v>
      </c>
      <c r="H36" s="441">
        <f ca="1">SUMPRODUCT(H$5:H$27,后果有效剂量!$I$5:$I$27)*后果有效剂量!$Q10+SUMPRODUCT(I$5:I$27,后果有效剂量!$I$5:$I$27)*后果有效剂量!$Q10+SUMPRODUCT(J$5:J$27,后果有效剂量!$I$5:$I$27)*后果有效剂量!$R10+SUMPRODUCT(K$5:K$27,后果有效剂量!$I$5:$I$27)*后果有效剂量!$S10+SUMPRODUCT(L$5:L$27,后果有效剂量!$I$5:$I$27)*后果有效剂量!$T10+SUMPRODUCT(M$5:M$27,后果有效剂量!$I$5:$I$27)*后果有效剂量!$U10+SUMPRODUCT(H$5:H$27,后果有效剂量!$J$5:$J$27)*后果有效剂量!$Q10*后果有效剂量!$Q$3+SUMPRODUCT(I$5:I$27,后果有效剂量!$J$5:$J$27)*后果有效剂量!$Q10*后果有效剂量!$Q$3+SUMPRODUCT(J$5:J$27,后果有效剂量!$J$5:$J$27)*后果有效剂量!$R10*后果有效剂量!$R$3+SUMPRODUCT(K$5:K$27,后果有效剂量!$J$5:$J$27)*后果有效剂量!$S10*后果有效剂量!$S$3+SUMPRODUCT(L$5:L$27,后果有效剂量!$J$5:$J$27)*后果有效剂量!$T10*后果有效剂量!$T$3+SUMPRODUCT(M$5:M$27,后果有效剂量!$J$5:$J$27)*后果有效剂量!$U10*后果有效剂量!$U$3+SUMPRODUCT(H$5:H$27,后果有效剂量!$K$5:$K$27)*后果有效剂量!$Q10+SUMPRODUCT(I$5:I$27,后果有效剂量!$K$5:$K$27)*后果有效剂量!$Q10+SUMPRODUCT(J$5:J$27,后果有效剂量!$K$5:$K$27)*后果有效剂量!$R10+SUMPRODUCT(K$5:K$27,后果有效剂量!$K$5:$K$27)*后果有效剂量!$S10+SUMPRODUCT(L$5:L$27,后果有效剂量!$K$5:$K$27)*后果有效剂量!$T10+SUMPRODUCT(M$5:M$27,后果有效剂量!$K$5:$K$27)*后果有效剂量!$U10</f>
        <v>0.000109439309321109</v>
      </c>
      <c r="I36" s="453">
        <f ca="1">SUMPRODUCT(H$5:H$27,后果甲状腺剂量!$I$5:$I$27)*后果甲状腺剂量!$Q10+SUMPRODUCT(I$5:I$27,后果甲状腺剂量!$I$5:$I$27)*后果甲状腺剂量!$Q10+SUMPRODUCT(J$5:J$27,后果甲状腺剂量!$I$5:$I$27)*后果甲状腺剂量!$R10+SUMPRODUCT(K$5:K$27,后果甲状腺剂量!$I$5:$I$27)*后果甲状腺剂量!$S10+SUMPRODUCT(L$5:L$27,后果甲状腺剂量!$I$5:$I$27)*后果甲状腺剂量!$T10+SUMPRODUCT(M$5:M$27,后果甲状腺剂量!$I$5:$I$27)*后果甲状腺剂量!$U10+SUMPRODUCT(H$5:H$27,后果甲状腺剂量!$J$5:$J$27)*后果甲状腺剂量!$Q10*后果甲状腺剂量!$Q$3+SUMPRODUCT(I$5:I$27,后果甲状腺剂量!$J$5:$J$27)*后果甲状腺剂量!$Q10*后果甲状腺剂量!$Q$3+SUMPRODUCT(J$5:J$27,后果甲状腺剂量!$J$5:$J$27)*后果甲状腺剂量!$R10*后果甲状腺剂量!$R$3+SUMPRODUCT(K$5:K$27,后果甲状腺剂量!$J$5:$J$27)*后果甲状腺剂量!$S10*后果甲状腺剂量!$S$3+SUMPRODUCT(L$5:L$27,后果甲状腺剂量!$J$5:$J$27)*后果甲状腺剂量!$T10*后果甲状腺剂量!$T$3+SUMPRODUCT(M$5:M$27,后果甲状腺剂量!$J$5:$J$27)*后果甲状腺剂量!$U10*后果甲状腺剂量!$U$3+SUMPRODUCT(H$5:H$27,后果甲状腺剂量!$K$5:$K$27)*后果甲状腺剂量!$Q10+SUMPRODUCT(I$5:I$27,后果甲状腺剂量!$K$5:$K$27)*后果甲状腺剂量!$Q10+SUMPRODUCT(J$5:J$27,后果甲状腺剂量!$K$5:$K$27)*后果甲状腺剂量!$R10+SUMPRODUCT(K$5:K$27,后果甲状腺剂量!$K$5:$K$27)*后果甲状腺剂量!$S10+SUMPRODUCT(L$5:L$27,后果甲状腺剂量!$K$5:$K$27)*后果甲状腺剂量!$T10+SUMPRODUCT(M$5:M$27,后果甲状腺剂量!$K$5:$K$27)*后果甲状腺剂量!$U10</f>
        <v>0.00472326397934543</v>
      </c>
      <c r="J36" s="454">
        <f ca="1" t="shared" si="253"/>
        <v>0.109439309321109</v>
      </c>
      <c r="K36" s="454">
        <f ca="1" t="shared" si="254"/>
        <v>4.72326397934543</v>
      </c>
      <c r="L36" s="436"/>
      <c r="M36" s="436"/>
      <c r="N36" s="455"/>
      <c r="Q36" s="440" t="str">
        <f>后果有效剂量!$P10</f>
        <v>2500m</v>
      </c>
      <c r="R36" s="441">
        <f ca="1">SUMPRODUCT(R$5:R$27,后果有效剂量!$I$5:$I$27)*后果有效剂量!$Q10+SUMPRODUCT(S$5:S$27,后果有效剂量!$I$5:$I$27)*后果有效剂量!$Q10+SUMPRODUCT(T$5:T$27,后果有效剂量!$I$5:$I$27)*后果有效剂量!$R10+SUMPRODUCT(U$5:U$27,后果有效剂量!$I$5:$I$27)*后果有效剂量!$S10+SUMPRODUCT(V$5:V$27,后果有效剂量!$I$5:$I$27)*后果有效剂量!$T10+SUMPRODUCT(W$5:W$27,后果有效剂量!$I$5:$I$27)*后果有效剂量!$U10+SUMPRODUCT(R$5:R$27,后果有效剂量!$J$5:$J$27)*后果有效剂量!$Q10*后果有效剂量!$Q$3+SUMPRODUCT(S$5:S$27,后果有效剂量!$J$5:$J$27)*后果有效剂量!$Q10*后果有效剂量!$Q$3+SUMPRODUCT(T$5:T$27,后果有效剂量!$J$5:$J$27)*后果有效剂量!$R10*后果有效剂量!$R$3+SUMPRODUCT(U$5:U$27,后果有效剂量!$J$5:$J$27)*后果有效剂量!$S10*后果有效剂量!$S$3+SUMPRODUCT(V$5:V$27,后果有效剂量!$J$5:$J$27)*后果有效剂量!$T10*后果有效剂量!$T$3+SUMPRODUCT(W$5:W$27,后果有效剂量!$J$5:$J$27)*后果有效剂量!$U10*后果有效剂量!$U$3+SUMPRODUCT(R$5:R$27,后果有效剂量!$K$5:$K$27)*后果有效剂量!$Q10+SUMPRODUCT(S$5:S$27,后果有效剂量!$K$5:$K$27)*后果有效剂量!$Q10+SUMPRODUCT(T$5:T$27,后果有效剂量!$K$5:$K$27)*后果有效剂量!$R10+SUMPRODUCT(U$5:U$27,后果有效剂量!$K$5:$K$27)*后果有效剂量!$S10+SUMPRODUCT(V$5:V$27,后果有效剂量!$K$5:$K$27)*后果有效剂量!$T10+SUMPRODUCT(W$5:W$27,后果有效剂量!$K$5:$K$27)*后果有效剂量!$U10</f>
        <v>2.64684595156384e-5</v>
      </c>
      <c r="S36" s="453">
        <f ca="1">SUMPRODUCT(R$5:R$27,后果甲状腺剂量!$I$5:$I$27)*后果甲状腺剂量!$Q10+SUMPRODUCT(S$5:S$27,后果甲状腺剂量!$I$5:$I$27)*后果甲状腺剂量!$Q10+SUMPRODUCT(T$5:T$27,后果甲状腺剂量!$I$5:$I$27)*后果甲状腺剂量!$R10+SUMPRODUCT(U$5:U$27,后果甲状腺剂量!$I$5:$I$27)*后果甲状腺剂量!$S10+SUMPRODUCT(V$5:V$27,后果甲状腺剂量!$I$5:$I$27)*后果甲状腺剂量!$T10+SUMPRODUCT(W$5:W$27,后果甲状腺剂量!$I$5:$I$27)*后果甲状腺剂量!$U10+SUMPRODUCT(R$5:R$27,后果甲状腺剂量!$J$5:$J$27)*后果甲状腺剂量!$Q10*后果甲状腺剂量!$Q$3+SUMPRODUCT(S$5:S$27,后果甲状腺剂量!$J$5:$J$27)*后果甲状腺剂量!$Q10*后果甲状腺剂量!$Q$3+SUMPRODUCT(T$5:T$27,后果甲状腺剂量!$J$5:$J$27)*后果甲状腺剂量!$R10*后果甲状腺剂量!$R$3+SUMPRODUCT(U$5:U$27,后果甲状腺剂量!$J$5:$J$27)*后果甲状腺剂量!$S10*后果甲状腺剂量!$S$3+SUMPRODUCT(V$5:V$27,后果甲状腺剂量!$J$5:$J$27)*后果甲状腺剂量!$T10*后果甲状腺剂量!$T$3+SUMPRODUCT(W$5:W$27,后果甲状腺剂量!$J$5:$J$27)*后果甲状腺剂量!$U10*后果甲状腺剂量!$U$3+SUMPRODUCT(R$5:R$27,后果甲状腺剂量!$K$5:$K$27)*后果甲状腺剂量!$Q10+SUMPRODUCT(S$5:S$27,后果甲状腺剂量!$K$5:$K$27)*后果甲状腺剂量!$Q10+SUMPRODUCT(T$5:T$27,后果甲状腺剂量!$K$5:$K$27)*后果甲状腺剂量!$R10+SUMPRODUCT(U$5:U$27,后果甲状腺剂量!$K$5:$K$27)*后果甲状腺剂量!$S10+SUMPRODUCT(V$5:V$27,后果甲状腺剂量!$K$5:$K$27)*后果甲状腺剂量!$T10+SUMPRODUCT(W$5:W$27,后果甲状腺剂量!$K$5:$K$27)*后果甲状腺剂量!$U10</f>
        <v>0.000312413700434404</v>
      </c>
      <c r="T36" s="454">
        <f ca="1" t="shared" si="255"/>
        <v>0.0264684595156384</v>
      </c>
      <c r="U36" s="454">
        <f ca="1" t="shared" si="256"/>
        <v>0.312413700434404</v>
      </c>
      <c r="V36" s="436"/>
      <c r="W36" s="436"/>
      <c r="AN36" s="533"/>
      <c r="AS36" s="572"/>
      <c r="BO36" s="600"/>
      <c r="CJ36" s="600"/>
      <c r="DZ36" s="600"/>
      <c r="EU36" s="603"/>
      <c r="FP36" s="603"/>
      <c r="FS36" s="441">
        <f>SUMPRODUCT(FS$5:FS$27,后果有效剂量!$I$5:$I$27)*后果有效剂量!$Q10+SUMPRODUCT(FT$5:FT$27,后果有效剂量!$I$5:$I$27)*后果有效剂量!$R10+SUMPRODUCT(FU$5:FU$27,后果有效剂量!$I$5:$I$27)*后果有效剂量!$S10+SUMPRODUCT(FV$5:FV$27,后果有效剂量!$I$5:$I$27)*后果有效剂量!$T10+SUMPRODUCT(FS$5:FS$27,后果有效剂量!$J$5:$J$27)*后果有效剂量!$Q10*后果有效剂量!$Q$3+SUMPRODUCT(FT$5:FT$27,后果有效剂量!$J$5:$J$27)*后果有效剂量!$R10*后果有效剂量!$R$3+SUMPRODUCT(FU$5:FU$27,后果有效剂量!$J$5:$J$27)*后果有效剂量!$S10*后果有效剂量!$S$3+SUMPRODUCT(FV$5:FV$27,后果有效剂量!$J$5:$J$27)*后果有效剂量!$T10*后果有效剂量!$T$3+SUMPRODUCT(FS$5:FS$27,后果有效剂量!$K$5:$K$27)*后果有效剂量!$Q10+SUMPRODUCT(FT$5:FT$27,后果有效剂量!$K$5:$K$27)*后果有效剂量!$R10+SUMPRODUCT(FU$5:FU$27,后果有效剂量!$K$5:$K$27)*后果有效剂量!$S10+SUMPRODUCT(FV$5:FV$27,后果有效剂量!$K$5:$K$27)*后果有效剂量!$T10</f>
        <v>7.43271850862798e-5</v>
      </c>
      <c r="FT36" s="453">
        <f>SUMPRODUCT(FS$5:FS$27,后果甲状腺剂量!$I$5:$I$27)*后果甲状腺剂量!$Q10+SUMPRODUCT(FT$5:FT$27,后果甲状腺剂量!$I$5:$I$27)*后果甲状腺剂量!$R10+SUMPRODUCT(FU$5:FU$27,后果甲状腺剂量!$I$5:$I$27)*后果甲状腺剂量!$S10+SUMPRODUCT(FV$5:FV$27,后果甲状腺剂量!$I$5:$I$27)*后果甲状腺剂量!$T10+SUMPRODUCT(FS$5:FS$27,后果甲状腺剂量!$J$5:$J$27)*后果甲状腺剂量!$Q10*后果甲状腺剂量!$Q$3+SUMPRODUCT(FT$5:FT$27,后果甲状腺剂量!$J$5:$J$27)*后果甲状腺剂量!$R10*后果甲状腺剂量!$R$3+SUMPRODUCT(FU$5:FU$27,后果甲状腺剂量!$J$5:$J$27)*后果甲状腺剂量!$S10*后果甲状腺剂量!$S$3+SUMPRODUCT(FV$5:FV$27,后果甲状腺剂量!$J$5:$J$27)*后果甲状腺剂量!$T10*后果甲状腺剂量!$T$3+SUMPRODUCT(FS$5:FS$27,后果甲状腺剂量!$K$5:$K$27)*后果甲状腺剂量!$Q10+SUMPRODUCT(FT$5:FT$27,后果甲状腺剂量!$K$5:$K$27)*后果甲状腺剂量!$R10+SUMPRODUCT(FU$5:FU$27,后果甲状腺剂量!$K$5:$K$27)*后果甲状腺剂量!$S10+SUMPRODUCT(FV$5:FV$27,后果甲状腺剂量!$K$5:$K$27)*后果甲状腺剂量!$T10</f>
        <v>0.00447460799875152</v>
      </c>
      <c r="FU36" s="454">
        <f t="shared" si="257"/>
        <v>0.0743271850862798</v>
      </c>
      <c r="FV36" s="454">
        <f t="shared" si="258"/>
        <v>4.47460799875152</v>
      </c>
      <c r="FW36" s="436"/>
      <c r="FX36" s="436"/>
      <c r="GD36" s="440" t="str">
        <f>后果有效剂量!$P10</f>
        <v>2500m</v>
      </c>
      <c r="GE36" s="441">
        <f>SUMPRODUCT(GE$5:GE$27,后果有效剂量!$I$5:$I$27)*后果有效剂量!$Q10+SUMPRODUCT(GF$5:GF$27,后果有效剂量!$I$5:$I$27)*后果有效剂量!$R10+SUMPRODUCT(GG$5:GG$27,后果有效剂量!$I$5:$I$27)*后果有效剂量!$S10+(SUMPRODUCT(GH$5:GH$27,后果有效剂量!$I$5:$I$27)+SUMPRODUCT(GI$5:GI$27,后果有效剂量!$I$5:$I$27))*后果有效剂量!$T10+SUMPRODUCT(GJ$5:GJ$27,后果有效剂量!$I$5:$I$27)*后果有效剂量!$U10+SUMPRODUCT(GE$5:GE$27,后果有效剂量!$J$5:$J$27)*后果有效剂量!$Q10*后果有效剂量!$Q$3+SUMPRODUCT(GF$5:GF$27,后果有效剂量!$J$5:$J$27)*后果有效剂量!$R10*后果有效剂量!$R$3+SUMPRODUCT(GG$5:GG$27,后果有效剂量!$J$5:$J$27)*后果有效剂量!$S10*后果有效剂量!$S$3+(SUMPRODUCT(GH$5:GH$27,后果有效剂量!$J$5:$J$27)+SUMPRODUCT(GI$5:GI$27,后果有效剂量!$J$5:$J$27))*后果有效剂量!$T10*后果有效剂量!$T$3+SUMPRODUCT(GJ$5:GJ$27,后果有效剂量!$J$5:$J$27)*后果有效剂量!$U10*后果有效剂量!$U$3+SUMPRODUCT(GE$5:GE$27,后果有效剂量!$K$5:$K$27)*后果有效剂量!$Q10+SUMPRODUCT(GF$5:GF$27,后果有效剂量!$K$5:$K$27)*后果有效剂量!$R10+SUMPRODUCT(GG$5:GG$27,后果有效剂量!$K$5:$K$27)*后果有效剂量!$S10+(SUMPRODUCT(GH$5:GH$27,后果有效剂量!$K$5:$K$27)+SUMPRODUCT(GI$5:GI$27,后果有效剂量!$K$5:$K$27))*后果有效剂量!$T10+SUMPRODUCT(GJ$5:GJ$27,后果有效剂量!$K$5:$K$27)*后果有效剂量!$U10</f>
        <v>2.30543802500546e-5</v>
      </c>
      <c r="GF36" s="453">
        <f>SUMPRODUCT(GE$5:GE$27,后果甲状腺剂量!$I$5:$I$27)*后果甲状腺剂量!$Q10+SUMPRODUCT(GF$5:GF$27,后果甲状腺剂量!$I$5:$I$27)*后果甲状腺剂量!$R10+SUMPRODUCT(GG$5:GG$27,后果甲状腺剂量!$I$5:$I$27)*后果甲状腺剂量!$S10+(SUMPRODUCT(GH$5:GH$27,后果甲状腺剂量!$I$5:$I$27)+SUMPRODUCT(GI$5:GI$27,后果甲状腺剂量!$I$5:$I$27))*后果甲状腺剂量!$T10+SUMPRODUCT(GJ$5:GJ$27,后果甲状腺剂量!$I$5:$I$27)*后果甲状腺剂量!$U10+SUMPRODUCT(GE$5:GE$27,后果甲状腺剂量!$J$5:$J$27)*后果甲状腺剂量!$Q10*后果甲状腺剂量!$Q$3+SUMPRODUCT(GF$5:GF$27,后果甲状腺剂量!$J$5:$J$27)*后果甲状腺剂量!$R10*后果甲状腺剂量!$R$3+SUMPRODUCT(GG$5:GG$27,后果甲状腺剂量!$J$5:$J$27)*后果甲状腺剂量!$S10*后果甲状腺剂量!$S$3+(SUMPRODUCT(GH$5:GH$27,后果甲状腺剂量!$J$5:$J$27)+SUMPRODUCT(GI$5:GI$27,后果甲状腺剂量!$J$5:$J$27))*后果甲状腺剂量!$T10*后果甲状腺剂量!$T$3+SUMPRODUCT(GJ$5:GJ$27,后果甲状腺剂量!$J$5:$J$27)*后果甲状腺剂量!$U10*后果甲状腺剂量!$U$3+SUMPRODUCT(GE$5:GE$27,后果甲状腺剂量!$K$5:$K$27)*后果甲状腺剂量!$Q10+SUMPRODUCT(GF$5:GF$27,后果甲状腺剂量!$K$5:$K$27)*后果甲状腺剂量!$R10+SUMPRODUCT(GG$5:GG$27,后果甲状腺剂量!$K$5:$K$27)*后果甲状腺剂量!$S10+(SUMPRODUCT(GH$5:GH$27,后果甲状腺剂量!$K$5:$K$27)+SUMPRODUCT(GI$5:GI$27,后果甲状腺剂量!$K$5:$K$27))*后果甲状腺剂量!$T10+SUMPRODUCT(GJ$5:GJ$27,后果甲状腺剂量!$K$5:$K$27)*后果甲状腺剂量!$U10</f>
        <v>0.00101005182774948</v>
      </c>
      <c r="GG36" s="454">
        <f t="shared" si="259"/>
        <v>0.0230543802500546</v>
      </c>
      <c r="GH36" s="454">
        <f t="shared" si="260"/>
        <v>1.01005182774948</v>
      </c>
      <c r="GI36" s="436"/>
      <c r="GJ36" s="436"/>
    </row>
    <row r="37" spans="7:192">
      <c r="G37" s="440" t="str">
        <f>后果有效剂量!$P11</f>
        <v>4000m</v>
      </c>
      <c r="H37" s="441">
        <f ca="1">SUMPRODUCT(H$5:H$27,后果有效剂量!$I$5:$I$27)*后果有效剂量!$Q11+SUMPRODUCT(I$5:I$27,后果有效剂量!$I$5:$I$27)*后果有效剂量!$Q11+SUMPRODUCT(J$5:J$27,后果有效剂量!$I$5:$I$27)*后果有效剂量!$R11+SUMPRODUCT(K$5:K$27,后果有效剂量!$I$5:$I$27)*后果有效剂量!$S11+SUMPRODUCT(L$5:L$27,后果有效剂量!$I$5:$I$27)*后果有效剂量!$T11+SUMPRODUCT(M$5:M$27,后果有效剂量!$I$5:$I$27)*后果有效剂量!$U11+SUMPRODUCT(H$5:H$27,后果有效剂量!$J$5:$J$27)*后果有效剂量!$Q11*后果有效剂量!$Q$3+SUMPRODUCT(I$5:I$27,后果有效剂量!$J$5:$J$27)*后果有效剂量!$Q11*后果有效剂量!$Q$3+SUMPRODUCT(J$5:J$27,后果有效剂量!$J$5:$J$27)*后果有效剂量!$R11*后果有效剂量!$R$3+SUMPRODUCT(K$5:K$27,后果有效剂量!$J$5:$J$27)*后果有效剂量!$S11*后果有效剂量!$S$3+SUMPRODUCT(L$5:L$27,后果有效剂量!$J$5:$J$27)*后果有效剂量!$T11*后果有效剂量!$T$3+SUMPRODUCT(M$5:M$27,后果有效剂量!$J$5:$J$27)*后果有效剂量!$U11*后果有效剂量!$U$3+SUMPRODUCT(H$5:H$27,后果有效剂量!$K$5:$K$27)*后果有效剂量!$Q11+SUMPRODUCT(I$5:I$27,后果有效剂量!$K$5:$K$27)*后果有效剂量!$Q11+SUMPRODUCT(J$5:J$27,后果有效剂量!$K$5:$K$27)*后果有效剂量!$R11+SUMPRODUCT(K$5:K$27,后果有效剂量!$K$5:$K$27)*后果有效剂量!$S11+SUMPRODUCT(L$5:L$27,后果有效剂量!$K$5:$K$27)*后果有效剂量!$T11+SUMPRODUCT(M$5:M$27,后果有效剂量!$K$5:$K$27)*后果有效剂量!$U11</f>
        <v>0.000534837923433248</v>
      </c>
      <c r="I37" s="453">
        <f ca="1">SUMPRODUCT(H$5:H$27,后果甲状腺剂量!$I$5:$I$27)*后果甲状腺剂量!$Q11+SUMPRODUCT(I$5:I$27,后果甲状腺剂量!$I$5:$I$27)*后果甲状腺剂量!$Q11+SUMPRODUCT(J$5:J$27,后果甲状腺剂量!$I$5:$I$27)*后果甲状腺剂量!$R11+SUMPRODUCT(K$5:K$27,后果甲状腺剂量!$I$5:$I$27)*后果甲状腺剂量!$S11+SUMPRODUCT(L$5:L$27,后果甲状腺剂量!$I$5:$I$27)*后果甲状腺剂量!$T11+SUMPRODUCT(M$5:M$27,后果甲状腺剂量!$I$5:$I$27)*后果甲状腺剂量!$U11+SUMPRODUCT(H$5:H$27,后果甲状腺剂量!$J$5:$J$27)*后果甲状腺剂量!$Q11*后果甲状腺剂量!$Q$3+SUMPRODUCT(I$5:I$27,后果甲状腺剂量!$J$5:$J$27)*后果甲状腺剂量!$Q11*后果甲状腺剂量!$Q$3+SUMPRODUCT(J$5:J$27,后果甲状腺剂量!$J$5:$J$27)*后果甲状腺剂量!$R11*后果甲状腺剂量!$R$3+SUMPRODUCT(K$5:K$27,后果甲状腺剂量!$J$5:$J$27)*后果甲状腺剂量!$S11*后果甲状腺剂量!$S$3+SUMPRODUCT(L$5:L$27,后果甲状腺剂量!$J$5:$J$27)*后果甲状腺剂量!$T11*后果甲状腺剂量!$T$3+SUMPRODUCT(M$5:M$27,后果甲状腺剂量!$J$5:$J$27)*后果甲状腺剂量!$U11*后果甲状腺剂量!$U$3+SUMPRODUCT(H$5:H$27,后果甲状腺剂量!$K$5:$K$27)*后果甲状腺剂量!$Q11+SUMPRODUCT(I$5:I$27,后果甲状腺剂量!$K$5:$K$27)*后果甲状腺剂量!$Q11+SUMPRODUCT(J$5:J$27,后果甲状腺剂量!$K$5:$K$27)*后果甲状腺剂量!$R11+SUMPRODUCT(K$5:K$27,后果甲状腺剂量!$K$5:$K$27)*后果甲状腺剂量!$S11+SUMPRODUCT(L$5:L$27,后果甲状腺剂量!$K$5:$K$27)*后果甲状腺剂量!$T11+SUMPRODUCT(M$5:M$27,后果甲状腺剂量!$K$5:$K$27)*后果甲状腺剂量!$U11</f>
        <v>0.00297123345068535</v>
      </c>
      <c r="J37" s="454">
        <f ca="1" t="shared" si="253"/>
        <v>0.534837923433248</v>
      </c>
      <c r="K37" s="454">
        <f ca="1" t="shared" si="254"/>
        <v>2.97123345068535</v>
      </c>
      <c r="L37" s="436"/>
      <c r="M37" s="436"/>
      <c r="N37" s="455"/>
      <c r="Q37" s="440" t="str">
        <f>后果有效剂量!$P11</f>
        <v>4000m</v>
      </c>
      <c r="R37" s="441">
        <f ca="1">SUMPRODUCT(R$5:R$27,后果有效剂量!$I$5:$I$27)*后果有效剂量!$Q11+SUMPRODUCT(S$5:S$27,后果有效剂量!$I$5:$I$27)*后果有效剂量!$Q11+SUMPRODUCT(T$5:T$27,后果有效剂量!$I$5:$I$27)*后果有效剂量!$R11+SUMPRODUCT(U$5:U$27,后果有效剂量!$I$5:$I$27)*后果有效剂量!$S11+SUMPRODUCT(V$5:V$27,后果有效剂量!$I$5:$I$27)*后果有效剂量!$T11+SUMPRODUCT(W$5:W$27,后果有效剂量!$I$5:$I$27)*后果有效剂量!$U11+SUMPRODUCT(R$5:R$27,后果有效剂量!$J$5:$J$27)*后果有效剂量!$Q11*后果有效剂量!$Q$3+SUMPRODUCT(S$5:S$27,后果有效剂量!$J$5:$J$27)*后果有效剂量!$Q11*后果有效剂量!$Q$3+SUMPRODUCT(T$5:T$27,后果有效剂量!$J$5:$J$27)*后果有效剂量!$R11*后果有效剂量!$R$3+SUMPRODUCT(U$5:U$27,后果有效剂量!$J$5:$J$27)*后果有效剂量!$S11*后果有效剂量!$S$3+SUMPRODUCT(V$5:V$27,后果有效剂量!$J$5:$J$27)*后果有效剂量!$T11*后果有效剂量!$T$3+SUMPRODUCT(W$5:W$27,后果有效剂量!$J$5:$J$27)*后果有效剂量!$U11*后果有效剂量!$U$3+SUMPRODUCT(R$5:R$27,后果有效剂量!$K$5:$K$27)*后果有效剂量!$Q11+SUMPRODUCT(S$5:S$27,后果有效剂量!$K$5:$K$27)*后果有效剂量!$Q11+SUMPRODUCT(T$5:T$27,后果有效剂量!$K$5:$K$27)*后果有效剂量!$R11+SUMPRODUCT(U$5:U$27,后果有效剂量!$K$5:$K$27)*后果有效剂量!$S11+SUMPRODUCT(V$5:V$27,后果有效剂量!$K$5:$K$27)*后果有效剂量!$T11+SUMPRODUCT(W$5:W$27,后果有效剂量!$K$5:$K$27)*后果有效剂量!$U11</f>
        <v>0.000149618572442604</v>
      </c>
      <c r="S37" s="453">
        <f ca="1">SUMPRODUCT(R$5:R$27,后果甲状腺剂量!$I$5:$I$27)*后果甲状腺剂量!$Q11+SUMPRODUCT(S$5:S$27,后果甲状腺剂量!$I$5:$I$27)*后果甲状腺剂量!$Q11+SUMPRODUCT(T$5:T$27,后果甲状腺剂量!$I$5:$I$27)*后果甲状腺剂量!$R11+SUMPRODUCT(U$5:U$27,后果甲状腺剂量!$I$5:$I$27)*后果甲状腺剂量!$S11+SUMPRODUCT(V$5:V$27,后果甲状腺剂量!$I$5:$I$27)*后果甲状腺剂量!$T11+SUMPRODUCT(W$5:W$27,后果甲状腺剂量!$I$5:$I$27)*后果甲状腺剂量!$U11+SUMPRODUCT(R$5:R$27,后果甲状腺剂量!$J$5:$J$27)*后果甲状腺剂量!$Q11*后果甲状腺剂量!$Q$3+SUMPRODUCT(S$5:S$27,后果甲状腺剂量!$J$5:$J$27)*后果甲状腺剂量!$Q11*后果甲状腺剂量!$Q$3+SUMPRODUCT(T$5:T$27,后果甲状腺剂量!$J$5:$J$27)*后果甲状腺剂量!$R11*后果甲状腺剂量!$R$3+SUMPRODUCT(U$5:U$27,后果甲状腺剂量!$J$5:$J$27)*后果甲状腺剂量!$S11*后果甲状腺剂量!$S$3+SUMPRODUCT(V$5:V$27,后果甲状腺剂量!$J$5:$J$27)*后果甲状腺剂量!$T11*后果甲状腺剂量!$T$3+SUMPRODUCT(W$5:W$27,后果甲状腺剂量!$J$5:$J$27)*后果甲状腺剂量!$U11*后果甲状腺剂量!$U$3+SUMPRODUCT(R$5:R$27,后果甲状腺剂量!$K$5:$K$27)*后果甲状腺剂量!$Q11+SUMPRODUCT(S$5:S$27,后果甲状腺剂量!$K$5:$K$27)*后果甲状腺剂量!$Q11+SUMPRODUCT(T$5:T$27,后果甲状腺剂量!$K$5:$K$27)*后果甲状腺剂量!$R11+SUMPRODUCT(U$5:U$27,后果甲状腺剂量!$K$5:$K$27)*后果甲状腺剂量!$S11+SUMPRODUCT(V$5:V$27,后果甲状腺剂量!$K$5:$K$27)*后果甲状腺剂量!$T11+SUMPRODUCT(W$5:W$27,后果甲状腺剂量!$K$5:$K$27)*后果甲状腺剂量!$U11</f>
        <v>0.000201537333505563</v>
      </c>
      <c r="T37" s="454">
        <f ca="1" t="shared" si="255"/>
        <v>0.149618572442604</v>
      </c>
      <c r="U37" s="454">
        <f ca="1" t="shared" si="256"/>
        <v>0.201537333505563</v>
      </c>
      <c r="V37" s="436"/>
      <c r="W37" s="436"/>
      <c r="AN37" s="533"/>
      <c r="AS37" s="572"/>
      <c r="BO37" s="600"/>
      <c r="CJ37" s="600"/>
      <c r="DZ37" s="600"/>
      <c r="EU37" s="603"/>
      <c r="FP37" s="603"/>
      <c r="FS37" s="441">
        <f>SUMPRODUCT(FS$5:FS$27,后果有效剂量!$I$5:$I$27)*后果有效剂量!$Q11+SUMPRODUCT(FT$5:FT$27,后果有效剂量!$I$5:$I$27)*后果有效剂量!$R11+SUMPRODUCT(FU$5:FU$27,后果有效剂量!$I$5:$I$27)*后果有效剂量!$S11+SUMPRODUCT(FV$5:FV$27,后果有效剂量!$I$5:$I$27)*后果有效剂量!$T11+SUMPRODUCT(FS$5:FS$27,后果有效剂量!$J$5:$J$27)*后果有效剂量!$Q11*后果有效剂量!$Q$3+SUMPRODUCT(FT$5:FT$27,后果有效剂量!$J$5:$J$27)*后果有效剂量!$R11*后果有效剂量!$R$3+SUMPRODUCT(FU$5:FU$27,后果有效剂量!$J$5:$J$27)*后果有效剂量!$S11*后果有效剂量!$S$3+SUMPRODUCT(FV$5:FV$27,后果有效剂量!$J$5:$J$27)*后果有效剂量!$T11*后果有效剂量!$T$3+SUMPRODUCT(FS$5:FS$27,后果有效剂量!$K$5:$K$27)*后果有效剂量!$Q11+SUMPRODUCT(FT$5:FT$27,后果有效剂量!$K$5:$K$27)*后果有效剂量!$R11+SUMPRODUCT(FU$5:FU$27,后果有效剂量!$K$5:$K$27)*后果有效剂量!$S11+SUMPRODUCT(FV$5:FV$27,后果有效剂量!$K$5:$K$27)*后果有效剂量!$T11</f>
        <v>0.000364720194815751</v>
      </c>
      <c r="FT37" s="453">
        <f>SUMPRODUCT(FS$5:FS$27,后果甲状腺剂量!$I$5:$I$27)*后果甲状腺剂量!$Q11+SUMPRODUCT(FT$5:FT$27,后果甲状腺剂量!$I$5:$I$27)*后果甲状腺剂量!$R11+SUMPRODUCT(FU$5:FU$27,后果甲状腺剂量!$I$5:$I$27)*后果甲状腺剂量!$S11+SUMPRODUCT(FV$5:FV$27,后果甲状腺剂量!$I$5:$I$27)*后果甲状腺剂量!$T11+SUMPRODUCT(FS$5:FS$27,后果甲状腺剂量!$J$5:$J$27)*后果甲状腺剂量!$Q11*后果甲状腺剂量!$Q$3+SUMPRODUCT(FT$5:FT$27,后果甲状腺剂量!$J$5:$J$27)*后果甲状腺剂量!$R11*后果甲状腺剂量!$R$3+SUMPRODUCT(FU$5:FU$27,后果甲状腺剂量!$J$5:$J$27)*后果甲状腺剂量!$S11*后果甲状腺剂量!$S$3+SUMPRODUCT(FV$5:FV$27,后果甲状腺剂量!$J$5:$J$27)*后果甲状腺剂量!$T11*后果甲状腺剂量!$T$3+SUMPRODUCT(FS$5:FS$27,后果甲状腺剂量!$K$5:$K$27)*后果甲状腺剂量!$Q11+SUMPRODUCT(FT$5:FT$27,后果甲状腺剂量!$K$5:$K$27)*后果甲状腺剂量!$R11+SUMPRODUCT(FU$5:FU$27,后果甲状腺剂量!$K$5:$K$27)*后果甲状腺剂量!$S11+SUMPRODUCT(FV$5:FV$27,后果甲状腺剂量!$K$5:$K$27)*后果甲状腺剂量!$T11</f>
        <v>0.00275749363591398</v>
      </c>
      <c r="FU37" s="454">
        <f t="shared" si="257"/>
        <v>0.364720194815751</v>
      </c>
      <c r="FV37" s="454">
        <f t="shared" si="258"/>
        <v>2.75749363591398</v>
      </c>
      <c r="FW37" s="436"/>
      <c r="FX37" s="436"/>
      <c r="GD37" s="440" t="str">
        <f>后果有效剂量!$P11</f>
        <v>4000m</v>
      </c>
      <c r="GE37" s="441">
        <f>SUMPRODUCT(GE$5:GE$27,后果有效剂量!$I$5:$I$27)*后果有效剂量!$Q11+SUMPRODUCT(GF$5:GF$27,后果有效剂量!$I$5:$I$27)*后果有效剂量!$R11+SUMPRODUCT(GG$5:GG$27,后果有效剂量!$I$5:$I$27)*后果有效剂量!$S11+(SUMPRODUCT(GH$5:GH$27,后果有效剂量!$I$5:$I$27)+SUMPRODUCT(GI$5:GI$27,后果有效剂量!$I$5:$I$27))*后果有效剂量!$T11+SUMPRODUCT(GJ$5:GJ$27,后果有效剂量!$I$5:$I$27)*后果有效剂量!$U11+SUMPRODUCT(GE$5:GE$27,后果有效剂量!$J$5:$J$27)*后果有效剂量!$Q11*后果有效剂量!$Q$3+SUMPRODUCT(GF$5:GF$27,后果有效剂量!$J$5:$J$27)*后果有效剂量!$R11*后果有效剂量!$R$3+SUMPRODUCT(GG$5:GG$27,后果有效剂量!$J$5:$J$27)*后果有效剂量!$S11*后果有效剂量!$S$3+(SUMPRODUCT(GH$5:GH$27,后果有效剂量!$J$5:$J$27)+SUMPRODUCT(GI$5:GI$27,后果有效剂量!$J$5:$J$27))*后果有效剂量!$T11*后果有效剂量!$T$3+SUMPRODUCT(GJ$5:GJ$27,后果有效剂量!$J$5:$J$27)*后果有效剂量!$U11*后果有效剂量!$U$3+SUMPRODUCT(GE$5:GE$27,后果有效剂量!$K$5:$K$27)*后果有效剂量!$Q11+SUMPRODUCT(GF$5:GF$27,后果有效剂量!$K$5:$K$27)*后果有效剂量!$R11+SUMPRODUCT(GG$5:GG$27,后果有效剂量!$K$5:$K$27)*后果有效剂量!$S11+(SUMPRODUCT(GH$5:GH$27,后果有效剂量!$K$5:$K$27)+SUMPRODUCT(GI$5:GI$27,后果有效剂量!$K$5:$K$27))*后果有效剂量!$T11+SUMPRODUCT(GJ$5:GJ$27,后果有效剂量!$K$5:$K$27)*后果有效剂量!$U11</f>
        <v>8.91871700666406e-5</v>
      </c>
      <c r="GF37" s="453">
        <f>SUMPRODUCT(GE$5:GE$27,后果甲状腺剂量!$I$5:$I$27)*后果甲状腺剂量!$Q11+SUMPRODUCT(GF$5:GF$27,后果甲状腺剂量!$I$5:$I$27)*后果甲状腺剂量!$R11+SUMPRODUCT(GG$5:GG$27,后果甲状腺剂量!$I$5:$I$27)*后果甲状腺剂量!$S11+(SUMPRODUCT(GH$5:GH$27,后果甲状腺剂量!$I$5:$I$27)+SUMPRODUCT(GI$5:GI$27,后果甲状腺剂量!$I$5:$I$27))*后果甲状腺剂量!$T11+SUMPRODUCT(GJ$5:GJ$27,后果甲状腺剂量!$I$5:$I$27)*后果甲状腺剂量!$U11+SUMPRODUCT(GE$5:GE$27,后果甲状腺剂量!$J$5:$J$27)*后果甲状腺剂量!$Q11*后果甲状腺剂量!$Q$3+SUMPRODUCT(GF$5:GF$27,后果甲状腺剂量!$J$5:$J$27)*后果甲状腺剂量!$R11*后果甲状腺剂量!$R$3+SUMPRODUCT(GG$5:GG$27,后果甲状腺剂量!$J$5:$J$27)*后果甲状腺剂量!$S11*后果甲状腺剂量!$S$3+(SUMPRODUCT(GH$5:GH$27,后果甲状腺剂量!$J$5:$J$27)+SUMPRODUCT(GI$5:GI$27,后果甲状腺剂量!$J$5:$J$27))*后果甲状腺剂量!$T11*后果甲状腺剂量!$T$3+SUMPRODUCT(GJ$5:GJ$27,后果甲状腺剂量!$J$5:$J$27)*后果甲状腺剂量!$U11*后果甲状腺剂量!$U$3+SUMPRODUCT(GE$5:GE$27,后果甲状腺剂量!$K$5:$K$27)*后果甲状腺剂量!$Q11+SUMPRODUCT(GF$5:GF$27,后果甲状腺剂量!$K$5:$K$27)*后果甲状腺剂量!$R11+SUMPRODUCT(GG$5:GG$27,后果甲状腺剂量!$K$5:$K$27)*后果甲状腺剂量!$S11+(SUMPRODUCT(GH$5:GH$27,后果甲状腺剂量!$K$5:$K$27)+SUMPRODUCT(GI$5:GI$27,后果甲状腺剂量!$K$5:$K$27))*后果甲状腺剂量!$T11+SUMPRODUCT(GJ$5:GJ$27,后果甲状腺剂量!$K$5:$K$27)*后果甲状腺剂量!$U11</f>
        <v>0.000539068281266805</v>
      </c>
      <c r="GG37" s="454">
        <f t="shared" si="259"/>
        <v>0.0891871700666406</v>
      </c>
      <c r="GH37" s="454">
        <f t="shared" si="260"/>
        <v>0.539068281266805</v>
      </c>
      <c r="GI37" s="436"/>
      <c r="GJ37" s="436"/>
    </row>
    <row r="38" spans="7:192">
      <c r="G38" s="440" t="str">
        <f>后果有效剂量!$P12</f>
        <v>5000m</v>
      </c>
      <c r="H38" s="441">
        <f ca="1">SUMPRODUCT(H$5:H$27,后果有效剂量!$I$5:$I$27)*后果有效剂量!$Q12+SUMPRODUCT(I$5:I$27,后果有效剂量!$I$5:$I$27)*后果有效剂量!$Q12+SUMPRODUCT(J$5:J$27,后果有效剂量!$I$5:$I$27)*后果有效剂量!$R12+SUMPRODUCT(K$5:K$27,后果有效剂量!$I$5:$I$27)*后果有效剂量!$S12+SUMPRODUCT(L$5:L$27,后果有效剂量!$I$5:$I$27)*后果有效剂量!$T12+SUMPRODUCT(M$5:M$27,后果有效剂量!$I$5:$I$27)*后果有效剂量!$U12+SUMPRODUCT(H$5:H$27,后果有效剂量!$J$5:$J$27)*后果有效剂量!$Q12*后果有效剂量!$Q$3+SUMPRODUCT(I$5:I$27,后果有效剂量!$J$5:$J$27)*后果有效剂量!$Q12*后果有效剂量!$Q$3+SUMPRODUCT(J$5:J$27,后果有效剂量!$J$5:$J$27)*后果有效剂量!$R12*后果有效剂量!$R$3+SUMPRODUCT(K$5:K$27,后果有效剂量!$J$5:$J$27)*后果有效剂量!$S12*后果有效剂量!$S$3+SUMPRODUCT(L$5:L$27,后果有效剂量!$J$5:$J$27)*后果有效剂量!$T12*后果有效剂量!$T$3+SUMPRODUCT(M$5:M$27,后果有效剂量!$J$5:$J$27)*后果有效剂量!$U12*后果有效剂量!$U$3+SUMPRODUCT(H$5:H$27,后果有效剂量!$K$5:$K$27)*后果有效剂量!$Q12+SUMPRODUCT(I$5:I$27,后果有效剂量!$K$5:$K$27)*后果有效剂量!$Q12+SUMPRODUCT(J$5:J$27,后果有效剂量!$K$5:$K$27)*后果有效剂量!$R12+SUMPRODUCT(K$5:K$27,后果有效剂量!$K$5:$K$27)*后果有效剂量!$S12+SUMPRODUCT(L$5:L$27,后果有效剂量!$K$5:$K$27)*后果有效剂量!$T12+SUMPRODUCT(M$5:M$27,后果有效剂量!$K$5:$K$27)*后果有效剂量!$U12</f>
        <v>5.4676535079189e-5</v>
      </c>
      <c r="I38" s="453">
        <f ca="1">SUMPRODUCT(H$5:H$27,后果甲状腺剂量!$I$5:$I$27)*后果甲状腺剂量!$Q12+SUMPRODUCT(I$5:I$27,后果甲状腺剂量!$I$5:$I$27)*后果甲状腺剂量!$Q12+SUMPRODUCT(J$5:J$27,后果甲状腺剂量!$I$5:$I$27)*后果甲状腺剂量!$R12+SUMPRODUCT(K$5:K$27,后果甲状腺剂量!$I$5:$I$27)*后果甲状腺剂量!$S12+SUMPRODUCT(L$5:L$27,后果甲状腺剂量!$I$5:$I$27)*后果甲状腺剂量!$T12+SUMPRODUCT(M$5:M$27,后果甲状腺剂量!$I$5:$I$27)*后果甲状腺剂量!$U12+SUMPRODUCT(H$5:H$27,后果甲状腺剂量!$J$5:$J$27)*后果甲状腺剂量!$Q12*后果甲状腺剂量!$Q$3+SUMPRODUCT(I$5:I$27,后果甲状腺剂量!$J$5:$J$27)*后果甲状腺剂量!$Q12*后果甲状腺剂量!$Q$3+SUMPRODUCT(J$5:J$27,后果甲状腺剂量!$J$5:$J$27)*后果甲状腺剂量!$R12*后果甲状腺剂量!$R$3+SUMPRODUCT(K$5:K$27,后果甲状腺剂量!$J$5:$J$27)*后果甲状腺剂量!$S12*后果甲状腺剂量!$S$3+SUMPRODUCT(L$5:L$27,后果甲状腺剂量!$J$5:$J$27)*后果甲状腺剂量!$T12*后果甲状腺剂量!$T$3+SUMPRODUCT(M$5:M$27,后果甲状腺剂量!$J$5:$J$27)*后果甲状腺剂量!$U12*后果甲状腺剂量!$U$3+SUMPRODUCT(H$5:H$27,后果甲状腺剂量!$K$5:$K$27)*后果甲状腺剂量!$Q12+SUMPRODUCT(I$5:I$27,后果甲状腺剂量!$K$5:$K$27)*后果甲状腺剂量!$Q12+SUMPRODUCT(J$5:J$27,后果甲状腺剂量!$K$5:$K$27)*后果甲状腺剂量!$R12+SUMPRODUCT(K$5:K$27,后果甲状腺剂量!$K$5:$K$27)*后果甲状腺剂量!$S12+SUMPRODUCT(L$5:L$27,后果甲状腺剂量!$K$5:$K$27)*后果甲状腺剂量!$T12+SUMPRODUCT(M$5:M$27,后果甲状腺剂量!$K$5:$K$27)*后果甲状腺剂量!$U12</f>
        <v>0.00227779281208631</v>
      </c>
      <c r="J38" s="454">
        <f ca="1" t="shared" si="253"/>
        <v>0.054676535079189</v>
      </c>
      <c r="K38" s="454">
        <f ca="1" t="shared" si="254"/>
        <v>2.27779281208631</v>
      </c>
      <c r="L38" s="436"/>
      <c r="M38" s="436"/>
      <c r="N38" s="455"/>
      <c r="Q38" s="440" t="str">
        <f>后果有效剂量!$P12</f>
        <v>5000m</v>
      </c>
      <c r="R38" s="441">
        <f ca="1">SUMPRODUCT(R$5:R$27,后果有效剂量!$I$5:$I$27)*后果有效剂量!$Q12+SUMPRODUCT(S$5:S$27,后果有效剂量!$I$5:$I$27)*后果有效剂量!$Q12+SUMPRODUCT(T$5:T$27,后果有效剂量!$I$5:$I$27)*后果有效剂量!$R12+SUMPRODUCT(U$5:U$27,后果有效剂量!$I$5:$I$27)*后果有效剂量!$S12+SUMPRODUCT(V$5:V$27,后果有效剂量!$I$5:$I$27)*后果有效剂量!$T12+SUMPRODUCT(W$5:W$27,后果有效剂量!$I$5:$I$27)*后果有效剂量!$U12+SUMPRODUCT(R$5:R$27,后果有效剂量!$J$5:$J$27)*后果有效剂量!$Q12*后果有效剂量!$Q$3+SUMPRODUCT(S$5:S$27,后果有效剂量!$J$5:$J$27)*后果有效剂量!$Q12*后果有效剂量!$Q$3+SUMPRODUCT(T$5:T$27,后果有效剂量!$J$5:$J$27)*后果有效剂量!$R12*后果有效剂量!$R$3+SUMPRODUCT(U$5:U$27,后果有效剂量!$J$5:$J$27)*后果有效剂量!$S12*后果有效剂量!$S$3+SUMPRODUCT(V$5:V$27,后果有效剂量!$J$5:$J$27)*后果有效剂量!$T12*后果有效剂量!$T$3+SUMPRODUCT(W$5:W$27,后果有效剂量!$J$5:$J$27)*后果有效剂量!$U12*后果有效剂量!$U$3+SUMPRODUCT(R$5:R$27,后果有效剂量!$K$5:$K$27)*后果有效剂量!$Q12+SUMPRODUCT(S$5:S$27,后果有效剂量!$K$5:$K$27)*后果有效剂量!$Q12+SUMPRODUCT(T$5:T$27,后果有效剂量!$K$5:$K$27)*后果有效剂量!$R12+SUMPRODUCT(U$5:U$27,后果有效剂量!$K$5:$K$27)*后果有效剂量!$S12+SUMPRODUCT(V$5:V$27,后果有效剂量!$K$5:$K$27)*后果有效剂量!$T12+SUMPRODUCT(W$5:W$27,后果有效剂量!$K$5:$K$27)*后果有效剂量!$U12</f>
        <v>1.4326139794598e-5</v>
      </c>
      <c r="S38" s="453">
        <f ca="1">SUMPRODUCT(R$5:R$27,后果甲状腺剂量!$I$5:$I$27)*后果甲状腺剂量!$Q12+SUMPRODUCT(S$5:S$27,后果甲状腺剂量!$I$5:$I$27)*后果甲状腺剂量!$Q12+SUMPRODUCT(T$5:T$27,后果甲状腺剂量!$I$5:$I$27)*后果甲状腺剂量!$R12+SUMPRODUCT(U$5:U$27,后果甲状腺剂量!$I$5:$I$27)*后果甲状腺剂量!$S12+SUMPRODUCT(V$5:V$27,后果甲状腺剂量!$I$5:$I$27)*后果甲状腺剂量!$T12+SUMPRODUCT(W$5:W$27,后果甲状腺剂量!$I$5:$I$27)*后果甲状腺剂量!$U12+SUMPRODUCT(R$5:R$27,后果甲状腺剂量!$J$5:$J$27)*后果甲状腺剂量!$Q12*后果甲状腺剂量!$Q$3+SUMPRODUCT(S$5:S$27,后果甲状腺剂量!$J$5:$J$27)*后果甲状腺剂量!$Q12*后果甲状腺剂量!$Q$3+SUMPRODUCT(T$5:T$27,后果甲状腺剂量!$J$5:$J$27)*后果甲状腺剂量!$R12*后果甲状腺剂量!$R$3+SUMPRODUCT(U$5:U$27,后果甲状腺剂量!$J$5:$J$27)*后果甲状腺剂量!$S12*后果甲状腺剂量!$S$3+SUMPRODUCT(V$5:V$27,后果甲状腺剂量!$J$5:$J$27)*后果甲状腺剂量!$T12*后果甲状腺剂量!$T$3+SUMPRODUCT(W$5:W$27,后果甲状腺剂量!$J$5:$J$27)*后果甲状腺剂量!$U12*后果甲状腺剂量!$U$3+SUMPRODUCT(R$5:R$27,后果甲状腺剂量!$K$5:$K$27)*后果甲状腺剂量!$Q12+SUMPRODUCT(S$5:S$27,后果甲状腺剂量!$K$5:$K$27)*后果甲状腺剂量!$Q12+SUMPRODUCT(T$5:T$27,后果甲状腺剂量!$K$5:$K$27)*后果甲状腺剂量!$R12+SUMPRODUCT(U$5:U$27,后果甲状腺剂量!$K$5:$K$27)*后果甲状腺剂量!$S12+SUMPRODUCT(V$5:V$27,后果甲状腺剂量!$K$5:$K$27)*后果甲状腺剂量!$T12+SUMPRODUCT(W$5:W$27,后果甲状腺剂量!$K$5:$K$27)*后果甲状腺剂量!$U12</f>
        <v>0.000155878245556062</v>
      </c>
      <c r="T38" s="454">
        <f ca="1" t="shared" si="255"/>
        <v>0.014326139794598</v>
      </c>
      <c r="U38" s="454">
        <f ca="1" t="shared" si="256"/>
        <v>0.155878245556062</v>
      </c>
      <c r="V38" s="436"/>
      <c r="W38" s="436"/>
      <c r="AN38" s="533"/>
      <c r="AS38" s="572"/>
      <c r="BO38" s="600"/>
      <c r="CJ38" s="600"/>
      <c r="DZ38" s="600"/>
      <c r="EU38" s="603"/>
      <c r="FP38" s="603"/>
      <c r="FS38" s="441">
        <f>SUMPRODUCT(FS$5:FS$27,后果有效剂量!$I$5:$I$27)*后果有效剂量!$Q12+SUMPRODUCT(FT$5:FT$27,后果有效剂量!$I$5:$I$27)*后果有效剂量!$R12+SUMPRODUCT(FU$5:FU$27,后果有效剂量!$I$5:$I$27)*后果有效剂量!$S12+SUMPRODUCT(FV$5:FV$27,后果有效剂量!$I$5:$I$27)*后果有效剂量!$T12+SUMPRODUCT(FS$5:FS$27,后果有效剂量!$J$5:$J$27)*后果有效剂量!$Q12*后果有效剂量!$Q$3+SUMPRODUCT(FT$5:FT$27,后果有效剂量!$J$5:$J$27)*后果有效剂量!$R12*后果有效剂量!$R$3+SUMPRODUCT(FU$5:FU$27,后果有效剂量!$J$5:$J$27)*后果有效剂量!$S12*后果有效剂量!$S$3+SUMPRODUCT(FV$5:FV$27,后果有效剂量!$J$5:$J$27)*后果有效剂量!$T12*后果有效剂量!$T$3+SUMPRODUCT(FS$5:FS$27,后果有效剂量!$K$5:$K$27)*后果有效剂量!$Q12+SUMPRODUCT(FT$5:FT$27,后果有效剂量!$K$5:$K$27)*后果有效剂量!$R12+SUMPRODUCT(FU$5:FU$27,后果有效剂量!$K$5:$K$27)*后果有效剂量!$S12+SUMPRODUCT(FV$5:FV$27,后果有效剂量!$K$5:$K$27)*后果有效剂量!$T12</f>
        <v>3.76124270740873e-5</v>
      </c>
      <c r="FT38" s="453">
        <f>SUMPRODUCT(FS$5:FS$27,后果甲状腺剂量!$I$5:$I$27)*后果甲状腺剂量!$Q12+SUMPRODUCT(FT$5:FT$27,后果甲状腺剂量!$I$5:$I$27)*后果甲状腺剂量!$R12+SUMPRODUCT(FU$5:FU$27,后果甲状腺剂量!$I$5:$I$27)*后果甲状腺剂量!$S12+SUMPRODUCT(FV$5:FV$27,后果甲状腺剂量!$I$5:$I$27)*后果甲状腺剂量!$T12+SUMPRODUCT(FS$5:FS$27,后果甲状腺剂量!$J$5:$J$27)*后果甲状腺剂量!$Q12*后果甲状腺剂量!$Q$3+SUMPRODUCT(FT$5:FT$27,后果甲状腺剂量!$J$5:$J$27)*后果甲状腺剂量!$R12*后果甲状腺剂量!$R$3+SUMPRODUCT(FU$5:FU$27,后果甲状腺剂量!$J$5:$J$27)*后果甲状腺剂量!$S12*后果甲状腺剂量!$S$3+SUMPRODUCT(FV$5:FV$27,后果甲状腺剂量!$J$5:$J$27)*后果甲状腺剂量!$T12*后果甲状腺剂量!$T$3+SUMPRODUCT(FS$5:FS$27,后果甲状腺剂量!$K$5:$K$27)*后果甲状腺剂量!$Q12+SUMPRODUCT(FT$5:FT$27,后果甲状腺剂量!$K$5:$K$27)*后果甲状腺剂量!$R12+SUMPRODUCT(FU$5:FU$27,后果甲状腺剂量!$K$5:$K$27)*后果甲状腺剂量!$S12+SUMPRODUCT(FV$5:FV$27,后果甲状腺剂量!$K$5:$K$27)*后果甲状腺剂量!$T12</f>
        <v>0.00209817268079309</v>
      </c>
      <c r="FU38" s="454">
        <f t="shared" si="257"/>
        <v>0.0376124270740873</v>
      </c>
      <c r="FV38" s="454">
        <f t="shared" si="258"/>
        <v>2.09817268079309</v>
      </c>
      <c r="FW38" s="436"/>
      <c r="FX38" s="436"/>
      <c r="GD38" s="440" t="str">
        <f>后果有效剂量!$P12</f>
        <v>5000m</v>
      </c>
      <c r="GE38" s="441">
        <f>SUMPRODUCT(GE$5:GE$27,后果有效剂量!$I$5:$I$27)*后果有效剂量!$Q12+SUMPRODUCT(GF$5:GF$27,后果有效剂量!$I$5:$I$27)*后果有效剂量!$R12+SUMPRODUCT(GG$5:GG$27,后果有效剂量!$I$5:$I$27)*后果有效剂量!$S12+(SUMPRODUCT(GH$5:GH$27,后果有效剂量!$I$5:$I$27)+SUMPRODUCT(GI$5:GI$27,后果有效剂量!$I$5:$I$27))*后果有效剂量!$T12+SUMPRODUCT(GJ$5:GJ$27,后果有效剂量!$I$5:$I$27)*后果有效剂量!$U12+SUMPRODUCT(GE$5:GE$27,后果有效剂量!$J$5:$J$27)*后果有效剂量!$Q12*后果有效剂量!$Q$3+SUMPRODUCT(GF$5:GF$27,后果有效剂量!$J$5:$J$27)*后果有效剂量!$R12*后果有效剂量!$R$3+SUMPRODUCT(GG$5:GG$27,后果有效剂量!$J$5:$J$27)*后果有效剂量!$S12*后果有效剂量!$S$3+(SUMPRODUCT(GH$5:GH$27,后果有效剂量!$J$5:$J$27)+SUMPRODUCT(GI$5:GI$27,后果有效剂量!$J$5:$J$27))*后果有效剂量!$T12*后果有效剂量!$T$3+SUMPRODUCT(GJ$5:GJ$27,后果有效剂量!$J$5:$J$27)*后果有效剂量!$U12*后果有效剂量!$U$3+SUMPRODUCT(GE$5:GE$27,后果有效剂量!$K$5:$K$27)*后果有效剂量!$Q12+SUMPRODUCT(GF$5:GF$27,后果有效剂量!$K$5:$K$27)*后果有效剂量!$R12+SUMPRODUCT(GG$5:GG$27,后果有效剂量!$K$5:$K$27)*后果有效剂量!$S12+(SUMPRODUCT(GH$5:GH$27,后果有效剂量!$K$5:$K$27)+SUMPRODUCT(GI$5:GI$27,后果有效剂量!$K$5:$K$27))*后果有效剂量!$T12+SUMPRODUCT(GJ$5:GJ$27,后果有效剂量!$K$5:$K$27)*后果有效剂量!$U12</f>
        <v>9.96698491087919e-6</v>
      </c>
      <c r="GF38" s="453">
        <f>SUMPRODUCT(GE$5:GE$27,后果甲状腺剂量!$I$5:$I$27)*后果甲状腺剂量!$Q12+SUMPRODUCT(GF$5:GF$27,后果甲状腺剂量!$I$5:$I$27)*后果甲状腺剂量!$R12+SUMPRODUCT(GG$5:GG$27,后果甲状腺剂量!$I$5:$I$27)*后果甲状腺剂量!$S12+(SUMPRODUCT(GH$5:GH$27,后果甲状腺剂量!$I$5:$I$27)+SUMPRODUCT(GI$5:GI$27,后果甲状腺剂量!$I$5:$I$27))*后果甲状腺剂量!$T12+SUMPRODUCT(GJ$5:GJ$27,后果甲状腺剂量!$I$5:$I$27)*后果甲状腺剂量!$U12+SUMPRODUCT(GE$5:GE$27,后果甲状腺剂量!$J$5:$J$27)*后果甲状腺剂量!$Q12*后果甲状腺剂量!$Q$3+SUMPRODUCT(GF$5:GF$27,后果甲状腺剂量!$J$5:$J$27)*后果甲状腺剂量!$R12*后果甲状腺剂量!$R$3+SUMPRODUCT(GG$5:GG$27,后果甲状腺剂量!$J$5:$J$27)*后果甲状腺剂量!$S12*后果甲状腺剂量!$S$3+(SUMPRODUCT(GH$5:GH$27,后果甲状腺剂量!$J$5:$J$27)+SUMPRODUCT(GI$5:GI$27,后果甲状腺剂量!$J$5:$J$27))*后果甲状腺剂量!$T12*后果甲状腺剂量!$T$3+SUMPRODUCT(GJ$5:GJ$27,后果甲状腺剂量!$J$5:$J$27)*后果甲状腺剂量!$U12*后果甲状腺剂量!$U$3+SUMPRODUCT(GE$5:GE$27,后果甲状腺剂量!$K$5:$K$27)*后果甲状腺剂量!$Q12+SUMPRODUCT(GF$5:GF$27,后果甲状腺剂量!$K$5:$K$27)*后果甲状腺剂量!$R12+SUMPRODUCT(GG$5:GG$27,后果甲状腺剂量!$K$5:$K$27)*后果甲状腺剂量!$S12+(SUMPRODUCT(GH$5:GH$27,后果甲状腺剂量!$K$5:$K$27)+SUMPRODUCT(GI$5:GI$27,后果甲状腺剂量!$K$5:$K$27))*后果甲状腺剂量!$T12+SUMPRODUCT(GJ$5:GJ$27,后果甲状腺剂量!$K$5:$K$27)*后果甲状腺剂量!$U12</f>
        <v>0.000390031853238463</v>
      </c>
      <c r="GG38" s="454">
        <f t="shared" si="259"/>
        <v>0.00996698491087919</v>
      </c>
      <c r="GH38" s="454">
        <f t="shared" si="260"/>
        <v>0.390031853238463</v>
      </c>
      <c r="GI38" s="436"/>
      <c r="GJ38" s="436"/>
    </row>
    <row r="39" spans="7:192">
      <c r="G39" s="440" t="str">
        <f>后果有效剂量!$P13</f>
        <v>7500m</v>
      </c>
      <c r="H39" s="441">
        <f ca="1">SUMPRODUCT(H$5:H$27,后果有效剂量!$I$5:$I$27)*后果有效剂量!$Q13+SUMPRODUCT(I$5:I$27,后果有效剂量!$I$5:$I$27)*后果有效剂量!$Q13+SUMPRODUCT(J$5:J$27,后果有效剂量!$I$5:$I$27)*后果有效剂量!$R13+SUMPRODUCT(K$5:K$27,后果有效剂量!$I$5:$I$27)*后果有效剂量!$S13+SUMPRODUCT(L$5:L$27,后果有效剂量!$I$5:$I$27)*后果有效剂量!$T13+SUMPRODUCT(M$5:M$27,后果有效剂量!$I$5:$I$27)*后果有效剂量!$U13+SUMPRODUCT(H$5:H$27,后果有效剂量!$J$5:$J$27)*后果有效剂量!$Q13*后果有效剂量!$Q$3+SUMPRODUCT(I$5:I$27,后果有效剂量!$J$5:$J$27)*后果有效剂量!$Q13*后果有效剂量!$Q$3+SUMPRODUCT(J$5:J$27,后果有效剂量!$J$5:$J$27)*后果有效剂量!$R13*后果有效剂量!$R$3+SUMPRODUCT(K$5:K$27,后果有效剂量!$J$5:$J$27)*后果有效剂量!$S13*后果有效剂量!$S$3+SUMPRODUCT(L$5:L$27,后果有效剂量!$J$5:$J$27)*后果有效剂量!$T13*后果有效剂量!$T$3+SUMPRODUCT(M$5:M$27,后果有效剂量!$J$5:$J$27)*后果有效剂量!$U13*后果有效剂量!$U$3+SUMPRODUCT(H$5:H$27,后果有效剂量!$K$5:$K$27)*后果有效剂量!$Q13+SUMPRODUCT(I$5:I$27,后果有效剂量!$K$5:$K$27)*后果有效剂量!$Q13+SUMPRODUCT(J$5:J$27,后果有效剂量!$K$5:$K$27)*后果有效剂量!$R13+SUMPRODUCT(K$5:K$27,后果有效剂量!$K$5:$K$27)*后果有效剂量!$S13+SUMPRODUCT(L$5:L$27,后果有效剂量!$K$5:$K$27)*后果有效剂量!$T13+SUMPRODUCT(M$5:M$27,后果有效剂量!$K$5:$K$27)*后果有效剂量!$U13</f>
        <v>0.000268181990111035</v>
      </c>
      <c r="I39" s="453">
        <f ca="1">SUMPRODUCT(H$5:H$27,后果甲状腺剂量!$I$5:$I$27)*后果甲状腺剂量!$Q13+SUMPRODUCT(I$5:I$27,后果甲状腺剂量!$I$5:$I$27)*后果甲状腺剂量!$Q13+SUMPRODUCT(J$5:J$27,后果甲状腺剂量!$I$5:$I$27)*后果甲状腺剂量!$R13+SUMPRODUCT(K$5:K$27,后果甲状腺剂量!$I$5:$I$27)*后果甲状腺剂量!$S13+SUMPRODUCT(L$5:L$27,后果甲状腺剂量!$I$5:$I$27)*后果甲状腺剂量!$T13+SUMPRODUCT(M$5:M$27,后果甲状腺剂量!$I$5:$I$27)*后果甲状腺剂量!$U13+SUMPRODUCT(H$5:H$27,后果甲状腺剂量!$J$5:$J$27)*后果甲状腺剂量!$Q13*后果甲状腺剂量!$Q$3+SUMPRODUCT(I$5:I$27,后果甲状腺剂量!$J$5:$J$27)*后果甲状腺剂量!$Q13*后果甲状腺剂量!$Q$3+SUMPRODUCT(J$5:J$27,后果甲状腺剂量!$J$5:$J$27)*后果甲状腺剂量!$R13*后果甲状腺剂量!$R$3+SUMPRODUCT(K$5:K$27,后果甲状腺剂量!$J$5:$J$27)*后果甲状腺剂量!$S13*后果甲状腺剂量!$S$3+SUMPRODUCT(L$5:L$27,后果甲状腺剂量!$J$5:$J$27)*后果甲状腺剂量!$T13*后果甲状腺剂量!$T$3+SUMPRODUCT(M$5:M$27,后果甲状腺剂量!$J$5:$J$27)*后果甲状腺剂量!$U13*后果甲状腺剂量!$U$3+SUMPRODUCT(H$5:H$27,后果甲状腺剂量!$K$5:$K$27)*后果甲状腺剂量!$Q13+SUMPRODUCT(I$5:I$27,后果甲状腺剂量!$K$5:$K$27)*后果甲状腺剂量!$Q13+SUMPRODUCT(J$5:J$27,后果甲状腺剂量!$K$5:$K$27)*后果甲状腺剂量!$R13+SUMPRODUCT(K$5:K$27,后果甲状腺剂量!$K$5:$K$27)*后果甲状腺剂量!$S13+SUMPRODUCT(L$5:L$27,后果甲状腺剂量!$K$5:$K$27)*后果甲状腺剂量!$T13+SUMPRODUCT(M$5:M$27,后果甲状腺剂量!$K$5:$K$27)*后果甲状腺剂量!$U13</f>
        <v>0.00146946826323614</v>
      </c>
      <c r="J39" s="454">
        <f ca="1" t="shared" si="253"/>
        <v>0.268181990111035</v>
      </c>
      <c r="K39" s="454">
        <f ca="1" t="shared" si="254"/>
        <v>1.46946826323614</v>
      </c>
      <c r="L39" s="436"/>
      <c r="M39" s="436"/>
      <c r="N39" s="455"/>
      <c r="Q39" s="440" t="str">
        <f>后果有效剂量!$P13</f>
        <v>7500m</v>
      </c>
      <c r="R39" s="441">
        <f ca="1">SUMPRODUCT(R$5:R$27,后果有效剂量!$I$5:$I$27)*后果有效剂量!$Q13+SUMPRODUCT(S$5:S$27,后果有效剂量!$I$5:$I$27)*后果有效剂量!$Q13+SUMPRODUCT(T$5:T$27,后果有效剂量!$I$5:$I$27)*后果有效剂量!$R13+SUMPRODUCT(U$5:U$27,后果有效剂量!$I$5:$I$27)*后果有效剂量!$S13+SUMPRODUCT(V$5:V$27,后果有效剂量!$I$5:$I$27)*后果有效剂量!$T13+SUMPRODUCT(W$5:W$27,后果有效剂量!$I$5:$I$27)*后果有效剂量!$U13+SUMPRODUCT(R$5:R$27,后果有效剂量!$J$5:$J$27)*后果有效剂量!$Q13*后果有效剂量!$Q$3+SUMPRODUCT(S$5:S$27,后果有效剂量!$J$5:$J$27)*后果有效剂量!$Q13*后果有效剂量!$Q$3+SUMPRODUCT(T$5:T$27,后果有效剂量!$J$5:$J$27)*后果有效剂量!$R13*后果有效剂量!$R$3+SUMPRODUCT(U$5:U$27,后果有效剂量!$J$5:$J$27)*后果有效剂量!$S13*后果有效剂量!$S$3+SUMPRODUCT(V$5:V$27,后果有效剂量!$J$5:$J$27)*后果有效剂量!$T13*后果有效剂量!$T$3+SUMPRODUCT(W$5:W$27,后果有效剂量!$J$5:$J$27)*后果有效剂量!$U13*后果有效剂量!$U$3+SUMPRODUCT(R$5:R$27,后果有效剂量!$K$5:$K$27)*后果有效剂量!$Q13+SUMPRODUCT(S$5:S$27,后果有效剂量!$K$5:$K$27)*后果有效剂量!$Q13+SUMPRODUCT(T$5:T$27,后果有效剂量!$K$5:$K$27)*后果有效剂量!$R13+SUMPRODUCT(U$5:U$27,后果有效剂量!$K$5:$K$27)*后果有效剂量!$S13+SUMPRODUCT(V$5:V$27,后果有效剂量!$K$5:$K$27)*后果有效剂量!$T13+SUMPRODUCT(W$5:W$27,后果有效剂量!$K$5:$K$27)*后果有效剂量!$U13</f>
        <v>8.04394317831247e-5</v>
      </c>
      <c r="S39" s="453">
        <f ca="1">SUMPRODUCT(R$5:R$27,后果甲状腺剂量!$I$5:$I$27)*后果甲状腺剂量!$Q13+SUMPRODUCT(S$5:S$27,后果甲状腺剂量!$I$5:$I$27)*后果甲状腺剂量!$Q13+SUMPRODUCT(T$5:T$27,后果甲状腺剂量!$I$5:$I$27)*后果甲状腺剂量!$R13+SUMPRODUCT(U$5:U$27,后果甲状腺剂量!$I$5:$I$27)*后果甲状腺剂量!$S13+SUMPRODUCT(V$5:V$27,后果甲状腺剂量!$I$5:$I$27)*后果甲状腺剂量!$T13+SUMPRODUCT(W$5:W$27,后果甲状腺剂量!$I$5:$I$27)*后果甲状腺剂量!$U13+SUMPRODUCT(R$5:R$27,后果甲状腺剂量!$J$5:$J$27)*后果甲状腺剂量!$Q13*后果甲状腺剂量!$Q$3+SUMPRODUCT(S$5:S$27,后果甲状腺剂量!$J$5:$J$27)*后果甲状腺剂量!$Q13*后果甲状腺剂量!$Q$3+SUMPRODUCT(T$5:T$27,后果甲状腺剂量!$J$5:$J$27)*后果甲状腺剂量!$R13*后果甲状腺剂量!$R$3+SUMPRODUCT(U$5:U$27,后果甲状腺剂量!$J$5:$J$27)*后果甲状腺剂量!$S13*后果甲状腺剂量!$S$3+SUMPRODUCT(V$5:V$27,后果甲状腺剂量!$J$5:$J$27)*后果甲状腺剂量!$T13*后果甲状腺剂量!$T$3+SUMPRODUCT(W$5:W$27,后果甲状腺剂量!$J$5:$J$27)*后果甲状腺剂量!$U13*后果甲状腺剂量!$U$3+SUMPRODUCT(R$5:R$27,后果甲状腺剂量!$K$5:$K$27)*后果甲状腺剂量!$Q13+SUMPRODUCT(S$5:S$27,后果甲状腺剂量!$K$5:$K$27)*后果甲状腺剂量!$Q13+SUMPRODUCT(T$5:T$27,后果甲状腺剂量!$K$5:$K$27)*后果甲状腺剂量!$R13+SUMPRODUCT(U$5:U$27,后果甲状腺剂量!$K$5:$K$27)*后果甲状腺剂量!$S13+SUMPRODUCT(V$5:V$27,后果甲状腺剂量!$K$5:$K$27)*后果甲状腺剂量!$T13+SUMPRODUCT(W$5:W$27,后果甲状腺剂量!$K$5:$K$27)*后果甲状腺剂量!$U13</f>
        <v>0.000102175733448914</v>
      </c>
      <c r="T39" s="454">
        <f ca="1" t="shared" si="255"/>
        <v>0.0804394317831247</v>
      </c>
      <c r="U39" s="454">
        <f ca="1" t="shared" si="256"/>
        <v>0.102175733448914</v>
      </c>
      <c r="V39" s="436"/>
      <c r="W39" s="436"/>
      <c r="AN39" s="533"/>
      <c r="AS39" s="572"/>
      <c r="BO39" s="600"/>
      <c r="CJ39" s="600"/>
      <c r="DZ39" s="600"/>
      <c r="EU39" s="603"/>
      <c r="FP39" s="603"/>
      <c r="FS39" s="441">
        <f>SUMPRODUCT(FS$5:FS$27,后果有效剂量!$I$5:$I$27)*后果有效剂量!$Q13+SUMPRODUCT(FT$5:FT$27,后果有效剂量!$I$5:$I$27)*后果有效剂量!$R13+SUMPRODUCT(FU$5:FU$27,后果有效剂量!$I$5:$I$27)*后果有效剂量!$S13+SUMPRODUCT(FV$5:FV$27,后果有效剂量!$I$5:$I$27)*后果有效剂量!$T13+SUMPRODUCT(FS$5:FS$27,后果有效剂量!$J$5:$J$27)*后果有效剂量!$Q13*后果有效剂量!$Q$3+SUMPRODUCT(FT$5:FT$27,后果有效剂量!$J$5:$J$27)*后果有效剂量!$R13*后果有效剂量!$R$3+SUMPRODUCT(FU$5:FU$27,后果有效剂量!$J$5:$J$27)*后果有效剂量!$S13*后果有效剂量!$S$3+SUMPRODUCT(FV$5:FV$27,后果有效剂量!$J$5:$J$27)*后果有效剂量!$T13*后果有效剂量!$T$3+SUMPRODUCT(FS$5:FS$27,后果有效剂量!$K$5:$K$27)*后果有效剂量!$Q13+SUMPRODUCT(FT$5:FT$27,后果有效剂量!$K$5:$K$27)*后果有效剂量!$R13+SUMPRODUCT(FU$5:FU$27,后果有效剂量!$K$5:$K$27)*后果有效剂量!$S13+SUMPRODUCT(FV$5:FV$27,后果有效剂量!$K$5:$K$27)*后果有效剂量!$T13</f>
        <v>0.000180207217422311</v>
      </c>
      <c r="FT39" s="453">
        <f>SUMPRODUCT(FS$5:FS$27,后果甲状腺剂量!$I$5:$I$27)*后果甲状腺剂量!$Q13+SUMPRODUCT(FT$5:FT$27,后果甲状腺剂量!$I$5:$I$27)*后果甲状腺剂量!$R13+SUMPRODUCT(FU$5:FU$27,后果甲状腺剂量!$I$5:$I$27)*后果甲状腺剂量!$S13+SUMPRODUCT(FV$5:FV$27,后果甲状腺剂量!$I$5:$I$27)*后果甲状腺剂量!$T13+SUMPRODUCT(FS$5:FS$27,后果甲状腺剂量!$J$5:$J$27)*后果甲状腺剂量!$Q13*后果甲状腺剂量!$Q$3+SUMPRODUCT(FT$5:FT$27,后果甲状腺剂量!$J$5:$J$27)*后果甲状腺剂量!$R13*后果甲状腺剂量!$R$3+SUMPRODUCT(FU$5:FU$27,后果甲状腺剂量!$J$5:$J$27)*后果甲状腺剂量!$S13*后果甲状腺剂量!$S$3+SUMPRODUCT(FV$5:FV$27,后果甲状腺剂量!$J$5:$J$27)*后果甲状腺剂量!$T13*后果甲状腺剂量!$T$3+SUMPRODUCT(FS$5:FS$27,后果甲状腺剂量!$K$5:$K$27)*后果甲状腺剂量!$Q13+SUMPRODUCT(FT$5:FT$27,后果甲状腺剂量!$K$5:$K$27)*后果甲状腺剂量!$R13+SUMPRODUCT(FU$5:FU$27,后果甲状腺剂量!$K$5:$K$27)*后果甲状腺剂量!$S13+SUMPRODUCT(FV$5:FV$27,后果甲状腺剂量!$K$5:$K$27)*后果甲状腺剂量!$T13</f>
        <v>0.00133466805666965</v>
      </c>
      <c r="FU39" s="454">
        <f t="shared" si="257"/>
        <v>0.180207217422311</v>
      </c>
      <c r="FV39" s="454">
        <f t="shared" si="258"/>
        <v>1.33466805666965</v>
      </c>
      <c r="FW39" s="436"/>
      <c r="FX39" s="436"/>
      <c r="GD39" s="440" t="str">
        <f>后果有效剂量!$P13</f>
        <v>7500m</v>
      </c>
      <c r="GE39" s="441">
        <f>SUMPRODUCT(GE$5:GE$27,后果有效剂量!$I$5:$I$27)*后果有效剂量!$Q13+SUMPRODUCT(GF$5:GF$27,后果有效剂量!$I$5:$I$27)*后果有效剂量!$R13+SUMPRODUCT(GG$5:GG$27,后果有效剂量!$I$5:$I$27)*后果有效剂量!$S13+(SUMPRODUCT(GH$5:GH$27,后果有效剂量!$I$5:$I$27)+SUMPRODUCT(GI$5:GI$27,后果有效剂量!$I$5:$I$27))*后果有效剂量!$T13+SUMPRODUCT(GJ$5:GJ$27,后果有效剂量!$I$5:$I$27)*后果有效剂量!$U13+SUMPRODUCT(GE$5:GE$27,后果有效剂量!$J$5:$J$27)*后果有效剂量!$Q13*后果有效剂量!$Q$3+SUMPRODUCT(GF$5:GF$27,后果有效剂量!$J$5:$J$27)*后果有效剂量!$R13*后果有效剂量!$R$3+SUMPRODUCT(GG$5:GG$27,后果有效剂量!$J$5:$J$27)*后果有效剂量!$S13*后果有效剂量!$S$3+(SUMPRODUCT(GH$5:GH$27,后果有效剂量!$J$5:$J$27)+SUMPRODUCT(GI$5:GI$27,后果有效剂量!$J$5:$J$27))*后果有效剂量!$T13*后果有效剂量!$T$3+SUMPRODUCT(GJ$5:GJ$27,后果有效剂量!$J$5:$J$27)*后果有效剂量!$U13*后果有效剂量!$U$3+SUMPRODUCT(GE$5:GE$27,后果有效剂量!$K$5:$K$27)*后果有效剂量!$Q13+SUMPRODUCT(GF$5:GF$27,后果有效剂量!$K$5:$K$27)*后果有效剂量!$R13+SUMPRODUCT(GG$5:GG$27,后果有效剂量!$K$5:$K$27)*后果有效剂量!$S13+(SUMPRODUCT(GH$5:GH$27,后果有效剂量!$K$5:$K$27)+SUMPRODUCT(GI$5:GI$27,后果有效剂量!$K$5:$K$27))*后果有效剂量!$T13+SUMPRODUCT(GJ$5:GJ$27,后果有效剂量!$K$5:$K$27)*后果有效剂量!$U13</f>
        <v>4.04510808112764e-5</v>
      </c>
      <c r="GF39" s="453">
        <f>SUMPRODUCT(GE$5:GE$27,后果甲状腺剂量!$I$5:$I$27)*后果甲状腺剂量!$Q13+SUMPRODUCT(GF$5:GF$27,后果甲状腺剂量!$I$5:$I$27)*后果甲状腺剂量!$R13+SUMPRODUCT(GG$5:GG$27,后果甲状腺剂量!$I$5:$I$27)*后果甲状腺剂量!$S13+(SUMPRODUCT(GH$5:GH$27,后果甲状腺剂量!$I$5:$I$27)+SUMPRODUCT(GI$5:GI$27,后果甲状腺剂量!$I$5:$I$27))*后果甲状腺剂量!$T13+SUMPRODUCT(GJ$5:GJ$27,后果甲状腺剂量!$I$5:$I$27)*后果甲状腺剂量!$U13+SUMPRODUCT(GE$5:GE$27,后果甲状腺剂量!$J$5:$J$27)*后果甲状腺剂量!$Q13*后果甲状腺剂量!$Q$3+SUMPRODUCT(GF$5:GF$27,后果甲状腺剂量!$J$5:$J$27)*后果甲状腺剂量!$R13*后果甲状腺剂量!$R$3+SUMPRODUCT(GG$5:GG$27,后果甲状腺剂量!$J$5:$J$27)*后果甲状腺剂量!$S13*后果甲状腺剂量!$S$3+(SUMPRODUCT(GH$5:GH$27,后果甲状腺剂量!$J$5:$J$27)+SUMPRODUCT(GI$5:GI$27,后果甲状腺剂量!$J$5:$J$27))*后果甲状腺剂量!$T13*后果甲状腺剂量!$T$3+SUMPRODUCT(GJ$5:GJ$27,后果甲状腺剂量!$J$5:$J$27)*后果甲状腺剂量!$U13*后果甲状腺剂量!$U$3+SUMPRODUCT(GE$5:GE$27,后果甲状腺剂量!$K$5:$K$27)*后果甲状腺剂量!$Q13+SUMPRODUCT(GF$5:GF$27,后果甲状腺剂量!$K$5:$K$27)*后果甲状腺剂量!$R13+SUMPRODUCT(GG$5:GG$27,后果甲状腺剂量!$K$5:$K$27)*后果甲状腺剂量!$S13+(SUMPRODUCT(GH$5:GH$27,后果甲状腺剂量!$K$5:$K$27)+SUMPRODUCT(GI$5:GI$27,后果甲状腺剂量!$K$5:$K$27))*后果甲状腺剂量!$T13+SUMPRODUCT(GJ$5:GJ$27,后果甲状腺剂量!$K$5:$K$27)*后果甲状腺剂量!$U13</f>
        <v>0.000226352267715351</v>
      </c>
      <c r="GG39" s="454">
        <f t="shared" si="259"/>
        <v>0.0404510808112764</v>
      </c>
      <c r="GH39" s="454">
        <f t="shared" si="260"/>
        <v>0.226352267715351</v>
      </c>
      <c r="GI39" s="436"/>
      <c r="GJ39" s="436"/>
    </row>
    <row r="40" spans="7:192">
      <c r="G40" s="440" t="str">
        <f>后果有效剂量!$P14</f>
        <v>15000m</v>
      </c>
      <c r="H40" s="441">
        <f ca="1">SUMPRODUCT(H$5:H$27,后果有效剂量!$I$5:$I$27)*后果有效剂量!$Q14+SUMPRODUCT(I$5:I$27,后果有效剂量!$I$5:$I$27)*后果有效剂量!$Q14+SUMPRODUCT(J$5:J$27,后果有效剂量!$I$5:$I$27)*后果有效剂量!$R14+SUMPRODUCT(K$5:K$27,后果有效剂量!$I$5:$I$27)*后果有效剂量!$S14+SUMPRODUCT(L$5:L$27,后果有效剂量!$I$5:$I$27)*后果有效剂量!$T14+SUMPRODUCT(M$5:M$27,后果有效剂量!$I$5:$I$27)*后果有效剂量!$U14+SUMPRODUCT(H$5:H$27,后果有效剂量!$J$5:$J$27)*后果有效剂量!$Q14*后果有效剂量!$Q$3+SUMPRODUCT(I$5:I$27,后果有效剂量!$J$5:$J$27)*后果有效剂量!$Q14*后果有效剂量!$Q$3+SUMPRODUCT(J$5:J$27,后果有效剂量!$J$5:$J$27)*后果有效剂量!$R14*后果有效剂量!$R$3+SUMPRODUCT(K$5:K$27,后果有效剂量!$J$5:$J$27)*后果有效剂量!$S14*后果有效剂量!$S$3+SUMPRODUCT(L$5:L$27,后果有效剂量!$J$5:$J$27)*后果有效剂量!$T14*后果有效剂量!$T$3+SUMPRODUCT(M$5:M$27,后果有效剂量!$J$5:$J$27)*后果有效剂量!$U14*后果有效剂量!$U$3+SUMPRODUCT(H$5:H$27,后果有效剂量!$K$5:$K$27)*后果有效剂量!$Q14+SUMPRODUCT(I$5:I$27,后果有效剂量!$K$5:$K$27)*后果有效剂量!$Q14+SUMPRODUCT(J$5:J$27,后果有效剂量!$K$5:$K$27)*后果有效剂量!$R14+SUMPRODUCT(K$5:K$27,后果有效剂量!$K$5:$K$27)*后果有效剂量!$S14+SUMPRODUCT(L$5:L$27,后果有效剂量!$K$5:$K$27)*后果有效剂量!$T14+SUMPRODUCT(M$5:M$27,后果有效剂量!$K$5:$K$27)*后果有效剂量!$U14</f>
        <v>0.000115825289064121</v>
      </c>
      <c r="I40" s="453">
        <f ca="1">SUMPRODUCT(H$5:H$27,后果甲状腺剂量!$I$5:$I$27)*后果甲状腺剂量!$Q14+SUMPRODUCT(I$5:I$27,后果甲状腺剂量!$I$5:$I$27)*后果甲状腺剂量!$Q14+SUMPRODUCT(J$5:J$27,后果甲状腺剂量!$I$5:$I$27)*后果甲状腺剂量!$R14+SUMPRODUCT(K$5:K$27,后果甲状腺剂量!$I$5:$I$27)*后果甲状腺剂量!$S14+SUMPRODUCT(L$5:L$27,后果甲状腺剂量!$I$5:$I$27)*后果甲状腺剂量!$T14+SUMPRODUCT(M$5:M$27,后果甲状腺剂量!$I$5:$I$27)*后果甲状腺剂量!$U14+SUMPRODUCT(H$5:H$27,后果甲状腺剂量!$J$5:$J$27)*后果甲状腺剂量!$Q14*后果甲状腺剂量!$Q$3+SUMPRODUCT(I$5:I$27,后果甲状腺剂量!$J$5:$J$27)*后果甲状腺剂量!$Q14*后果甲状腺剂量!$Q$3+SUMPRODUCT(J$5:J$27,后果甲状腺剂量!$J$5:$J$27)*后果甲状腺剂量!$R14*后果甲状腺剂量!$R$3+SUMPRODUCT(K$5:K$27,后果甲状腺剂量!$J$5:$J$27)*后果甲状腺剂量!$S14*后果甲状腺剂量!$S$3+SUMPRODUCT(L$5:L$27,后果甲状腺剂量!$J$5:$J$27)*后果甲状腺剂量!$T14*后果甲状腺剂量!$T$3+SUMPRODUCT(M$5:M$27,后果甲状腺剂量!$J$5:$J$27)*后果甲状腺剂量!$U14*后果甲状腺剂量!$U$3+SUMPRODUCT(H$5:H$27,后果甲状腺剂量!$K$5:$K$27)*后果甲状腺剂量!$Q14+SUMPRODUCT(I$5:I$27,后果甲状腺剂量!$K$5:$K$27)*后果甲状腺剂量!$Q14+SUMPRODUCT(J$5:J$27,后果甲状腺剂量!$K$5:$K$27)*后果甲状腺剂量!$R14+SUMPRODUCT(K$5:K$27,后果甲状腺剂量!$K$5:$K$27)*后果甲状腺剂量!$S14+SUMPRODUCT(L$5:L$27,后果甲状腺剂量!$K$5:$K$27)*后果甲状腺剂量!$T14+SUMPRODUCT(M$5:M$27,后果甲状腺剂量!$K$5:$K$27)*后果甲状腺剂量!$U14</f>
        <v>0.000627311707156413</v>
      </c>
      <c r="J40" s="454">
        <f ca="1" t="shared" si="253"/>
        <v>0.115825289064121</v>
      </c>
      <c r="K40" s="454">
        <f ca="1" t="shared" si="254"/>
        <v>0.627311707156413</v>
      </c>
      <c r="L40" s="436"/>
      <c r="M40" s="436"/>
      <c r="N40" s="455"/>
      <c r="Q40" s="440" t="str">
        <f>后果有效剂量!$P14</f>
        <v>15000m</v>
      </c>
      <c r="R40" s="441">
        <f ca="1">SUMPRODUCT(R$5:R$27,后果有效剂量!$I$5:$I$27)*后果有效剂量!$Q14+SUMPRODUCT(S$5:S$27,后果有效剂量!$I$5:$I$27)*后果有效剂量!$Q14+SUMPRODUCT(T$5:T$27,后果有效剂量!$I$5:$I$27)*后果有效剂量!$R14+SUMPRODUCT(U$5:U$27,后果有效剂量!$I$5:$I$27)*后果有效剂量!$S14+SUMPRODUCT(V$5:V$27,后果有效剂量!$I$5:$I$27)*后果有效剂量!$T14+SUMPRODUCT(W$5:W$27,后果有效剂量!$I$5:$I$27)*后果有效剂量!$U14+SUMPRODUCT(R$5:R$27,后果有效剂量!$J$5:$J$27)*后果有效剂量!$Q14*后果有效剂量!$Q$3+SUMPRODUCT(S$5:S$27,后果有效剂量!$J$5:$J$27)*后果有效剂量!$Q14*后果有效剂量!$Q$3+SUMPRODUCT(T$5:T$27,后果有效剂量!$J$5:$J$27)*后果有效剂量!$R14*后果有效剂量!$R$3+SUMPRODUCT(U$5:U$27,后果有效剂量!$J$5:$J$27)*后果有效剂量!$S14*后果有效剂量!$S$3+SUMPRODUCT(V$5:V$27,后果有效剂量!$J$5:$J$27)*后果有效剂量!$T14*后果有效剂量!$T$3+SUMPRODUCT(W$5:W$27,后果有效剂量!$J$5:$J$27)*后果有效剂量!$U14*后果有效剂量!$U$3+SUMPRODUCT(R$5:R$27,后果有效剂量!$K$5:$K$27)*后果有效剂量!$Q14+SUMPRODUCT(S$5:S$27,后果有效剂量!$K$5:$K$27)*后果有效剂量!$Q14+SUMPRODUCT(T$5:T$27,后果有效剂量!$K$5:$K$27)*后果有效剂量!$R14+SUMPRODUCT(U$5:U$27,后果有效剂量!$K$5:$K$27)*后果有效剂量!$S14+SUMPRODUCT(V$5:V$27,后果有效剂量!$K$5:$K$27)*后果有效剂量!$T14+SUMPRODUCT(W$5:W$27,后果有效剂量!$K$5:$K$27)*后果有效剂量!$U14</f>
        <v>3.62572162183043e-5</v>
      </c>
      <c r="S40" s="453">
        <f ca="1">SUMPRODUCT(R$5:R$27,后果甲状腺剂量!$I$5:$I$27)*后果甲状腺剂量!$Q14+SUMPRODUCT(S$5:S$27,后果甲状腺剂量!$I$5:$I$27)*后果甲状腺剂量!$Q14+SUMPRODUCT(T$5:T$27,后果甲状腺剂量!$I$5:$I$27)*后果甲状腺剂量!$R14+SUMPRODUCT(U$5:U$27,后果甲状腺剂量!$I$5:$I$27)*后果甲状腺剂量!$S14+SUMPRODUCT(V$5:V$27,后果甲状腺剂量!$I$5:$I$27)*后果甲状腺剂量!$T14+SUMPRODUCT(W$5:W$27,后果甲状腺剂量!$I$5:$I$27)*后果甲状腺剂量!$U14+SUMPRODUCT(R$5:R$27,后果甲状腺剂量!$J$5:$J$27)*后果甲状腺剂量!$Q14*后果甲状腺剂量!$Q$3+SUMPRODUCT(S$5:S$27,后果甲状腺剂量!$J$5:$J$27)*后果甲状腺剂量!$Q14*后果甲状腺剂量!$Q$3+SUMPRODUCT(T$5:T$27,后果甲状腺剂量!$J$5:$J$27)*后果甲状腺剂量!$R14*后果甲状腺剂量!$R$3+SUMPRODUCT(U$5:U$27,后果甲状腺剂量!$J$5:$J$27)*后果甲状腺剂量!$S14*后果甲状腺剂量!$S$3+SUMPRODUCT(V$5:V$27,后果甲状腺剂量!$J$5:$J$27)*后果甲状腺剂量!$T14*后果甲状腺剂量!$T$3+SUMPRODUCT(W$5:W$27,后果甲状腺剂量!$J$5:$J$27)*后果甲状腺剂量!$U14*后果甲状腺剂量!$U$3+SUMPRODUCT(R$5:R$27,后果甲状腺剂量!$K$5:$K$27)*后果甲状腺剂量!$Q14+SUMPRODUCT(S$5:S$27,后果甲状腺剂量!$K$5:$K$27)*后果甲状腺剂量!$Q14+SUMPRODUCT(T$5:T$27,后果甲状腺剂量!$K$5:$K$27)*后果甲状腺剂量!$R14+SUMPRODUCT(U$5:U$27,后果甲状腺剂量!$K$5:$K$27)*后果甲状腺剂量!$S14+SUMPRODUCT(V$5:V$27,后果甲状腺剂量!$K$5:$K$27)*后果甲状腺剂量!$T14+SUMPRODUCT(W$5:W$27,后果甲状腺剂量!$K$5:$K$27)*后果甲状腺剂量!$U14</f>
        <v>4.43612045555791e-5</v>
      </c>
      <c r="T40" s="454">
        <f ca="1" t="shared" si="255"/>
        <v>0.0362572162183043</v>
      </c>
      <c r="U40" s="454">
        <f ca="1" t="shared" si="256"/>
        <v>0.0443612045555791</v>
      </c>
      <c r="V40" s="436"/>
      <c r="W40" s="436"/>
      <c r="AN40" s="533"/>
      <c r="AS40" s="572"/>
      <c r="BO40" s="600"/>
      <c r="CJ40" s="600"/>
      <c r="DZ40" s="600"/>
      <c r="EU40" s="603"/>
      <c r="FP40" s="603"/>
      <c r="FS40" s="441">
        <f>SUMPRODUCT(FS$5:FS$27,后果有效剂量!$I$5:$I$27)*后果有效剂量!$Q14+SUMPRODUCT(FT$5:FT$27,后果有效剂量!$I$5:$I$27)*后果有效剂量!$R14+SUMPRODUCT(FU$5:FU$27,后果有效剂量!$I$5:$I$27)*后果有效剂量!$S14+SUMPRODUCT(FV$5:FV$27,后果有效剂量!$I$5:$I$27)*后果有效剂量!$T14+SUMPRODUCT(FS$5:FS$27,后果有效剂量!$J$5:$J$27)*后果有效剂量!$Q14*后果有效剂量!$Q$3+SUMPRODUCT(FT$5:FT$27,后果有效剂量!$J$5:$J$27)*后果有效剂量!$R14*后果有效剂量!$R$3+SUMPRODUCT(FU$5:FU$27,后果有效剂量!$J$5:$J$27)*后果有效剂量!$S14*后果有效剂量!$S$3+SUMPRODUCT(FV$5:FV$27,后果有效剂量!$J$5:$J$27)*后果有效剂量!$T14*后果有效剂量!$T$3+SUMPRODUCT(FS$5:FS$27,后果有效剂量!$K$5:$K$27)*后果有效剂量!$Q14+SUMPRODUCT(FT$5:FT$27,后果有效剂量!$K$5:$K$27)*后果有效剂量!$R14+SUMPRODUCT(FU$5:FU$27,后果有效剂量!$K$5:$K$27)*后果有效剂量!$S14+SUMPRODUCT(FV$5:FV$27,后果有效剂量!$K$5:$K$27)*后果有效剂量!$T14</f>
        <v>7.68902005784037e-5</v>
      </c>
      <c r="FT40" s="453">
        <f>SUMPRODUCT(FS$5:FS$27,后果甲状腺剂量!$I$5:$I$27)*后果甲状腺剂量!$Q14+SUMPRODUCT(FT$5:FT$27,后果甲状腺剂量!$I$5:$I$27)*后果甲状腺剂量!$R14+SUMPRODUCT(FU$5:FU$27,后果甲状腺剂量!$I$5:$I$27)*后果甲状腺剂量!$S14+SUMPRODUCT(FV$5:FV$27,后果甲状腺剂量!$I$5:$I$27)*后果甲状腺剂量!$T14+SUMPRODUCT(FS$5:FS$27,后果甲状腺剂量!$J$5:$J$27)*后果甲状腺剂量!$Q14*后果甲状腺剂量!$Q$3+SUMPRODUCT(FT$5:FT$27,后果甲状腺剂量!$J$5:$J$27)*后果甲状腺剂量!$R14*后果甲状腺剂量!$R$3+SUMPRODUCT(FU$5:FU$27,后果甲状腺剂量!$J$5:$J$27)*后果甲状腺剂量!$S14*后果甲状腺剂量!$S$3+SUMPRODUCT(FV$5:FV$27,后果甲状腺剂量!$J$5:$J$27)*后果甲状腺剂量!$T14*后果甲状腺剂量!$T$3+SUMPRODUCT(FS$5:FS$27,后果甲状腺剂量!$K$5:$K$27)*后果甲状腺剂量!$Q14+SUMPRODUCT(FT$5:FT$27,后果甲状腺剂量!$K$5:$K$27)*后果甲状腺剂量!$R14+SUMPRODUCT(FU$5:FU$27,后果甲状腺剂量!$K$5:$K$27)*后果甲状腺剂量!$S14+SUMPRODUCT(FV$5:FV$27,后果甲状腺剂量!$K$5:$K$27)*后果甲状腺剂量!$T14</f>
        <v>0.000561226102071427</v>
      </c>
      <c r="FU40" s="454">
        <f t="shared" si="257"/>
        <v>0.0768902005784037</v>
      </c>
      <c r="FV40" s="454">
        <f t="shared" si="258"/>
        <v>0.561226102071427</v>
      </c>
      <c r="FW40" s="436"/>
      <c r="FX40" s="436"/>
      <c r="GD40" s="440" t="str">
        <f>后果有效剂量!$P14</f>
        <v>15000m</v>
      </c>
      <c r="GE40" s="441">
        <f>SUMPRODUCT(GE$5:GE$27,后果有效剂量!$I$5:$I$27)*后果有效剂量!$Q14+SUMPRODUCT(GF$5:GF$27,后果有效剂量!$I$5:$I$27)*后果有效剂量!$R14+SUMPRODUCT(GG$5:GG$27,后果有效剂量!$I$5:$I$27)*后果有效剂量!$S14+(SUMPRODUCT(GH$5:GH$27,后果有效剂量!$I$5:$I$27)+SUMPRODUCT(GI$5:GI$27,后果有效剂量!$I$5:$I$27))*后果有效剂量!$T14+SUMPRODUCT(GJ$5:GJ$27,后果有效剂量!$I$5:$I$27)*后果有效剂量!$U14+SUMPRODUCT(GE$5:GE$27,后果有效剂量!$J$5:$J$27)*后果有效剂量!$Q14*后果有效剂量!$Q$3+SUMPRODUCT(GF$5:GF$27,后果有效剂量!$J$5:$J$27)*后果有效剂量!$R14*后果有效剂量!$R$3+SUMPRODUCT(GG$5:GG$27,后果有效剂量!$J$5:$J$27)*后果有效剂量!$S14*后果有效剂量!$S$3+(SUMPRODUCT(GH$5:GH$27,后果有效剂量!$J$5:$J$27)+SUMPRODUCT(GI$5:GI$27,后果有效剂量!$J$5:$J$27))*后果有效剂量!$T14*后果有效剂量!$T$3+SUMPRODUCT(GJ$5:GJ$27,后果有效剂量!$J$5:$J$27)*后果有效剂量!$U14*后果有效剂量!$U$3+SUMPRODUCT(GE$5:GE$27,后果有效剂量!$K$5:$K$27)*后果有效剂量!$Q14+SUMPRODUCT(GF$5:GF$27,后果有效剂量!$K$5:$K$27)*后果有效剂量!$R14+SUMPRODUCT(GG$5:GG$27,后果有效剂量!$K$5:$K$27)*后果有效剂量!$S14+(SUMPRODUCT(GH$5:GH$27,后果有效剂量!$K$5:$K$27)+SUMPRODUCT(GI$5:GI$27,后果有效剂量!$K$5:$K$27))*后果有效剂量!$T14+SUMPRODUCT(GJ$5:GJ$27,后果有效剂量!$K$5:$K$27)*后果有效剂量!$U14</f>
        <v>1.63999712876133e-5</v>
      </c>
      <c r="GF40" s="453">
        <f>SUMPRODUCT(GE$5:GE$27,后果甲状腺剂量!$I$5:$I$27)*后果甲状腺剂量!$Q14+SUMPRODUCT(GF$5:GF$27,后果甲状腺剂量!$I$5:$I$27)*后果甲状腺剂量!$R14+SUMPRODUCT(GG$5:GG$27,后果甲状腺剂量!$I$5:$I$27)*后果甲状腺剂量!$S14+(SUMPRODUCT(GH$5:GH$27,后果甲状腺剂量!$I$5:$I$27)+SUMPRODUCT(GI$5:GI$27,后果甲状腺剂量!$I$5:$I$27))*后果甲状腺剂量!$T14+SUMPRODUCT(GJ$5:GJ$27,后果甲状腺剂量!$I$5:$I$27)*后果甲状腺剂量!$U14+SUMPRODUCT(GE$5:GE$27,后果甲状腺剂量!$J$5:$J$27)*后果甲状腺剂量!$Q14*后果甲状腺剂量!$Q$3+SUMPRODUCT(GF$5:GF$27,后果甲状腺剂量!$J$5:$J$27)*后果甲状腺剂量!$R14*后果甲状腺剂量!$R$3+SUMPRODUCT(GG$5:GG$27,后果甲状腺剂量!$J$5:$J$27)*后果甲状腺剂量!$S14*后果甲状腺剂量!$S$3+(SUMPRODUCT(GH$5:GH$27,后果甲状腺剂量!$J$5:$J$27)+SUMPRODUCT(GI$5:GI$27,后果甲状腺剂量!$J$5:$J$27))*后果甲状腺剂量!$T14*后果甲状腺剂量!$T$3+SUMPRODUCT(GJ$5:GJ$27,后果甲状腺剂量!$J$5:$J$27)*后果甲状腺剂量!$U14*后果甲状腺剂量!$U$3+SUMPRODUCT(GE$5:GE$27,后果甲状腺剂量!$K$5:$K$27)*后果甲状腺剂量!$Q14+SUMPRODUCT(GF$5:GF$27,后果甲状腺剂量!$K$5:$K$27)*后果甲状腺剂量!$R14+SUMPRODUCT(GG$5:GG$27,后果甲状腺剂量!$K$5:$K$27)*后果甲状腺剂量!$S14+(SUMPRODUCT(GH$5:GH$27,后果甲状腺剂量!$K$5:$K$27)+SUMPRODUCT(GI$5:GI$27,后果甲状腺剂量!$K$5:$K$27))*后果甲状腺剂量!$T14+SUMPRODUCT(GJ$5:GJ$27,后果甲状腺剂量!$K$5:$K$27)*后果甲状腺剂量!$U14</f>
        <v>8.63559479091504e-5</v>
      </c>
      <c r="GG40" s="454">
        <f t="shared" si="259"/>
        <v>0.0163999712876133</v>
      </c>
      <c r="GH40" s="454">
        <f t="shared" si="260"/>
        <v>0.0863559479091504</v>
      </c>
      <c r="GI40" s="436"/>
      <c r="GJ40" s="436"/>
    </row>
    <row r="41" spans="7:192">
      <c r="G41" s="440" t="str">
        <f>后果有效剂量!$P15</f>
        <v>25000m</v>
      </c>
      <c r="H41" s="441">
        <f ca="1">SUMPRODUCT(H$5:H$27,后果有效剂量!$I$5:$I$27)*后果有效剂量!$Q15+SUMPRODUCT(I$5:I$27,后果有效剂量!$I$5:$I$27)*后果有效剂量!$Q15+SUMPRODUCT(J$5:J$27,后果有效剂量!$I$5:$I$27)*后果有效剂量!$R15+SUMPRODUCT(K$5:K$27,后果有效剂量!$I$5:$I$27)*后果有效剂量!$S15+SUMPRODUCT(L$5:L$27,后果有效剂量!$I$5:$I$27)*后果有效剂量!$T15+SUMPRODUCT(M$5:M$27,后果有效剂量!$I$5:$I$27)*后果有效剂量!$U15+SUMPRODUCT(H$5:H$27,后果有效剂量!$J$5:$J$27)*后果有效剂量!$Q15*后果有效剂量!$Q$3+SUMPRODUCT(I$5:I$27,后果有效剂量!$J$5:$J$27)*后果有效剂量!$Q15*后果有效剂量!$Q$3+SUMPRODUCT(J$5:J$27,后果有效剂量!$J$5:$J$27)*后果有效剂量!$R15*后果有效剂量!$R$3+SUMPRODUCT(K$5:K$27,后果有效剂量!$J$5:$J$27)*后果有效剂量!$S15*后果有效剂量!$S$3+SUMPRODUCT(L$5:L$27,后果有效剂量!$J$5:$J$27)*后果有效剂量!$T15*后果有效剂量!$T$3+SUMPRODUCT(M$5:M$27,后果有效剂量!$J$5:$J$27)*后果有效剂量!$U15*后果有效剂量!$U$3+SUMPRODUCT(H$5:H$27,后果有效剂量!$K$5:$K$27)*后果有效剂量!$Q15+SUMPRODUCT(I$5:I$27,后果有效剂量!$K$5:$K$27)*后果有效剂量!$Q15+SUMPRODUCT(J$5:J$27,后果有效剂量!$K$5:$K$27)*后果有效剂量!$R15+SUMPRODUCT(K$5:K$27,后果有效剂量!$K$5:$K$27)*后果有效剂量!$S15+SUMPRODUCT(L$5:L$27,后果有效剂量!$K$5:$K$27)*后果有效剂量!$T15+SUMPRODUCT(M$5:M$27,后果有效剂量!$K$5:$K$27)*后果有效剂量!$U15</f>
        <v>5.64370436523244e-6</v>
      </c>
      <c r="I41" s="453">
        <f ca="1">SUMPRODUCT(H$5:H$27,后果甲状腺剂量!$I$5:$I$27)*后果甲状腺剂量!$Q15+SUMPRODUCT(I$5:I$27,后果甲状腺剂量!$I$5:$I$27)*后果甲状腺剂量!$Q15+SUMPRODUCT(J$5:J$27,后果甲状腺剂量!$I$5:$I$27)*后果甲状腺剂量!$R15+SUMPRODUCT(K$5:K$27,后果甲状腺剂量!$I$5:$I$27)*后果甲状腺剂量!$S15+SUMPRODUCT(L$5:L$27,后果甲状腺剂量!$I$5:$I$27)*后果甲状腺剂量!$T15+SUMPRODUCT(M$5:M$27,后果甲状腺剂量!$I$5:$I$27)*后果甲状腺剂量!$U15+SUMPRODUCT(H$5:H$27,后果甲状腺剂量!$J$5:$J$27)*后果甲状腺剂量!$Q15*后果甲状腺剂量!$Q$3+SUMPRODUCT(I$5:I$27,后果甲状腺剂量!$J$5:$J$27)*后果甲状腺剂量!$Q15*后果甲状腺剂量!$Q$3+SUMPRODUCT(J$5:J$27,后果甲状腺剂量!$J$5:$J$27)*后果甲状腺剂量!$R15*后果甲状腺剂量!$R$3+SUMPRODUCT(K$5:K$27,后果甲状腺剂量!$J$5:$J$27)*后果甲状腺剂量!$S15*后果甲状腺剂量!$S$3+SUMPRODUCT(L$5:L$27,后果甲状腺剂量!$J$5:$J$27)*后果甲状腺剂量!$T15*后果甲状腺剂量!$T$3+SUMPRODUCT(M$5:M$27,后果甲状腺剂量!$J$5:$J$27)*后果甲状腺剂量!$U15*后果甲状腺剂量!$U$3+SUMPRODUCT(H$5:H$27,后果甲状腺剂量!$K$5:$K$27)*后果甲状腺剂量!$Q15+SUMPRODUCT(I$5:I$27,后果甲状腺剂量!$K$5:$K$27)*后果甲状腺剂量!$Q15+SUMPRODUCT(J$5:J$27,后果甲状腺剂量!$K$5:$K$27)*后果甲状腺剂量!$R15+SUMPRODUCT(K$5:K$27,后果甲状腺剂量!$K$5:$K$27)*后果甲状腺剂量!$S15+SUMPRODUCT(L$5:L$27,后果甲状腺剂量!$K$5:$K$27)*后果甲状腺剂量!$T15+SUMPRODUCT(M$5:M$27,后果甲状腺剂量!$K$5:$K$27)*后果甲状腺剂量!$U15</f>
        <v>0.000189717259774043</v>
      </c>
      <c r="J41" s="454">
        <f ca="1" t="shared" si="253"/>
        <v>0.00564370436523244</v>
      </c>
      <c r="K41" s="454">
        <f ca="1" t="shared" si="254"/>
        <v>0.189717259774043</v>
      </c>
      <c r="L41" s="436"/>
      <c r="M41" s="436"/>
      <c r="N41" s="455"/>
      <c r="Q41" s="440" t="str">
        <f>后果有效剂量!$P15</f>
        <v>25000m</v>
      </c>
      <c r="R41" s="441">
        <f ca="1">SUMPRODUCT(R$5:R$27,后果有效剂量!$I$5:$I$27)*后果有效剂量!$Q15+SUMPRODUCT(S$5:S$27,后果有效剂量!$I$5:$I$27)*后果有效剂量!$Q15+SUMPRODUCT(T$5:T$27,后果有效剂量!$I$5:$I$27)*后果有效剂量!$R15+SUMPRODUCT(U$5:U$27,后果有效剂量!$I$5:$I$27)*后果有效剂量!$S15+SUMPRODUCT(V$5:V$27,后果有效剂量!$I$5:$I$27)*后果有效剂量!$T15+SUMPRODUCT(W$5:W$27,后果有效剂量!$I$5:$I$27)*后果有效剂量!$U15+SUMPRODUCT(R$5:R$27,后果有效剂量!$J$5:$J$27)*后果有效剂量!$Q15*后果有效剂量!$Q$3+SUMPRODUCT(S$5:S$27,后果有效剂量!$J$5:$J$27)*后果有效剂量!$Q15*后果有效剂量!$Q$3+SUMPRODUCT(T$5:T$27,后果有效剂量!$J$5:$J$27)*后果有效剂量!$R15*后果有效剂量!$R$3+SUMPRODUCT(U$5:U$27,后果有效剂量!$J$5:$J$27)*后果有效剂量!$S15*后果有效剂量!$S$3+SUMPRODUCT(V$5:V$27,后果有效剂量!$J$5:$J$27)*后果有效剂量!$T15*后果有效剂量!$T$3+SUMPRODUCT(W$5:W$27,后果有效剂量!$J$5:$J$27)*后果有效剂量!$U15*后果有效剂量!$U$3+SUMPRODUCT(R$5:R$27,后果有效剂量!$K$5:$K$27)*后果有效剂量!$Q15+SUMPRODUCT(S$5:S$27,后果有效剂量!$K$5:$K$27)*后果有效剂量!$Q15+SUMPRODUCT(T$5:T$27,后果有效剂量!$K$5:$K$27)*后果有效剂量!$R15+SUMPRODUCT(U$5:U$27,后果有效剂量!$K$5:$K$27)*后果有效剂量!$S15+SUMPRODUCT(V$5:V$27,后果有效剂量!$K$5:$K$27)*后果有效剂量!$T15+SUMPRODUCT(W$5:W$27,后果有效剂量!$K$5:$K$27)*后果有效剂量!$U15</f>
        <v>1.69175289334403e-6</v>
      </c>
      <c r="S41" s="453">
        <f ca="1">SUMPRODUCT(R$5:R$27,后果甲状腺剂量!$I$5:$I$27)*后果甲状腺剂量!$Q15+SUMPRODUCT(S$5:S$27,后果甲状腺剂量!$I$5:$I$27)*后果甲状腺剂量!$Q15+SUMPRODUCT(T$5:T$27,后果甲状腺剂量!$I$5:$I$27)*后果甲状腺剂量!$R15+SUMPRODUCT(U$5:U$27,后果甲状腺剂量!$I$5:$I$27)*后果甲状腺剂量!$S15+SUMPRODUCT(V$5:V$27,后果甲状腺剂量!$I$5:$I$27)*后果甲状腺剂量!$T15+SUMPRODUCT(W$5:W$27,后果甲状腺剂量!$I$5:$I$27)*后果甲状腺剂量!$U15+SUMPRODUCT(R$5:R$27,后果甲状腺剂量!$J$5:$J$27)*后果甲状腺剂量!$Q15*后果甲状腺剂量!$Q$3+SUMPRODUCT(S$5:S$27,后果甲状腺剂量!$J$5:$J$27)*后果甲状腺剂量!$Q15*后果甲状腺剂量!$Q$3+SUMPRODUCT(T$5:T$27,后果甲状腺剂量!$J$5:$J$27)*后果甲状腺剂量!$R15*后果甲状腺剂量!$R$3+SUMPRODUCT(U$5:U$27,后果甲状腺剂量!$J$5:$J$27)*后果甲状腺剂量!$S15*后果甲状腺剂量!$S$3+SUMPRODUCT(V$5:V$27,后果甲状腺剂量!$J$5:$J$27)*后果甲状腺剂量!$T15*后果甲状腺剂量!$T$3+SUMPRODUCT(W$5:W$27,后果甲状腺剂量!$J$5:$J$27)*后果甲状腺剂量!$U15*后果甲状腺剂量!$U$3+SUMPRODUCT(R$5:R$27,后果甲状腺剂量!$K$5:$K$27)*后果甲状腺剂量!$Q15+SUMPRODUCT(S$5:S$27,后果甲状腺剂量!$K$5:$K$27)*后果甲状腺剂量!$Q15+SUMPRODUCT(T$5:T$27,后果甲状腺剂量!$K$5:$K$27)*后果甲状腺剂量!$R15+SUMPRODUCT(U$5:U$27,后果甲状腺剂量!$K$5:$K$27)*后果甲状腺剂量!$S15+SUMPRODUCT(V$5:V$27,后果甲状腺剂量!$K$5:$K$27)*后果甲状腺剂量!$T15+SUMPRODUCT(W$5:W$27,后果甲状腺剂量!$K$5:$K$27)*后果甲状腺剂量!$U15</f>
        <v>1.32528888540963e-5</v>
      </c>
      <c r="T41" s="454">
        <f ca="1" t="shared" si="255"/>
        <v>0.00169175289334403</v>
      </c>
      <c r="U41" s="454">
        <f ca="1" t="shared" si="256"/>
        <v>0.0132528888540963</v>
      </c>
      <c r="V41" s="436"/>
      <c r="W41" s="436"/>
      <c r="AN41" s="533"/>
      <c r="AS41" s="572"/>
      <c r="BO41" s="600"/>
      <c r="CJ41" s="600"/>
      <c r="DZ41" s="600"/>
      <c r="EU41" s="603"/>
      <c r="FP41" s="603"/>
      <c r="FS41" s="441">
        <f>SUMPRODUCT(FS$5:FS$27,后果有效剂量!$I$5:$I$27)*后果有效剂量!$Q15+SUMPRODUCT(FT$5:FT$27,后果有效剂量!$I$5:$I$27)*后果有效剂量!$R15+SUMPRODUCT(FU$5:FU$27,后果有效剂量!$I$5:$I$27)*后果有效剂量!$S15+SUMPRODUCT(FV$5:FV$27,后果有效剂量!$I$5:$I$27)*后果有效剂量!$T15+SUMPRODUCT(FS$5:FS$27,后果有效剂量!$J$5:$J$27)*后果有效剂量!$Q15*后果有效剂量!$Q$3+SUMPRODUCT(FT$5:FT$27,后果有效剂量!$J$5:$J$27)*后果有效剂量!$R15*后果有效剂量!$R$3+SUMPRODUCT(FU$5:FU$27,后果有效剂量!$J$5:$J$27)*后果有效剂量!$S15*后果有效剂量!$S$3+SUMPRODUCT(FV$5:FV$27,后果有效剂量!$J$5:$J$27)*后果有效剂量!$T15*后果有效剂量!$T$3+SUMPRODUCT(FS$5:FS$27,后果有效剂量!$K$5:$K$27)*后果有效剂量!$Q15+SUMPRODUCT(FT$5:FT$27,后果有效剂量!$K$5:$K$27)*后果有效剂量!$R15+SUMPRODUCT(FU$5:FU$27,后果有效剂量!$K$5:$K$27)*后果有效剂量!$S15+SUMPRODUCT(FV$5:FV$27,后果有效剂量!$K$5:$K$27)*后果有效剂量!$T15</f>
        <v>3.76943273964564e-6</v>
      </c>
      <c r="FT41" s="453">
        <f>SUMPRODUCT(FS$5:FS$27,后果甲状腺剂量!$I$5:$I$27)*后果甲状腺剂量!$Q15+SUMPRODUCT(FT$5:FT$27,后果甲状腺剂量!$I$5:$I$27)*后果甲状腺剂量!$R15+SUMPRODUCT(FU$5:FU$27,后果甲状腺剂量!$I$5:$I$27)*后果甲状腺剂量!$S15+SUMPRODUCT(FV$5:FV$27,后果甲状腺剂量!$I$5:$I$27)*后果甲状腺剂量!$T15+SUMPRODUCT(FS$5:FS$27,后果甲状腺剂量!$J$5:$J$27)*后果甲状腺剂量!$Q15*后果甲状腺剂量!$Q$3+SUMPRODUCT(FT$5:FT$27,后果甲状腺剂量!$J$5:$J$27)*后果甲状腺剂量!$R15*后果甲状腺剂量!$R$3+SUMPRODUCT(FU$5:FU$27,后果甲状腺剂量!$J$5:$J$27)*后果甲状腺剂量!$S15*后果甲状腺剂量!$S$3+SUMPRODUCT(FV$5:FV$27,后果甲状腺剂量!$J$5:$J$27)*后果甲状腺剂量!$T15*后果甲状腺剂量!$T$3+SUMPRODUCT(FS$5:FS$27,后果甲状腺剂量!$K$5:$K$27)*后果甲状腺剂量!$Q15+SUMPRODUCT(FT$5:FT$27,后果甲状腺剂量!$K$5:$K$27)*后果甲状腺剂量!$R15+SUMPRODUCT(FU$5:FU$27,后果甲状腺剂量!$K$5:$K$27)*后果甲状腺剂量!$S15+SUMPRODUCT(FV$5:FV$27,后果甲状腺剂量!$K$5:$K$27)*后果甲状腺剂量!$T15</f>
        <v>0.000171617689718182</v>
      </c>
      <c r="FU41" s="454">
        <f t="shared" si="257"/>
        <v>0.00376943273964564</v>
      </c>
      <c r="FV41" s="454">
        <f t="shared" si="258"/>
        <v>0.171617689718182</v>
      </c>
      <c r="FW41" s="436"/>
      <c r="FX41" s="436"/>
      <c r="GD41" s="440" t="str">
        <f>后果有效剂量!$P15</f>
        <v>25000m</v>
      </c>
      <c r="GE41" s="441">
        <f>SUMPRODUCT(GE$5:GE$27,后果有效剂量!$I$5:$I$27)*后果有效剂量!$Q15+SUMPRODUCT(GF$5:GF$27,后果有效剂量!$I$5:$I$27)*后果有效剂量!$R15+SUMPRODUCT(GG$5:GG$27,后果有效剂量!$I$5:$I$27)*后果有效剂量!$S15+(SUMPRODUCT(GH$5:GH$27,后果有效剂量!$I$5:$I$27)+SUMPRODUCT(GI$5:GI$27,后果有效剂量!$I$5:$I$27))*后果有效剂量!$T15+SUMPRODUCT(GJ$5:GJ$27,后果有效剂量!$I$5:$I$27)*后果有效剂量!$U15+SUMPRODUCT(GE$5:GE$27,后果有效剂量!$J$5:$J$27)*后果有效剂量!$Q15*后果有效剂量!$Q$3+SUMPRODUCT(GF$5:GF$27,后果有效剂量!$J$5:$J$27)*后果有效剂量!$R15*后果有效剂量!$R$3+SUMPRODUCT(GG$5:GG$27,后果有效剂量!$J$5:$J$27)*后果有效剂量!$S15*后果有效剂量!$S$3+(SUMPRODUCT(GH$5:GH$27,后果有效剂量!$J$5:$J$27)+SUMPRODUCT(GI$5:GI$27,后果有效剂量!$J$5:$J$27))*后果有效剂量!$T15*后果有效剂量!$T$3+SUMPRODUCT(GJ$5:GJ$27,后果有效剂量!$J$5:$J$27)*后果有效剂量!$U15*后果有效剂量!$U$3+SUMPRODUCT(GE$5:GE$27,后果有效剂量!$K$5:$K$27)*后果有效剂量!$Q15+SUMPRODUCT(GF$5:GF$27,后果有效剂量!$K$5:$K$27)*后果有效剂量!$R15+SUMPRODUCT(GG$5:GG$27,后果有效剂量!$K$5:$K$27)*后果有效剂量!$S15+(SUMPRODUCT(GH$5:GH$27,后果有效剂量!$K$5:$K$27)+SUMPRODUCT(GI$5:GI$27,后果有效剂量!$K$5:$K$27))*后果有效剂量!$T15+SUMPRODUCT(GJ$5:GJ$27,后果有效剂量!$K$5:$K$27)*后果有效剂量!$U15</f>
        <v>8.72148870971164e-7</v>
      </c>
      <c r="GF41" s="453">
        <f>SUMPRODUCT(GE$5:GE$27,后果甲状腺剂量!$I$5:$I$27)*后果甲状腺剂量!$Q15+SUMPRODUCT(GF$5:GF$27,后果甲状腺剂量!$I$5:$I$27)*后果甲状腺剂量!$R15+SUMPRODUCT(GG$5:GG$27,后果甲状腺剂量!$I$5:$I$27)*后果甲状腺剂量!$S15+(SUMPRODUCT(GH$5:GH$27,后果甲状腺剂量!$I$5:$I$27)+SUMPRODUCT(GI$5:GI$27,后果甲状腺剂量!$I$5:$I$27))*后果甲状腺剂量!$T15+SUMPRODUCT(GJ$5:GJ$27,后果甲状腺剂量!$I$5:$I$27)*后果甲状腺剂量!$U15+SUMPRODUCT(GE$5:GE$27,后果甲状腺剂量!$J$5:$J$27)*后果甲状腺剂量!$Q15*后果甲状腺剂量!$Q$3+SUMPRODUCT(GF$5:GF$27,后果甲状腺剂量!$J$5:$J$27)*后果甲状腺剂量!$R15*后果甲状腺剂量!$R$3+SUMPRODUCT(GG$5:GG$27,后果甲状腺剂量!$J$5:$J$27)*后果甲状腺剂量!$S15*后果甲状腺剂量!$S$3+(SUMPRODUCT(GH$5:GH$27,后果甲状腺剂量!$J$5:$J$27)+SUMPRODUCT(GI$5:GI$27,后果甲状腺剂量!$J$5:$J$27))*后果甲状腺剂量!$T15*后果甲状腺剂量!$T$3+SUMPRODUCT(GJ$5:GJ$27,后果甲状腺剂量!$J$5:$J$27)*后果甲状腺剂量!$U15*后果甲状腺剂量!$U$3+SUMPRODUCT(GE$5:GE$27,后果甲状腺剂量!$K$5:$K$27)*后果甲状腺剂量!$Q15+SUMPRODUCT(GF$5:GF$27,后果甲状腺剂量!$K$5:$K$27)*后果甲状腺剂量!$R15+SUMPRODUCT(GG$5:GG$27,后果甲状腺剂量!$K$5:$K$27)*后果甲状腺剂量!$S15+(SUMPRODUCT(GH$5:GH$27,后果甲状腺剂量!$K$5:$K$27)+SUMPRODUCT(GI$5:GI$27,后果甲状腺剂量!$K$5:$K$27))*后果甲状腺剂量!$T15+SUMPRODUCT(GJ$5:GJ$27,后果甲状腺剂量!$K$5:$K$27)*后果甲状腺剂量!$U15</f>
        <v>2.83339292015822e-5</v>
      </c>
      <c r="GG41" s="454">
        <f t="shared" si="259"/>
        <v>0.000872148870971164</v>
      </c>
      <c r="GH41" s="454">
        <f t="shared" si="260"/>
        <v>0.0283339292015822</v>
      </c>
      <c r="GI41" s="436"/>
      <c r="GJ41" s="436"/>
    </row>
    <row r="42" spans="7:192">
      <c r="G42" s="440" t="str">
        <f>后果有效剂量!$P16</f>
        <v>35000m</v>
      </c>
      <c r="H42" s="441">
        <f ca="1">SUMPRODUCT(H$5:H$27,后果有效剂量!$I$5:$I$27)*后果有效剂量!$Q16+SUMPRODUCT(I$5:I$27,后果有效剂量!$I$5:$I$27)*后果有效剂量!$Q16+SUMPRODUCT(J$5:J$27,后果有效剂量!$I$5:$I$27)*后果有效剂量!$R16+SUMPRODUCT(K$5:K$27,后果有效剂量!$I$5:$I$27)*后果有效剂量!$S16+SUMPRODUCT(L$5:L$27,后果有效剂量!$I$5:$I$27)*后果有效剂量!$T16+SUMPRODUCT(M$5:M$27,后果有效剂量!$I$5:$I$27)*后果有效剂量!$U16+SUMPRODUCT(H$5:H$27,后果有效剂量!$J$5:$J$27)*后果有效剂量!$Q16*后果有效剂量!$Q$3+SUMPRODUCT(I$5:I$27,后果有效剂量!$J$5:$J$27)*后果有效剂量!$Q16*后果有效剂量!$Q$3+SUMPRODUCT(J$5:J$27,后果有效剂量!$J$5:$J$27)*后果有效剂量!$R16*后果有效剂量!$R$3+SUMPRODUCT(K$5:K$27,后果有效剂量!$J$5:$J$27)*后果有效剂量!$S16*后果有效剂量!$S$3+SUMPRODUCT(L$5:L$27,后果有效剂量!$J$5:$J$27)*后果有效剂量!$T16*后果有效剂量!$T$3+SUMPRODUCT(M$5:M$27,后果有效剂量!$J$5:$J$27)*后果有效剂量!$U16*后果有效剂量!$U$3+SUMPRODUCT(H$5:H$27,后果有效剂量!$K$5:$K$27)*后果有效剂量!$Q16+SUMPRODUCT(I$5:I$27,后果有效剂量!$K$5:$K$27)*后果有效剂量!$Q16+SUMPRODUCT(J$5:J$27,后果有效剂量!$K$5:$K$27)*后果有效剂量!$R16+SUMPRODUCT(K$5:K$27,后果有效剂量!$K$5:$K$27)*后果有效剂量!$S16+SUMPRODUCT(L$5:L$27,后果有效剂量!$K$5:$K$27)*后果有效剂量!$T16+SUMPRODUCT(M$5:M$27,后果有效剂量!$K$5:$K$27)*后果有效剂量!$U16</f>
        <v>3.1808752284179e-6</v>
      </c>
      <c r="I42" s="453">
        <f ca="1">SUMPRODUCT(H$5:H$27,后果甲状腺剂量!$I$5:$I$27)*后果甲状腺剂量!$Q16+SUMPRODUCT(I$5:I$27,后果甲状腺剂量!$I$5:$I$27)*后果甲状腺剂量!$Q16+SUMPRODUCT(J$5:J$27,后果甲状腺剂量!$I$5:$I$27)*后果甲状腺剂量!$R16+SUMPRODUCT(K$5:K$27,后果甲状腺剂量!$I$5:$I$27)*后果甲状腺剂量!$S16+SUMPRODUCT(L$5:L$27,后果甲状腺剂量!$I$5:$I$27)*后果甲状腺剂量!$T16+SUMPRODUCT(M$5:M$27,后果甲状腺剂量!$I$5:$I$27)*后果甲状腺剂量!$U16+SUMPRODUCT(H$5:H$27,后果甲状腺剂量!$J$5:$J$27)*后果甲状腺剂量!$Q16*后果甲状腺剂量!$Q$3+SUMPRODUCT(I$5:I$27,后果甲状腺剂量!$J$5:$J$27)*后果甲状腺剂量!$Q16*后果甲状腺剂量!$Q$3+SUMPRODUCT(J$5:J$27,后果甲状腺剂量!$J$5:$J$27)*后果甲状腺剂量!$R16*后果甲状腺剂量!$R$3+SUMPRODUCT(K$5:K$27,后果甲状腺剂量!$J$5:$J$27)*后果甲状腺剂量!$S16*后果甲状腺剂量!$S$3+SUMPRODUCT(L$5:L$27,后果甲状腺剂量!$J$5:$J$27)*后果甲状腺剂量!$T16*后果甲状腺剂量!$T$3+SUMPRODUCT(M$5:M$27,后果甲状腺剂量!$J$5:$J$27)*后果甲状腺剂量!$U16*后果甲状腺剂量!$U$3+SUMPRODUCT(H$5:H$27,后果甲状腺剂量!$K$5:$K$27)*后果甲状腺剂量!$Q16+SUMPRODUCT(I$5:I$27,后果甲状腺剂量!$K$5:$K$27)*后果甲状腺剂量!$Q16+SUMPRODUCT(J$5:J$27,后果甲状腺剂量!$K$5:$K$27)*后果甲状腺剂量!$R16+SUMPRODUCT(K$5:K$27,后果甲状腺剂量!$K$5:$K$27)*后果甲状腺剂量!$S16+SUMPRODUCT(L$5:L$27,后果甲状腺剂量!$K$5:$K$27)*后果甲状腺剂量!$T16+SUMPRODUCT(M$5:M$27,后果甲状腺剂量!$K$5:$K$27)*后果甲状腺剂量!$U16</f>
        <v>9.66363431532063e-5</v>
      </c>
      <c r="J42" s="454">
        <f ca="1" t="shared" si="253"/>
        <v>0.0031808752284179</v>
      </c>
      <c r="K42" s="454">
        <f ca="1" t="shared" si="254"/>
        <v>0.0966363431532063</v>
      </c>
      <c r="L42" s="436"/>
      <c r="M42" s="436"/>
      <c r="N42" s="455"/>
      <c r="Q42" s="440" t="str">
        <f>后果有效剂量!$P16</f>
        <v>35000m</v>
      </c>
      <c r="R42" s="441">
        <f ca="1">SUMPRODUCT(R$5:R$27,后果有效剂量!$I$5:$I$27)*后果有效剂量!$Q16+SUMPRODUCT(S$5:S$27,后果有效剂量!$I$5:$I$27)*后果有效剂量!$Q16+SUMPRODUCT(T$5:T$27,后果有效剂量!$I$5:$I$27)*后果有效剂量!$R16+SUMPRODUCT(U$5:U$27,后果有效剂量!$I$5:$I$27)*后果有效剂量!$S16+SUMPRODUCT(V$5:V$27,后果有效剂量!$I$5:$I$27)*后果有效剂量!$T16+SUMPRODUCT(W$5:W$27,后果有效剂量!$I$5:$I$27)*后果有效剂量!$U16+SUMPRODUCT(R$5:R$27,后果有效剂量!$J$5:$J$27)*后果有效剂量!$Q16*后果有效剂量!$Q$3+SUMPRODUCT(S$5:S$27,后果有效剂量!$J$5:$J$27)*后果有效剂量!$Q16*后果有效剂量!$Q$3+SUMPRODUCT(T$5:T$27,后果有效剂量!$J$5:$J$27)*后果有效剂量!$R16*后果有效剂量!$R$3+SUMPRODUCT(U$5:U$27,后果有效剂量!$J$5:$J$27)*后果有效剂量!$S16*后果有效剂量!$S$3+SUMPRODUCT(V$5:V$27,后果有效剂量!$J$5:$J$27)*后果有效剂量!$T16*后果有效剂量!$T$3+SUMPRODUCT(W$5:W$27,后果有效剂量!$J$5:$J$27)*后果有效剂量!$U16*后果有效剂量!$U$3+SUMPRODUCT(R$5:R$27,后果有效剂量!$K$5:$K$27)*后果有效剂量!$Q16+SUMPRODUCT(S$5:S$27,后果有效剂量!$K$5:$K$27)*后果有效剂量!$Q16+SUMPRODUCT(T$5:T$27,后果有效剂量!$K$5:$K$27)*后果有效剂量!$R16+SUMPRODUCT(U$5:U$27,后果有效剂量!$K$5:$K$27)*后果有效剂量!$S16+SUMPRODUCT(V$5:V$27,后果有效剂量!$K$5:$K$27)*后果有效剂量!$T16+SUMPRODUCT(W$5:W$27,后果有效剂量!$K$5:$K$27)*后果有效剂量!$U16</f>
        <v>9.4583157222315e-7</v>
      </c>
      <c r="S42" s="453">
        <f ca="1">SUMPRODUCT(R$5:R$27,后果甲状腺剂量!$I$5:$I$27)*后果甲状腺剂量!$Q16+SUMPRODUCT(S$5:S$27,后果甲状腺剂量!$I$5:$I$27)*后果甲状腺剂量!$Q16+SUMPRODUCT(T$5:T$27,后果甲状腺剂量!$I$5:$I$27)*后果甲状腺剂量!$R16+SUMPRODUCT(U$5:U$27,后果甲状腺剂量!$I$5:$I$27)*后果甲状腺剂量!$S16+SUMPRODUCT(V$5:V$27,后果甲状腺剂量!$I$5:$I$27)*后果甲状腺剂量!$T16+SUMPRODUCT(W$5:W$27,后果甲状腺剂量!$I$5:$I$27)*后果甲状腺剂量!$U16+SUMPRODUCT(R$5:R$27,后果甲状腺剂量!$J$5:$J$27)*后果甲状腺剂量!$Q16*后果甲状腺剂量!$Q$3+SUMPRODUCT(S$5:S$27,后果甲状腺剂量!$J$5:$J$27)*后果甲状腺剂量!$Q16*后果甲状腺剂量!$Q$3+SUMPRODUCT(T$5:T$27,后果甲状腺剂量!$J$5:$J$27)*后果甲状腺剂量!$R16*后果甲状腺剂量!$R$3+SUMPRODUCT(U$5:U$27,后果甲状腺剂量!$J$5:$J$27)*后果甲状腺剂量!$S16*后果甲状腺剂量!$S$3+SUMPRODUCT(V$5:V$27,后果甲状腺剂量!$J$5:$J$27)*后果甲状腺剂量!$T16*后果甲状腺剂量!$T$3+SUMPRODUCT(W$5:W$27,后果甲状腺剂量!$J$5:$J$27)*后果甲状腺剂量!$U16*后果甲状腺剂量!$U$3+SUMPRODUCT(R$5:R$27,后果甲状腺剂量!$K$5:$K$27)*后果甲状腺剂量!$Q16+SUMPRODUCT(S$5:S$27,后果甲状腺剂量!$K$5:$K$27)*后果甲状腺剂量!$Q16+SUMPRODUCT(T$5:T$27,后果甲状腺剂量!$K$5:$K$27)*后果甲状腺剂量!$R16+SUMPRODUCT(U$5:U$27,后果甲状腺剂量!$K$5:$K$27)*后果甲状腺剂量!$S16+SUMPRODUCT(V$5:V$27,后果甲状腺剂量!$K$5:$K$27)*后果甲状腺剂量!$T16+SUMPRODUCT(W$5:W$27,后果甲状腺剂量!$K$5:$K$27)*后果甲状腺剂量!$U16</f>
        <v>6.72086360765539e-6</v>
      </c>
      <c r="T42" s="454">
        <f ca="1" t="shared" si="255"/>
        <v>0.00094583157222315</v>
      </c>
      <c r="U42" s="454">
        <f ca="1" t="shared" si="256"/>
        <v>0.00672086360765539</v>
      </c>
      <c r="V42" s="436"/>
      <c r="W42" s="436"/>
      <c r="AN42" s="533"/>
      <c r="AS42" s="572"/>
      <c r="BO42" s="600"/>
      <c r="CJ42" s="600"/>
      <c r="DZ42" s="600"/>
      <c r="EU42" s="603"/>
      <c r="FP42" s="603"/>
      <c r="FS42" s="441">
        <f>SUMPRODUCT(FS$5:FS$27,后果有效剂量!$I$5:$I$27)*后果有效剂量!$Q16+SUMPRODUCT(FT$5:FT$27,后果有效剂量!$I$5:$I$27)*后果有效剂量!$R16+SUMPRODUCT(FU$5:FU$27,后果有效剂量!$I$5:$I$27)*后果有效剂量!$S16+SUMPRODUCT(FV$5:FV$27,后果有效剂量!$I$5:$I$27)*后果有效剂量!$T16+SUMPRODUCT(FS$5:FS$27,后果有效剂量!$J$5:$J$27)*后果有效剂量!$Q16*后果有效剂量!$Q$3+SUMPRODUCT(FT$5:FT$27,后果有效剂量!$J$5:$J$27)*后果有效剂量!$R16*后果有效剂量!$R$3+SUMPRODUCT(FU$5:FU$27,后果有效剂量!$J$5:$J$27)*后果有效剂量!$S16*后果有效剂量!$S$3+SUMPRODUCT(FV$5:FV$27,后果有效剂量!$J$5:$J$27)*后果有效剂量!$T16*后果有效剂量!$T$3+SUMPRODUCT(FS$5:FS$27,后果有效剂量!$K$5:$K$27)*后果有效剂量!$Q16+SUMPRODUCT(FT$5:FT$27,后果有效剂量!$K$5:$K$27)*后果有效剂量!$R16+SUMPRODUCT(FU$5:FU$27,后果有效剂量!$K$5:$K$27)*后果有效剂量!$S16+SUMPRODUCT(FV$5:FV$27,后果有效剂量!$K$5:$K$27)*后果有效剂量!$T16</f>
        <v>2.12917624572601e-6</v>
      </c>
      <c r="FT42" s="453">
        <f>SUMPRODUCT(FS$5:FS$27,后果甲状腺剂量!$I$5:$I$27)*后果甲状腺剂量!$Q16+SUMPRODUCT(FT$5:FT$27,后果甲状腺剂量!$I$5:$I$27)*后果甲状腺剂量!$R16+SUMPRODUCT(FU$5:FU$27,后果甲状腺剂量!$I$5:$I$27)*后果甲状腺剂量!$S16+SUMPRODUCT(FV$5:FV$27,后果甲状腺剂量!$I$5:$I$27)*后果甲状腺剂量!$T16+SUMPRODUCT(FS$5:FS$27,后果甲状腺剂量!$J$5:$J$27)*后果甲状腺剂量!$Q16*后果甲状腺剂量!$Q$3+SUMPRODUCT(FT$5:FT$27,后果甲状腺剂量!$J$5:$J$27)*后果甲状腺剂量!$R16*后果甲状腺剂量!$R$3+SUMPRODUCT(FU$5:FU$27,后果甲状腺剂量!$J$5:$J$27)*后果甲状腺剂量!$S16*后果甲状腺剂量!$S$3+SUMPRODUCT(FV$5:FV$27,后果甲状腺剂量!$J$5:$J$27)*后果甲状腺剂量!$T16*后果甲状腺剂量!$T$3+SUMPRODUCT(FS$5:FS$27,后果甲状腺剂量!$K$5:$K$27)*后果甲状腺剂量!$Q16+SUMPRODUCT(FT$5:FT$27,后果甲状腺剂量!$K$5:$K$27)*后果甲状腺剂量!$R16+SUMPRODUCT(FU$5:FU$27,后果甲状腺剂量!$K$5:$K$27)*后果甲状腺剂量!$S16+SUMPRODUCT(FV$5:FV$27,后果甲状腺剂量!$K$5:$K$27)*后果甲状腺剂量!$T16</f>
        <v>8.77501626392143e-5</v>
      </c>
      <c r="FU42" s="454">
        <f t="shared" si="257"/>
        <v>0.00212917624572601</v>
      </c>
      <c r="FV42" s="454">
        <f t="shared" si="258"/>
        <v>0.0877501626392143</v>
      </c>
      <c r="FW42" s="436"/>
      <c r="FX42" s="436"/>
      <c r="GD42" s="440" t="str">
        <f>后果有效剂量!$P16</f>
        <v>35000m</v>
      </c>
      <c r="GE42" s="441">
        <f>SUMPRODUCT(GE$5:GE$27,后果有效剂量!$I$5:$I$27)*后果有效剂量!$Q16+SUMPRODUCT(GF$5:GF$27,后果有效剂量!$I$5:$I$27)*后果有效剂量!$R16+SUMPRODUCT(GG$5:GG$27,后果有效剂量!$I$5:$I$27)*后果有效剂量!$S16+(SUMPRODUCT(GH$5:GH$27,后果有效剂量!$I$5:$I$27)+SUMPRODUCT(GI$5:GI$27,后果有效剂量!$I$5:$I$27))*后果有效剂量!$T16+SUMPRODUCT(GJ$5:GJ$27,后果有效剂量!$I$5:$I$27)*后果有效剂量!$U16+SUMPRODUCT(GE$5:GE$27,后果有效剂量!$J$5:$J$27)*后果有效剂量!$Q16*后果有效剂量!$Q$3+SUMPRODUCT(GF$5:GF$27,后果有效剂量!$J$5:$J$27)*后果有效剂量!$R16*后果有效剂量!$R$3+SUMPRODUCT(GG$5:GG$27,后果有效剂量!$J$5:$J$27)*后果有效剂量!$S16*后果有效剂量!$S$3+(SUMPRODUCT(GH$5:GH$27,后果有效剂量!$J$5:$J$27)+SUMPRODUCT(GI$5:GI$27,后果有效剂量!$J$5:$J$27))*后果有效剂量!$T16*后果有效剂量!$T$3+SUMPRODUCT(GJ$5:GJ$27,后果有效剂量!$J$5:$J$27)*后果有效剂量!$U16*后果有效剂量!$U$3+SUMPRODUCT(GE$5:GE$27,后果有效剂量!$K$5:$K$27)*后果有效剂量!$Q16+SUMPRODUCT(GF$5:GF$27,后果有效剂量!$K$5:$K$27)*后果有效剂量!$R16+SUMPRODUCT(GG$5:GG$27,后果有效剂量!$K$5:$K$27)*后果有效剂量!$S16+(SUMPRODUCT(GH$5:GH$27,后果有效剂量!$K$5:$K$27)+SUMPRODUCT(GI$5:GI$27,后果有效剂量!$K$5:$K$27))*后果有效剂量!$T16+SUMPRODUCT(GJ$5:GJ$27,后果有效剂量!$K$5:$K$27)*后果有效剂量!$U16</f>
        <v>4.96553112111478e-7</v>
      </c>
      <c r="GF42" s="453">
        <f>SUMPRODUCT(GE$5:GE$27,后果甲状腺剂量!$I$5:$I$27)*后果甲状腺剂量!$Q16+SUMPRODUCT(GF$5:GF$27,后果甲状腺剂量!$I$5:$I$27)*后果甲状腺剂量!$R16+SUMPRODUCT(GG$5:GG$27,后果甲状腺剂量!$I$5:$I$27)*后果甲状腺剂量!$S16+(SUMPRODUCT(GH$5:GH$27,后果甲状腺剂量!$I$5:$I$27)+SUMPRODUCT(GI$5:GI$27,后果甲状腺剂量!$I$5:$I$27))*后果甲状腺剂量!$T16+SUMPRODUCT(GJ$5:GJ$27,后果甲状腺剂量!$I$5:$I$27)*后果甲状腺剂量!$U16+SUMPRODUCT(GE$5:GE$27,后果甲状腺剂量!$J$5:$J$27)*后果甲状腺剂量!$Q16*后果甲状腺剂量!$Q$3+SUMPRODUCT(GF$5:GF$27,后果甲状腺剂量!$J$5:$J$27)*后果甲状腺剂量!$R16*后果甲状腺剂量!$R$3+SUMPRODUCT(GG$5:GG$27,后果甲状腺剂量!$J$5:$J$27)*后果甲状腺剂量!$S16*后果甲状腺剂量!$S$3+(SUMPRODUCT(GH$5:GH$27,后果甲状腺剂量!$J$5:$J$27)+SUMPRODUCT(GI$5:GI$27,后果甲状腺剂量!$J$5:$J$27))*后果甲状腺剂量!$T16*后果甲状腺剂量!$T$3+SUMPRODUCT(GJ$5:GJ$27,后果甲状腺剂量!$J$5:$J$27)*后果甲状腺剂量!$U16*后果甲状腺剂量!$U$3+SUMPRODUCT(GE$5:GE$27,后果甲状腺剂量!$K$5:$K$27)*后果甲状腺剂量!$Q16+SUMPRODUCT(GF$5:GF$27,后果甲状腺剂量!$K$5:$K$27)*后果甲状腺剂量!$R16+SUMPRODUCT(GG$5:GG$27,后果甲状腺剂量!$K$5:$K$27)*后果甲状腺剂量!$S16+(SUMPRODUCT(GH$5:GH$27,后果甲状腺剂量!$K$5:$K$27)+SUMPRODUCT(GI$5:GI$27,后果甲状腺剂量!$K$5:$K$27))*后果甲状腺剂量!$T16+SUMPRODUCT(GJ$5:GJ$27,后果甲状腺剂量!$K$5:$K$27)*后果甲状腺剂量!$U16</f>
        <v>1.4854301916215e-5</v>
      </c>
      <c r="GG42" s="454">
        <f t="shared" si="259"/>
        <v>0.000496553112111478</v>
      </c>
      <c r="GH42" s="454">
        <f t="shared" si="260"/>
        <v>0.014854301916215</v>
      </c>
      <c r="GI42" s="436"/>
      <c r="GJ42" s="436"/>
    </row>
    <row r="43" spans="7:192">
      <c r="G43" s="440" t="str">
        <f>后果有效剂量!$P17</f>
        <v>45000m</v>
      </c>
      <c r="H43" s="441">
        <f ca="1">SUMPRODUCT(H$5:H$27,后果有效剂量!$I$5:$I$27)*后果有效剂量!$Q17+SUMPRODUCT(I$5:I$27,后果有效剂量!$I$5:$I$27)*后果有效剂量!$Q17+SUMPRODUCT(J$5:J$27,后果有效剂量!$I$5:$I$27)*后果有效剂量!$R17+SUMPRODUCT(K$5:K$27,后果有效剂量!$I$5:$I$27)*后果有效剂量!$S17+SUMPRODUCT(L$5:L$27,后果有效剂量!$I$5:$I$27)*后果有效剂量!$T17+SUMPRODUCT(M$5:M$27,后果有效剂量!$I$5:$I$27)*后果有效剂量!$U17+SUMPRODUCT(H$5:H$27,后果有效剂量!$J$5:$J$27)*后果有效剂量!$Q17*后果有效剂量!$Q$3+SUMPRODUCT(I$5:I$27,后果有效剂量!$J$5:$J$27)*后果有效剂量!$Q17*后果有效剂量!$Q$3+SUMPRODUCT(J$5:J$27,后果有效剂量!$J$5:$J$27)*后果有效剂量!$R17*后果有效剂量!$R$3+SUMPRODUCT(K$5:K$27,后果有效剂量!$J$5:$J$27)*后果有效剂量!$S17*后果有效剂量!$S$3+SUMPRODUCT(L$5:L$27,后果有效剂量!$J$5:$J$27)*后果有效剂量!$T17*后果有效剂量!$T$3+SUMPRODUCT(M$5:M$27,后果有效剂量!$J$5:$J$27)*后果有效剂量!$U17*后果有效剂量!$U$3+SUMPRODUCT(H$5:H$27,后果有效剂量!$K$5:$K$27)*后果有效剂量!$Q17+SUMPRODUCT(I$5:I$27,后果有效剂量!$K$5:$K$27)*后果有效剂量!$Q17+SUMPRODUCT(J$5:J$27,后果有效剂量!$K$5:$K$27)*后果有效剂量!$R17+SUMPRODUCT(K$5:K$27,后果有效剂量!$K$5:$K$27)*后果有效剂量!$S17+SUMPRODUCT(L$5:L$27,后果有效剂量!$K$5:$K$27)*后果有效剂量!$T17+SUMPRODUCT(M$5:M$27,后果有效剂量!$K$5:$K$27)*后果有效剂量!$U17</f>
        <v>2.6295542669559e-6</v>
      </c>
      <c r="I43" s="453">
        <f ca="1">SUMPRODUCT(H$5:H$27,后果甲状腺剂量!$I$5:$I$27)*后果甲状腺剂量!$Q17+SUMPRODUCT(I$5:I$27,后果甲状腺剂量!$I$5:$I$27)*后果甲状腺剂量!$Q17+SUMPRODUCT(J$5:J$27,后果甲状腺剂量!$I$5:$I$27)*后果甲状腺剂量!$R17+SUMPRODUCT(K$5:K$27,后果甲状腺剂量!$I$5:$I$27)*后果甲状腺剂量!$S17+SUMPRODUCT(L$5:L$27,后果甲状腺剂量!$I$5:$I$27)*后果甲状腺剂量!$T17+SUMPRODUCT(M$5:M$27,后果甲状腺剂量!$I$5:$I$27)*后果甲状腺剂量!$U17+SUMPRODUCT(H$5:H$27,后果甲状腺剂量!$J$5:$J$27)*后果甲状腺剂量!$Q17*后果甲状腺剂量!$Q$3+SUMPRODUCT(I$5:I$27,后果甲状腺剂量!$J$5:$J$27)*后果甲状腺剂量!$Q17*后果甲状腺剂量!$Q$3+SUMPRODUCT(J$5:J$27,后果甲状腺剂量!$J$5:$J$27)*后果甲状腺剂量!$R17*后果甲状腺剂量!$R$3+SUMPRODUCT(K$5:K$27,后果甲状腺剂量!$J$5:$J$27)*后果甲状腺剂量!$S17*后果甲状腺剂量!$S$3+SUMPRODUCT(L$5:L$27,后果甲状腺剂量!$J$5:$J$27)*后果甲状腺剂量!$T17*后果甲状腺剂量!$T$3+SUMPRODUCT(M$5:M$27,后果甲状腺剂量!$J$5:$J$27)*后果甲状腺剂量!$U17*后果甲状腺剂量!$U$3+SUMPRODUCT(H$5:H$27,后果甲状腺剂量!$K$5:$K$27)*后果甲状腺剂量!$Q17+SUMPRODUCT(I$5:I$27,后果甲状腺剂量!$K$5:$K$27)*后果甲状腺剂量!$Q17+SUMPRODUCT(J$5:J$27,后果甲状腺剂量!$K$5:$K$27)*后果甲状腺剂量!$R17+SUMPRODUCT(K$5:K$27,后果甲状腺剂量!$K$5:$K$27)*后果甲状腺剂量!$S17+SUMPRODUCT(L$5:L$27,后果甲状腺剂量!$K$5:$K$27)*后果甲状腺剂量!$T17+SUMPRODUCT(M$5:M$27,后果甲状腺剂量!$K$5:$K$27)*后果甲状腺剂量!$U17</f>
        <v>8.03815130878149e-5</v>
      </c>
      <c r="J43" s="454">
        <f ca="1" t="shared" si="253"/>
        <v>0.0026295542669559</v>
      </c>
      <c r="K43" s="454">
        <f ca="1" t="shared" si="254"/>
        <v>0.0803815130878149</v>
      </c>
      <c r="L43" s="436"/>
      <c r="M43" s="436"/>
      <c r="N43" s="455"/>
      <c r="Q43" s="440" t="str">
        <f>后果有效剂量!$P17</f>
        <v>45000m</v>
      </c>
      <c r="R43" s="441">
        <f ca="1">SUMPRODUCT(R$5:R$27,后果有效剂量!$I$5:$I$27)*后果有效剂量!$Q17+SUMPRODUCT(S$5:S$27,后果有效剂量!$I$5:$I$27)*后果有效剂量!$Q17+SUMPRODUCT(T$5:T$27,后果有效剂量!$I$5:$I$27)*后果有效剂量!$R17+SUMPRODUCT(U$5:U$27,后果有效剂量!$I$5:$I$27)*后果有效剂量!$S17+SUMPRODUCT(V$5:V$27,后果有效剂量!$I$5:$I$27)*后果有效剂量!$T17+SUMPRODUCT(W$5:W$27,后果有效剂量!$I$5:$I$27)*后果有效剂量!$U17+SUMPRODUCT(R$5:R$27,后果有效剂量!$J$5:$J$27)*后果有效剂量!$Q17*后果有效剂量!$Q$3+SUMPRODUCT(S$5:S$27,后果有效剂量!$J$5:$J$27)*后果有效剂量!$Q17*后果有效剂量!$Q$3+SUMPRODUCT(T$5:T$27,后果有效剂量!$J$5:$J$27)*后果有效剂量!$R17*后果有效剂量!$R$3+SUMPRODUCT(U$5:U$27,后果有效剂量!$J$5:$J$27)*后果有效剂量!$S17*后果有效剂量!$S$3+SUMPRODUCT(V$5:V$27,后果有效剂量!$J$5:$J$27)*后果有效剂量!$T17*后果有效剂量!$T$3+SUMPRODUCT(W$5:W$27,后果有效剂量!$J$5:$J$27)*后果有效剂量!$U17*后果有效剂量!$U$3+SUMPRODUCT(R$5:R$27,后果有效剂量!$K$5:$K$27)*后果有效剂量!$Q17+SUMPRODUCT(S$5:S$27,后果有效剂量!$K$5:$K$27)*后果有效剂量!$Q17+SUMPRODUCT(T$5:T$27,后果有效剂量!$K$5:$K$27)*后果有效剂量!$R17+SUMPRODUCT(U$5:U$27,后果有效剂量!$K$5:$K$27)*后果有效剂量!$S17+SUMPRODUCT(V$5:V$27,后果有效剂量!$K$5:$K$27)*后果有效剂量!$T17+SUMPRODUCT(W$5:W$27,后果有效剂量!$K$5:$K$27)*后果有效剂量!$U17</f>
        <v>8.03848082881304e-7</v>
      </c>
      <c r="S43" s="453">
        <f ca="1">SUMPRODUCT(R$5:R$27,后果甲状腺剂量!$I$5:$I$27)*后果甲状腺剂量!$Q17+SUMPRODUCT(S$5:S$27,后果甲状腺剂量!$I$5:$I$27)*后果甲状腺剂量!$Q17+SUMPRODUCT(T$5:T$27,后果甲状腺剂量!$I$5:$I$27)*后果甲状腺剂量!$R17+SUMPRODUCT(U$5:U$27,后果甲状腺剂量!$I$5:$I$27)*后果甲状腺剂量!$S17+SUMPRODUCT(V$5:V$27,后果甲状腺剂量!$I$5:$I$27)*后果甲状腺剂量!$T17+SUMPRODUCT(W$5:W$27,后果甲状腺剂量!$I$5:$I$27)*后果甲状腺剂量!$U17+SUMPRODUCT(R$5:R$27,后果甲状腺剂量!$J$5:$J$27)*后果甲状腺剂量!$Q17*后果甲状腺剂量!$Q$3+SUMPRODUCT(S$5:S$27,后果甲状腺剂量!$J$5:$J$27)*后果甲状腺剂量!$Q17*后果甲状腺剂量!$Q$3+SUMPRODUCT(T$5:T$27,后果甲状腺剂量!$J$5:$J$27)*后果甲状腺剂量!$R17*后果甲状腺剂量!$R$3+SUMPRODUCT(U$5:U$27,后果甲状腺剂量!$J$5:$J$27)*后果甲状腺剂量!$S17*后果甲状腺剂量!$S$3+SUMPRODUCT(V$5:V$27,后果甲状腺剂量!$J$5:$J$27)*后果甲状腺剂量!$T17*后果甲状腺剂量!$T$3+SUMPRODUCT(W$5:W$27,后果甲状腺剂量!$J$5:$J$27)*后果甲状腺剂量!$U17*后果甲状腺剂量!$U$3+SUMPRODUCT(R$5:R$27,后果甲状腺剂量!$K$5:$K$27)*后果甲状腺剂量!$Q17+SUMPRODUCT(S$5:S$27,后果甲状腺剂量!$K$5:$K$27)*后果甲状腺剂量!$Q17+SUMPRODUCT(T$5:T$27,后果甲状腺剂量!$K$5:$K$27)*后果甲状腺剂量!$R17+SUMPRODUCT(U$5:U$27,后果甲状腺剂量!$K$5:$K$27)*后果甲状腺剂量!$S17+SUMPRODUCT(V$5:V$27,后果甲状腺剂量!$K$5:$K$27)*后果甲状腺剂量!$T17+SUMPRODUCT(W$5:W$27,后果甲状腺剂量!$K$5:$K$27)*后果甲状腺剂量!$U17</f>
        <v>5.64045416155677e-6</v>
      </c>
      <c r="T43" s="454">
        <f ca="1" t="shared" si="255"/>
        <v>0.000803848082881304</v>
      </c>
      <c r="U43" s="454">
        <f ca="1" t="shared" si="256"/>
        <v>0.00564045416155677</v>
      </c>
      <c r="V43" s="436"/>
      <c r="W43" s="436"/>
      <c r="AN43" s="533"/>
      <c r="AS43" s="572"/>
      <c r="BO43" s="600"/>
      <c r="CJ43" s="600"/>
      <c r="DZ43" s="600"/>
      <c r="EU43" s="603"/>
      <c r="FP43" s="603"/>
      <c r="FS43" s="441">
        <f>SUMPRODUCT(FS$5:FS$27,后果有效剂量!$I$5:$I$27)*后果有效剂量!$Q17+SUMPRODUCT(FT$5:FT$27,后果有效剂量!$I$5:$I$27)*后果有效剂量!$R17+SUMPRODUCT(FU$5:FU$27,后果有效剂量!$I$5:$I$27)*后果有效剂量!$S17+SUMPRODUCT(FV$5:FV$27,后果有效剂量!$I$5:$I$27)*后果有效剂量!$T17+SUMPRODUCT(FS$5:FS$27,后果有效剂量!$J$5:$J$27)*后果有效剂量!$Q17*后果有效剂量!$Q$3+SUMPRODUCT(FT$5:FT$27,后果有效剂量!$J$5:$J$27)*后果有效剂量!$R17*后果有效剂量!$R$3+SUMPRODUCT(FU$5:FU$27,后果有效剂量!$J$5:$J$27)*后果有效剂量!$S17*后果有效剂量!$S$3+SUMPRODUCT(FV$5:FV$27,后果有效剂量!$J$5:$J$27)*后果有效剂量!$T17*后果有效剂量!$T$3+SUMPRODUCT(FS$5:FS$27,后果有效剂量!$K$5:$K$27)*后果有效剂量!$Q17+SUMPRODUCT(FT$5:FT$27,后果有效剂量!$K$5:$K$27)*后果有效剂量!$R17+SUMPRODUCT(FU$5:FU$27,后果有效剂量!$K$5:$K$27)*后果有效剂量!$S17+SUMPRODUCT(FV$5:FV$27,后果有效剂量!$K$5:$K$27)*后果有效剂量!$T17</f>
        <v>1.74867432338742e-6</v>
      </c>
      <c r="FT43" s="453">
        <f>SUMPRODUCT(FS$5:FS$27,后果甲状腺剂量!$I$5:$I$27)*后果甲状腺剂量!$Q17+SUMPRODUCT(FT$5:FT$27,后果甲状腺剂量!$I$5:$I$27)*后果甲状腺剂量!$R17+SUMPRODUCT(FU$5:FU$27,后果甲状腺剂量!$I$5:$I$27)*后果甲状腺剂量!$S17+SUMPRODUCT(FV$5:FV$27,后果甲状腺剂量!$I$5:$I$27)*后果甲状腺剂量!$T17+SUMPRODUCT(FS$5:FS$27,后果甲状腺剂量!$J$5:$J$27)*后果甲状腺剂量!$Q17*后果甲状腺剂量!$Q$3+SUMPRODUCT(FT$5:FT$27,后果甲状腺剂量!$J$5:$J$27)*后果甲状腺剂量!$R17*后果甲状腺剂量!$R$3+SUMPRODUCT(FU$5:FU$27,后果甲状腺剂量!$J$5:$J$27)*后果甲状腺剂量!$S17*后果甲状腺剂量!$S$3+SUMPRODUCT(FV$5:FV$27,后果甲状腺剂量!$J$5:$J$27)*后果甲状腺剂量!$T17*后果甲状腺剂量!$T$3+SUMPRODUCT(FS$5:FS$27,后果甲状腺剂量!$K$5:$K$27)*后果甲状腺剂量!$Q17+SUMPRODUCT(FT$5:FT$27,后果甲状腺剂量!$K$5:$K$27)*后果甲状腺剂量!$R17+SUMPRODUCT(FU$5:FU$27,后果甲状腺剂量!$K$5:$K$27)*后果甲状腺剂量!$S17+SUMPRODUCT(FV$5:FV$27,后果甲状腺剂量!$K$5:$K$27)*后果甲状腺剂量!$T17</f>
        <v>7.24295071120302e-5</v>
      </c>
      <c r="FU43" s="454">
        <f t="shared" si="257"/>
        <v>0.00174867432338742</v>
      </c>
      <c r="FV43" s="454">
        <f t="shared" si="258"/>
        <v>0.0724295071120302</v>
      </c>
      <c r="FW43" s="436"/>
      <c r="FX43" s="436"/>
      <c r="GD43" s="440" t="str">
        <f>后果有效剂量!$P17</f>
        <v>45000m</v>
      </c>
      <c r="GE43" s="441">
        <f>SUMPRODUCT(GE$5:GE$27,后果有效剂量!$I$5:$I$27)*后果有效剂量!$Q17+SUMPRODUCT(GF$5:GF$27,后果有效剂量!$I$5:$I$27)*后果有效剂量!$R17+SUMPRODUCT(GG$5:GG$27,后果有效剂量!$I$5:$I$27)*后果有效剂量!$S17+(SUMPRODUCT(GH$5:GH$27,后果有效剂量!$I$5:$I$27)+SUMPRODUCT(GI$5:GI$27,后果有效剂量!$I$5:$I$27))*后果有效剂量!$T17+SUMPRODUCT(GJ$5:GJ$27,后果有效剂量!$I$5:$I$27)*后果有效剂量!$U17+SUMPRODUCT(GE$5:GE$27,后果有效剂量!$J$5:$J$27)*后果有效剂量!$Q17*后果有效剂量!$Q$3+SUMPRODUCT(GF$5:GF$27,后果有效剂量!$J$5:$J$27)*后果有效剂量!$R17*后果有效剂量!$R$3+SUMPRODUCT(GG$5:GG$27,后果有效剂量!$J$5:$J$27)*后果有效剂量!$S17*后果有效剂量!$S$3+(SUMPRODUCT(GH$5:GH$27,后果有效剂量!$J$5:$J$27)+SUMPRODUCT(GI$5:GI$27,后果有效剂量!$J$5:$J$27))*后果有效剂量!$T17*后果有效剂量!$T$3+SUMPRODUCT(GJ$5:GJ$27,后果有效剂量!$J$5:$J$27)*后果有效剂量!$U17*后果有效剂量!$U$3+SUMPRODUCT(GE$5:GE$27,后果有效剂量!$K$5:$K$27)*后果有效剂量!$Q17+SUMPRODUCT(GF$5:GF$27,后果有效剂量!$K$5:$K$27)*后果有效剂量!$R17+SUMPRODUCT(GG$5:GG$27,后果有效剂量!$K$5:$K$27)*后果有效剂量!$S17+(SUMPRODUCT(GH$5:GH$27,后果有效剂量!$K$5:$K$27)+SUMPRODUCT(GI$5:GI$27,后果有效剂量!$K$5:$K$27))*后果有效剂量!$T17+SUMPRODUCT(GJ$5:GJ$27,后果有效剂量!$K$5:$K$27)*后果有效剂量!$U17</f>
        <v>3.93766856413307e-7</v>
      </c>
      <c r="GF43" s="453">
        <f>SUMPRODUCT(GE$5:GE$27,后果甲状腺剂量!$I$5:$I$27)*后果甲状腺剂量!$Q17+SUMPRODUCT(GF$5:GF$27,后果甲状腺剂量!$I$5:$I$27)*后果甲状腺剂量!$R17+SUMPRODUCT(GG$5:GG$27,后果甲状腺剂量!$I$5:$I$27)*后果甲状腺剂量!$S17+(SUMPRODUCT(GH$5:GH$27,后果甲状腺剂量!$I$5:$I$27)+SUMPRODUCT(GI$5:GI$27,后果甲状腺剂量!$I$5:$I$27))*后果甲状腺剂量!$T17+SUMPRODUCT(GJ$5:GJ$27,后果甲状腺剂量!$I$5:$I$27)*后果甲状腺剂量!$U17+SUMPRODUCT(GE$5:GE$27,后果甲状腺剂量!$J$5:$J$27)*后果甲状腺剂量!$Q17*后果甲状腺剂量!$Q$3+SUMPRODUCT(GF$5:GF$27,后果甲状腺剂量!$J$5:$J$27)*后果甲状腺剂量!$R17*后果甲状腺剂量!$R$3+SUMPRODUCT(GG$5:GG$27,后果甲状腺剂量!$J$5:$J$27)*后果甲状腺剂量!$S17*后果甲状腺剂量!$S$3+(SUMPRODUCT(GH$5:GH$27,后果甲状腺剂量!$J$5:$J$27)+SUMPRODUCT(GI$5:GI$27,后果甲状腺剂量!$J$5:$J$27))*后果甲状腺剂量!$T17*后果甲状腺剂量!$T$3+SUMPRODUCT(GJ$5:GJ$27,后果甲状腺剂量!$J$5:$J$27)*后果甲状腺剂量!$U17*后果甲状腺剂量!$U$3+SUMPRODUCT(GE$5:GE$27,后果甲状腺剂量!$K$5:$K$27)*后果甲状腺剂量!$Q17+SUMPRODUCT(GF$5:GF$27,后果甲状腺剂量!$K$5:$K$27)*后果甲状腺剂量!$R17+SUMPRODUCT(GG$5:GG$27,后果甲状腺剂量!$K$5:$K$27)*后果甲状腺剂量!$S17+(SUMPRODUCT(GH$5:GH$27,后果甲状腺剂量!$K$5:$K$27)+SUMPRODUCT(GI$5:GI$27,后果甲状腺剂量!$K$5:$K$27))*后果甲状腺剂量!$T17+SUMPRODUCT(GJ$5:GJ$27,后果甲状腺剂量!$K$5:$K$27)*后果甲状腺剂量!$U17</f>
        <v>1.1660702699186e-5</v>
      </c>
      <c r="GG43" s="454">
        <f t="shared" si="259"/>
        <v>0.000393766856413307</v>
      </c>
      <c r="GH43" s="454">
        <f t="shared" si="260"/>
        <v>0.011660702699186</v>
      </c>
      <c r="GI43" s="436"/>
      <c r="GJ43" s="436"/>
    </row>
    <row r="44" spans="7:192">
      <c r="G44" s="440" t="str">
        <f>后果有效剂量!$P18</f>
        <v>55000m</v>
      </c>
      <c r="H44" s="441">
        <f ca="1">SUMPRODUCT(H$5:H$27,后果有效剂量!$I$5:$I$27)*后果有效剂量!$Q18+SUMPRODUCT(I$5:I$27,后果有效剂量!$I$5:$I$27)*后果有效剂量!$Q18+SUMPRODUCT(J$5:J$27,后果有效剂量!$I$5:$I$27)*后果有效剂量!$R18+SUMPRODUCT(K$5:K$27,后果有效剂量!$I$5:$I$27)*后果有效剂量!$S18+SUMPRODUCT(L$5:L$27,后果有效剂量!$I$5:$I$27)*后果有效剂量!$T18+SUMPRODUCT(M$5:M$27,后果有效剂量!$I$5:$I$27)*后果有效剂量!$U18+SUMPRODUCT(H$5:H$27,后果有效剂量!$J$5:$J$27)*后果有效剂量!$Q18*后果有效剂量!$Q$3+SUMPRODUCT(I$5:I$27,后果有效剂量!$J$5:$J$27)*后果有效剂量!$Q18*后果有效剂量!$Q$3+SUMPRODUCT(J$5:J$27,后果有效剂量!$J$5:$J$27)*后果有效剂量!$R18*后果有效剂量!$R$3+SUMPRODUCT(K$5:K$27,后果有效剂量!$J$5:$J$27)*后果有效剂量!$S18*后果有效剂量!$S$3+SUMPRODUCT(L$5:L$27,后果有效剂量!$J$5:$J$27)*后果有效剂量!$T18*后果有效剂量!$T$3+SUMPRODUCT(M$5:M$27,后果有效剂量!$J$5:$J$27)*后果有效剂量!$U18*后果有效剂量!$U$3+SUMPRODUCT(H$5:H$27,后果有效剂量!$K$5:$K$27)*后果有效剂量!$Q18+SUMPRODUCT(I$5:I$27,后果有效剂量!$K$5:$K$27)*后果有效剂量!$Q18+SUMPRODUCT(J$5:J$27,后果有效剂量!$K$5:$K$27)*后果有效剂量!$R18+SUMPRODUCT(K$5:K$27,后果有效剂量!$K$5:$K$27)*后果有效剂量!$S18+SUMPRODUCT(L$5:L$27,后果有效剂量!$K$5:$K$27)*后果有效剂量!$T18+SUMPRODUCT(M$5:M$27,后果有效剂量!$K$5:$K$27)*后果有效剂量!$U18</f>
        <v>1.28268144942376e-5</v>
      </c>
      <c r="I44" s="453">
        <f ca="1">SUMPRODUCT(H$5:H$27,后果甲状腺剂量!$I$5:$I$27)*后果甲状腺剂量!$Q18+SUMPRODUCT(I$5:I$27,后果甲状腺剂量!$I$5:$I$27)*后果甲状腺剂量!$Q18+SUMPRODUCT(J$5:J$27,后果甲状腺剂量!$I$5:$I$27)*后果甲状腺剂量!$R18+SUMPRODUCT(K$5:K$27,后果甲状腺剂量!$I$5:$I$27)*后果甲状腺剂量!$S18+SUMPRODUCT(L$5:L$27,后果甲状腺剂量!$I$5:$I$27)*后果甲状腺剂量!$T18+SUMPRODUCT(M$5:M$27,后果甲状腺剂量!$I$5:$I$27)*后果甲状腺剂量!$U18+SUMPRODUCT(H$5:H$27,后果甲状腺剂量!$J$5:$J$27)*后果甲状腺剂量!$Q18*后果甲状腺剂量!$Q$3+SUMPRODUCT(I$5:I$27,后果甲状腺剂量!$J$5:$J$27)*后果甲状腺剂量!$Q18*后果甲状腺剂量!$Q$3+SUMPRODUCT(J$5:J$27,后果甲状腺剂量!$J$5:$J$27)*后果甲状腺剂量!$R18*后果甲状腺剂量!$R$3+SUMPRODUCT(K$5:K$27,后果甲状腺剂量!$J$5:$J$27)*后果甲状腺剂量!$S18*后果甲状腺剂量!$S$3+SUMPRODUCT(L$5:L$27,后果甲状腺剂量!$J$5:$J$27)*后果甲状腺剂量!$T18*后果甲状腺剂量!$T$3+SUMPRODUCT(M$5:M$27,后果甲状腺剂量!$J$5:$J$27)*后果甲状腺剂量!$U18*后果甲状腺剂量!$U$3+SUMPRODUCT(H$5:H$27,后果甲状腺剂量!$K$5:$K$27)*后果甲状腺剂量!$Q18+SUMPRODUCT(I$5:I$27,后果甲状腺剂量!$K$5:$K$27)*后果甲状腺剂量!$Q18+SUMPRODUCT(J$5:J$27,后果甲状腺剂量!$K$5:$K$27)*后果甲状腺剂量!$R18+SUMPRODUCT(K$5:K$27,后果甲状腺剂量!$K$5:$K$27)*后果甲状腺剂量!$S18+SUMPRODUCT(L$5:L$27,后果甲状腺剂量!$K$5:$K$27)*后果甲状腺剂量!$T18+SUMPRODUCT(M$5:M$27,后果甲状腺剂量!$K$5:$K$27)*后果甲状腺剂量!$U18</f>
        <v>6.94942706933917e-5</v>
      </c>
      <c r="J44" s="454">
        <f ca="1" t="shared" si="253"/>
        <v>0.0128268144942376</v>
      </c>
      <c r="K44" s="454">
        <f ca="1" t="shared" si="254"/>
        <v>0.0694942706933917</v>
      </c>
      <c r="L44" s="436"/>
      <c r="M44" s="436"/>
      <c r="N44" s="455"/>
      <c r="Q44" s="440" t="str">
        <f>后果有效剂量!$P18</f>
        <v>55000m</v>
      </c>
      <c r="R44" s="441">
        <f ca="1">SUMPRODUCT(R$5:R$27,后果有效剂量!$I$5:$I$27)*后果有效剂量!$Q18+SUMPRODUCT(S$5:S$27,后果有效剂量!$I$5:$I$27)*后果有效剂量!$Q18+SUMPRODUCT(T$5:T$27,后果有效剂量!$I$5:$I$27)*后果有效剂量!$R18+SUMPRODUCT(U$5:U$27,后果有效剂量!$I$5:$I$27)*后果有效剂量!$S18+SUMPRODUCT(V$5:V$27,后果有效剂量!$I$5:$I$27)*后果有效剂量!$T18+SUMPRODUCT(W$5:W$27,后果有效剂量!$I$5:$I$27)*后果有效剂量!$U18+SUMPRODUCT(R$5:R$27,后果有效剂量!$J$5:$J$27)*后果有效剂量!$Q18*后果有效剂量!$Q$3+SUMPRODUCT(S$5:S$27,后果有效剂量!$J$5:$J$27)*后果有效剂量!$Q18*后果有效剂量!$Q$3+SUMPRODUCT(T$5:T$27,后果有效剂量!$J$5:$J$27)*后果有效剂量!$R18*后果有效剂量!$R$3+SUMPRODUCT(U$5:U$27,后果有效剂量!$J$5:$J$27)*后果有效剂量!$S18*后果有效剂量!$S$3+SUMPRODUCT(V$5:V$27,后果有效剂量!$J$5:$J$27)*后果有效剂量!$T18*后果有效剂量!$T$3+SUMPRODUCT(W$5:W$27,后果有效剂量!$J$5:$J$27)*后果有效剂量!$U18*后果有效剂量!$U$3+SUMPRODUCT(R$5:R$27,后果有效剂量!$K$5:$K$27)*后果有效剂量!$Q18+SUMPRODUCT(S$5:S$27,后果有效剂量!$K$5:$K$27)*后果有效剂量!$Q18+SUMPRODUCT(T$5:T$27,后果有效剂量!$K$5:$K$27)*后果有效剂量!$R18+SUMPRODUCT(U$5:U$27,后果有效剂量!$K$5:$K$27)*后果有效剂量!$S18+SUMPRODUCT(V$5:V$27,后果有效剂量!$K$5:$K$27)*后果有效剂量!$T18+SUMPRODUCT(W$5:W$27,后果有效剂量!$K$5:$K$27)*后果有效剂量!$U18</f>
        <v>4.00952171530636e-6</v>
      </c>
      <c r="S44" s="453">
        <f ca="1">SUMPRODUCT(R$5:R$27,后果甲状腺剂量!$I$5:$I$27)*后果甲状腺剂量!$Q18+SUMPRODUCT(S$5:S$27,后果甲状腺剂量!$I$5:$I$27)*后果甲状腺剂量!$Q18+SUMPRODUCT(T$5:T$27,后果甲状腺剂量!$I$5:$I$27)*后果甲状腺剂量!$R18+SUMPRODUCT(U$5:U$27,后果甲状腺剂量!$I$5:$I$27)*后果甲状腺剂量!$S18+SUMPRODUCT(V$5:V$27,后果甲状腺剂量!$I$5:$I$27)*后果甲状腺剂量!$T18+SUMPRODUCT(W$5:W$27,后果甲状腺剂量!$I$5:$I$27)*后果甲状腺剂量!$U18+SUMPRODUCT(R$5:R$27,后果甲状腺剂量!$J$5:$J$27)*后果甲状腺剂量!$Q18*后果甲状腺剂量!$Q$3+SUMPRODUCT(S$5:S$27,后果甲状腺剂量!$J$5:$J$27)*后果甲状腺剂量!$Q18*后果甲状腺剂量!$Q$3+SUMPRODUCT(T$5:T$27,后果甲状腺剂量!$J$5:$J$27)*后果甲状腺剂量!$R18*后果甲状腺剂量!$R$3+SUMPRODUCT(U$5:U$27,后果甲状腺剂量!$J$5:$J$27)*后果甲状腺剂量!$S18*后果甲状腺剂量!$S$3+SUMPRODUCT(V$5:V$27,后果甲状腺剂量!$J$5:$J$27)*后果甲状腺剂量!$T18*后果甲状腺剂量!$T$3+SUMPRODUCT(W$5:W$27,后果甲状腺剂量!$J$5:$J$27)*后果甲状腺剂量!$U18*后果甲状腺剂量!$U$3+SUMPRODUCT(R$5:R$27,后果甲状腺剂量!$K$5:$K$27)*后果甲状腺剂量!$Q18+SUMPRODUCT(S$5:S$27,后果甲状腺剂量!$K$5:$K$27)*后果甲状腺剂量!$Q18+SUMPRODUCT(T$5:T$27,后果甲状腺剂量!$K$5:$K$27)*后果甲状腺剂量!$R18+SUMPRODUCT(U$5:U$27,后果甲状腺剂量!$K$5:$K$27)*后果甲状腺剂量!$S18+SUMPRODUCT(V$5:V$27,后果甲状腺剂量!$K$5:$K$27)*后果甲状腺剂量!$T18+SUMPRODUCT(W$5:W$27,后果甲状腺剂量!$K$5:$K$27)*后果甲状腺剂量!$U18</f>
        <v>4.91163354266696e-6</v>
      </c>
      <c r="T44" s="454">
        <f ca="1" t="shared" si="255"/>
        <v>0.00400952171530636</v>
      </c>
      <c r="U44" s="454">
        <f ca="1" t="shared" si="256"/>
        <v>0.00491163354266696</v>
      </c>
      <c r="V44" s="436"/>
      <c r="W44" s="436"/>
      <c r="AN44" s="533"/>
      <c r="AS44" s="572"/>
      <c r="BO44" s="600"/>
      <c r="CJ44" s="600"/>
      <c r="DZ44" s="600"/>
      <c r="EU44" s="603"/>
      <c r="FP44" s="603"/>
      <c r="FS44" s="441">
        <f>SUMPRODUCT(FS$5:FS$27,后果有效剂量!$I$5:$I$27)*后果有效剂量!$Q18+SUMPRODUCT(FT$5:FT$27,后果有效剂量!$I$5:$I$27)*后果有效剂量!$R18+SUMPRODUCT(FU$5:FU$27,后果有效剂量!$I$5:$I$27)*后果有效剂量!$S18+SUMPRODUCT(FV$5:FV$27,后果有效剂量!$I$5:$I$27)*后果有效剂量!$T18+SUMPRODUCT(FS$5:FS$27,后果有效剂量!$J$5:$J$27)*后果有效剂量!$Q18*后果有效剂量!$Q$3+SUMPRODUCT(FT$5:FT$27,后果有效剂量!$J$5:$J$27)*后果有效剂量!$R18*后果有效剂量!$R$3+SUMPRODUCT(FU$5:FU$27,后果有效剂量!$J$5:$J$27)*后果有效剂量!$S18*后果有效剂量!$S$3+SUMPRODUCT(FV$5:FV$27,后果有效剂量!$J$5:$J$27)*后果有效剂量!$T18*后果有效剂量!$T$3+SUMPRODUCT(FS$5:FS$27,后果有效剂量!$K$5:$K$27)*后果有效剂量!$Q18+SUMPRODUCT(FT$5:FT$27,后果有效剂量!$K$5:$K$27)*后果有效剂量!$R18+SUMPRODUCT(FU$5:FU$27,后果有效剂量!$K$5:$K$27)*后果有效剂量!$S18+SUMPRODUCT(FV$5:FV$27,后果有效剂量!$K$5:$K$27)*后果有效剂量!$T18</f>
        <v>8.5192424254057e-6</v>
      </c>
      <c r="FT44" s="453">
        <f>SUMPRODUCT(FS$5:FS$27,后果甲状腺剂量!$I$5:$I$27)*后果甲状腺剂量!$Q18+SUMPRODUCT(FT$5:FT$27,后果甲状腺剂量!$I$5:$I$27)*后果甲状腺剂量!$R18+SUMPRODUCT(FU$5:FU$27,后果甲状腺剂量!$I$5:$I$27)*后果甲状腺剂量!$S18+SUMPRODUCT(FV$5:FV$27,后果甲状腺剂量!$I$5:$I$27)*后果甲状腺剂量!$T18+SUMPRODUCT(FS$5:FS$27,后果甲状腺剂量!$J$5:$J$27)*后果甲状腺剂量!$Q18*后果甲状腺剂量!$Q$3+SUMPRODUCT(FT$5:FT$27,后果甲状腺剂量!$J$5:$J$27)*后果甲状腺剂量!$R18*后果甲状腺剂量!$R$3+SUMPRODUCT(FU$5:FU$27,后果甲状腺剂量!$J$5:$J$27)*后果甲状腺剂量!$S18*后果甲状腺剂量!$S$3+SUMPRODUCT(FV$5:FV$27,后果甲状腺剂量!$J$5:$J$27)*后果甲状腺剂量!$T18*后果甲状腺剂量!$T$3+SUMPRODUCT(FS$5:FS$27,后果甲状腺剂量!$K$5:$K$27)*后果甲状腺剂量!$Q18+SUMPRODUCT(FT$5:FT$27,后果甲状腺剂量!$K$5:$K$27)*后果甲状腺剂量!$R18+SUMPRODUCT(FU$5:FU$27,后果甲状腺剂量!$K$5:$K$27)*后果甲状腺剂量!$S18+SUMPRODUCT(FV$5:FV$27,后果甲状腺剂量!$K$5:$K$27)*后果甲状腺剂量!$T18</f>
        <v>6.22166730994561e-5</v>
      </c>
      <c r="FU44" s="454">
        <f t="shared" si="257"/>
        <v>0.0085192424254057</v>
      </c>
      <c r="FV44" s="454">
        <f t="shared" si="258"/>
        <v>0.0622166730994561</v>
      </c>
      <c r="FW44" s="436"/>
      <c r="FX44" s="436"/>
      <c r="GD44" s="440" t="str">
        <f>后果有效剂量!$P18</f>
        <v>55000m</v>
      </c>
      <c r="GE44" s="441">
        <f>SUMPRODUCT(GE$5:GE$27,后果有效剂量!$I$5:$I$27)*后果有效剂量!$Q18+SUMPRODUCT(GF$5:GF$27,后果有效剂量!$I$5:$I$27)*后果有效剂量!$R18+SUMPRODUCT(GG$5:GG$27,后果有效剂量!$I$5:$I$27)*后果有效剂量!$S18+(SUMPRODUCT(GH$5:GH$27,后果有效剂量!$I$5:$I$27)+SUMPRODUCT(GI$5:GI$27,后果有效剂量!$I$5:$I$27))*后果有效剂量!$T18+SUMPRODUCT(GJ$5:GJ$27,后果有效剂量!$I$5:$I$27)*后果有效剂量!$U18+SUMPRODUCT(GE$5:GE$27,后果有效剂量!$J$5:$J$27)*后果有效剂量!$Q18*后果有效剂量!$Q$3+SUMPRODUCT(GF$5:GF$27,后果有效剂量!$J$5:$J$27)*后果有效剂量!$R18*后果有效剂量!$R$3+SUMPRODUCT(GG$5:GG$27,后果有效剂量!$J$5:$J$27)*后果有效剂量!$S18*后果有效剂量!$S$3+(SUMPRODUCT(GH$5:GH$27,后果有效剂量!$J$5:$J$27)+SUMPRODUCT(GI$5:GI$27,后果有效剂量!$J$5:$J$27))*后果有效剂量!$T18*后果有效剂量!$T$3+SUMPRODUCT(GJ$5:GJ$27,后果有效剂量!$J$5:$J$27)*后果有效剂量!$U18*后果有效剂量!$U$3+SUMPRODUCT(GE$5:GE$27,后果有效剂量!$K$5:$K$27)*后果有效剂量!$Q18+SUMPRODUCT(GF$5:GF$27,后果有效剂量!$K$5:$K$27)*后果有效剂量!$R18+SUMPRODUCT(GG$5:GG$27,后果有效剂量!$K$5:$K$27)*后果有效剂量!$S18+(SUMPRODUCT(GH$5:GH$27,后果有效剂量!$K$5:$K$27)+SUMPRODUCT(GI$5:GI$27,后果有效剂量!$K$5:$K$27))*后果有效剂量!$T18+SUMPRODUCT(GJ$5:GJ$27,后果有效剂量!$K$5:$K$27)*后果有效剂量!$U18</f>
        <v>1.82108446416472e-6</v>
      </c>
      <c r="GF44" s="453">
        <f>SUMPRODUCT(GE$5:GE$27,后果甲状腺剂量!$I$5:$I$27)*后果甲状腺剂量!$Q18+SUMPRODUCT(GF$5:GF$27,后果甲状腺剂量!$I$5:$I$27)*后果甲状腺剂量!$R18+SUMPRODUCT(GG$5:GG$27,后果甲状腺剂量!$I$5:$I$27)*后果甲状腺剂量!$S18+(SUMPRODUCT(GH$5:GH$27,后果甲状腺剂量!$I$5:$I$27)+SUMPRODUCT(GI$5:GI$27,后果甲状腺剂量!$I$5:$I$27))*后果甲状腺剂量!$T18+SUMPRODUCT(GJ$5:GJ$27,后果甲状腺剂量!$I$5:$I$27)*后果甲状腺剂量!$U18+SUMPRODUCT(GE$5:GE$27,后果甲状腺剂量!$J$5:$J$27)*后果甲状腺剂量!$Q18*后果甲状腺剂量!$Q$3+SUMPRODUCT(GF$5:GF$27,后果甲状腺剂量!$J$5:$J$27)*后果甲状腺剂量!$R18*后果甲状腺剂量!$R$3+SUMPRODUCT(GG$5:GG$27,后果甲状腺剂量!$J$5:$J$27)*后果甲状腺剂量!$S18*后果甲状腺剂量!$S$3+(SUMPRODUCT(GH$5:GH$27,后果甲状腺剂量!$J$5:$J$27)+SUMPRODUCT(GI$5:GI$27,后果甲状腺剂量!$J$5:$J$27))*后果甲状腺剂量!$T18*后果甲状腺剂量!$T$3+SUMPRODUCT(GJ$5:GJ$27,后果甲状腺剂量!$J$5:$J$27)*后果甲状腺剂量!$U18*后果甲状腺剂量!$U$3+SUMPRODUCT(GE$5:GE$27,后果甲状腺剂量!$K$5:$K$27)*后果甲状腺剂量!$Q18+SUMPRODUCT(GF$5:GF$27,后果甲状腺剂量!$K$5:$K$27)*后果甲状腺剂量!$R18+SUMPRODUCT(GG$5:GG$27,后果甲状腺剂量!$K$5:$K$27)*后果甲状腺剂量!$S18+(SUMPRODUCT(GH$5:GH$27,后果甲状腺剂量!$K$5:$K$27)+SUMPRODUCT(GI$5:GI$27,后果甲状腺剂量!$K$5:$K$27))*后果甲状腺剂量!$T18+SUMPRODUCT(GJ$5:GJ$27,后果甲状腺剂量!$K$5:$K$27)*后果甲状腺剂量!$U18</f>
        <v>9.61449584292275e-6</v>
      </c>
      <c r="GG44" s="454">
        <f t="shared" si="259"/>
        <v>0.00182108446416472</v>
      </c>
      <c r="GH44" s="454">
        <f t="shared" si="260"/>
        <v>0.00961449584292275</v>
      </c>
      <c r="GI44" s="436"/>
      <c r="GJ44" s="436"/>
    </row>
    <row r="45" spans="7:192">
      <c r="G45" s="440" t="str">
        <f>后果有效剂量!$P19</f>
        <v>65000m</v>
      </c>
      <c r="H45" s="441">
        <f ca="1">SUMPRODUCT(H$5:H$27,后果有效剂量!$I$5:$I$27)*后果有效剂量!$Q19+SUMPRODUCT(I$5:I$27,后果有效剂量!$I$5:$I$27)*后果有效剂量!$Q19+SUMPRODUCT(J$5:J$27,后果有效剂量!$I$5:$I$27)*后果有效剂量!$R19+SUMPRODUCT(K$5:K$27,后果有效剂量!$I$5:$I$27)*后果有效剂量!$S19+SUMPRODUCT(L$5:L$27,后果有效剂量!$I$5:$I$27)*后果有效剂量!$T19+SUMPRODUCT(M$5:M$27,后果有效剂量!$I$5:$I$27)*后果有效剂量!$U19+SUMPRODUCT(H$5:H$27,后果有效剂量!$J$5:$J$27)*后果有效剂量!$Q19*后果有效剂量!$Q$3+SUMPRODUCT(I$5:I$27,后果有效剂量!$J$5:$J$27)*后果有效剂量!$Q19*后果有效剂量!$Q$3+SUMPRODUCT(J$5:J$27,后果有效剂量!$J$5:$J$27)*后果有效剂量!$R19*后果有效剂量!$R$3+SUMPRODUCT(K$5:K$27,后果有效剂量!$J$5:$J$27)*后果有效剂量!$S19*后果有效剂量!$S$3+SUMPRODUCT(L$5:L$27,后果有效剂量!$J$5:$J$27)*后果有效剂量!$T19*后果有效剂量!$T$3+SUMPRODUCT(M$5:M$27,后果有效剂量!$J$5:$J$27)*后果有效剂量!$U19*后果有效剂量!$U$3+SUMPRODUCT(H$5:H$27,后果有效剂量!$K$5:$K$27)*后果有效剂量!$Q19+SUMPRODUCT(I$5:I$27,后果有效剂量!$K$5:$K$27)*后果有效剂量!$Q19+SUMPRODUCT(J$5:J$27,后果有效剂量!$K$5:$K$27)*后果有效剂量!$R19+SUMPRODUCT(K$5:K$27,后果有效剂量!$K$5:$K$27)*后果有效剂量!$S19+SUMPRODUCT(L$5:L$27,后果有效剂量!$K$5:$K$27)*后果有效剂量!$T19+SUMPRODUCT(M$5:M$27,后果有效剂量!$K$5:$K$27)*后果有效剂量!$U19</f>
        <v>1.14165429902831e-5</v>
      </c>
      <c r="I45" s="453">
        <f ca="1">SUMPRODUCT(H$5:H$27,后果甲状腺剂量!$I$5:$I$27)*后果甲状腺剂量!$Q19+SUMPRODUCT(I$5:I$27,后果甲状腺剂量!$I$5:$I$27)*后果甲状腺剂量!$Q19+SUMPRODUCT(J$5:J$27,后果甲状腺剂量!$I$5:$I$27)*后果甲状腺剂量!$R19+SUMPRODUCT(K$5:K$27,后果甲状腺剂量!$I$5:$I$27)*后果甲状腺剂量!$S19+SUMPRODUCT(L$5:L$27,后果甲状腺剂量!$I$5:$I$27)*后果甲状腺剂量!$T19+SUMPRODUCT(M$5:M$27,后果甲状腺剂量!$I$5:$I$27)*后果甲状腺剂量!$U19+SUMPRODUCT(H$5:H$27,后果甲状腺剂量!$J$5:$J$27)*后果甲状腺剂量!$Q19*后果甲状腺剂量!$Q$3+SUMPRODUCT(I$5:I$27,后果甲状腺剂量!$J$5:$J$27)*后果甲状腺剂量!$Q19*后果甲状腺剂量!$Q$3+SUMPRODUCT(J$5:J$27,后果甲状腺剂量!$J$5:$J$27)*后果甲状腺剂量!$R19*后果甲状腺剂量!$R$3+SUMPRODUCT(K$5:K$27,后果甲状腺剂量!$J$5:$J$27)*后果甲状腺剂量!$S19*后果甲状腺剂量!$S$3+SUMPRODUCT(L$5:L$27,后果甲状腺剂量!$J$5:$J$27)*后果甲状腺剂量!$T19*后果甲状腺剂量!$T$3+SUMPRODUCT(M$5:M$27,后果甲状腺剂量!$J$5:$J$27)*后果甲状腺剂量!$U19*后果甲状腺剂量!$U$3+SUMPRODUCT(H$5:H$27,后果甲状腺剂量!$K$5:$K$27)*后果甲状腺剂量!$Q19+SUMPRODUCT(I$5:I$27,后果甲状腺剂量!$K$5:$K$27)*后果甲状腺剂量!$Q19+SUMPRODUCT(J$5:J$27,后果甲状腺剂量!$K$5:$K$27)*后果甲状腺剂量!$R19+SUMPRODUCT(K$5:K$27,后果甲状腺剂量!$K$5:$K$27)*后果甲状腺剂量!$S19+SUMPRODUCT(L$5:L$27,后果甲状腺剂量!$K$5:$K$27)*后果甲状腺剂量!$T19+SUMPRODUCT(M$5:M$27,后果甲状腺剂量!$K$5:$K$27)*后果甲状腺剂量!$U19</f>
        <v>6.15846814068777e-5</v>
      </c>
      <c r="J45" s="454">
        <f ca="1" t="shared" si="253"/>
        <v>0.0114165429902831</v>
      </c>
      <c r="K45" s="454">
        <f ca="1" t="shared" si="254"/>
        <v>0.0615846814068777</v>
      </c>
      <c r="L45" s="436"/>
      <c r="M45" s="436"/>
      <c r="N45" s="455"/>
      <c r="Q45" s="440" t="str">
        <f>后果有效剂量!$P19</f>
        <v>65000m</v>
      </c>
      <c r="R45" s="441">
        <f ca="1">SUMPRODUCT(R$5:R$27,后果有效剂量!$I$5:$I$27)*后果有效剂量!$Q19+SUMPRODUCT(S$5:S$27,后果有效剂量!$I$5:$I$27)*后果有效剂量!$Q19+SUMPRODUCT(T$5:T$27,后果有效剂量!$I$5:$I$27)*后果有效剂量!$R19+SUMPRODUCT(U$5:U$27,后果有效剂量!$I$5:$I$27)*后果有效剂量!$S19+SUMPRODUCT(V$5:V$27,后果有效剂量!$I$5:$I$27)*后果有效剂量!$T19+SUMPRODUCT(W$5:W$27,后果有效剂量!$I$5:$I$27)*后果有效剂量!$U19+SUMPRODUCT(R$5:R$27,后果有效剂量!$J$5:$J$27)*后果有效剂量!$Q19*后果有效剂量!$Q$3+SUMPRODUCT(S$5:S$27,后果有效剂量!$J$5:$J$27)*后果有效剂量!$Q19*后果有效剂量!$Q$3+SUMPRODUCT(T$5:T$27,后果有效剂量!$J$5:$J$27)*后果有效剂量!$R19*后果有效剂量!$R$3+SUMPRODUCT(U$5:U$27,后果有效剂量!$J$5:$J$27)*后果有效剂量!$S19*后果有效剂量!$S$3+SUMPRODUCT(V$5:V$27,后果有效剂量!$J$5:$J$27)*后果有效剂量!$T19*后果有效剂量!$T$3+SUMPRODUCT(W$5:W$27,后果有效剂量!$J$5:$J$27)*后果有效剂量!$U19*后果有效剂量!$U$3+SUMPRODUCT(R$5:R$27,后果有效剂量!$K$5:$K$27)*后果有效剂量!$Q19+SUMPRODUCT(S$5:S$27,后果有效剂量!$K$5:$K$27)*后果有效剂量!$Q19+SUMPRODUCT(T$5:T$27,后果有效剂量!$K$5:$K$27)*后果有效剂量!$R19+SUMPRODUCT(U$5:U$27,后果有效剂量!$K$5:$K$27)*后果有效剂量!$S19+SUMPRODUCT(V$5:V$27,后果有效剂量!$K$5:$K$27)*后果有效剂量!$T19+SUMPRODUCT(W$5:W$27,后果有效剂量!$K$5:$K$27)*后果有效剂量!$U19</f>
        <v>3.61878141685926e-6</v>
      </c>
      <c r="S45" s="453">
        <f ca="1">SUMPRODUCT(R$5:R$27,后果甲状腺剂量!$I$5:$I$27)*后果甲状腺剂量!$Q19+SUMPRODUCT(S$5:S$27,后果甲状腺剂量!$I$5:$I$27)*后果甲状腺剂量!$Q19+SUMPRODUCT(T$5:T$27,后果甲状腺剂量!$I$5:$I$27)*后果甲状腺剂量!$R19+SUMPRODUCT(U$5:U$27,后果甲状腺剂量!$I$5:$I$27)*后果甲状腺剂量!$S19+SUMPRODUCT(V$5:V$27,后果甲状腺剂量!$I$5:$I$27)*后果甲状腺剂量!$T19+SUMPRODUCT(W$5:W$27,后果甲状腺剂量!$I$5:$I$27)*后果甲状腺剂量!$U19+SUMPRODUCT(R$5:R$27,后果甲状腺剂量!$J$5:$J$27)*后果甲状腺剂量!$Q19*后果甲状腺剂量!$Q$3+SUMPRODUCT(S$5:S$27,后果甲状腺剂量!$J$5:$J$27)*后果甲状腺剂量!$Q19*后果甲状腺剂量!$Q$3+SUMPRODUCT(T$5:T$27,后果甲状腺剂量!$J$5:$J$27)*后果甲状腺剂量!$R19*后果甲状腺剂量!$R$3+SUMPRODUCT(U$5:U$27,后果甲状腺剂量!$J$5:$J$27)*后果甲状腺剂量!$S19*后果甲状腺剂量!$S$3+SUMPRODUCT(V$5:V$27,后果甲状腺剂量!$J$5:$J$27)*后果甲状腺剂量!$T19*后果甲状腺剂量!$T$3+SUMPRODUCT(W$5:W$27,后果甲状腺剂量!$J$5:$J$27)*后果甲状腺剂量!$U19*后果甲状腺剂量!$U$3+SUMPRODUCT(R$5:R$27,后果甲状腺剂量!$K$5:$K$27)*后果甲状腺剂量!$Q19+SUMPRODUCT(S$5:S$27,后果甲状腺剂量!$K$5:$K$27)*后果甲状腺剂量!$Q19+SUMPRODUCT(T$5:T$27,后果甲状腺剂量!$K$5:$K$27)*后果甲状腺剂量!$R19+SUMPRODUCT(U$5:U$27,后果甲状腺剂量!$K$5:$K$27)*后果甲状腺剂量!$S19+SUMPRODUCT(V$5:V$27,后果甲状腺剂量!$K$5:$K$27)*后果甲状腺剂量!$T19+SUMPRODUCT(W$5:W$27,后果甲状腺剂量!$K$5:$K$27)*后果甲状腺剂量!$U19</f>
        <v>4.37796753261352e-6</v>
      </c>
      <c r="T45" s="454">
        <f ca="1" t="shared" si="255"/>
        <v>0.00361878141685926</v>
      </c>
      <c r="U45" s="454">
        <f ca="1" t="shared" si="256"/>
        <v>0.00437796753261352</v>
      </c>
      <c r="V45" s="436"/>
      <c r="W45" s="436"/>
      <c r="AN45" s="533"/>
      <c r="AS45" s="572"/>
      <c r="BO45" s="600"/>
      <c r="CJ45" s="600"/>
      <c r="DZ45" s="600"/>
      <c r="EU45" s="603"/>
      <c r="FP45" s="603"/>
      <c r="FS45" s="441">
        <f>SUMPRODUCT(FS$5:FS$27,后果有效剂量!$I$5:$I$27)*后果有效剂量!$Q19+SUMPRODUCT(FT$5:FT$27,后果有效剂量!$I$5:$I$27)*后果有效剂量!$R19+SUMPRODUCT(FU$5:FU$27,后果有效剂量!$I$5:$I$27)*后果有效剂量!$S19+SUMPRODUCT(FV$5:FV$27,后果有效剂量!$I$5:$I$27)*后果有效剂量!$T19+SUMPRODUCT(FS$5:FS$27,后果有效剂量!$J$5:$J$27)*后果有效剂量!$Q19*后果有效剂量!$Q$3+SUMPRODUCT(FT$5:FT$27,后果有效剂量!$J$5:$J$27)*后果有效剂量!$R19*后果有效剂量!$R$3+SUMPRODUCT(FU$5:FU$27,后果有效剂量!$J$5:$J$27)*后果有效剂量!$S19*后果有效剂量!$S$3+SUMPRODUCT(FV$5:FV$27,后果有效剂量!$J$5:$J$27)*后果有效剂量!$T19*后果有效剂量!$T$3+SUMPRODUCT(FS$5:FS$27,后果有效剂量!$K$5:$K$27)*后果有效剂量!$Q19+SUMPRODUCT(FT$5:FT$27,后果有效剂量!$K$5:$K$27)*后果有效剂量!$R19+SUMPRODUCT(FU$5:FU$27,后果有效剂量!$K$5:$K$27)*后果有效剂量!$S19+SUMPRODUCT(FV$5:FV$27,后果有效剂量!$K$5:$K$27)*后果有效剂量!$T19</f>
        <v>7.54848529694084e-6</v>
      </c>
      <c r="FT45" s="453">
        <f>SUMPRODUCT(FS$5:FS$27,后果甲状腺剂量!$I$5:$I$27)*后果甲状腺剂量!$Q19+SUMPRODUCT(FT$5:FT$27,后果甲状腺剂量!$I$5:$I$27)*后果甲状腺剂量!$R19+SUMPRODUCT(FU$5:FU$27,后果甲状腺剂量!$I$5:$I$27)*后果甲状腺剂量!$S19+SUMPRODUCT(FV$5:FV$27,后果甲状腺剂量!$I$5:$I$27)*后果甲状腺剂量!$T19+SUMPRODUCT(FS$5:FS$27,后果甲状腺剂量!$J$5:$J$27)*后果甲状腺剂量!$Q19*后果甲状腺剂量!$Q$3+SUMPRODUCT(FT$5:FT$27,后果甲状腺剂量!$J$5:$J$27)*后果甲状腺剂量!$R19*后果甲状腺剂量!$R$3+SUMPRODUCT(FU$5:FU$27,后果甲状腺剂量!$J$5:$J$27)*后果甲状腺剂量!$S19*后果甲状腺剂量!$S$3+SUMPRODUCT(FV$5:FV$27,后果甲状腺剂量!$J$5:$J$27)*后果甲状腺剂量!$T19*后果甲状腺剂量!$T$3+SUMPRODUCT(FS$5:FS$27,后果甲状腺剂量!$K$5:$K$27)*后果甲状腺剂量!$Q19+SUMPRODUCT(FT$5:FT$27,后果甲状腺剂量!$K$5:$K$27)*后果甲状腺剂量!$R19+SUMPRODUCT(FU$5:FU$27,后果甲状腺剂量!$K$5:$K$27)*后果甲状腺剂量!$S19+SUMPRODUCT(FV$5:FV$27,后果甲状腺剂量!$K$5:$K$27)*后果甲状腺剂量!$T19</f>
        <v>5.48446351036151e-5</v>
      </c>
      <c r="FU45" s="454">
        <f t="shared" si="257"/>
        <v>0.00754848529694084</v>
      </c>
      <c r="FV45" s="454">
        <f t="shared" si="258"/>
        <v>0.0548446351036151</v>
      </c>
      <c r="FW45" s="436"/>
      <c r="FX45" s="436"/>
      <c r="GD45" s="440" t="str">
        <f>后果有效剂量!$P19</f>
        <v>65000m</v>
      </c>
      <c r="GE45" s="441">
        <f>SUMPRODUCT(GE$5:GE$27,后果有效剂量!$I$5:$I$27)*后果有效剂量!$Q19+SUMPRODUCT(GF$5:GF$27,后果有效剂量!$I$5:$I$27)*后果有效剂量!$R19+SUMPRODUCT(GG$5:GG$27,后果有效剂量!$I$5:$I$27)*后果有效剂量!$S19+(SUMPRODUCT(GH$5:GH$27,后果有效剂量!$I$5:$I$27)+SUMPRODUCT(GI$5:GI$27,后果有效剂量!$I$5:$I$27))*后果有效剂量!$T19+SUMPRODUCT(GJ$5:GJ$27,后果有效剂量!$I$5:$I$27)*后果有效剂量!$U19+SUMPRODUCT(GE$5:GE$27,后果有效剂量!$J$5:$J$27)*后果有效剂量!$Q19*后果有效剂量!$Q$3+SUMPRODUCT(GF$5:GF$27,后果有效剂量!$J$5:$J$27)*后果有效剂量!$R19*后果有效剂量!$R$3+SUMPRODUCT(GG$5:GG$27,后果有效剂量!$J$5:$J$27)*后果有效剂量!$S19*后果有效剂量!$S$3+(SUMPRODUCT(GH$5:GH$27,后果有效剂量!$J$5:$J$27)+SUMPRODUCT(GI$5:GI$27,后果有效剂量!$J$5:$J$27))*后果有效剂量!$T19*后果有效剂量!$T$3+SUMPRODUCT(GJ$5:GJ$27,后果有效剂量!$J$5:$J$27)*后果有效剂量!$U19*后果有效剂量!$U$3+SUMPRODUCT(GE$5:GE$27,后果有效剂量!$K$5:$K$27)*后果有效剂量!$Q19+SUMPRODUCT(GF$5:GF$27,后果有效剂量!$K$5:$K$27)*后果有效剂量!$R19+SUMPRODUCT(GG$5:GG$27,后果有效剂量!$K$5:$K$27)*后果有效剂量!$S19+(SUMPRODUCT(GH$5:GH$27,后果有效剂量!$K$5:$K$27)+SUMPRODUCT(GI$5:GI$27,后果有效剂量!$K$5:$K$27))*后果有效剂量!$T19+SUMPRODUCT(GJ$5:GJ$27,后果有效剂量!$K$5:$K$27)*后果有效剂量!$U19</f>
        <v>1.58742003517474e-6</v>
      </c>
      <c r="GF45" s="453">
        <f>SUMPRODUCT(GE$5:GE$27,后果甲状腺剂量!$I$5:$I$27)*后果甲状腺剂量!$Q19+SUMPRODUCT(GF$5:GF$27,后果甲状腺剂量!$I$5:$I$27)*后果甲状腺剂量!$R19+SUMPRODUCT(GG$5:GG$27,后果甲状腺剂量!$I$5:$I$27)*后果甲状腺剂量!$S19+(SUMPRODUCT(GH$5:GH$27,后果甲状腺剂量!$I$5:$I$27)+SUMPRODUCT(GI$5:GI$27,后果甲状腺剂量!$I$5:$I$27))*后果甲状腺剂量!$T19+SUMPRODUCT(GJ$5:GJ$27,后果甲状腺剂量!$I$5:$I$27)*后果甲状腺剂量!$U19+SUMPRODUCT(GE$5:GE$27,后果甲状腺剂量!$J$5:$J$27)*后果甲状腺剂量!$Q19*后果甲状腺剂量!$Q$3+SUMPRODUCT(GF$5:GF$27,后果甲状腺剂量!$J$5:$J$27)*后果甲状腺剂量!$R19*后果甲状腺剂量!$R$3+SUMPRODUCT(GG$5:GG$27,后果甲状腺剂量!$J$5:$J$27)*后果甲状腺剂量!$S19*后果甲状腺剂量!$S$3+(SUMPRODUCT(GH$5:GH$27,后果甲状腺剂量!$J$5:$J$27)+SUMPRODUCT(GI$5:GI$27,后果甲状腺剂量!$J$5:$J$27))*后果甲状腺剂量!$T19*后果甲状腺剂量!$T$3+SUMPRODUCT(GJ$5:GJ$27,后果甲状腺剂量!$J$5:$J$27)*后果甲状腺剂量!$U19*后果甲状腺剂量!$U$3+SUMPRODUCT(GE$5:GE$27,后果甲状腺剂量!$K$5:$K$27)*后果甲状腺剂量!$Q19+SUMPRODUCT(GF$5:GF$27,后果甲状腺剂量!$K$5:$K$27)*后果甲状腺剂量!$R19+SUMPRODUCT(GG$5:GG$27,后果甲状腺剂量!$K$5:$K$27)*后果甲状腺剂量!$S19+(SUMPRODUCT(GH$5:GH$27,后果甲状腺剂量!$K$5:$K$27)+SUMPRODUCT(GI$5:GI$27,后果甲状腺剂量!$K$5:$K$27))*后果甲状腺剂量!$T19+SUMPRODUCT(GJ$5:GJ$27,后果甲状腺剂量!$K$5:$K$27)*后果甲状腺剂量!$U19</f>
        <v>8.19467203079159e-6</v>
      </c>
      <c r="GG45" s="454">
        <f t="shared" si="259"/>
        <v>0.00158742003517474</v>
      </c>
      <c r="GH45" s="454">
        <f t="shared" si="260"/>
        <v>0.00819467203079159</v>
      </c>
      <c r="GI45" s="436"/>
      <c r="GJ45" s="436"/>
    </row>
    <row r="46" spans="7:192">
      <c r="G46" s="440" t="str">
        <f>后果有效剂量!$P20</f>
        <v>75000m</v>
      </c>
      <c r="H46" s="441">
        <f ca="1">SUMPRODUCT(H$5:H$27,后果有效剂量!$I$5:$I$27)*后果有效剂量!$Q20+SUMPRODUCT(I$5:I$27,后果有效剂量!$I$5:$I$27)*后果有效剂量!$Q20+SUMPRODUCT(J$5:J$27,后果有效剂量!$I$5:$I$27)*后果有效剂量!$R20+SUMPRODUCT(K$5:K$27,后果有效剂量!$I$5:$I$27)*后果有效剂量!$S20+SUMPRODUCT(L$5:L$27,后果有效剂量!$I$5:$I$27)*后果有效剂量!$T20+SUMPRODUCT(M$5:M$27,后果有效剂量!$I$5:$I$27)*后果有效剂量!$U20+SUMPRODUCT(H$5:H$27,后果有效剂量!$J$5:$J$27)*后果有效剂量!$Q20*后果有效剂量!$Q$3+SUMPRODUCT(I$5:I$27,后果有效剂量!$J$5:$J$27)*后果有效剂量!$Q20*后果有效剂量!$Q$3+SUMPRODUCT(J$5:J$27,后果有效剂量!$J$5:$J$27)*后果有效剂量!$R20*后果有效剂量!$R$3+SUMPRODUCT(K$5:K$27,后果有效剂量!$J$5:$J$27)*后果有效剂量!$S20*后果有效剂量!$S$3+SUMPRODUCT(L$5:L$27,后果有效剂量!$J$5:$J$27)*后果有效剂量!$T20*后果有效剂量!$T$3+SUMPRODUCT(M$5:M$27,后果有效剂量!$J$5:$J$27)*后果有效剂量!$U20*后果有效剂量!$U$3+SUMPRODUCT(H$5:H$27,后果有效剂量!$K$5:$K$27)*后果有效剂量!$Q20+SUMPRODUCT(I$5:I$27,后果有效剂量!$K$5:$K$27)*后果有效剂量!$Q20+SUMPRODUCT(J$5:J$27,后果有效剂量!$K$5:$K$27)*后果有效剂量!$R20+SUMPRODUCT(K$5:K$27,后果有效剂量!$K$5:$K$27)*后果有效剂量!$S20+SUMPRODUCT(L$5:L$27,后果有效剂量!$K$5:$K$27)*后果有效剂量!$T20+SUMPRODUCT(M$5:M$27,后果有效剂量!$K$5:$K$27)*后果有效剂量!$U20</f>
        <v>1.03289458011862e-5</v>
      </c>
      <c r="I46" s="453">
        <f ca="1">SUMPRODUCT(H$5:H$27,后果甲状腺剂量!$I$5:$I$27)*后果甲状腺剂量!$Q20+SUMPRODUCT(I$5:I$27,后果甲状腺剂量!$I$5:$I$27)*后果甲状腺剂量!$Q20+SUMPRODUCT(J$5:J$27,后果甲状腺剂量!$I$5:$I$27)*后果甲状腺剂量!$R20+SUMPRODUCT(K$5:K$27,后果甲状腺剂量!$I$5:$I$27)*后果甲状腺剂量!$S20+SUMPRODUCT(L$5:L$27,后果甲状腺剂量!$I$5:$I$27)*后果甲状腺剂量!$T20+SUMPRODUCT(M$5:M$27,后果甲状腺剂量!$I$5:$I$27)*后果甲状腺剂量!$U20+SUMPRODUCT(H$5:H$27,后果甲状腺剂量!$J$5:$J$27)*后果甲状腺剂量!$Q20*后果甲状腺剂量!$Q$3+SUMPRODUCT(I$5:I$27,后果甲状腺剂量!$J$5:$J$27)*后果甲状腺剂量!$Q20*后果甲状腺剂量!$Q$3+SUMPRODUCT(J$5:J$27,后果甲状腺剂量!$J$5:$J$27)*后果甲状腺剂量!$R20*后果甲状腺剂量!$R$3+SUMPRODUCT(K$5:K$27,后果甲状腺剂量!$J$5:$J$27)*后果甲状腺剂量!$S20*后果甲状腺剂量!$S$3+SUMPRODUCT(L$5:L$27,后果甲状腺剂量!$J$5:$J$27)*后果甲状腺剂量!$T20*后果甲状腺剂量!$T$3+SUMPRODUCT(M$5:M$27,后果甲状腺剂量!$J$5:$J$27)*后果甲状腺剂量!$U20*后果甲状腺剂量!$U$3+SUMPRODUCT(H$5:H$27,后果甲状腺剂量!$K$5:$K$27)*后果甲状腺剂量!$Q20+SUMPRODUCT(I$5:I$27,后果甲状腺剂量!$K$5:$K$27)*后果甲状腺剂量!$Q20+SUMPRODUCT(J$5:J$27,后果甲状腺剂量!$K$5:$K$27)*后果甲状腺剂量!$R20+SUMPRODUCT(K$5:K$27,后果甲状腺剂量!$K$5:$K$27)*后果甲状腺剂量!$S20+SUMPRODUCT(L$5:L$27,后果甲状腺剂量!$K$5:$K$27)*后果甲状腺剂量!$T20+SUMPRODUCT(M$5:M$27,后果甲状腺剂量!$K$5:$K$27)*后果甲状腺剂量!$U20</f>
        <v>5.55328934234681e-5</v>
      </c>
      <c r="J46" s="454">
        <f ca="1" t="shared" si="253"/>
        <v>0.0103289458011862</v>
      </c>
      <c r="K46" s="454">
        <f ca="1" t="shared" si="254"/>
        <v>0.0555328934234681</v>
      </c>
      <c r="L46" s="436"/>
      <c r="M46" s="436"/>
      <c r="N46" s="455"/>
      <c r="Q46" s="440" t="str">
        <f>后果有效剂量!$P20</f>
        <v>75000m</v>
      </c>
      <c r="R46" s="441">
        <f ca="1">SUMPRODUCT(R$5:R$27,后果有效剂量!$I$5:$I$27)*后果有效剂量!$Q20+SUMPRODUCT(S$5:S$27,后果有效剂量!$I$5:$I$27)*后果有效剂量!$Q20+SUMPRODUCT(T$5:T$27,后果有效剂量!$I$5:$I$27)*后果有效剂量!$R20+SUMPRODUCT(U$5:U$27,后果有效剂量!$I$5:$I$27)*后果有效剂量!$S20+SUMPRODUCT(V$5:V$27,后果有效剂量!$I$5:$I$27)*后果有效剂量!$T20+SUMPRODUCT(W$5:W$27,后果有效剂量!$I$5:$I$27)*后果有效剂量!$U20+SUMPRODUCT(R$5:R$27,后果有效剂量!$J$5:$J$27)*后果有效剂量!$Q20*后果有效剂量!$Q$3+SUMPRODUCT(S$5:S$27,后果有效剂量!$J$5:$J$27)*后果有效剂量!$Q20*后果有效剂量!$Q$3+SUMPRODUCT(T$5:T$27,后果有效剂量!$J$5:$J$27)*后果有效剂量!$R20*后果有效剂量!$R$3+SUMPRODUCT(U$5:U$27,后果有效剂量!$J$5:$J$27)*后果有效剂量!$S20*后果有效剂量!$S$3+SUMPRODUCT(V$5:V$27,后果有效剂量!$J$5:$J$27)*后果有效剂量!$T20*后果有效剂量!$T$3+SUMPRODUCT(W$5:W$27,后果有效剂量!$J$5:$J$27)*后果有效剂量!$U20*后果有效剂量!$U$3+SUMPRODUCT(R$5:R$27,后果有效剂量!$K$5:$K$27)*后果有效剂量!$Q20+SUMPRODUCT(S$5:S$27,后果有效剂量!$K$5:$K$27)*后果有效剂量!$Q20+SUMPRODUCT(T$5:T$27,后果有效剂量!$K$5:$K$27)*后果有效剂量!$R20+SUMPRODUCT(U$5:U$27,后果有效剂量!$K$5:$K$27)*后果有效剂量!$S20+SUMPRODUCT(V$5:V$27,后果有效剂量!$K$5:$K$27)*后果有效剂量!$T20+SUMPRODUCT(W$5:W$27,后果有效剂量!$K$5:$K$27)*后果有效剂量!$U20</f>
        <v>3.30783128075114e-6</v>
      </c>
      <c r="S46" s="453">
        <f ca="1">SUMPRODUCT(R$5:R$27,后果甲状腺剂量!$I$5:$I$27)*后果甲状腺剂量!$Q20+SUMPRODUCT(S$5:S$27,后果甲状腺剂量!$I$5:$I$27)*后果甲状腺剂量!$Q20+SUMPRODUCT(T$5:T$27,后果甲状腺剂量!$I$5:$I$27)*后果甲状腺剂量!$R20+SUMPRODUCT(U$5:U$27,后果甲状腺剂量!$I$5:$I$27)*后果甲状腺剂量!$S20+SUMPRODUCT(V$5:V$27,后果甲状腺剂量!$I$5:$I$27)*后果甲状腺剂量!$T20+SUMPRODUCT(W$5:W$27,后果甲状腺剂量!$I$5:$I$27)*后果甲状腺剂量!$U20+SUMPRODUCT(R$5:R$27,后果甲状腺剂量!$J$5:$J$27)*后果甲状腺剂量!$Q20*后果甲状腺剂量!$Q$3+SUMPRODUCT(S$5:S$27,后果甲状腺剂量!$J$5:$J$27)*后果甲状腺剂量!$Q20*后果甲状腺剂量!$Q$3+SUMPRODUCT(T$5:T$27,后果甲状腺剂量!$J$5:$J$27)*后果甲状腺剂量!$R20*后果甲状腺剂量!$R$3+SUMPRODUCT(U$5:U$27,后果甲状腺剂量!$J$5:$J$27)*后果甲状腺剂量!$S20*后果甲状腺剂量!$S$3+SUMPRODUCT(V$5:V$27,后果甲状腺剂量!$J$5:$J$27)*后果甲状腺剂量!$T20*后果甲状腺剂量!$T$3+SUMPRODUCT(W$5:W$27,后果甲状腺剂量!$J$5:$J$27)*后果甲状腺剂量!$U20*后果甲状腺剂量!$U$3+SUMPRODUCT(R$5:R$27,后果甲状腺剂量!$K$5:$K$27)*后果甲状腺剂量!$Q20+SUMPRODUCT(S$5:S$27,后果甲状腺剂量!$K$5:$K$27)*后果甲状腺剂量!$Q20+SUMPRODUCT(T$5:T$27,后果甲状腺剂量!$K$5:$K$27)*后果甲状腺剂量!$R20+SUMPRODUCT(U$5:U$27,后果甲状腺剂量!$K$5:$K$27)*后果甲状腺剂量!$S20+SUMPRODUCT(V$5:V$27,后果甲状腺剂量!$K$5:$K$27)*后果甲状腺剂量!$T20+SUMPRODUCT(W$5:W$27,后果甲状腺剂量!$K$5:$K$27)*后果甲状腺剂量!$U20</f>
        <v>3.96498504437176e-6</v>
      </c>
      <c r="T46" s="454">
        <f ca="1" t="shared" si="255"/>
        <v>0.00330783128075114</v>
      </c>
      <c r="U46" s="454">
        <f ca="1" t="shared" si="256"/>
        <v>0.00396498504437176</v>
      </c>
      <c r="V46" s="436"/>
      <c r="W46" s="436"/>
      <c r="AN46" s="533"/>
      <c r="AS46" s="572"/>
      <c r="BO46" s="600"/>
      <c r="CJ46" s="600"/>
      <c r="DZ46" s="600"/>
      <c r="EU46" s="603"/>
      <c r="FP46" s="603"/>
      <c r="FS46" s="441">
        <f>SUMPRODUCT(FS$5:FS$27,后果有效剂量!$I$5:$I$27)*后果有效剂量!$Q20+SUMPRODUCT(FT$5:FT$27,后果有效剂量!$I$5:$I$27)*后果有效剂量!$R20+SUMPRODUCT(FU$5:FU$27,后果有效剂量!$I$5:$I$27)*后果有效剂量!$S20+SUMPRODUCT(FV$5:FV$27,后果有效剂量!$I$5:$I$27)*后果有效剂量!$T20+SUMPRODUCT(FS$5:FS$27,后果有效剂量!$J$5:$J$27)*后果有效剂量!$Q20*后果有效剂量!$Q$3+SUMPRODUCT(FT$5:FT$27,后果有效剂量!$J$5:$J$27)*后果有效剂量!$R20*后果有效剂量!$R$3+SUMPRODUCT(FU$5:FU$27,后果有效剂量!$J$5:$J$27)*后果有效剂量!$S20*后果有效剂量!$S$3+SUMPRODUCT(FV$5:FV$27,后果有效剂量!$J$5:$J$27)*后果有效剂量!$T20*后果有效剂量!$T$3+SUMPRODUCT(FS$5:FS$27,后果有效剂量!$K$5:$K$27)*后果有效剂量!$Q20+SUMPRODUCT(FT$5:FT$27,后果有效剂量!$K$5:$K$27)*后果有效剂量!$R20+SUMPRODUCT(FU$5:FU$27,后果有效剂量!$K$5:$K$27)*后果有效剂量!$S20+SUMPRODUCT(FV$5:FV$27,后果有效剂量!$K$5:$K$27)*后果有效剂量!$T20</f>
        <v>6.80535169215879e-6</v>
      </c>
      <c r="FT46" s="453">
        <f>SUMPRODUCT(FS$5:FS$27,后果甲状腺剂量!$I$5:$I$27)*后果甲状腺剂量!$Q20+SUMPRODUCT(FT$5:FT$27,后果甲状腺剂量!$I$5:$I$27)*后果甲状腺剂量!$R20+SUMPRODUCT(FU$5:FU$27,后果甲状腺剂量!$I$5:$I$27)*后果甲状腺剂量!$S20+SUMPRODUCT(FV$5:FV$27,后果甲状腺剂量!$I$5:$I$27)*后果甲状腺剂量!$T20+SUMPRODUCT(FS$5:FS$27,后果甲状腺剂量!$J$5:$J$27)*后果甲状腺剂量!$Q20*后果甲状腺剂量!$Q$3+SUMPRODUCT(FT$5:FT$27,后果甲状腺剂量!$J$5:$J$27)*后果甲状腺剂量!$R20*后果甲状腺剂量!$R$3+SUMPRODUCT(FU$5:FU$27,后果甲状腺剂量!$J$5:$J$27)*后果甲状腺剂量!$S20*后果甲状腺剂量!$S$3+SUMPRODUCT(FV$5:FV$27,后果甲状腺剂量!$J$5:$J$27)*后果甲状腺剂量!$T20*后果甲状腺剂量!$T$3+SUMPRODUCT(FS$5:FS$27,后果甲状腺剂量!$K$5:$K$27)*后果甲状腺剂量!$Q20+SUMPRODUCT(FT$5:FT$27,后果甲状腺剂量!$K$5:$K$27)*后果甲状腺剂量!$R20+SUMPRODUCT(FU$5:FU$27,后果甲状腺剂量!$K$5:$K$27)*后果甲状腺剂量!$S20+SUMPRODUCT(FV$5:FV$27,后果甲状腺剂量!$K$5:$K$27)*后果甲状腺剂量!$T20</f>
        <v>4.92490927057719e-5</v>
      </c>
      <c r="FU46" s="454">
        <f t="shared" si="257"/>
        <v>0.00680535169215879</v>
      </c>
      <c r="FV46" s="454">
        <f t="shared" si="258"/>
        <v>0.0492490927057719</v>
      </c>
      <c r="FW46" s="436"/>
      <c r="FX46" s="436"/>
      <c r="GD46" s="440" t="str">
        <f>后果有效剂量!$P20</f>
        <v>75000m</v>
      </c>
      <c r="GE46" s="441">
        <f>SUMPRODUCT(GE$5:GE$27,后果有效剂量!$I$5:$I$27)*后果有效剂量!$Q20+SUMPRODUCT(GF$5:GF$27,后果有效剂量!$I$5:$I$27)*后果有效剂量!$R20+SUMPRODUCT(GG$5:GG$27,后果有效剂量!$I$5:$I$27)*后果有效剂量!$S20+(SUMPRODUCT(GH$5:GH$27,后果有效剂量!$I$5:$I$27)+SUMPRODUCT(GI$5:GI$27,后果有效剂量!$I$5:$I$27))*后果有效剂量!$T20+SUMPRODUCT(GJ$5:GJ$27,后果有效剂量!$I$5:$I$27)*后果有效剂量!$U20+SUMPRODUCT(GE$5:GE$27,后果有效剂量!$J$5:$J$27)*后果有效剂量!$Q20*后果有效剂量!$Q$3+SUMPRODUCT(GF$5:GF$27,后果有效剂量!$J$5:$J$27)*后果有效剂量!$R20*后果有效剂量!$R$3+SUMPRODUCT(GG$5:GG$27,后果有效剂量!$J$5:$J$27)*后果有效剂量!$S20*后果有效剂量!$S$3+(SUMPRODUCT(GH$5:GH$27,后果有效剂量!$J$5:$J$27)+SUMPRODUCT(GI$5:GI$27,后果有效剂量!$J$5:$J$27))*后果有效剂量!$T20*后果有效剂量!$T$3+SUMPRODUCT(GJ$5:GJ$27,后果有效剂量!$J$5:$J$27)*后果有效剂量!$U20*后果有效剂量!$U$3+SUMPRODUCT(GE$5:GE$27,后果有效剂量!$K$5:$K$27)*后果有效剂量!$Q20+SUMPRODUCT(GF$5:GF$27,后果有效剂量!$K$5:$K$27)*后果有效剂量!$R20+SUMPRODUCT(GG$5:GG$27,后果有效剂量!$K$5:$K$27)*后果有效剂量!$S20+(SUMPRODUCT(GH$5:GH$27,后果有效剂量!$K$5:$K$27)+SUMPRODUCT(GI$5:GI$27,后果有效剂量!$K$5:$K$27))*后果有效剂量!$T20+SUMPRODUCT(GJ$5:GJ$27,后果有效剂量!$K$5:$K$27)*后果有效剂量!$U20</f>
        <v>1.41335291296165e-6</v>
      </c>
      <c r="GF46" s="453">
        <f>SUMPRODUCT(GE$5:GE$27,后果甲状腺剂量!$I$5:$I$27)*后果甲状腺剂量!$Q20+SUMPRODUCT(GF$5:GF$27,后果甲状腺剂量!$I$5:$I$27)*后果甲状腺剂量!$R20+SUMPRODUCT(GG$5:GG$27,后果甲状腺剂量!$I$5:$I$27)*后果甲状腺剂量!$S20+(SUMPRODUCT(GH$5:GH$27,后果甲状腺剂量!$I$5:$I$27)+SUMPRODUCT(GI$5:GI$27,后果甲状腺剂量!$I$5:$I$27))*后果甲状腺剂量!$T20+SUMPRODUCT(GJ$5:GJ$27,后果甲状腺剂量!$I$5:$I$27)*后果甲状腺剂量!$U20+SUMPRODUCT(GE$5:GE$27,后果甲状腺剂量!$J$5:$J$27)*后果甲状腺剂量!$Q20*后果甲状腺剂量!$Q$3+SUMPRODUCT(GF$5:GF$27,后果甲状腺剂量!$J$5:$J$27)*后果甲状腺剂量!$R20*后果甲状腺剂量!$R$3+SUMPRODUCT(GG$5:GG$27,后果甲状腺剂量!$J$5:$J$27)*后果甲状腺剂量!$S20*后果甲状腺剂量!$S$3+(SUMPRODUCT(GH$5:GH$27,后果甲状腺剂量!$J$5:$J$27)+SUMPRODUCT(GI$5:GI$27,后果甲状腺剂量!$J$5:$J$27))*后果甲状腺剂量!$T20*后果甲状腺剂量!$T$3+SUMPRODUCT(GJ$5:GJ$27,后果甲状腺剂量!$J$5:$J$27)*后果甲状腺剂量!$U20*后果甲状腺剂量!$U$3+SUMPRODUCT(GE$5:GE$27,后果甲状腺剂量!$K$5:$K$27)*后果甲状腺剂量!$Q20+SUMPRODUCT(GF$5:GF$27,后果甲状腺剂量!$K$5:$K$27)*后果甲状腺剂量!$R20+SUMPRODUCT(GG$5:GG$27,后果甲状腺剂量!$K$5:$K$27)*后果甲状腺剂量!$S20+(SUMPRODUCT(GH$5:GH$27,后果甲状腺剂量!$K$5:$K$27)+SUMPRODUCT(GI$5:GI$27,后果甲状腺剂量!$K$5:$K$27))*后果甲状腺剂量!$T20+SUMPRODUCT(GJ$5:GJ$27,后果甲状腺剂量!$K$5:$K$27)*后果甲状腺剂量!$U20</f>
        <v>7.16623588196207e-6</v>
      </c>
      <c r="GG46" s="454">
        <f t="shared" si="259"/>
        <v>0.00141335291296165</v>
      </c>
      <c r="GH46" s="454">
        <f t="shared" si="260"/>
        <v>0.00716623588196207</v>
      </c>
      <c r="GI46" s="436"/>
      <c r="GJ46" s="436"/>
    </row>
    <row r="47" spans="7:192">
      <c r="G47" s="440">
        <f>后果有效剂量!$P21</f>
        <v>0</v>
      </c>
      <c r="H47" s="441">
        <f ca="1">SUMPRODUCT(H$5:H$27,后果有效剂量!$I$5:$I$27)*后果有效剂量!$Q21+SUMPRODUCT(I$5:I$27,后果有效剂量!$I$5:$I$27)*后果有效剂量!$Q21+SUMPRODUCT(J$5:J$27,后果有效剂量!$I$5:$I$27)*后果有效剂量!$R21+SUMPRODUCT(K$5:K$27,后果有效剂量!$I$5:$I$27)*后果有效剂量!$S21+SUMPRODUCT(L$5:L$27,后果有效剂量!$I$5:$I$27)*后果有效剂量!$T21+SUMPRODUCT(M$5:M$27,后果有效剂量!$I$5:$I$27)*后果有效剂量!$U21+SUMPRODUCT(H$5:H$27,后果有效剂量!$J$5:$J$27)*后果有效剂量!$Q21*后果有效剂量!$Q$3+SUMPRODUCT(I$5:I$27,后果有效剂量!$J$5:$J$27)*后果有效剂量!$Q21*后果有效剂量!$Q$3+SUMPRODUCT(J$5:J$27,后果有效剂量!$J$5:$J$27)*后果有效剂量!$R21*后果有效剂量!$R$3+SUMPRODUCT(K$5:K$27,后果有效剂量!$J$5:$J$27)*后果有效剂量!$S21*后果有效剂量!$S$3+SUMPRODUCT(L$5:L$27,后果有效剂量!$J$5:$J$27)*后果有效剂量!$T21*后果有效剂量!$T$3+SUMPRODUCT(M$5:M$27,后果有效剂量!$J$5:$J$27)*后果有效剂量!$U21*后果有效剂量!$U$3+SUMPRODUCT(H$5:H$27,后果有效剂量!$K$5:$K$27)*后果有效剂量!$Q21+SUMPRODUCT(I$5:I$27,后果有效剂量!$K$5:$K$27)*后果有效剂量!$Q21+SUMPRODUCT(J$5:J$27,后果有效剂量!$K$5:$K$27)*后果有效剂量!$R21+SUMPRODUCT(K$5:K$27,后果有效剂量!$K$5:$K$27)*后果有效剂量!$S21+SUMPRODUCT(L$5:L$27,后果有效剂量!$K$5:$K$27)*后果有效剂量!$T21+SUMPRODUCT(M$5:M$27,后果有效剂量!$K$5:$K$27)*后果有效剂量!$U21</f>
        <v>0</v>
      </c>
      <c r="I47" s="453">
        <f ca="1">SUMPRODUCT(H$5:H$27,后果甲状腺剂量!$I$5:$I$27)*后果甲状腺剂量!$Q21+SUMPRODUCT(I$5:I$27,后果甲状腺剂量!$I$5:$I$27)*后果甲状腺剂量!$Q21+SUMPRODUCT(J$5:J$27,后果甲状腺剂量!$I$5:$I$27)*后果甲状腺剂量!$R21+SUMPRODUCT(K$5:K$27,后果甲状腺剂量!$I$5:$I$27)*后果甲状腺剂量!$S21+SUMPRODUCT(L$5:L$27,后果甲状腺剂量!$I$5:$I$27)*后果甲状腺剂量!$T21+SUMPRODUCT(M$5:M$27,后果甲状腺剂量!$I$5:$I$27)*后果甲状腺剂量!$U21+SUMPRODUCT(H$5:H$27,后果甲状腺剂量!$J$5:$J$27)*后果甲状腺剂量!$Q21*后果甲状腺剂量!$Q$3+SUMPRODUCT(I$5:I$27,后果甲状腺剂量!$J$5:$J$27)*后果甲状腺剂量!$Q21*后果甲状腺剂量!$Q$3+SUMPRODUCT(J$5:J$27,后果甲状腺剂量!$J$5:$J$27)*后果甲状腺剂量!$R21*后果甲状腺剂量!$R$3+SUMPRODUCT(K$5:K$27,后果甲状腺剂量!$J$5:$J$27)*后果甲状腺剂量!$S21*后果甲状腺剂量!$S$3+SUMPRODUCT(L$5:L$27,后果甲状腺剂量!$J$5:$J$27)*后果甲状腺剂量!$T21*后果甲状腺剂量!$T$3+SUMPRODUCT(M$5:M$27,后果甲状腺剂量!$J$5:$J$27)*后果甲状腺剂量!$U21*后果甲状腺剂量!$U$3+SUMPRODUCT(H$5:H$27,后果甲状腺剂量!$K$5:$K$27)*后果甲状腺剂量!$Q21+SUMPRODUCT(I$5:I$27,后果甲状腺剂量!$K$5:$K$27)*后果甲状腺剂量!$Q21+SUMPRODUCT(J$5:J$27,后果甲状腺剂量!$K$5:$K$27)*后果甲状腺剂量!$R21+SUMPRODUCT(K$5:K$27,后果甲状腺剂量!$K$5:$K$27)*后果甲状腺剂量!$S21+SUMPRODUCT(L$5:L$27,后果甲状腺剂量!$K$5:$K$27)*后果甲状腺剂量!$T21+SUMPRODUCT(M$5:M$27,后果甲状腺剂量!$K$5:$K$27)*后果甲状腺剂量!$U21</f>
        <v>0</v>
      </c>
      <c r="J47" s="454">
        <f ca="1" t="shared" si="253"/>
        <v>0</v>
      </c>
      <c r="K47" s="454">
        <f ca="1" t="shared" si="254"/>
        <v>0</v>
      </c>
      <c r="L47" s="436"/>
      <c r="M47" s="436"/>
      <c r="N47" s="455"/>
      <c r="Q47" s="440">
        <f>后果有效剂量!$P21</f>
        <v>0</v>
      </c>
      <c r="R47" s="441">
        <f ca="1">SUMPRODUCT(R$5:R$27,后果有效剂量!$I$5:$I$27)*后果有效剂量!$Q21+SUMPRODUCT(S$5:S$27,后果有效剂量!$I$5:$I$27)*后果有效剂量!$Q21+SUMPRODUCT(T$5:T$27,后果有效剂量!$I$5:$I$27)*后果有效剂量!$R21+SUMPRODUCT(U$5:U$27,后果有效剂量!$I$5:$I$27)*后果有效剂量!$S21+SUMPRODUCT(V$5:V$27,后果有效剂量!$I$5:$I$27)*后果有效剂量!$T21+SUMPRODUCT(W$5:W$27,后果有效剂量!$I$5:$I$27)*后果有效剂量!$U21+SUMPRODUCT(R$5:R$27,后果有效剂量!$J$5:$J$27)*后果有效剂量!$Q21*后果有效剂量!$Q$3+SUMPRODUCT(S$5:S$27,后果有效剂量!$J$5:$J$27)*后果有效剂量!$Q21*后果有效剂量!$Q$3+SUMPRODUCT(T$5:T$27,后果有效剂量!$J$5:$J$27)*后果有效剂量!$R21*后果有效剂量!$R$3+SUMPRODUCT(U$5:U$27,后果有效剂量!$J$5:$J$27)*后果有效剂量!$S21*后果有效剂量!$S$3+SUMPRODUCT(V$5:V$27,后果有效剂量!$J$5:$J$27)*后果有效剂量!$T21*后果有效剂量!$T$3+SUMPRODUCT(W$5:W$27,后果有效剂量!$J$5:$J$27)*后果有效剂量!$U21*后果有效剂量!$U$3+SUMPRODUCT(R$5:R$27,后果有效剂量!$K$5:$K$27)*后果有效剂量!$Q21+SUMPRODUCT(S$5:S$27,后果有效剂量!$K$5:$K$27)*后果有效剂量!$Q21+SUMPRODUCT(T$5:T$27,后果有效剂量!$K$5:$K$27)*后果有效剂量!$R21+SUMPRODUCT(U$5:U$27,后果有效剂量!$K$5:$K$27)*后果有效剂量!$S21+SUMPRODUCT(V$5:V$27,后果有效剂量!$K$5:$K$27)*后果有效剂量!$T21+SUMPRODUCT(W$5:W$27,后果有效剂量!$K$5:$K$27)*后果有效剂量!$U21</f>
        <v>0</v>
      </c>
      <c r="S47" s="453">
        <f ca="1">SUMPRODUCT(R$5:R$27,后果甲状腺剂量!$I$5:$I$27)*后果甲状腺剂量!$Q21+SUMPRODUCT(S$5:S$27,后果甲状腺剂量!$I$5:$I$27)*后果甲状腺剂量!$Q21+SUMPRODUCT(T$5:T$27,后果甲状腺剂量!$I$5:$I$27)*后果甲状腺剂量!$R21+SUMPRODUCT(U$5:U$27,后果甲状腺剂量!$I$5:$I$27)*后果甲状腺剂量!$S21+SUMPRODUCT(V$5:V$27,后果甲状腺剂量!$I$5:$I$27)*后果甲状腺剂量!$T21+SUMPRODUCT(W$5:W$27,后果甲状腺剂量!$I$5:$I$27)*后果甲状腺剂量!$U21+SUMPRODUCT(R$5:R$27,后果甲状腺剂量!$J$5:$J$27)*后果甲状腺剂量!$Q21*后果甲状腺剂量!$Q$3+SUMPRODUCT(S$5:S$27,后果甲状腺剂量!$J$5:$J$27)*后果甲状腺剂量!$Q21*后果甲状腺剂量!$Q$3+SUMPRODUCT(T$5:T$27,后果甲状腺剂量!$J$5:$J$27)*后果甲状腺剂量!$R21*后果甲状腺剂量!$R$3+SUMPRODUCT(U$5:U$27,后果甲状腺剂量!$J$5:$J$27)*后果甲状腺剂量!$S21*后果甲状腺剂量!$S$3+SUMPRODUCT(V$5:V$27,后果甲状腺剂量!$J$5:$J$27)*后果甲状腺剂量!$T21*后果甲状腺剂量!$T$3+SUMPRODUCT(W$5:W$27,后果甲状腺剂量!$J$5:$J$27)*后果甲状腺剂量!$U21*后果甲状腺剂量!$U$3+SUMPRODUCT(R$5:R$27,后果甲状腺剂量!$K$5:$K$27)*后果甲状腺剂量!$Q21+SUMPRODUCT(S$5:S$27,后果甲状腺剂量!$K$5:$K$27)*后果甲状腺剂量!$Q21+SUMPRODUCT(T$5:T$27,后果甲状腺剂量!$K$5:$K$27)*后果甲状腺剂量!$R21+SUMPRODUCT(U$5:U$27,后果甲状腺剂量!$K$5:$K$27)*后果甲状腺剂量!$S21+SUMPRODUCT(V$5:V$27,后果甲状腺剂量!$K$5:$K$27)*后果甲状腺剂量!$T21+SUMPRODUCT(W$5:W$27,后果甲状腺剂量!$K$5:$K$27)*后果甲状腺剂量!$U21</f>
        <v>0</v>
      </c>
      <c r="T47" s="454">
        <f ca="1" t="shared" si="255"/>
        <v>0</v>
      </c>
      <c r="U47" s="454">
        <f ca="1" t="shared" si="256"/>
        <v>0</v>
      </c>
      <c r="V47" s="436"/>
      <c r="W47" s="436"/>
      <c r="AN47" s="533"/>
      <c r="AS47" s="572"/>
      <c r="BO47" s="600"/>
      <c r="CJ47" s="600"/>
      <c r="DZ47" s="600"/>
      <c r="EU47" s="603"/>
      <c r="FP47" s="603"/>
      <c r="FS47" s="441">
        <f>SUMPRODUCT(FS$5:FS$27,后果有效剂量!$I$5:$I$27)*后果有效剂量!$Q21+SUMPRODUCT(FT$5:FT$27,后果有效剂量!$I$5:$I$27)*后果有效剂量!$R21+SUMPRODUCT(FU$5:FU$27,后果有效剂量!$I$5:$I$27)*后果有效剂量!$S21+SUMPRODUCT(FV$5:FV$27,后果有效剂量!$I$5:$I$27)*后果有效剂量!$T21+SUMPRODUCT(FS$5:FS$27,后果有效剂量!$J$5:$J$27)*后果有效剂量!$Q21*后果有效剂量!$Q$3+SUMPRODUCT(FT$5:FT$27,后果有效剂量!$J$5:$J$27)*后果有效剂量!$R21*后果有效剂量!$R$3+SUMPRODUCT(FU$5:FU$27,后果有效剂量!$J$5:$J$27)*后果有效剂量!$S21*后果有效剂量!$S$3+SUMPRODUCT(FV$5:FV$27,后果有效剂量!$J$5:$J$27)*后果有效剂量!$T21*后果有效剂量!$T$3+SUMPRODUCT(FS$5:FS$27,后果有效剂量!$K$5:$K$27)*后果有效剂量!$Q21+SUMPRODUCT(FT$5:FT$27,后果有效剂量!$K$5:$K$27)*后果有效剂量!$R21+SUMPRODUCT(FU$5:FU$27,后果有效剂量!$K$5:$K$27)*后果有效剂量!$S21+SUMPRODUCT(FV$5:FV$27,后果有效剂量!$K$5:$K$27)*后果有效剂量!$T21</f>
        <v>0</v>
      </c>
      <c r="FT47" s="453">
        <f>SUMPRODUCT(FS$5:FS$27,后果甲状腺剂量!$I$5:$I$27)*后果甲状腺剂量!$Q21+SUMPRODUCT(FT$5:FT$27,后果甲状腺剂量!$I$5:$I$27)*后果甲状腺剂量!$R21+SUMPRODUCT(FU$5:FU$27,后果甲状腺剂量!$I$5:$I$27)*后果甲状腺剂量!$S21+SUMPRODUCT(FV$5:FV$27,后果甲状腺剂量!$I$5:$I$27)*后果甲状腺剂量!$T21+SUMPRODUCT(FS$5:FS$27,后果甲状腺剂量!$J$5:$J$27)*后果甲状腺剂量!$Q21*后果甲状腺剂量!$Q$3+SUMPRODUCT(FT$5:FT$27,后果甲状腺剂量!$J$5:$J$27)*后果甲状腺剂量!$R21*后果甲状腺剂量!$R$3+SUMPRODUCT(FU$5:FU$27,后果甲状腺剂量!$J$5:$J$27)*后果甲状腺剂量!$S21*后果甲状腺剂量!$S$3+SUMPRODUCT(FV$5:FV$27,后果甲状腺剂量!$J$5:$J$27)*后果甲状腺剂量!$T21*后果甲状腺剂量!$T$3+SUMPRODUCT(FS$5:FS$27,后果甲状腺剂量!$K$5:$K$27)*后果甲状腺剂量!$Q21+SUMPRODUCT(FT$5:FT$27,后果甲状腺剂量!$K$5:$K$27)*后果甲状腺剂量!$R21+SUMPRODUCT(FU$5:FU$27,后果甲状腺剂量!$K$5:$K$27)*后果甲状腺剂量!$S21+SUMPRODUCT(FV$5:FV$27,后果甲状腺剂量!$K$5:$K$27)*后果甲状腺剂量!$T21</f>
        <v>0</v>
      </c>
      <c r="FU47" s="454">
        <f t="shared" si="257"/>
        <v>0</v>
      </c>
      <c r="FV47" s="454">
        <f t="shared" si="258"/>
        <v>0</v>
      </c>
      <c r="FW47" s="436"/>
      <c r="FX47" s="436"/>
      <c r="GD47" s="440">
        <f>后果有效剂量!$P21</f>
        <v>0</v>
      </c>
      <c r="GE47" s="441">
        <f>SUMPRODUCT(GE$5:GE$27,后果有效剂量!$I$5:$I$27)*后果有效剂量!$Q21+SUMPRODUCT(GF$5:GF$27,后果有效剂量!$I$5:$I$27)*后果有效剂量!$R21+SUMPRODUCT(GG$5:GG$27,后果有效剂量!$I$5:$I$27)*后果有效剂量!$S21+(SUMPRODUCT(GH$5:GH$27,后果有效剂量!$I$5:$I$27)+SUMPRODUCT(GI$5:GI$27,后果有效剂量!$I$5:$I$27))*后果有效剂量!$T21+SUMPRODUCT(GJ$5:GJ$27,后果有效剂量!$I$5:$I$27)*后果有效剂量!$U21+SUMPRODUCT(GE$5:GE$27,后果有效剂量!$J$5:$J$27)*后果有效剂量!$Q21*后果有效剂量!$Q$3+SUMPRODUCT(GF$5:GF$27,后果有效剂量!$J$5:$J$27)*后果有效剂量!$R21*后果有效剂量!$R$3+SUMPRODUCT(GG$5:GG$27,后果有效剂量!$J$5:$J$27)*后果有效剂量!$S21*后果有效剂量!$S$3+(SUMPRODUCT(GH$5:GH$27,后果有效剂量!$J$5:$J$27)+SUMPRODUCT(GI$5:GI$27,后果有效剂量!$J$5:$J$27))*后果有效剂量!$T21*后果有效剂量!$T$3+SUMPRODUCT(GJ$5:GJ$27,后果有效剂量!$J$5:$J$27)*后果有效剂量!$U21*后果有效剂量!$U$3+SUMPRODUCT(GE$5:GE$27,后果有效剂量!$K$5:$K$27)*后果有效剂量!$Q21+SUMPRODUCT(GF$5:GF$27,后果有效剂量!$K$5:$K$27)*后果有效剂量!$R21+SUMPRODUCT(GG$5:GG$27,后果有效剂量!$K$5:$K$27)*后果有效剂量!$S21+(SUMPRODUCT(GH$5:GH$27,后果有效剂量!$K$5:$K$27)+SUMPRODUCT(GI$5:GI$27,后果有效剂量!$K$5:$K$27))*后果有效剂量!$T21+SUMPRODUCT(GJ$5:GJ$27,后果有效剂量!$K$5:$K$27)*后果有效剂量!$U21</f>
        <v>0</v>
      </c>
      <c r="GF47" s="453">
        <f>SUMPRODUCT(GE$5:GE$27,后果甲状腺剂量!$I$5:$I$27)*后果甲状腺剂量!$Q21+SUMPRODUCT(GF$5:GF$27,后果甲状腺剂量!$I$5:$I$27)*后果甲状腺剂量!$R21+SUMPRODUCT(GG$5:GG$27,后果甲状腺剂量!$I$5:$I$27)*后果甲状腺剂量!$S21+(SUMPRODUCT(GH$5:GH$27,后果甲状腺剂量!$I$5:$I$27)+SUMPRODUCT(GI$5:GI$27,后果甲状腺剂量!$I$5:$I$27))*后果甲状腺剂量!$T21+SUMPRODUCT(GJ$5:GJ$27,后果甲状腺剂量!$I$5:$I$27)*后果甲状腺剂量!$U21+SUMPRODUCT(GE$5:GE$27,后果甲状腺剂量!$J$5:$J$27)*后果甲状腺剂量!$Q21*后果甲状腺剂量!$Q$3+SUMPRODUCT(GF$5:GF$27,后果甲状腺剂量!$J$5:$J$27)*后果甲状腺剂量!$R21*后果甲状腺剂量!$R$3+SUMPRODUCT(GG$5:GG$27,后果甲状腺剂量!$J$5:$J$27)*后果甲状腺剂量!$S21*后果甲状腺剂量!$S$3+(SUMPRODUCT(GH$5:GH$27,后果甲状腺剂量!$J$5:$J$27)+SUMPRODUCT(GI$5:GI$27,后果甲状腺剂量!$J$5:$J$27))*后果甲状腺剂量!$T21*后果甲状腺剂量!$T$3+SUMPRODUCT(GJ$5:GJ$27,后果甲状腺剂量!$J$5:$J$27)*后果甲状腺剂量!$U21*后果甲状腺剂量!$U$3+SUMPRODUCT(GE$5:GE$27,后果甲状腺剂量!$K$5:$K$27)*后果甲状腺剂量!$Q21+SUMPRODUCT(GF$5:GF$27,后果甲状腺剂量!$K$5:$K$27)*后果甲状腺剂量!$R21+SUMPRODUCT(GG$5:GG$27,后果甲状腺剂量!$K$5:$K$27)*后果甲状腺剂量!$S21+(SUMPRODUCT(GH$5:GH$27,后果甲状腺剂量!$K$5:$K$27)+SUMPRODUCT(GI$5:GI$27,后果甲状腺剂量!$K$5:$K$27))*后果甲状腺剂量!$T21+SUMPRODUCT(GJ$5:GJ$27,后果甲状腺剂量!$K$5:$K$27)*后果甲状腺剂量!$U21</f>
        <v>0</v>
      </c>
      <c r="GG47" s="454">
        <f t="shared" si="259"/>
        <v>0</v>
      </c>
      <c r="GH47" s="454">
        <f t="shared" si="260"/>
        <v>0</v>
      </c>
      <c r="GI47" s="436"/>
      <c r="GJ47" s="436"/>
    </row>
    <row r="48" spans="7:192">
      <c r="G48" s="440">
        <f>后果有效剂量!$P22</f>
        <v>0</v>
      </c>
      <c r="H48" s="441">
        <f ca="1">SUMPRODUCT(H$5:H$27,后果有效剂量!$I$5:$I$27)*后果有效剂量!$Q22+SUMPRODUCT(I$5:I$27,后果有效剂量!$I$5:$I$27)*后果有效剂量!$Q22+SUMPRODUCT(J$5:J$27,后果有效剂量!$I$5:$I$27)*后果有效剂量!$R22+SUMPRODUCT(K$5:K$27,后果有效剂量!$I$5:$I$27)*后果有效剂量!$S22+SUMPRODUCT(L$5:L$27,后果有效剂量!$I$5:$I$27)*后果有效剂量!$T22+SUMPRODUCT(M$5:M$27,后果有效剂量!$I$5:$I$27)*后果有效剂量!$U22+SUMPRODUCT(H$5:H$27,后果有效剂量!$J$5:$J$27)*后果有效剂量!$Q22*后果有效剂量!$Q$3+SUMPRODUCT(I$5:I$27,后果有效剂量!$J$5:$J$27)*后果有效剂量!$Q22*后果有效剂量!$Q$3+SUMPRODUCT(J$5:J$27,后果有效剂量!$J$5:$J$27)*后果有效剂量!$R22*后果有效剂量!$R$3+SUMPRODUCT(K$5:K$27,后果有效剂量!$J$5:$J$27)*后果有效剂量!$S22*后果有效剂量!$S$3+SUMPRODUCT(L$5:L$27,后果有效剂量!$J$5:$J$27)*后果有效剂量!$T22*后果有效剂量!$T$3+SUMPRODUCT(M$5:M$27,后果有效剂量!$J$5:$J$27)*后果有效剂量!$U22*后果有效剂量!$U$3+SUMPRODUCT(H$5:H$27,后果有效剂量!$K$5:$K$27)*后果有效剂量!$Q22+SUMPRODUCT(I$5:I$27,后果有效剂量!$K$5:$K$27)*后果有效剂量!$Q22+SUMPRODUCT(J$5:J$27,后果有效剂量!$K$5:$K$27)*后果有效剂量!$R22+SUMPRODUCT(K$5:K$27,后果有效剂量!$K$5:$K$27)*后果有效剂量!$S22+SUMPRODUCT(L$5:L$27,后果有效剂量!$K$5:$K$27)*后果有效剂量!$T22+SUMPRODUCT(M$5:M$27,后果有效剂量!$K$5:$K$27)*后果有效剂量!$U22</f>
        <v>0</v>
      </c>
      <c r="I48" s="453">
        <f ca="1">SUMPRODUCT(H$5:H$27,后果甲状腺剂量!$I$5:$I$27)*后果甲状腺剂量!$Q22+SUMPRODUCT(I$5:I$27,后果甲状腺剂量!$I$5:$I$27)*后果甲状腺剂量!$Q22+SUMPRODUCT(J$5:J$27,后果甲状腺剂量!$I$5:$I$27)*后果甲状腺剂量!$R22+SUMPRODUCT(K$5:K$27,后果甲状腺剂量!$I$5:$I$27)*后果甲状腺剂量!$S22+SUMPRODUCT(L$5:L$27,后果甲状腺剂量!$I$5:$I$27)*后果甲状腺剂量!$T22+SUMPRODUCT(M$5:M$27,后果甲状腺剂量!$I$5:$I$27)*后果甲状腺剂量!$U22+SUMPRODUCT(H$5:H$27,后果甲状腺剂量!$J$5:$J$27)*后果甲状腺剂量!$Q22*后果甲状腺剂量!$Q$3+SUMPRODUCT(I$5:I$27,后果甲状腺剂量!$J$5:$J$27)*后果甲状腺剂量!$Q22*后果甲状腺剂量!$Q$3+SUMPRODUCT(J$5:J$27,后果甲状腺剂量!$J$5:$J$27)*后果甲状腺剂量!$R22*后果甲状腺剂量!$R$3+SUMPRODUCT(K$5:K$27,后果甲状腺剂量!$J$5:$J$27)*后果甲状腺剂量!$S22*后果甲状腺剂量!$S$3+SUMPRODUCT(L$5:L$27,后果甲状腺剂量!$J$5:$J$27)*后果甲状腺剂量!$T22*后果甲状腺剂量!$T$3+SUMPRODUCT(M$5:M$27,后果甲状腺剂量!$J$5:$J$27)*后果甲状腺剂量!$U22*后果甲状腺剂量!$U$3+SUMPRODUCT(H$5:H$27,后果甲状腺剂量!$K$5:$K$27)*后果甲状腺剂量!$Q22+SUMPRODUCT(I$5:I$27,后果甲状腺剂量!$K$5:$K$27)*后果甲状腺剂量!$Q22+SUMPRODUCT(J$5:J$27,后果甲状腺剂量!$K$5:$K$27)*后果甲状腺剂量!$R22+SUMPRODUCT(K$5:K$27,后果甲状腺剂量!$K$5:$K$27)*后果甲状腺剂量!$S22+SUMPRODUCT(L$5:L$27,后果甲状腺剂量!$K$5:$K$27)*后果甲状腺剂量!$T22+SUMPRODUCT(M$5:M$27,后果甲状腺剂量!$K$5:$K$27)*后果甲状腺剂量!$U22</f>
        <v>0</v>
      </c>
      <c r="J48" s="454">
        <f ca="1" t="shared" si="253"/>
        <v>0</v>
      </c>
      <c r="K48" s="454">
        <f ca="1" t="shared" si="254"/>
        <v>0</v>
      </c>
      <c r="L48" s="436"/>
      <c r="M48" s="436"/>
      <c r="N48" s="455"/>
      <c r="Q48" s="440">
        <f>后果有效剂量!$P22</f>
        <v>0</v>
      </c>
      <c r="R48" s="441">
        <f ca="1">SUMPRODUCT(R$5:R$27,后果有效剂量!$I$5:$I$27)*后果有效剂量!$Q22+SUMPRODUCT(S$5:S$27,后果有效剂量!$I$5:$I$27)*后果有效剂量!$Q22+SUMPRODUCT(T$5:T$27,后果有效剂量!$I$5:$I$27)*后果有效剂量!$R22+SUMPRODUCT(U$5:U$27,后果有效剂量!$I$5:$I$27)*后果有效剂量!$S22+SUMPRODUCT(V$5:V$27,后果有效剂量!$I$5:$I$27)*后果有效剂量!$T22+SUMPRODUCT(W$5:W$27,后果有效剂量!$I$5:$I$27)*后果有效剂量!$U22+SUMPRODUCT(R$5:R$27,后果有效剂量!$J$5:$J$27)*后果有效剂量!$Q22*后果有效剂量!$Q$3+SUMPRODUCT(S$5:S$27,后果有效剂量!$J$5:$J$27)*后果有效剂量!$Q22*后果有效剂量!$Q$3+SUMPRODUCT(T$5:T$27,后果有效剂量!$J$5:$J$27)*后果有效剂量!$R22*后果有效剂量!$R$3+SUMPRODUCT(U$5:U$27,后果有效剂量!$J$5:$J$27)*后果有效剂量!$S22*后果有效剂量!$S$3+SUMPRODUCT(V$5:V$27,后果有效剂量!$J$5:$J$27)*后果有效剂量!$T22*后果有效剂量!$T$3+SUMPRODUCT(W$5:W$27,后果有效剂量!$J$5:$J$27)*后果有效剂量!$U22*后果有效剂量!$U$3+SUMPRODUCT(R$5:R$27,后果有效剂量!$K$5:$K$27)*后果有效剂量!$Q22+SUMPRODUCT(S$5:S$27,后果有效剂量!$K$5:$K$27)*后果有效剂量!$Q22+SUMPRODUCT(T$5:T$27,后果有效剂量!$K$5:$K$27)*后果有效剂量!$R22+SUMPRODUCT(U$5:U$27,后果有效剂量!$K$5:$K$27)*后果有效剂量!$S22+SUMPRODUCT(V$5:V$27,后果有效剂量!$K$5:$K$27)*后果有效剂量!$T22+SUMPRODUCT(W$5:W$27,后果有效剂量!$K$5:$K$27)*后果有效剂量!$U22</f>
        <v>0</v>
      </c>
      <c r="S48" s="453">
        <f ca="1">SUMPRODUCT(R$5:R$27,后果甲状腺剂量!$I$5:$I$27)*后果甲状腺剂量!$Q22+SUMPRODUCT(S$5:S$27,后果甲状腺剂量!$I$5:$I$27)*后果甲状腺剂量!$Q22+SUMPRODUCT(T$5:T$27,后果甲状腺剂量!$I$5:$I$27)*后果甲状腺剂量!$R22+SUMPRODUCT(U$5:U$27,后果甲状腺剂量!$I$5:$I$27)*后果甲状腺剂量!$S22+SUMPRODUCT(V$5:V$27,后果甲状腺剂量!$I$5:$I$27)*后果甲状腺剂量!$T22+SUMPRODUCT(W$5:W$27,后果甲状腺剂量!$I$5:$I$27)*后果甲状腺剂量!$U22+SUMPRODUCT(R$5:R$27,后果甲状腺剂量!$J$5:$J$27)*后果甲状腺剂量!$Q22*后果甲状腺剂量!$Q$3+SUMPRODUCT(S$5:S$27,后果甲状腺剂量!$J$5:$J$27)*后果甲状腺剂量!$Q22*后果甲状腺剂量!$Q$3+SUMPRODUCT(T$5:T$27,后果甲状腺剂量!$J$5:$J$27)*后果甲状腺剂量!$R22*后果甲状腺剂量!$R$3+SUMPRODUCT(U$5:U$27,后果甲状腺剂量!$J$5:$J$27)*后果甲状腺剂量!$S22*后果甲状腺剂量!$S$3+SUMPRODUCT(V$5:V$27,后果甲状腺剂量!$J$5:$J$27)*后果甲状腺剂量!$T22*后果甲状腺剂量!$T$3+SUMPRODUCT(W$5:W$27,后果甲状腺剂量!$J$5:$J$27)*后果甲状腺剂量!$U22*后果甲状腺剂量!$U$3+SUMPRODUCT(R$5:R$27,后果甲状腺剂量!$K$5:$K$27)*后果甲状腺剂量!$Q22+SUMPRODUCT(S$5:S$27,后果甲状腺剂量!$K$5:$K$27)*后果甲状腺剂量!$Q22+SUMPRODUCT(T$5:T$27,后果甲状腺剂量!$K$5:$K$27)*后果甲状腺剂量!$R22+SUMPRODUCT(U$5:U$27,后果甲状腺剂量!$K$5:$K$27)*后果甲状腺剂量!$S22+SUMPRODUCT(V$5:V$27,后果甲状腺剂量!$K$5:$K$27)*后果甲状腺剂量!$T22+SUMPRODUCT(W$5:W$27,后果甲状腺剂量!$K$5:$K$27)*后果甲状腺剂量!$U22</f>
        <v>0</v>
      </c>
      <c r="T48" s="454">
        <f ca="1" t="shared" si="255"/>
        <v>0</v>
      </c>
      <c r="U48" s="454">
        <f ca="1" t="shared" si="256"/>
        <v>0</v>
      </c>
      <c r="V48" s="436"/>
      <c r="W48" s="436"/>
      <c r="AN48" s="533"/>
      <c r="AS48" s="572"/>
      <c r="BO48" s="600"/>
      <c r="FS48" s="441">
        <f>SUMPRODUCT(FS$5:FS$27,后果有效剂量!$I$5:$I$27)*后果有效剂量!$Q22+SUMPRODUCT(FT$5:FT$27,后果有效剂量!$I$5:$I$27)*后果有效剂量!$R22+SUMPRODUCT(FU$5:FU$27,后果有效剂量!$I$5:$I$27)*后果有效剂量!$S22+SUMPRODUCT(FV$5:FV$27,后果有效剂量!$I$5:$I$27)*后果有效剂量!$T22+SUMPRODUCT(FS$5:FS$27,后果有效剂量!$J$5:$J$27)*后果有效剂量!$Q22*后果有效剂量!$Q$3+SUMPRODUCT(FT$5:FT$27,后果有效剂量!$J$5:$J$27)*后果有效剂量!$R22*后果有效剂量!$R$3+SUMPRODUCT(FU$5:FU$27,后果有效剂量!$J$5:$J$27)*后果有效剂量!$S22*后果有效剂量!$S$3+SUMPRODUCT(FV$5:FV$27,后果有效剂量!$J$5:$J$27)*后果有效剂量!$T22*后果有效剂量!$T$3+SUMPRODUCT(FS$5:FS$27,后果有效剂量!$K$5:$K$27)*后果有效剂量!$Q22+SUMPRODUCT(FT$5:FT$27,后果有效剂量!$K$5:$K$27)*后果有效剂量!$R22+SUMPRODUCT(FU$5:FU$27,后果有效剂量!$K$5:$K$27)*后果有效剂量!$S22+SUMPRODUCT(FV$5:FV$27,后果有效剂量!$K$5:$K$27)*后果有效剂量!$T22</f>
        <v>0</v>
      </c>
      <c r="FT48" s="453">
        <f>SUMPRODUCT(FS$5:FS$27,后果甲状腺剂量!$I$5:$I$27)*后果甲状腺剂量!$Q22+SUMPRODUCT(FT$5:FT$27,后果甲状腺剂量!$I$5:$I$27)*后果甲状腺剂量!$R22+SUMPRODUCT(FU$5:FU$27,后果甲状腺剂量!$I$5:$I$27)*后果甲状腺剂量!$S22+SUMPRODUCT(FV$5:FV$27,后果甲状腺剂量!$I$5:$I$27)*后果甲状腺剂量!$T22+SUMPRODUCT(FS$5:FS$27,后果甲状腺剂量!$J$5:$J$27)*后果甲状腺剂量!$Q22*后果甲状腺剂量!$Q$3+SUMPRODUCT(FT$5:FT$27,后果甲状腺剂量!$J$5:$J$27)*后果甲状腺剂量!$R22*后果甲状腺剂量!$R$3+SUMPRODUCT(FU$5:FU$27,后果甲状腺剂量!$J$5:$J$27)*后果甲状腺剂量!$S22*后果甲状腺剂量!$S$3+SUMPRODUCT(FV$5:FV$27,后果甲状腺剂量!$J$5:$J$27)*后果甲状腺剂量!$T22*后果甲状腺剂量!$T$3+SUMPRODUCT(FS$5:FS$27,后果甲状腺剂量!$K$5:$K$27)*后果甲状腺剂量!$Q22+SUMPRODUCT(FT$5:FT$27,后果甲状腺剂量!$K$5:$K$27)*后果甲状腺剂量!$R22+SUMPRODUCT(FU$5:FU$27,后果甲状腺剂量!$K$5:$K$27)*后果甲状腺剂量!$S22+SUMPRODUCT(FV$5:FV$27,后果甲状腺剂量!$K$5:$K$27)*后果甲状腺剂量!$T22</f>
        <v>0</v>
      </c>
      <c r="FU48" s="454">
        <f t="shared" si="257"/>
        <v>0</v>
      </c>
      <c r="FV48" s="454">
        <f t="shared" si="258"/>
        <v>0</v>
      </c>
      <c r="FW48" s="436"/>
      <c r="FX48" s="436"/>
      <c r="GD48" s="440">
        <f>后果有效剂量!$P22</f>
        <v>0</v>
      </c>
      <c r="GE48" s="441">
        <f>SUMPRODUCT(GE$5:GE$27,后果有效剂量!$I$5:$I$27)*后果有效剂量!$Q22+SUMPRODUCT(GF$5:GF$27,后果有效剂量!$I$5:$I$27)*后果有效剂量!$R22+SUMPRODUCT(GG$5:GG$27,后果有效剂量!$I$5:$I$27)*后果有效剂量!$S22+(SUMPRODUCT(GH$5:GH$27,后果有效剂量!$I$5:$I$27)+SUMPRODUCT(GI$5:GI$27,后果有效剂量!$I$5:$I$27))*后果有效剂量!$T22+SUMPRODUCT(GJ$5:GJ$27,后果有效剂量!$I$5:$I$27)*后果有效剂量!$U22+SUMPRODUCT(GE$5:GE$27,后果有效剂量!$J$5:$J$27)*后果有效剂量!$Q22*后果有效剂量!$Q$3+SUMPRODUCT(GF$5:GF$27,后果有效剂量!$J$5:$J$27)*后果有效剂量!$R22*后果有效剂量!$R$3+SUMPRODUCT(GG$5:GG$27,后果有效剂量!$J$5:$J$27)*后果有效剂量!$S22*后果有效剂量!$S$3+(SUMPRODUCT(GH$5:GH$27,后果有效剂量!$J$5:$J$27)+SUMPRODUCT(GI$5:GI$27,后果有效剂量!$J$5:$J$27))*后果有效剂量!$T22*后果有效剂量!$T$3+SUMPRODUCT(GJ$5:GJ$27,后果有效剂量!$J$5:$J$27)*后果有效剂量!$U22*后果有效剂量!$U$3+SUMPRODUCT(GE$5:GE$27,后果有效剂量!$K$5:$K$27)*后果有效剂量!$Q22+SUMPRODUCT(GF$5:GF$27,后果有效剂量!$K$5:$K$27)*后果有效剂量!$R22+SUMPRODUCT(GG$5:GG$27,后果有效剂量!$K$5:$K$27)*后果有效剂量!$S22+(SUMPRODUCT(GH$5:GH$27,后果有效剂量!$K$5:$K$27)+SUMPRODUCT(GI$5:GI$27,后果有效剂量!$K$5:$K$27))*后果有效剂量!$T22+SUMPRODUCT(GJ$5:GJ$27,后果有效剂量!$K$5:$K$27)*后果有效剂量!$U22</f>
        <v>0</v>
      </c>
      <c r="GF48" s="453">
        <f>SUMPRODUCT(GE$5:GE$27,后果甲状腺剂量!$I$5:$I$27)*后果甲状腺剂量!$Q22+SUMPRODUCT(GF$5:GF$27,后果甲状腺剂量!$I$5:$I$27)*后果甲状腺剂量!$R22+SUMPRODUCT(GG$5:GG$27,后果甲状腺剂量!$I$5:$I$27)*后果甲状腺剂量!$S22+(SUMPRODUCT(GH$5:GH$27,后果甲状腺剂量!$I$5:$I$27)+SUMPRODUCT(GI$5:GI$27,后果甲状腺剂量!$I$5:$I$27))*后果甲状腺剂量!$T22+SUMPRODUCT(GJ$5:GJ$27,后果甲状腺剂量!$I$5:$I$27)*后果甲状腺剂量!$U22+SUMPRODUCT(GE$5:GE$27,后果甲状腺剂量!$J$5:$J$27)*后果甲状腺剂量!$Q22*后果甲状腺剂量!$Q$3+SUMPRODUCT(GF$5:GF$27,后果甲状腺剂量!$J$5:$J$27)*后果甲状腺剂量!$R22*后果甲状腺剂量!$R$3+SUMPRODUCT(GG$5:GG$27,后果甲状腺剂量!$J$5:$J$27)*后果甲状腺剂量!$S22*后果甲状腺剂量!$S$3+(SUMPRODUCT(GH$5:GH$27,后果甲状腺剂量!$J$5:$J$27)+SUMPRODUCT(GI$5:GI$27,后果甲状腺剂量!$J$5:$J$27))*后果甲状腺剂量!$T22*后果甲状腺剂量!$T$3+SUMPRODUCT(GJ$5:GJ$27,后果甲状腺剂量!$J$5:$J$27)*后果甲状腺剂量!$U22*后果甲状腺剂量!$U$3+SUMPRODUCT(GE$5:GE$27,后果甲状腺剂量!$K$5:$K$27)*后果甲状腺剂量!$Q22+SUMPRODUCT(GF$5:GF$27,后果甲状腺剂量!$K$5:$K$27)*后果甲状腺剂量!$R22+SUMPRODUCT(GG$5:GG$27,后果甲状腺剂量!$K$5:$K$27)*后果甲状腺剂量!$S22+(SUMPRODUCT(GH$5:GH$27,后果甲状腺剂量!$K$5:$K$27)+SUMPRODUCT(GI$5:GI$27,后果甲状腺剂量!$K$5:$K$27))*后果甲状腺剂量!$T22+SUMPRODUCT(GJ$5:GJ$27,后果甲状腺剂量!$K$5:$K$27)*后果甲状腺剂量!$U22</f>
        <v>0</v>
      </c>
      <c r="GG48" s="454">
        <f t="shared" si="259"/>
        <v>0</v>
      </c>
      <c r="GH48" s="454">
        <f t="shared" si="260"/>
        <v>0</v>
      </c>
      <c r="GI48" s="436"/>
      <c r="GJ48" s="436"/>
    </row>
    <row r="49" spans="7:192">
      <c r="G49" s="440">
        <f>后果有效剂量!$P23</f>
        <v>0</v>
      </c>
      <c r="H49" s="441">
        <f ca="1">SUMPRODUCT(H$5:H$27,后果有效剂量!$I$5:$I$27)*后果有效剂量!$Q23+SUMPRODUCT(I$5:I$27,后果有效剂量!$I$5:$I$27)*后果有效剂量!$Q23+SUMPRODUCT(J$5:J$27,后果有效剂量!$I$5:$I$27)*后果有效剂量!$R23+SUMPRODUCT(K$5:K$27,后果有效剂量!$I$5:$I$27)*后果有效剂量!$S23+SUMPRODUCT(L$5:L$27,后果有效剂量!$I$5:$I$27)*后果有效剂量!$T23+SUMPRODUCT(M$5:M$27,后果有效剂量!$I$5:$I$27)*后果有效剂量!$U23+SUMPRODUCT(H$5:H$27,后果有效剂量!$J$5:$J$27)*后果有效剂量!$Q23*后果有效剂量!$Q$3+SUMPRODUCT(I$5:I$27,后果有效剂量!$J$5:$J$27)*后果有效剂量!$Q23*后果有效剂量!$Q$3+SUMPRODUCT(J$5:J$27,后果有效剂量!$J$5:$J$27)*后果有效剂量!$R23*后果有效剂量!$R$3+SUMPRODUCT(K$5:K$27,后果有效剂量!$J$5:$J$27)*后果有效剂量!$S23*后果有效剂量!$S$3+SUMPRODUCT(L$5:L$27,后果有效剂量!$J$5:$J$27)*后果有效剂量!$T23*后果有效剂量!$T$3+SUMPRODUCT(M$5:M$27,后果有效剂量!$J$5:$J$27)*后果有效剂量!$U23*后果有效剂量!$U$3+SUMPRODUCT(H$5:H$27,后果有效剂量!$K$5:$K$27)*后果有效剂量!$Q23+SUMPRODUCT(I$5:I$27,后果有效剂量!$K$5:$K$27)*后果有效剂量!$Q23+SUMPRODUCT(J$5:J$27,后果有效剂量!$K$5:$K$27)*后果有效剂量!$R23+SUMPRODUCT(K$5:K$27,后果有效剂量!$K$5:$K$27)*后果有效剂量!$S23+SUMPRODUCT(L$5:L$27,后果有效剂量!$K$5:$K$27)*后果有效剂量!$T23+SUMPRODUCT(M$5:M$27,后果有效剂量!$K$5:$K$27)*后果有效剂量!$U23</f>
        <v>0</v>
      </c>
      <c r="I49" s="453">
        <f ca="1">SUMPRODUCT(H$5:H$27,后果甲状腺剂量!$I$5:$I$27)*后果甲状腺剂量!$Q23+SUMPRODUCT(I$5:I$27,后果甲状腺剂量!$I$5:$I$27)*后果甲状腺剂量!$Q23+SUMPRODUCT(J$5:J$27,后果甲状腺剂量!$I$5:$I$27)*后果甲状腺剂量!$R23+SUMPRODUCT(K$5:K$27,后果甲状腺剂量!$I$5:$I$27)*后果甲状腺剂量!$S23+SUMPRODUCT(L$5:L$27,后果甲状腺剂量!$I$5:$I$27)*后果甲状腺剂量!$T23+SUMPRODUCT(M$5:M$27,后果甲状腺剂量!$I$5:$I$27)*后果甲状腺剂量!$U23+SUMPRODUCT(H$5:H$27,后果甲状腺剂量!$J$5:$J$27)*后果甲状腺剂量!$Q23*后果甲状腺剂量!$Q$3+SUMPRODUCT(I$5:I$27,后果甲状腺剂量!$J$5:$J$27)*后果甲状腺剂量!$Q23*后果甲状腺剂量!$Q$3+SUMPRODUCT(J$5:J$27,后果甲状腺剂量!$J$5:$J$27)*后果甲状腺剂量!$R23*后果甲状腺剂量!$R$3+SUMPRODUCT(K$5:K$27,后果甲状腺剂量!$J$5:$J$27)*后果甲状腺剂量!$S23*后果甲状腺剂量!$S$3+SUMPRODUCT(L$5:L$27,后果甲状腺剂量!$J$5:$J$27)*后果甲状腺剂量!$T23*后果甲状腺剂量!$T$3+SUMPRODUCT(M$5:M$27,后果甲状腺剂量!$J$5:$J$27)*后果甲状腺剂量!$U23*后果甲状腺剂量!$U$3+SUMPRODUCT(H$5:H$27,后果甲状腺剂量!$K$5:$K$27)*后果甲状腺剂量!$Q23+SUMPRODUCT(I$5:I$27,后果甲状腺剂量!$K$5:$K$27)*后果甲状腺剂量!$Q23+SUMPRODUCT(J$5:J$27,后果甲状腺剂量!$K$5:$K$27)*后果甲状腺剂量!$R23+SUMPRODUCT(K$5:K$27,后果甲状腺剂量!$K$5:$K$27)*后果甲状腺剂量!$S23+SUMPRODUCT(L$5:L$27,后果甲状腺剂量!$K$5:$K$27)*后果甲状腺剂量!$T23+SUMPRODUCT(M$5:M$27,后果甲状腺剂量!$K$5:$K$27)*后果甲状腺剂量!$U23</f>
        <v>0</v>
      </c>
      <c r="J49" s="454">
        <f ca="1" t="shared" si="253"/>
        <v>0</v>
      </c>
      <c r="K49" s="454">
        <f ca="1" t="shared" si="254"/>
        <v>0</v>
      </c>
      <c r="L49" s="436"/>
      <c r="M49" s="436"/>
      <c r="N49" s="455"/>
      <c r="Q49" s="440">
        <f>后果有效剂量!$P23</f>
        <v>0</v>
      </c>
      <c r="R49" s="441">
        <f ca="1">SUMPRODUCT(R$5:R$27,后果有效剂量!$I$5:$I$27)*后果有效剂量!$Q23+SUMPRODUCT(S$5:S$27,后果有效剂量!$I$5:$I$27)*后果有效剂量!$Q23+SUMPRODUCT(T$5:T$27,后果有效剂量!$I$5:$I$27)*后果有效剂量!$R23+SUMPRODUCT(U$5:U$27,后果有效剂量!$I$5:$I$27)*后果有效剂量!$S23+SUMPRODUCT(V$5:V$27,后果有效剂量!$I$5:$I$27)*后果有效剂量!$T23+SUMPRODUCT(W$5:W$27,后果有效剂量!$I$5:$I$27)*后果有效剂量!$U23+SUMPRODUCT(R$5:R$27,后果有效剂量!$J$5:$J$27)*后果有效剂量!$Q23*后果有效剂量!$Q$3+SUMPRODUCT(S$5:S$27,后果有效剂量!$J$5:$J$27)*后果有效剂量!$Q23*后果有效剂量!$Q$3+SUMPRODUCT(T$5:T$27,后果有效剂量!$J$5:$J$27)*后果有效剂量!$R23*后果有效剂量!$R$3+SUMPRODUCT(U$5:U$27,后果有效剂量!$J$5:$J$27)*后果有效剂量!$S23*后果有效剂量!$S$3+SUMPRODUCT(V$5:V$27,后果有效剂量!$J$5:$J$27)*后果有效剂量!$T23*后果有效剂量!$T$3+SUMPRODUCT(W$5:W$27,后果有效剂量!$J$5:$J$27)*后果有效剂量!$U23*后果有效剂量!$U$3+SUMPRODUCT(R$5:R$27,后果有效剂量!$K$5:$K$27)*后果有效剂量!$Q23+SUMPRODUCT(S$5:S$27,后果有效剂量!$K$5:$K$27)*后果有效剂量!$Q23+SUMPRODUCT(T$5:T$27,后果有效剂量!$K$5:$K$27)*后果有效剂量!$R23+SUMPRODUCT(U$5:U$27,后果有效剂量!$K$5:$K$27)*后果有效剂量!$S23+SUMPRODUCT(V$5:V$27,后果有效剂量!$K$5:$K$27)*后果有效剂量!$T23+SUMPRODUCT(W$5:W$27,后果有效剂量!$K$5:$K$27)*后果有效剂量!$U23</f>
        <v>0</v>
      </c>
      <c r="S49" s="453">
        <f ca="1">SUMPRODUCT(R$5:R$27,后果甲状腺剂量!$I$5:$I$27)*后果甲状腺剂量!$Q23+SUMPRODUCT(S$5:S$27,后果甲状腺剂量!$I$5:$I$27)*后果甲状腺剂量!$Q23+SUMPRODUCT(T$5:T$27,后果甲状腺剂量!$I$5:$I$27)*后果甲状腺剂量!$R23+SUMPRODUCT(U$5:U$27,后果甲状腺剂量!$I$5:$I$27)*后果甲状腺剂量!$S23+SUMPRODUCT(V$5:V$27,后果甲状腺剂量!$I$5:$I$27)*后果甲状腺剂量!$T23+SUMPRODUCT(W$5:W$27,后果甲状腺剂量!$I$5:$I$27)*后果甲状腺剂量!$U23+SUMPRODUCT(R$5:R$27,后果甲状腺剂量!$J$5:$J$27)*后果甲状腺剂量!$Q23*后果甲状腺剂量!$Q$3+SUMPRODUCT(S$5:S$27,后果甲状腺剂量!$J$5:$J$27)*后果甲状腺剂量!$Q23*后果甲状腺剂量!$Q$3+SUMPRODUCT(T$5:T$27,后果甲状腺剂量!$J$5:$J$27)*后果甲状腺剂量!$R23*后果甲状腺剂量!$R$3+SUMPRODUCT(U$5:U$27,后果甲状腺剂量!$J$5:$J$27)*后果甲状腺剂量!$S23*后果甲状腺剂量!$S$3+SUMPRODUCT(V$5:V$27,后果甲状腺剂量!$J$5:$J$27)*后果甲状腺剂量!$T23*后果甲状腺剂量!$T$3+SUMPRODUCT(W$5:W$27,后果甲状腺剂量!$J$5:$J$27)*后果甲状腺剂量!$U23*后果甲状腺剂量!$U$3+SUMPRODUCT(R$5:R$27,后果甲状腺剂量!$K$5:$K$27)*后果甲状腺剂量!$Q23+SUMPRODUCT(S$5:S$27,后果甲状腺剂量!$K$5:$K$27)*后果甲状腺剂量!$Q23+SUMPRODUCT(T$5:T$27,后果甲状腺剂量!$K$5:$K$27)*后果甲状腺剂量!$R23+SUMPRODUCT(U$5:U$27,后果甲状腺剂量!$K$5:$K$27)*后果甲状腺剂量!$S23+SUMPRODUCT(V$5:V$27,后果甲状腺剂量!$K$5:$K$27)*后果甲状腺剂量!$T23+SUMPRODUCT(W$5:W$27,后果甲状腺剂量!$K$5:$K$27)*后果甲状腺剂量!$U23</f>
        <v>0</v>
      </c>
      <c r="T49" s="454">
        <f ca="1" t="shared" si="255"/>
        <v>0</v>
      </c>
      <c r="U49" s="454">
        <f ca="1" t="shared" si="256"/>
        <v>0</v>
      </c>
      <c r="V49" s="436"/>
      <c r="W49" s="436"/>
      <c r="AN49" s="533"/>
      <c r="AS49" s="572"/>
      <c r="BO49" s="600"/>
      <c r="FS49" s="441">
        <f>SUMPRODUCT(FS$5:FS$27,后果有效剂量!$I$5:$I$27)*后果有效剂量!$Q23+SUMPRODUCT(FT$5:FT$27,后果有效剂量!$I$5:$I$27)*后果有效剂量!$R23+SUMPRODUCT(FU$5:FU$27,后果有效剂量!$I$5:$I$27)*后果有效剂量!$S23+SUMPRODUCT(FV$5:FV$27,后果有效剂量!$I$5:$I$27)*后果有效剂量!$T23+SUMPRODUCT(FS$5:FS$27,后果有效剂量!$J$5:$J$27)*后果有效剂量!$Q23*后果有效剂量!$Q$3+SUMPRODUCT(FT$5:FT$27,后果有效剂量!$J$5:$J$27)*后果有效剂量!$R23*后果有效剂量!$R$3+SUMPRODUCT(FU$5:FU$27,后果有效剂量!$J$5:$J$27)*后果有效剂量!$S23*后果有效剂量!$S$3+SUMPRODUCT(FV$5:FV$27,后果有效剂量!$J$5:$J$27)*后果有效剂量!$T23*后果有效剂量!$T$3+SUMPRODUCT(FS$5:FS$27,后果有效剂量!$K$5:$K$27)*后果有效剂量!$Q23+SUMPRODUCT(FT$5:FT$27,后果有效剂量!$K$5:$K$27)*后果有效剂量!$R23+SUMPRODUCT(FU$5:FU$27,后果有效剂量!$K$5:$K$27)*后果有效剂量!$S23+SUMPRODUCT(FV$5:FV$27,后果有效剂量!$K$5:$K$27)*后果有效剂量!$T23</f>
        <v>0</v>
      </c>
      <c r="FT49" s="453">
        <f>SUMPRODUCT(FS$5:FS$27,后果甲状腺剂量!$I$5:$I$27)*后果甲状腺剂量!$Q23+SUMPRODUCT(FT$5:FT$27,后果甲状腺剂量!$I$5:$I$27)*后果甲状腺剂量!$R23+SUMPRODUCT(FU$5:FU$27,后果甲状腺剂量!$I$5:$I$27)*后果甲状腺剂量!$S23+SUMPRODUCT(FV$5:FV$27,后果甲状腺剂量!$I$5:$I$27)*后果甲状腺剂量!$T23+SUMPRODUCT(FS$5:FS$27,后果甲状腺剂量!$J$5:$J$27)*后果甲状腺剂量!$Q23*后果甲状腺剂量!$Q$3+SUMPRODUCT(FT$5:FT$27,后果甲状腺剂量!$J$5:$J$27)*后果甲状腺剂量!$R23*后果甲状腺剂量!$R$3+SUMPRODUCT(FU$5:FU$27,后果甲状腺剂量!$J$5:$J$27)*后果甲状腺剂量!$S23*后果甲状腺剂量!$S$3+SUMPRODUCT(FV$5:FV$27,后果甲状腺剂量!$J$5:$J$27)*后果甲状腺剂量!$T23*后果甲状腺剂量!$T$3+SUMPRODUCT(FS$5:FS$27,后果甲状腺剂量!$K$5:$K$27)*后果甲状腺剂量!$Q23+SUMPRODUCT(FT$5:FT$27,后果甲状腺剂量!$K$5:$K$27)*后果甲状腺剂量!$R23+SUMPRODUCT(FU$5:FU$27,后果甲状腺剂量!$K$5:$K$27)*后果甲状腺剂量!$S23+SUMPRODUCT(FV$5:FV$27,后果甲状腺剂量!$K$5:$K$27)*后果甲状腺剂量!$T23</f>
        <v>0</v>
      </c>
      <c r="FU49" s="454">
        <f t="shared" si="257"/>
        <v>0</v>
      </c>
      <c r="FV49" s="454">
        <f t="shared" si="258"/>
        <v>0</v>
      </c>
      <c r="FW49" s="436"/>
      <c r="FX49" s="436"/>
      <c r="GD49" s="440">
        <f>后果有效剂量!$P23</f>
        <v>0</v>
      </c>
      <c r="GE49" s="441">
        <f>SUMPRODUCT(GE$5:GE$27,后果有效剂量!$I$5:$I$27)*后果有效剂量!$Q23+SUMPRODUCT(GF$5:GF$27,后果有效剂量!$I$5:$I$27)*后果有效剂量!$R23+SUMPRODUCT(GG$5:GG$27,后果有效剂量!$I$5:$I$27)*后果有效剂量!$S23+(SUMPRODUCT(GH$5:GH$27,后果有效剂量!$I$5:$I$27)+SUMPRODUCT(GI$5:GI$27,后果有效剂量!$I$5:$I$27))*后果有效剂量!$T23+SUMPRODUCT(GJ$5:GJ$27,后果有效剂量!$I$5:$I$27)*后果有效剂量!$U23+SUMPRODUCT(GE$5:GE$27,后果有效剂量!$J$5:$J$27)*后果有效剂量!$Q23*后果有效剂量!$Q$3+SUMPRODUCT(GF$5:GF$27,后果有效剂量!$J$5:$J$27)*后果有效剂量!$R23*后果有效剂量!$R$3+SUMPRODUCT(GG$5:GG$27,后果有效剂量!$J$5:$J$27)*后果有效剂量!$S23*后果有效剂量!$S$3+(SUMPRODUCT(GH$5:GH$27,后果有效剂量!$J$5:$J$27)+SUMPRODUCT(GI$5:GI$27,后果有效剂量!$J$5:$J$27))*后果有效剂量!$T23*后果有效剂量!$T$3+SUMPRODUCT(GJ$5:GJ$27,后果有效剂量!$J$5:$J$27)*后果有效剂量!$U23*后果有效剂量!$U$3+SUMPRODUCT(GE$5:GE$27,后果有效剂量!$K$5:$K$27)*后果有效剂量!$Q23+SUMPRODUCT(GF$5:GF$27,后果有效剂量!$K$5:$K$27)*后果有效剂量!$R23+SUMPRODUCT(GG$5:GG$27,后果有效剂量!$K$5:$K$27)*后果有效剂量!$S23+(SUMPRODUCT(GH$5:GH$27,后果有效剂量!$K$5:$K$27)+SUMPRODUCT(GI$5:GI$27,后果有效剂量!$K$5:$K$27))*后果有效剂量!$T23+SUMPRODUCT(GJ$5:GJ$27,后果有效剂量!$K$5:$K$27)*后果有效剂量!$U23</f>
        <v>0</v>
      </c>
      <c r="GF49" s="453">
        <f>SUMPRODUCT(GE$5:GE$27,后果甲状腺剂量!$I$5:$I$27)*后果甲状腺剂量!$Q23+SUMPRODUCT(GF$5:GF$27,后果甲状腺剂量!$I$5:$I$27)*后果甲状腺剂量!$R23+SUMPRODUCT(GG$5:GG$27,后果甲状腺剂量!$I$5:$I$27)*后果甲状腺剂量!$S23+(SUMPRODUCT(GH$5:GH$27,后果甲状腺剂量!$I$5:$I$27)+SUMPRODUCT(GI$5:GI$27,后果甲状腺剂量!$I$5:$I$27))*后果甲状腺剂量!$T23+SUMPRODUCT(GJ$5:GJ$27,后果甲状腺剂量!$I$5:$I$27)*后果甲状腺剂量!$U23+SUMPRODUCT(GE$5:GE$27,后果甲状腺剂量!$J$5:$J$27)*后果甲状腺剂量!$Q23*后果甲状腺剂量!$Q$3+SUMPRODUCT(GF$5:GF$27,后果甲状腺剂量!$J$5:$J$27)*后果甲状腺剂量!$R23*后果甲状腺剂量!$R$3+SUMPRODUCT(GG$5:GG$27,后果甲状腺剂量!$J$5:$J$27)*后果甲状腺剂量!$S23*后果甲状腺剂量!$S$3+(SUMPRODUCT(GH$5:GH$27,后果甲状腺剂量!$J$5:$J$27)+SUMPRODUCT(GI$5:GI$27,后果甲状腺剂量!$J$5:$J$27))*后果甲状腺剂量!$T23*后果甲状腺剂量!$T$3+SUMPRODUCT(GJ$5:GJ$27,后果甲状腺剂量!$J$5:$J$27)*后果甲状腺剂量!$U23*后果甲状腺剂量!$U$3+SUMPRODUCT(GE$5:GE$27,后果甲状腺剂量!$K$5:$K$27)*后果甲状腺剂量!$Q23+SUMPRODUCT(GF$5:GF$27,后果甲状腺剂量!$K$5:$K$27)*后果甲状腺剂量!$R23+SUMPRODUCT(GG$5:GG$27,后果甲状腺剂量!$K$5:$K$27)*后果甲状腺剂量!$S23+(SUMPRODUCT(GH$5:GH$27,后果甲状腺剂量!$K$5:$K$27)+SUMPRODUCT(GI$5:GI$27,后果甲状腺剂量!$K$5:$K$27))*后果甲状腺剂量!$T23+SUMPRODUCT(GJ$5:GJ$27,后果甲状腺剂量!$K$5:$K$27)*后果甲状腺剂量!$U23</f>
        <v>0</v>
      </c>
      <c r="GG49" s="454">
        <f t="shared" si="259"/>
        <v>0</v>
      </c>
      <c r="GH49" s="454">
        <f t="shared" si="260"/>
        <v>0</v>
      </c>
      <c r="GI49" s="436"/>
      <c r="GJ49" s="436"/>
    </row>
    <row r="50" spans="7:192">
      <c r="G50" s="440">
        <f>后果有效剂量!$P24</f>
        <v>0</v>
      </c>
      <c r="H50" s="441">
        <f ca="1">SUMPRODUCT(H$5:H$27,后果有效剂量!$I$5:$I$27)*后果有效剂量!$Q24+SUMPRODUCT(I$5:I$27,后果有效剂量!$I$5:$I$27)*后果有效剂量!$Q24+SUMPRODUCT(J$5:J$27,后果有效剂量!$I$5:$I$27)*后果有效剂量!$R24+SUMPRODUCT(K$5:K$27,后果有效剂量!$I$5:$I$27)*后果有效剂量!$S24+SUMPRODUCT(L$5:L$27,后果有效剂量!$I$5:$I$27)*后果有效剂量!$T24+SUMPRODUCT(M$5:M$27,后果有效剂量!$I$5:$I$27)*后果有效剂量!$U24+SUMPRODUCT(H$5:H$27,后果有效剂量!$J$5:$J$27)*后果有效剂量!$Q24*后果有效剂量!$Q$3+SUMPRODUCT(I$5:I$27,后果有效剂量!$J$5:$J$27)*后果有效剂量!$Q24*后果有效剂量!$Q$3+SUMPRODUCT(J$5:J$27,后果有效剂量!$J$5:$J$27)*后果有效剂量!$R24*后果有效剂量!$R$3+SUMPRODUCT(K$5:K$27,后果有效剂量!$J$5:$J$27)*后果有效剂量!$S24*后果有效剂量!$S$3+SUMPRODUCT(L$5:L$27,后果有效剂量!$J$5:$J$27)*后果有效剂量!$T24*后果有效剂量!$T$3+SUMPRODUCT(M$5:M$27,后果有效剂量!$J$5:$J$27)*后果有效剂量!$U24*后果有效剂量!$U$3+SUMPRODUCT(H$5:H$27,后果有效剂量!$K$5:$K$27)*后果有效剂量!$Q24+SUMPRODUCT(I$5:I$27,后果有效剂量!$K$5:$K$27)*后果有效剂量!$Q24+SUMPRODUCT(J$5:J$27,后果有效剂量!$K$5:$K$27)*后果有效剂量!$R24+SUMPRODUCT(K$5:K$27,后果有效剂量!$K$5:$K$27)*后果有效剂量!$S24+SUMPRODUCT(L$5:L$27,后果有效剂量!$K$5:$K$27)*后果有效剂量!$T24+SUMPRODUCT(M$5:M$27,后果有效剂量!$K$5:$K$27)*后果有效剂量!$U24</f>
        <v>0</v>
      </c>
      <c r="I50" s="453">
        <f ca="1">SUMPRODUCT(H$5:H$27,后果甲状腺剂量!$I$5:$I$27)*后果甲状腺剂量!$Q24+SUMPRODUCT(I$5:I$27,后果甲状腺剂量!$I$5:$I$27)*后果甲状腺剂量!$Q24+SUMPRODUCT(J$5:J$27,后果甲状腺剂量!$I$5:$I$27)*后果甲状腺剂量!$R24+SUMPRODUCT(K$5:K$27,后果甲状腺剂量!$I$5:$I$27)*后果甲状腺剂量!$S24+SUMPRODUCT(L$5:L$27,后果甲状腺剂量!$I$5:$I$27)*后果甲状腺剂量!$T24+SUMPRODUCT(M$5:M$27,后果甲状腺剂量!$I$5:$I$27)*后果甲状腺剂量!$U24+SUMPRODUCT(H$5:H$27,后果甲状腺剂量!$J$5:$J$27)*后果甲状腺剂量!$Q24*后果甲状腺剂量!$Q$3+SUMPRODUCT(I$5:I$27,后果甲状腺剂量!$J$5:$J$27)*后果甲状腺剂量!$Q24*后果甲状腺剂量!$Q$3+SUMPRODUCT(J$5:J$27,后果甲状腺剂量!$J$5:$J$27)*后果甲状腺剂量!$R24*后果甲状腺剂量!$R$3+SUMPRODUCT(K$5:K$27,后果甲状腺剂量!$J$5:$J$27)*后果甲状腺剂量!$S24*后果甲状腺剂量!$S$3+SUMPRODUCT(L$5:L$27,后果甲状腺剂量!$J$5:$J$27)*后果甲状腺剂量!$T24*后果甲状腺剂量!$T$3+SUMPRODUCT(M$5:M$27,后果甲状腺剂量!$J$5:$J$27)*后果甲状腺剂量!$U24*后果甲状腺剂量!$U$3+SUMPRODUCT(H$5:H$27,后果甲状腺剂量!$K$5:$K$27)*后果甲状腺剂量!$Q24+SUMPRODUCT(I$5:I$27,后果甲状腺剂量!$K$5:$K$27)*后果甲状腺剂量!$Q24+SUMPRODUCT(J$5:J$27,后果甲状腺剂量!$K$5:$K$27)*后果甲状腺剂量!$R24+SUMPRODUCT(K$5:K$27,后果甲状腺剂量!$K$5:$K$27)*后果甲状腺剂量!$S24+SUMPRODUCT(L$5:L$27,后果甲状腺剂量!$K$5:$K$27)*后果甲状腺剂量!$T24+SUMPRODUCT(M$5:M$27,后果甲状腺剂量!$K$5:$K$27)*后果甲状腺剂量!$U24</f>
        <v>0</v>
      </c>
      <c r="J50" s="454">
        <f ca="1" t="shared" si="253"/>
        <v>0</v>
      </c>
      <c r="K50" s="454">
        <f ca="1" t="shared" si="254"/>
        <v>0</v>
      </c>
      <c r="L50" s="436"/>
      <c r="M50" s="436"/>
      <c r="N50" s="455"/>
      <c r="Q50" s="440">
        <f>后果有效剂量!$P24</f>
        <v>0</v>
      </c>
      <c r="R50" s="441">
        <f ca="1">SUMPRODUCT(R$5:R$27,后果有效剂量!$I$5:$I$27)*后果有效剂量!$Q24+SUMPRODUCT(S$5:S$27,后果有效剂量!$I$5:$I$27)*后果有效剂量!$Q24+SUMPRODUCT(T$5:T$27,后果有效剂量!$I$5:$I$27)*后果有效剂量!$R24+SUMPRODUCT(U$5:U$27,后果有效剂量!$I$5:$I$27)*后果有效剂量!$S24+SUMPRODUCT(V$5:V$27,后果有效剂量!$I$5:$I$27)*后果有效剂量!$T24+SUMPRODUCT(W$5:W$27,后果有效剂量!$I$5:$I$27)*后果有效剂量!$U24+SUMPRODUCT(R$5:R$27,后果有效剂量!$J$5:$J$27)*后果有效剂量!$Q24*后果有效剂量!$Q$3+SUMPRODUCT(S$5:S$27,后果有效剂量!$J$5:$J$27)*后果有效剂量!$Q24*后果有效剂量!$Q$3+SUMPRODUCT(T$5:T$27,后果有效剂量!$J$5:$J$27)*后果有效剂量!$R24*后果有效剂量!$R$3+SUMPRODUCT(U$5:U$27,后果有效剂量!$J$5:$J$27)*后果有效剂量!$S24*后果有效剂量!$S$3+SUMPRODUCT(V$5:V$27,后果有效剂量!$J$5:$J$27)*后果有效剂量!$T24*后果有效剂量!$T$3+SUMPRODUCT(W$5:W$27,后果有效剂量!$J$5:$J$27)*后果有效剂量!$U24*后果有效剂量!$U$3+SUMPRODUCT(R$5:R$27,后果有效剂量!$K$5:$K$27)*后果有效剂量!$Q24+SUMPRODUCT(S$5:S$27,后果有效剂量!$K$5:$K$27)*后果有效剂量!$Q24+SUMPRODUCT(T$5:T$27,后果有效剂量!$K$5:$K$27)*后果有效剂量!$R24+SUMPRODUCT(U$5:U$27,后果有效剂量!$K$5:$K$27)*后果有效剂量!$S24+SUMPRODUCT(V$5:V$27,后果有效剂量!$K$5:$K$27)*后果有效剂量!$T24+SUMPRODUCT(W$5:W$27,后果有效剂量!$K$5:$K$27)*后果有效剂量!$U24</f>
        <v>0</v>
      </c>
      <c r="S50" s="453">
        <f ca="1">SUMPRODUCT(R$5:R$27,后果甲状腺剂量!$I$5:$I$27)*后果甲状腺剂量!$Q24+SUMPRODUCT(S$5:S$27,后果甲状腺剂量!$I$5:$I$27)*后果甲状腺剂量!$Q24+SUMPRODUCT(T$5:T$27,后果甲状腺剂量!$I$5:$I$27)*后果甲状腺剂量!$R24+SUMPRODUCT(U$5:U$27,后果甲状腺剂量!$I$5:$I$27)*后果甲状腺剂量!$S24+SUMPRODUCT(V$5:V$27,后果甲状腺剂量!$I$5:$I$27)*后果甲状腺剂量!$T24+SUMPRODUCT(W$5:W$27,后果甲状腺剂量!$I$5:$I$27)*后果甲状腺剂量!$U24+SUMPRODUCT(R$5:R$27,后果甲状腺剂量!$J$5:$J$27)*后果甲状腺剂量!$Q24*后果甲状腺剂量!$Q$3+SUMPRODUCT(S$5:S$27,后果甲状腺剂量!$J$5:$J$27)*后果甲状腺剂量!$Q24*后果甲状腺剂量!$Q$3+SUMPRODUCT(T$5:T$27,后果甲状腺剂量!$J$5:$J$27)*后果甲状腺剂量!$R24*后果甲状腺剂量!$R$3+SUMPRODUCT(U$5:U$27,后果甲状腺剂量!$J$5:$J$27)*后果甲状腺剂量!$S24*后果甲状腺剂量!$S$3+SUMPRODUCT(V$5:V$27,后果甲状腺剂量!$J$5:$J$27)*后果甲状腺剂量!$T24*后果甲状腺剂量!$T$3+SUMPRODUCT(W$5:W$27,后果甲状腺剂量!$J$5:$J$27)*后果甲状腺剂量!$U24*后果甲状腺剂量!$U$3+SUMPRODUCT(R$5:R$27,后果甲状腺剂量!$K$5:$K$27)*后果甲状腺剂量!$Q24+SUMPRODUCT(S$5:S$27,后果甲状腺剂量!$K$5:$K$27)*后果甲状腺剂量!$Q24+SUMPRODUCT(T$5:T$27,后果甲状腺剂量!$K$5:$K$27)*后果甲状腺剂量!$R24+SUMPRODUCT(U$5:U$27,后果甲状腺剂量!$K$5:$K$27)*后果甲状腺剂量!$S24+SUMPRODUCT(V$5:V$27,后果甲状腺剂量!$K$5:$K$27)*后果甲状腺剂量!$T24+SUMPRODUCT(W$5:W$27,后果甲状腺剂量!$K$5:$K$27)*后果甲状腺剂量!$U24</f>
        <v>0</v>
      </c>
      <c r="T50" s="454">
        <f ca="1" t="shared" si="255"/>
        <v>0</v>
      </c>
      <c r="U50" s="454">
        <f ca="1" t="shared" si="256"/>
        <v>0</v>
      </c>
      <c r="V50" s="436"/>
      <c r="W50" s="436"/>
      <c r="AN50" s="533"/>
      <c r="AS50" s="572"/>
      <c r="BO50" s="600"/>
      <c r="FS50" s="441">
        <f>SUMPRODUCT(FS$5:FS$27,后果有效剂量!$I$5:$I$27)*后果有效剂量!$Q24+SUMPRODUCT(FT$5:FT$27,后果有效剂量!$I$5:$I$27)*后果有效剂量!$R24+SUMPRODUCT(FU$5:FU$27,后果有效剂量!$I$5:$I$27)*后果有效剂量!$S24+SUMPRODUCT(FV$5:FV$27,后果有效剂量!$I$5:$I$27)*后果有效剂量!$T24+SUMPRODUCT(FS$5:FS$27,后果有效剂量!$J$5:$J$27)*后果有效剂量!$Q24*后果有效剂量!$Q$3+SUMPRODUCT(FT$5:FT$27,后果有效剂量!$J$5:$J$27)*后果有效剂量!$R24*后果有效剂量!$R$3+SUMPRODUCT(FU$5:FU$27,后果有效剂量!$J$5:$J$27)*后果有效剂量!$S24*后果有效剂量!$S$3+SUMPRODUCT(FV$5:FV$27,后果有效剂量!$J$5:$J$27)*后果有效剂量!$T24*后果有效剂量!$T$3+SUMPRODUCT(FS$5:FS$27,后果有效剂量!$K$5:$K$27)*后果有效剂量!$Q24+SUMPRODUCT(FT$5:FT$27,后果有效剂量!$K$5:$K$27)*后果有效剂量!$R24+SUMPRODUCT(FU$5:FU$27,后果有效剂量!$K$5:$K$27)*后果有效剂量!$S24+SUMPRODUCT(FV$5:FV$27,后果有效剂量!$K$5:$K$27)*后果有效剂量!$T24</f>
        <v>0</v>
      </c>
      <c r="FT50" s="453">
        <f>SUMPRODUCT(FS$5:FS$27,后果甲状腺剂量!$I$5:$I$27)*后果甲状腺剂量!$Q24+SUMPRODUCT(FT$5:FT$27,后果甲状腺剂量!$I$5:$I$27)*后果甲状腺剂量!$R24+SUMPRODUCT(FU$5:FU$27,后果甲状腺剂量!$I$5:$I$27)*后果甲状腺剂量!$S24+SUMPRODUCT(FV$5:FV$27,后果甲状腺剂量!$I$5:$I$27)*后果甲状腺剂量!$T24+SUMPRODUCT(FS$5:FS$27,后果甲状腺剂量!$J$5:$J$27)*后果甲状腺剂量!$Q24*后果甲状腺剂量!$Q$3+SUMPRODUCT(FT$5:FT$27,后果甲状腺剂量!$J$5:$J$27)*后果甲状腺剂量!$R24*后果甲状腺剂量!$R$3+SUMPRODUCT(FU$5:FU$27,后果甲状腺剂量!$J$5:$J$27)*后果甲状腺剂量!$S24*后果甲状腺剂量!$S$3+SUMPRODUCT(FV$5:FV$27,后果甲状腺剂量!$J$5:$J$27)*后果甲状腺剂量!$T24*后果甲状腺剂量!$T$3+SUMPRODUCT(FS$5:FS$27,后果甲状腺剂量!$K$5:$K$27)*后果甲状腺剂量!$Q24+SUMPRODUCT(FT$5:FT$27,后果甲状腺剂量!$K$5:$K$27)*后果甲状腺剂量!$R24+SUMPRODUCT(FU$5:FU$27,后果甲状腺剂量!$K$5:$K$27)*后果甲状腺剂量!$S24+SUMPRODUCT(FV$5:FV$27,后果甲状腺剂量!$K$5:$K$27)*后果甲状腺剂量!$T24</f>
        <v>0</v>
      </c>
      <c r="FU50" s="454">
        <f t="shared" si="257"/>
        <v>0</v>
      </c>
      <c r="FV50" s="454">
        <f t="shared" si="258"/>
        <v>0</v>
      </c>
      <c r="FW50" s="436"/>
      <c r="FX50" s="436"/>
      <c r="GD50" s="440">
        <f>后果有效剂量!$P24</f>
        <v>0</v>
      </c>
      <c r="GE50" s="441">
        <f>SUMPRODUCT(GE$5:GE$27,后果有效剂量!$I$5:$I$27)*后果有效剂量!$Q24+SUMPRODUCT(GF$5:GF$27,后果有效剂量!$I$5:$I$27)*后果有效剂量!$R24+SUMPRODUCT(GG$5:GG$27,后果有效剂量!$I$5:$I$27)*后果有效剂量!$S24+(SUMPRODUCT(GH$5:GH$27,后果有效剂量!$I$5:$I$27)+SUMPRODUCT(GI$5:GI$27,后果有效剂量!$I$5:$I$27))*后果有效剂量!$T24+SUMPRODUCT(GJ$5:GJ$27,后果有效剂量!$I$5:$I$27)*后果有效剂量!$U24+SUMPRODUCT(GE$5:GE$27,后果有效剂量!$J$5:$J$27)*后果有效剂量!$Q24*后果有效剂量!$Q$3+SUMPRODUCT(GF$5:GF$27,后果有效剂量!$J$5:$J$27)*后果有效剂量!$R24*后果有效剂量!$R$3+SUMPRODUCT(GG$5:GG$27,后果有效剂量!$J$5:$J$27)*后果有效剂量!$S24*后果有效剂量!$S$3+(SUMPRODUCT(GH$5:GH$27,后果有效剂量!$J$5:$J$27)+SUMPRODUCT(GI$5:GI$27,后果有效剂量!$J$5:$J$27))*后果有效剂量!$T24*后果有效剂量!$T$3+SUMPRODUCT(GJ$5:GJ$27,后果有效剂量!$J$5:$J$27)*后果有效剂量!$U24*后果有效剂量!$U$3+SUMPRODUCT(GE$5:GE$27,后果有效剂量!$K$5:$K$27)*后果有效剂量!$Q24+SUMPRODUCT(GF$5:GF$27,后果有效剂量!$K$5:$K$27)*后果有效剂量!$R24+SUMPRODUCT(GG$5:GG$27,后果有效剂量!$K$5:$K$27)*后果有效剂量!$S24+(SUMPRODUCT(GH$5:GH$27,后果有效剂量!$K$5:$K$27)+SUMPRODUCT(GI$5:GI$27,后果有效剂量!$K$5:$K$27))*后果有效剂量!$T24+SUMPRODUCT(GJ$5:GJ$27,后果有效剂量!$K$5:$K$27)*后果有效剂量!$U24</f>
        <v>0</v>
      </c>
      <c r="GF50" s="453">
        <f>SUMPRODUCT(GE$5:GE$27,后果甲状腺剂量!$I$5:$I$27)*后果甲状腺剂量!$Q24+SUMPRODUCT(GF$5:GF$27,后果甲状腺剂量!$I$5:$I$27)*后果甲状腺剂量!$R24+SUMPRODUCT(GG$5:GG$27,后果甲状腺剂量!$I$5:$I$27)*后果甲状腺剂量!$S24+(SUMPRODUCT(GH$5:GH$27,后果甲状腺剂量!$I$5:$I$27)+SUMPRODUCT(GI$5:GI$27,后果甲状腺剂量!$I$5:$I$27))*后果甲状腺剂量!$T24+SUMPRODUCT(GJ$5:GJ$27,后果甲状腺剂量!$I$5:$I$27)*后果甲状腺剂量!$U24+SUMPRODUCT(GE$5:GE$27,后果甲状腺剂量!$J$5:$J$27)*后果甲状腺剂量!$Q24*后果甲状腺剂量!$Q$3+SUMPRODUCT(GF$5:GF$27,后果甲状腺剂量!$J$5:$J$27)*后果甲状腺剂量!$R24*后果甲状腺剂量!$R$3+SUMPRODUCT(GG$5:GG$27,后果甲状腺剂量!$J$5:$J$27)*后果甲状腺剂量!$S24*后果甲状腺剂量!$S$3+(SUMPRODUCT(GH$5:GH$27,后果甲状腺剂量!$J$5:$J$27)+SUMPRODUCT(GI$5:GI$27,后果甲状腺剂量!$J$5:$J$27))*后果甲状腺剂量!$T24*后果甲状腺剂量!$T$3+SUMPRODUCT(GJ$5:GJ$27,后果甲状腺剂量!$J$5:$J$27)*后果甲状腺剂量!$U24*后果甲状腺剂量!$U$3+SUMPRODUCT(GE$5:GE$27,后果甲状腺剂量!$K$5:$K$27)*后果甲状腺剂量!$Q24+SUMPRODUCT(GF$5:GF$27,后果甲状腺剂量!$K$5:$K$27)*后果甲状腺剂量!$R24+SUMPRODUCT(GG$5:GG$27,后果甲状腺剂量!$K$5:$K$27)*后果甲状腺剂量!$S24+(SUMPRODUCT(GH$5:GH$27,后果甲状腺剂量!$K$5:$K$27)+SUMPRODUCT(GI$5:GI$27,后果甲状腺剂量!$K$5:$K$27))*后果甲状腺剂量!$T24+SUMPRODUCT(GJ$5:GJ$27,后果甲状腺剂量!$K$5:$K$27)*后果甲状腺剂量!$U24</f>
        <v>0</v>
      </c>
      <c r="GG50" s="454">
        <f t="shared" si="259"/>
        <v>0</v>
      </c>
      <c r="GH50" s="454">
        <f t="shared" si="260"/>
        <v>0</v>
      </c>
      <c r="GI50" s="436"/>
      <c r="GJ50" s="436"/>
    </row>
    <row r="51" spans="7:192">
      <c r="G51" s="440">
        <f>后果有效剂量!$P25</f>
        <v>0</v>
      </c>
      <c r="H51" s="441">
        <f ca="1">SUMPRODUCT(H$5:H$27,后果有效剂量!$I$5:$I$27)*后果有效剂量!$Q25+SUMPRODUCT(I$5:I$27,后果有效剂量!$I$5:$I$27)*后果有效剂量!$Q25+SUMPRODUCT(J$5:J$27,后果有效剂量!$I$5:$I$27)*后果有效剂量!$R25+SUMPRODUCT(K$5:K$27,后果有效剂量!$I$5:$I$27)*后果有效剂量!$S25+SUMPRODUCT(L$5:L$27,后果有效剂量!$I$5:$I$27)*后果有效剂量!$T25+SUMPRODUCT(M$5:M$27,后果有效剂量!$I$5:$I$27)*后果有效剂量!$U25+SUMPRODUCT(H$5:H$27,后果有效剂量!$J$5:$J$27)*后果有效剂量!$Q25*后果有效剂量!$Q$3+SUMPRODUCT(I$5:I$27,后果有效剂量!$J$5:$J$27)*后果有效剂量!$Q25*后果有效剂量!$Q$3+SUMPRODUCT(J$5:J$27,后果有效剂量!$J$5:$J$27)*后果有效剂量!$R25*后果有效剂量!$R$3+SUMPRODUCT(K$5:K$27,后果有效剂量!$J$5:$J$27)*后果有效剂量!$S25*后果有效剂量!$S$3+SUMPRODUCT(L$5:L$27,后果有效剂量!$J$5:$J$27)*后果有效剂量!$T25*后果有效剂量!$T$3+SUMPRODUCT(M$5:M$27,后果有效剂量!$J$5:$J$27)*后果有效剂量!$U25*后果有效剂量!$U$3+SUMPRODUCT(H$5:H$27,后果有效剂量!$K$5:$K$27)*后果有效剂量!$Q25+SUMPRODUCT(I$5:I$27,后果有效剂量!$K$5:$K$27)*后果有效剂量!$Q25+SUMPRODUCT(J$5:J$27,后果有效剂量!$K$5:$K$27)*后果有效剂量!$R25+SUMPRODUCT(K$5:K$27,后果有效剂量!$K$5:$K$27)*后果有效剂量!$S25+SUMPRODUCT(L$5:L$27,后果有效剂量!$K$5:$K$27)*后果有效剂量!$T25+SUMPRODUCT(M$5:M$27,后果有效剂量!$K$5:$K$27)*后果有效剂量!$U25</f>
        <v>0</v>
      </c>
      <c r="I51" s="453">
        <f ca="1">SUMPRODUCT(H$5:H$27,后果甲状腺剂量!$I$5:$I$27)*后果甲状腺剂量!$Q25+SUMPRODUCT(I$5:I$27,后果甲状腺剂量!$I$5:$I$27)*后果甲状腺剂量!$Q25+SUMPRODUCT(J$5:J$27,后果甲状腺剂量!$I$5:$I$27)*后果甲状腺剂量!$R25+SUMPRODUCT(K$5:K$27,后果甲状腺剂量!$I$5:$I$27)*后果甲状腺剂量!$S25+SUMPRODUCT(L$5:L$27,后果甲状腺剂量!$I$5:$I$27)*后果甲状腺剂量!$T25+SUMPRODUCT(M$5:M$27,后果甲状腺剂量!$I$5:$I$27)*后果甲状腺剂量!$U25+SUMPRODUCT(H$5:H$27,后果甲状腺剂量!$J$5:$J$27)*后果甲状腺剂量!$Q25*后果甲状腺剂量!$Q$3+SUMPRODUCT(I$5:I$27,后果甲状腺剂量!$J$5:$J$27)*后果甲状腺剂量!$Q25*后果甲状腺剂量!$Q$3+SUMPRODUCT(J$5:J$27,后果甲状腺剂量!$J$5:$J$27)*后果甲状腺剂量!$R25*后果甲状腺剂量!$R$3+SUMPRODUCT(K$5:K$27,后果甲状腺剂量!$J$5:$J$27)*后果甲状腺剂量!$S25*后果甲状腺剂量!$S$3+SUMPRODUCT(L$5:L$27,后果甲状腺剂量!$J$5:$J$27)*后果甲状腺剂量!$T25*后果甲状腺剂量!$T$3+SUMPRODUCT(M$5:M$27,后果甲状腺剂量!$J$5:$J$27)*后果甲状腺剂量!$U25*后果甲状腺剂量!$U$3+SUMPRODUCT(H$5:H$27,后果甲状腺剂量!$K$5:$K$27)*后果甲状腺剂量!$Q25+SUMPRODUCT(I$5:I$27,后果甲状腺剂量!$K$5:$K$27)*后果甲状腺剂量!$Q25+SUMPRODUCT(J$5:J$27,后果甲状腺剂量!$K$5:$K$27)*后果甲状腺剂量!$R25+SUMPRODUCT(K$5:K$27,后果甲状腺剂量!$K$5:$K$27)*后果甲状腺剂量!$S25+SUMPRODUCT(L$5:L$27,后果甲状腺剂量!$K$5:$K$27)*后果甲状腺剂量!$T25+SUMPRODUCT(M$5:M$27,后果甲状腺剂量!$K$5:$K$27)*后果甲状腺剂量!$U25</f>
        <v>0</v>
      </c>
      <c r="J51" s="454">
        <f ca="1" t="shared" si="253"/>
        <v>0</v>
      </c>
      <c r="K51" s="454">
        <f ca="1" t="shared" si="254"/>
        <v>0</v>
      </c>
      <c r="L51" s="459">
        <f ca="1" t="shared" ref="L51:L56" si="261">J51/10*100</f>
        <v>0</v>
      </c>
      <c r="M51" s="459">
        <f ca="1" t="shared" ref="M51:M56" si="262">K51/100*100</f>
        <v>0</v>
      </c>
      <c r="N51" s="455"/>
      <c r="Q51" s="440">
        <f>后果有效剂量!$P25</f>
        <v>0</v>
      </c>
      <c r="R51" s="441">
        <f ca="1">SUMPRODUCT(R$5:R$27,后果有效剂量!$I$5:$I$27)*后果有效剂量!$Q25+SUMPRODUCT(S$5:S$27,后果有效剂量!$I$5:$I$27)*后果有效剂量!$Q25+SUMPRODUCT(T$5:T$27,后果有效剂量!$I$5:$I$27)*后果有效剂量!$R25+SUMPRODUCT(U$5:U$27,后果有效剂量!$I$5:$I$27)*后果有效剂量!$S25+SUMPRODUCT(V$5:V$27,后果有效剂量!$I$5:$I$27)*后果有效剂量!$T25+SUMPRODUCT(W$5:W$27,后果有效剂量!$I$5:$I$27)*后果有效剂量!$U25+SUMPRODUCT(R$5:R$27,后果有效剂量!$J$5:$J$27)*后果有效剂量!$Q25*后果有效剂量!$Q$3+SUMPRODUCT(S$5:S$27,后果有效剂量!$J$5:$J$27)*后果有效剂量!$Q25*后果有效剂量!$Q$3+SUMPRODUCT(T$5:T$27,后果有效剂量!$J$5:$J$27)*后果有效剂量!$R25*后果有效剂量!$R$3+SUMPRODUCT(U$5:U$27,后果有效剂量!$J$5:$J$27)*后果有效剂量!$S25*后果有效剂量!$S$3+SUMPRODUCT(V$5:V$27,后果有效剂量!$J$5:$J$27)*后果有效剂量!$T25*后果有效剂量!$T$3+SUMPRODUCT(W$5:W$27,后果有效剂量!$J$5:$J$27)*后果有效剂量!$U25*后果有效剂量!$U$3+SUMPRODUCT(R$5:R$27,后果有效剂量!$K$5:$K$27)*后果有效剂量!$Q25+SUMPRODUCT(S$5:S$27,后果有效剂量!$K$5:$K$27)*后果有效剂量!$Q25+SUMPRODUCT(T$5:T$27,后果有效剂量!$K$5:$K$27)*后果有效剂量!$R25+SUMPRODUCT(U$5:U$27,后果有效剂量!$K$5:$K$27)*后果有效剂量!$S25+SUMPRODUCT(V$5:V$27,后果有效剂量!$K$5:$K$27)*后果有效剂量!$T25+SUMPRODUCT(W$5:W$27,后果有效剂量!$K$5:$K$27)*后果有效剂量!$U25</f>
        <v>0</v>
      </c>
      <c r="S51" s="453">
        <f ca="1">SUMPRODUCT(R$5:R$27,后果甲状腺剂量!$I$5:$I$27)*后果甲状腺剂量!$Q25+SUMPRODUCT(S$5:S$27,后果甲状腺剂量!$I$5:$I$27)*后果甲状腺剂量!$Q25+SUMPRODUCT(T$5:T$27,后果甲状腺剂量!$I$5:$I$27)*后果甲状腺剂量!$R25+SUMPRODUCT(U$5:U$27,后果甲状腺剂量!$I$5:$I$27)*后果甲状腺剂量!$S25+SUMPRODUCT(V$5:V$27,后果甲状腺剂量!$I$5:$I$27)*后果甲状腺剂量!$T25+SUMPRODUCT(W$5:W$27,后果甲状腺剂量!$I$5:$I$27)*后果甲状腺剂量!$U25+SUMPRODUCT(R$5:R$27,后果甲状腺剂量!$J$5:$J$27)*后果甲状腺剂量!$Q25*后果甲状腺剂量!$Q$3+SUMPRODUCT(S$5:S$27,后果甲状腺剂量!$J$5:$J$27)*后果甲状腺剂量!$Q25*后果甲状腺剂量!$Q$3+SUMPRODUCT(T$5:T$27,后果甲状腺剂量!$J$5:$J$27)*后果甲状腺剂量!$R25*后果甲状腺剂量!$R$3+SUMPRODUCT(U$5:U$27,后果甲状腺剂量!$J$5:$J$27)*后果甲状腺剂量!$S25*后果甲状腺剂量!$S$3+SUMPRODUCT(V$5:V$27,后果甲状腺剂量!$J$5:$J$27)*后果甲状腺剂量!$T25*后果甲状腺剂量!$T$3+SUMPRODUCT(W$5:W$27,后果甲状腺剂量!$J$5:$J$27)*后果甲状腺剂量!$U25*后果甲状腺剂量!$U$3+SUMPRODUCT(R$5:R$27,后果甲状腺剂量!$K$5:$K$27)*后果甲状腺剂量!$Q25+SUMPRODUCT(S$5:S$27,后果甲状腺剂量!$K$5:$K$27)*后果甲状腺剂量!$Q25+SUMPRODUCT(T$5:T$27,后果甲状腺剂量!$K$5:$K$27)*后果甲状腺剂量!$R25+SUMPRODUCT(U$5:U$27,后果甲状腺剂量!$K$5:$K$27)*后果甲状腺剂量!$S25+SUMPRODUCT(V$5:V$27,后果甲状腺剂量!$K$5:$K$27)*后果甲状腺剂量!$T25+SUMPRODUCT(W$5:W$27,后果甲状腺剂量!$K$5:$K$27)*后果甲状腺剂量!$U25</f>
        <v>0</v>
      </c>
      <c r="T51" s="454">
        <f ca="1" t="shared" si="255"/>
        <v>0</v>
      </c>
      <c r="U51" s="454">
        <f ca="1" t="shared" si="256"/>
        <v>0</v>
      </c>
      <c r="V51" s="459">
        <f ca="1" t="shared" ref="V51:V56" si="263">T51/10*100</f>
        <v>0</v>
      </c>
      <c r="W51" s="459">
        <f ca="1" t="shared" ref="W51:W56" si="264">U51/100*100</f>
        <v>0</v>
      </c>
      <c r="AS51" s="572"/>
      <c r="FS51" s="441">
        <f>SUMPRODUCT(FS$5:FS$27,后果有效剂量!$I$5:$I$27)*后果有效剂量!$Q25+SUMPRODUCT(FT$5:FT$27,后果有效剂量!$I$5:$I$27)*后果有效剂量!$R25+SUMPRODUCT(FU$5:FU$27,后果有效剂量!$I$5:$I$27)*后果有效剂量!$S25+SUMPRODUCT(FV$5:FV$27,后果有效剂量!$I$5:$I$27)*后果有效剂量!$T25+SUMPRODUCT(FS$5:FS$27,后果有效剂量!$J$5:$J$27)*后果有效剂量!$Q25*后果有效剂量!$Q$3+SUMPRODUCT(FT$5:FT$27,后果有效剂量!$J$5:$J$27)*后果有效剂量!$R25*后果有效剂量!$R$3+SUMPRODUCT(FU$5:FU$27,后果有效剂量!$J$5:$J$27)*后果有效剂量!$S25*后果有效剂量!$S$3+SUMPRODUCT(FV$5:FV$27,后果有效剂量!$J$5:$J$27)*后果有效剂量!$T25*后果有效剂量!$T$3+SUMPRODUCT(FS$5:FS$27,后果有效剂量!$K$5:$K$27)*后果有效剂量!$Q25+SUMPRODUCT(FT$5:FT$27,后果有效剂量!$K$5:$K$27)*后果有效剂量!$R25+SUMPRODUCT(FU$5:FU$27,后果有效剂量!$K$5:$K$27)*后果有效剂量!$S25+SUMPRODUCT(FV$5:FV$27,后果有效剂量!$K$5:$K$27)*后果有效剂量!$T25</f>
        <v>0</v>
      </c>
      <c r="FT51" s="453">
        <f>SUMPRODUCT(FS$5:FS$27,后果甲状腺剂量!$I$5:$I$27)*后果甲状腺剂量!$Q25+SUMPRODUCT(FT$5:FT$27,后果甲状腺剂量!$I$5:$I$27)*后果甲状腺剂量!$R25+SUMPRODUCT(FU$5:FU$27,后果甲状腺剂量!$I$5:$I$27)*后果甲状腺剂量!$S25+SUMPRODUCT(FV$5:FV$27,后果甲状腺剂量!$I$5:$I$27)*后果甲状腺剂量!$T25+SUMPRODUCT(FS$5:FS$27,后果甲状腺剂量!$J$5:$J$27)*后果甲状腺剂量!$Q25*后果甲状腺剂量!$Q$3+SUMPRODUCT(FT$5:FT$27,后果甲状腺剂量!$J$5:$J$27)*后果甲状腺剂量!$R25*后果甲状腺剂量!$R$3+SUMPRODUCT(FU$5:FU$27,后果甲状腺剂量!$J$5:$J$27)*后果甲状腺剂量!$S25*后果甲状腺剂量!$S$3+SUMPRODUCT(FV$5:FV$27,后果甲状腺剂量!$J$5:$J$27)*后果甲状腺剂量!$T25*后果甲状腺剂量!$T$3+SUMPRODUCT(FS$5:FS$27,后果甲状腺剂量!$K$5:$K$27)*后果甲状腺剂量!$Q25+SUMPRODUCT(FT$5:FT$27,后果甲状腺剂量!$K$5:$K$27)*后果甲状腺剂量!$R25+SUMPRODUCT(FU$5:FU$27,后果甲状腺剂量!$K$5:$K$27)*后果甲状腺剂量!$S25+SUMPRODUCT(FV$5:FV$27,后果甲状腺剂量!$K$5:$K$27)*后果甲状腺剂量!$T25</f>
        <v>0</v>
      </c>
      <c r="FU51" s="454">
        <f t="shared" si="257"/>
        <v>0</v>
      </c>
      <c r="FV51" s="454">
        <f t="shared" si="258"/>
        <v>0</v>
      </c>
      <c r="FW51" s="459">
        <f t="shared" ref="FW51:FW56" si="265">FU51/10*100</f>
        <v>0</v>
      </c>
      <c r="FX51" s="459">
        <f t="shared" ref="FX51:FX56" si="266">FV51/100*100</f>
        <v>0</v>
      </c>
      <c r="GD51" s="440">
        <f>后果有效剂量!$P25</f>
        <v>0</v>
      </c>
      <c r="GE51" s="441">
        <f>SUMPRODUCT(GE$5:GE$27,后果有效剂量!$I$5:$I$27)*后果有效剂量!$Q25+SUMPRODUCT(GF$5:GF$27,后果有效剂量!$I$5:$I$27)*后果有效剂量!$R25+SUMPRODUCT(GG$5:GG$27,后果有效剂量!$I$5:$I$27)*后果有效剂量!$S25+(SUMPRODUCT(GH$5:GH$27,后果有效剂量!$I$5:$I$27)+SUMPRODUCT(GI$5:GI$27,后果有效剂量!$I$5:$I$27))*后果有效剂量!$T25+SUMPRODUCT(GJ$5:GJ$27,后果有效剂量!$I$5:$I$27)*后果有效剂量!$U25+SUMPRODUCT(GE$5:GE$27,后果有效剂量!$J$5:$J$27)*后果有效剂量!$Q25*后果有效剂量!$Q$3+SUMPRODUCT(GF$5:GF$27,后果有效剂量!$J$5:$J$27)*后果有效剂量!$R25*后果有效剂量!$R$3+SUMPRODUCT(GG$5:GG$27,后果有效剂量!$J$5:$J$27)*后果有效剂量!$S25*后果有效剂量!$S$3+(SUMPRODUCT(GH$5:GH$27,后果有效剂量!$J$5:$J$27)+SUMPRODUCT(GI$5:GI$27,后果有效剂量!$J$5:$J$27))*后果有效剂量!$T25*后果有效剂量!$T$3+SUMPRODUCT(GJ$5:GJ$27,后果有效剂量!$J$5:$J$27)*后果有效剂量!$U25*后果有效剂量!$U$3+SUMPRODUCT(GE$5:GE$27,后果有效剂量!$K$5:$K$27)*后果有效剂量!$Q25+SUMPRODUCT(GF$5:GF$27,后果有效剂量!$K$5:$K$27)*后果有效剂量!$R25+SUMPRODUCT(GG$5:GG$27,后果有效剂量!$K$5:$K$27)*后果有效剂量!$S25+(SUMPRODUCT(GH$5:GH$27,后果有效剂量!$K$5:$K$27)+SUMPRODUCT(GI$5:GI$27,后果有效剂量!$K$5:$K$27))*后果有效剂量!$T25+SUMPRODUCT(GJ$5:GJ$27,后果有效剂量!$K$5:$K$27)*后果有效剂量!$U25</f>
        <v>0</v>
      </c>
      <c r="GF51" s="453">
        <f>SUMPRODUCT(GE$5:GE$27,后果甲状腺剂量!$I$5:$I$27)*后果甲状腺剂量!$Q25+SUMPRODUCT(GF$5:GF$27,后果甲状腺剂量!$I$5:$I$27)*后果甲状腺剂量!$R25+SUMPRODUCT(GG$5:GG$27,后果甲状腺剂量!$I$5:$I$27)*后果甲状腺剂量!$S25+(SUMPRODUCT(GH$5:GH$27,后果甲状腺剂量!$I$5:$I$27)+SUMPRODUCT(GI$5:GI$27,后果甲状腺剂量!$I$5:$I$27))*后果甲状腺剂量!$T25+SUMPRODUCT(GJ$5:GJ$27,后果甲状腺剂量!$I$5:$I$27)*后果甲状腺剂量!$U25+SUMPRODUCT(GE$5:GE$27,后果甲状腺剂量!$J$5:$J$27)*后果甲状腺剂量!$Q25*后果甲状腺剂量!$Q$3+SUMPRODUCT(GF$5:GF$27,后果甲状腺剂量!$J$5:$J$27)*后果甲状腺剂量!$R25*后果甲状腺剂量!$R$3+SUMPRODUCT(GG$5:GG$27,后果甲状腺剂量!$J$5:$J$27)*后果甲状腺剂量!$S25*后果甲状腺剂量!$S$3+(SUMPRODUCT(GH$5:GH$27,后果甲状腺剂量!$J$5:$J$27)+SUMPRODUCT(GI$5:GI$27,后果甲状腺剂量!$J$5:$J$27))*后果甲状腺剂量!$T25*后果甲状腺剂量!$T$3+SUMPRODUCT(GJ$5:GJ$27,后果甲状腺剂量!$J$5:$J$27)*后果甲状腺剂量!$U25*后果甲状腺剂量!$U$3+SUMPRODUCT(GE$5:GE$27,后果甲状腺剂量!$K$5:$K$27)*后果甲状腺剂量!$Q25+SUMPRODUCT(GF$5:GF$27,后果甲状腺剂量!$K$5:$K$27)*后果甲状腺剂量!$R25+SUMPRODUCT(GG$5:GG$27,后果甲状腺剂量!$K$5:$K$27)*后果甲状腺剂量!$S25+(SUMPRODUCT(GH$5:GH$27,后果甲状腺剂量!$K$5:$K$27)+SUMPRODUCT(GI$5:GI$27,后果甲状腺剂量!$K$5:$K$27))*后果甲状腺剂量!$T25+SUMPRODUCT(GJ$5:GJ$27,后果甲状腺剂量!$K$5:$K$27)*后果甲状腺剂量!$U25</f>
        <v>0</v>
      </c>
      <c r="GG51" s="454">
        <f t="shared" si="259"/>
        <v>0</v>
      </c>
      <c r="GH51" s="454">
        <f t="shared" si="260"/>
        <v>0</v>
      </c>
      <c r="GI51" s="459">
        <f t="shared" ref="GI51:GI56" si="267">GG51/10*100</f>
        <v>0</v>
      </c>
      <c r="GJ51" s="459">
        <f t="shared" ref="GJ51:GJ56" si="268">GH51/100*100</f>
        <v>0</v>
      </c>
    </row>
    <row r="52" spans="7:192">
      <c r="G52" s="440">
        <f>后果有效剂量!$P26</f>
        <v>0</v>
      </c>
      <c r="H52" s="441">
        <f ca="1">SUMPRODUCT(H$5:H$27,后果有效剂量!$I$5:$I$27)*后果有效剂量!$Q26+SUMPRODUCT(I$5:I$27,后果有效剂量!$I$5:$I$27)*后果有效剂量!$Q26+SUMPRODUCT(J$5:J$27,后果有效剂量!$I$5:$I$27)*后果有效剂量!$R26+SUMPRODUCT(K$5:K$27,后果有效剂量!$I$5:$I$27)*后果有效剂量!$S26+SUMPRODUCT(L$5:L$27,后果有效剂量!$I$5:$I$27)*后果有效剂量!$T26+SUMPRODUCT(M$5:M$27,后果有效剂量!$I$5:$I$27)*后果有效剂量!$U26+SUMPRODUCT(H$5:H$27,后果有效剂量!$J$5:$J$27)*后果有效剂量!$Q26*后果有效剂量!$Q$3+SUMPRODUCT(I$5:I$27,后果有效剂量!$J$5:$J$27)*后果有效剂量!$Q26*后果有效剂量!$Q$3+SUMPRODUCT(J$5:J$27,后果有效剂量!$J$5:$J$27)*后果有效剂量!$R26*后果有效剂量!$R$3+SUMPRODUCT(K$5:K$27,后果有效剂量!$J$5:$J$27)*后果有效剂量!$S26*后果有效剂量!$S$3+SUMPRODUCT(L$5:L$27,后果有效剂量!$J$5:$J$27)*后果有效剂量!$T26*后果有效剂量!$T$3+SUMPRODUCT(M$5:M$27,后果有效剂量!$J$5:$J$27)*后果有效剂量!$U26*后果有效剂量!$U$3+SUMPRODUCT(H$5:H$27,后果有效剂量!$K$5:$K$27)*后果有效剂量!$Q26+SUMPRODUCT(I$5:I$27,后果有效剂量!$K$5:$K$27)*后果有效剂量!$Q26+SUMPRODUCT(J$5:J$27,后果有效剂量!$K$5:$K$27)*后果有效剂量!$R26+SUMPRODUCT(K$5:K$27,后果有效剂量!$K$5:$K$27)*后果有效剂量!$S26+SUMPRODUCT(L$5:L$27,后果有效剂量!$K$5:$K$27)*后果有效剂量!$T26+SUMPRODUCT(M$5:M$27,后果有效剂量!$K$5:$K$27)*后果有效剂量!$U26</f>
        <v>0</v>
      </c>
      <c r="I52" s="453">
        <f ca="1">SUMPRODUCT(H$5:H$27,后果甲状腺剂量!$I$5:$I$27)*后果甲状腺剂量!$Q26+SUMPRODUCT(I$5:I$27,后果甲状腺剂量!$I$5:$I$27)*后果甲状腺剂量!$Q26+SUMPRODUCT(J$5:J$27,后果甲状腺剂量!$I$5:$I$27)*后果甲状腺剂量!$R26+SUMPRODUCT(K$5:K$27,后果甲状腺剂量!$I$5:$I$27)*后果甲状腺剂量!$S26+SUMPRODUCT(L$5:L$27,后果甲状腺剂量!$I$5:$I$27)*后果甲状腺剂量!$T26+SUMPRODUCT(M$5:M$27,后果甲状腺剂量!$I$5:$I$27)*后果甲状腺剂量!$U26+SUMPRODUCT(H$5:H$27,后果甲状腺剂量!$J$5:$J$27)*后果甲状腺剂量!$Q26*后果甲状腺剂量!$Q$3+SUMPRODUCT(I$5:I$27,后果甲状腺剂量!$J$5:$J$27)*后果甲状腺剂量!$Q26*后果甲状腺剂量!$Q$3+SUMPRODUCT(J$5:J$27,后果甲状腺剂量!$J$5:$J$27)*后果甲状腺剂量!$R26*后果甲状腺剂量!$R$3+SUMPRODUCT(K$5:K$27,后果甲状腺剂量!$J$5:$J$27)*后果甲状腺剂量!$S26*后果甲状腺剂量!$S$3+SUMPRODUCT(L$5:L$27,后果甲状腺剂量!$J$5:$J$27)*后果甲状腺剂量!$T26*后果甲状腺剂量!$T$3+SUMPRODUCT(M$5:M$27,后果甲状腺剂量!$J$5:$J$27)*后果甲状腺剂量!$U26*后果甲状腺剂量!$U$3+SUMPRODUCT(H$5:H$27,后果甲状腺剂量!$K$5:$K$27)*后果甲状腺剂量!$Q26+SUMPRODUCT(I$5:I$27,后果甲状腺剂量!$K$5:$K$27)*后果甲状腺剂量!$Q26+SUMPRODUCT(J$5:J$27,后果甲状腺剂量!$K$5:$K$27)*后果甲状腺剂量!$R26+SUMPRODUCT(K$5:K$27,后果甲状腺剂量!$K$5:$K$27)*后果甲状腺剂量!$S26+SUMPRODUCT(L$5:L$27,后果甲状腺剂量!$K$5:$K$27)*后果甲状腺剂量!$T26+SUMPRODUCT(M$5:M$27,后果甲状腺剂量!$K$5:$K$27)*后果甲状腺剂量!$U26</f>
        <v>0</v>
      </c>
      <c r="J52" s="454">
        <f ca="1" t="shared" si="253"/>
        <v>0</v>
      </c>
      <c r="K52" s="454">
        <f ca="1" t="shared" si="254"/>
        <v>0</v>
      </c>
      <c r="L52" s="459">
        <f ca="1" t="shared" si="261"/>
        <v>0</v>
      </c>
      <c r="M52" s="459">
        <f ca="1" t="shared" si="262"/>
        <v>0</v>
      </c>
      <c r="N52" s="455"/>
      <c r="Q52" s="440">
        <f>后果有效剂量!$P26</f>
        <v>0</v>
      </c>
      <c r="R52" s="441">
        <f ca="1">SUMPRODUCT(R$5:R$27,后果有效剂量!$I$5:$I$27)*后果有效剂量!$Q26+SUMPRODUCT(S$5:S$27,后果有效剂量!$I$5:$I$27)*后果有效剂量!$Q26+SUMPRODUCT(T$5:T$27,后果有效剂量!$I$5:$I$27)*后果有效剂量!$R26+SUMPRODUCT(U$5:U$27,后果有效剂量!$I$5:$I$27)*后果有效剂量!$S26+SUMPRODUCT(V$5:V$27,后果有效剂量!$I$5:$I$27)*后果有效剂量!$T26+SUMPRODUCT(W$5:W$27,后果有效剂量!$I$5:$I$27)*后果有效剂量!$U26+SUMPRODUCT(R$5:R$27,后果有效剂量!$J$5:$J$27)*后果有效剂量!$Q26*后果有效剂量!$Q$3+SUMPRODUCT(S$5:S$27,后果有效剂量!$J$5:$J$27)*后果有效剂量!$Q26*后果有效剂量!$Q$3+SUMPRODUCT(T$5:T$27,后果有效剂量!$J$5:$J$27)*后果有效剂量!$R26*后果有效剂量!$R$3+SUMPRODUCT(U$5:U$27,后果有效剂量!$J$5:$J$27)*后果有效剂量!$S26*后果有效剂量!$S$3+SUMPRODUCT(V$5:V$27,后果有效剂量!$J$5:$J$27)*后果有效剂量!$T26*后果有效剂量!$T$3+SUMPRODUCT(W$5:W$27,后果有效剂量!$J$5:$J$27)*后果有效剂量!$U26*后果有效剂量!$U$3+SUMPRODUCT(R$5:R$27,后果有效剂量!$K$5:$K$27)*后果有效剂量!$Q26+SUMPRODUCT(S$5:S$27,后果有效剂量!$K$5:$K$27)*后果有效剂量!$Q26+SUMPRODUCT(T$5:T$27,后果有效剂量!$K$5:$K$27)*后果有效剂量!$R26+SUMPRODUCT(U$5:U$27,后果有效剂量!$K$5:$K$27)*后果有效剂量!$S26+SUMPRODUCT(V$5:V$27,后果有效剂量!$K$5:$K$27)*后果有效剂量!$T26+SUMPRODUCT(W$5:W$27,后果有效剂量!$K$5:$K$27)*后果有效剂量!$U26</f>
        <v>0</v>
      </c>
      <c r="S52" s="453">
        <f ca="1">SUMPRODUCT(R$5:R$27,后果甲状腺剂量!$I$5:$I$27)*后果甲状腺剂量!$Q26+SUMPRODUCT(S$5:S$27,后果甲状腺剂量!$I$5:$I$27)*后果甲状腺剂量!$Q26+SUMPRODUCT(T$5:T$27,后果甲状腺剂量!$I$5:$I$27)*后果甲状腺剂量!$R26+SUMPRODUCT(U$5:U$27,后果甲状腺剂量!$I$5:$I$27)*后果甲状腺剂量!$S26+SUMPRODUCT(V$5:V$27,后果甲状腺剂量!$I$5:$I$27)*后果甲状腺剂量!$T26+SUMPRODUCT(W$5:W$27,后果甲状腺剂量!$I$5:$I$27)*后果甲状腺剂量!$U26+SUMPRODUCT(R$5:R$27,后果甲状腺剂量!$J$5:$J$27)*后果甲状腺剂量!$Q26*后果甲状腺剂量!$Q$3+SUMPRODUCT(S$5:S$27,后果甲状腺剂量!$J$5:$J$27)*后果甲状腺剂量!$Q26*后果甲状腺剂量!$Q$3+SUMPRODUCT(T$5:T$27,后果甲状腺剂量!$J$5:$J$27)*后果甲状腺剂量!$R26*后果甲状腺剂量!$R$3+SUMPRODUCT(U$5:U$27,后果甲状腺剂量!$J$5:$J$27)*后果甲状腺剂量!$S26*后果甲状腺剂量!$S$3+SUMPRODUCT(V$5:V$27,后果甲状腺剂量!$J$5:$J$27)*后果甲状腺剂量!$T26*后果甲状腺剂量!$T$3+SUMPRODUCT(W$5:W$27,后果甲状腺剂量!$J$5:$J$27)*后果甲状腺剂量!$U26*后果甲状腺剂量!$U$3+SUMPRODUCT(R$5:R$27,后果甲状腺剂量!$K$5:$K$27)*后果甲状腺剂量!$Q26+SUMPRODUCT(S$5:S$27,后果甲状腺剂量!$K$5:$K$27)*后果甲状腺剂量!$Q26+SUMPRODUCT(T$5:T$27,后果甲状腺剂量!$K$5:$K$27)*后果甲状腺剂量!$R26+SUMPRODUCT(U$5:U$27,后果甲状腺剂量!$K$5:$K$27)*后果甲状腺剂量!$S26+SUMPRODUCT(V$5:V$27,后果甲状腺剂量!$K$5:$K$27)*后果甲状腺剂量!$T26+SUMPRODUCT(W$5:W$27,后果甲状腺剂量!$K$5:$K$27)*后果甲状腺剂量!$U26</f>
        <v>0</v>
      </c>
      <c r="T52" s="454">
        <f ca="1" t="shared" si="255"/>
        <v>0</v>
      </c>
      <c r="U52" s="454">
        <f ca="1" t="shared" si="256"/>
        <v>0</v>
      </c>
      <c r="V52" s="459">
        <f ca="1" t="shared" si="263"/>
        <v>0</v>
      </c>
      <c r="W52" s="459">
        <f ca="1" t="shared" si="264"/>
        <v>0</v>
      </c>
      <c r="AS52" s="572"/>
      <c r="FS52" s="441">
        <f>SUMPRODUCT(FS$5:FS$27,后果有效剂量!$I$5:$I$27)*后果有效剂量!$Q26+SUMPRODUCT(FT$5:FT$27,后果有效剂量!$I$5:$I$27)*后果有效剂量!$R26+SUMPRODUCT(FU$5:FU$27,后果有效剂量!$I$5:$I$27)*后果有效剂量!$S26+SUMPRODUCT(FV$5:FV$27,后果有效剂量!$I$5:$I$27)*后果有效剂量!$T26+SUMPRODUCT(FS$5:FS$27,后果有效剂量!$J$5:$J$27)*后果有效剂量!$Q26*后果有效剂量!$Q$3+SUMPRODUCT(FT$5:FT$27,后果有效剂量!$J$5:$J$27)*后果有效剂量!$R26*后果有效剂量!$R$3+SUMPRODUCT(FU$5:FU$27,后果有效剂量!$J$5:$J$27)*后果有效剂量!$S26*后果有效剂量!$S$3+SUMPRODUCT(FV$5:FV$27,后果有效剂量!$J$5:$J$27)*后果有效剂量!$T26*后果有效剂量!$T$3+SUMPRODUCT(FS$5:FS$27,后果有效剂量!$K$5:$K$27)*后果有效剂量!$Q26+SUMPRODUCT(FT$5:FT$27,后果有效剂量!$K$5:$K$27)*后果有效剂量!$R26+SUMPRODUCT(FU$5:FU$27,后果有效剂量!$K$5:$K$27)*后果有效剂量!$S26+SUMPRODUCT(FV$5:FV$27,后果有效剂量!$K$5:$K$27)*后果有效剂量!$T26</f>
        <v>0</v>
      </c>
      <c r="FT52" s="453">
        <f>SUMPRODUCT(FS$5:FS$27,后果甲状腺剂量!$I$5:$I$27)*后果甲状腺剂量!$Q26+SUMPRODUCT(FT$5:FT$27,后果甲状腺剂量!$I$5:$I$27)*后果甲状腺剂量!$R26+SUMPRODUCT(FU$5:FU$27,后果甲状腺剂量!$I$5:$I$27)*后果甲状腺剂量!$S26+SUMPRODUCT(FV$5:FV$27,后果甲状腺剂量!$I$5:$I$27)*后果甲状腺剂量!$T26+SUMPRODUCT(FS$5:FS$27,后果甲状腺剂量!$J$5:$J$27)*后果甲状腺剂量!$Q26*后果甲状腺剂量!$Q$3+SUMPRODUCT(FT$5:FT$27,后果甲状腺剂量!$J$5:$J$27)*后果甲状腺剂量!$R26*后果甲状腺剂量!$R$3+SUMPRODUCT(FU$5:FU$27,后果甲状腺剂量!$J$5:$J$27)*后果甲状腺剂量!$S26*后果甲状腺剂量!$S$3+SUMPRODUCT(FV$5:FV$27,后果甲状腺剂量!$J$5:$J$27)*后果甲状腺剂量!$T26*后果甲状腺剂量!$T$3+SUMPRODUCT(FS$5:FS$27,后果甲状腺剂量!$K$5:$K$27)*后果甲状腺剂量!$Q26+SUMPRODUCT(FT$5:FT$27,后果甲状腺剂量!$K$5:$K$27)*后果甲状腺剂量!$R26+SUMPRODUCT(FU$5:FU$27,后果甲状腺剂量!$K$5:$K$27)*后果甲状腺剂量!$S26+SUMPRODUCT(FV$5:FV$27,后果甲状腺剂量!$K$5:$K$27)*后果甲状腺剂量!$T26</f>
        <v>0</v>
      </c>
      <c r="FU52" s="454">
        <f t="shared" si="257"/>
        <v>0</v>
      </c>
      <c r="FV52" s="454">
        <f t="shared" si="258"/>
        <v>0</v>
      </c>
      <c r="FW52" s="459">
        <f t="shared" si="265"/>
        <v>0</v>
      </c>
      <c r="FX52" s="459">
        <f t="shared" si="266"/>
        <v>0</v>
      </c>
      <c r="GD52" s="440">
        <f>后果有效剂量!$P26</f>
        <v>0</v>
      </c>
      <c r="GE52" s="441">
        <f>SUMPRODUCT(GE$5:GE$27,后果有效剂量!$I$5:$I$27)*后果有效剂量!$Q26+SUMPRODUCT(GF$5:GF$27,后果有效剂量!$I$5:$I$27)*后果有效剂量!$R26+SUMPRODUCT(GG$5:GG$27,后果有效剂量!$I$5:$I$27)*后果有效剂量!$S26+(SUMPRODUCT(GH$5:GH$27,后果有效剂量!$I$5:$I$27)+SUMPRODUCT(GI$5:GI$27,后果有效剂量!$I$5:$I$27))*后果有效剂量!$T26+SUMPRODUCT(GJ$5:GJ$27,后果有效剂量!$I$5:$I$27)*后果有效剂量!$U26+SUMPRODUCT(GE$5:GE$27,后果有效剂量!$J$5:$J$27)*后果有效剂量!$Q26*后果有效剂量!$Q$3+SUMPRODUCT(GF$5:GF$27,后果有效剂量!$J$5:$J$27)*后果有效剂量!$R26*后果有效剂量!$R$3+SUMPRODUCT(GG$5:GG$27,后果有效剂量!$J$5:$J$27)*后果有效剂量!$S26*后果有效剂量!$S$3+(SUMPRODUCT(GH$5:GH$27,后果有效剂量!$J$5:$J$27)+SUMPRODUCT(GI$5:GI$27,后果有效剂量!$J$5:$J$27))*后果有效剂量!$T26*后果有效剂量!$T$3+SUMPRODUCT(GJ$5:GJ$27,后果有效剂量!$J$5:$J$27)*后果有效剂量!$U26*后果有效剂量!$U$3+SUMPRODUCT(GE$5:GE$27,后果有效剂量!$K$5:$K$27)*后果有效剂量!$Q26+SUMPRODUCT(GF$5:GF$27,后果有效剂量!$K$5:$K$27)*后果有效剂量!$R26+SUMPRODUCT(GG$5:GG$27,后果有效剂量!$K$5:$K$27)*后果有效剂量!$S26+(SUMPRODUCT(GH$5:GH$27,后果有效剂量!$K$5:$K$27)+SUMPRODUCT(GI$5:GI$27,后果有效剂量!$K$5:$K$27))*后果有效剂量!$T26+SUMPRODUCT(GJ$5:GJ$27,后果有效剂量!$K$5:$K$27)*后果有效剂量!$U26</f>
        <v>0</v>
      </c>
      <c r="GF52" s="453">
        <f>SUMPRODUCT(GE$5:GE$27,后果甲状腺剂量!$I$5:$I$27)*后果甲状腺剂量!$Q26+SUMPRODUCT(GF$5:GF$27,后果甲状腺剂量!$I$5:$I$27)*后果甲状腺剂量!$R26+SUMPRODUCT(GG$5:GG$27,后果甲状腺剂量!$I$5:$I$27)*后果甲状腺剂量!$S26+(SUMPRODUCT(GH$5:GH$27,后果甲状腺剂量!$I$5:$I$27)+SUMPRODUCT(GI$5:GI$27,后果甲状腺剂量!$I$5:$I$27))*后果甲状腺剂量!$T26+SUMPRODUCT(GJ$5:GJ$27,后果甲状腺剂量!$I$5:$I$27)*后果甲状腺剂量!$U26+SUMPRODUCT(GE$5:GE$27,后果甲状腺剂量!$J$5:$J$27)*后果甲状腺剂量!$Q26*后果甲状腺剂量!$Q$3+SUMPRODUCT(GF$5:GF$27,后果甲状腺剂量!$J$5:$J$27)*后果甲状腺剂量!$R26*后果甲状腺剂量!$R$3+SUMPRODUCT(GG$5:GG$27,后果甲状腺剂量!$J$5:$J$27)*后果甲状腺剂量!$S26*后果甲状腺剂量!$S$3+(SUMPRODUCT(GH$5:GH$27,后果甲状腺剂量!$J$5:$J$27)+SUMPRODUCT(GI$5:GI$27,后果甲状腺剂量!$J$5:$J$27))*后果甲状腺剂量!$T26*后果甲状腺剂量!$T$3+SUMPRODUCT(GJ$5:GJ$27,后果甲状腺剂量!$J$5:$J$27)*后果甲状腺剂量!$U26*后果甲状腺剂量!$U$3+SUMPRODUCT(GE$5:GE$27,后果甲状腺剂量!$K$5:$K$27)*后果甲状腺剂量!$Q26+SUMPRODUCT(GF$5:GF$27,后果甲状腺剂量!$K$5:$K$27)*后果甲状腺剂量!$R26+SUMPRODUCT(GG$5:GG$27,后果甲状腺剂量!$K$5:$K$27)*后果甲状腺剂量!$S26+(SUMPRODUCT(GH$5:GH$27,后果甲状腺剂量!$K$5:$K$27)+SUMPRODUCT(GI$5:GI$27,后果甲状腺剂量!$K$5:$K$27))*后果甲状腺剂量!$T26+SUMPRODUCT(GJ$5:GJ$27,后果甲状腺剂量!$K$5:$K$27)*后果甲状腺剂量!$U26</f>
        <v>0</v>
      </c>
      <c r="GG52" s="454">
        <f t="shared" si="259"/>
        <v>0</v>
      </c>
      <c r="GH52" s="454">
        <f t="shared" si="260"/>
        <v>0</v>
      </c>
      <c r="GI52" s="459">
        <f t="shared" si="267"/>
        <v>0</v>
      </c>
      <c r="GJ52" s="459">
        <f t="shared" si="268"/>
        <v>0</v>
      </c>
    </row>
    <row r="53" spans="7:192">
      <c r="G53" s="440">
        <f>后果有效剂量!$P27</f>
        <v>0</v>
      </c>
      <c r="H53" s="441">
        <f ca="1">SUMPRODUCT(H$5:H$27,后果有效剂量!$I$5:$I$27)*后果有效剂量!$Q27+SUMPRODUCT(I$5:I$27,后果有效剂量!$I$5:$I$27)*后果有效剂量!$Q27+SUMPRODUCT(J$5:J$27,后果有效剂量!$I$5:$I$27)*后果有效剂量!$R27+SUMPRODUCT(K$5:K$27,后果有效剂量!$I$5:$I$27)*后果有效剂量!$S27+SUMPRODUCT(L$5:L$27,后果有效剂量!$I$5:$I$27)*后果有效剂量!$T27+SUMPRODUCT(M$5:M$27,后果有效剂量!$I$5:$I$27)*后果有效剂量!$U27+SUMPRODUCT(H$5:H$27,后果有效剂量!$J$5:$J$27)*后果有效剂量!$Q27*后果有效剂量!$Q$3+SUMPRODUCT(I$5:I$27,后果有效剂量!$J$5:$J$27)*后果有效剂量!$Q27*后果有效剂量!$Q$3+SUMPRODUCT(J$5:J$27,后果有效剂量!$J$5:$J$27)*后果有效剂量!$R27*后果有效剂量!$R$3+SUMPRODUCT(K$5:K$27,后果有效剂量!$J$5:$J$27)*后果有效剂量!$S27*后果有效剂量!$S$3+SUMPRODUCT(L$5:L$27,后果有效剂量!$J$5:$J$27)*后果有效剂量!$T27*后果有效剂量!$T$3+SUMPRODUCT(M$5:M$27,后果有效剂量!$J$5:$J$27)*后果有效剂量!$U27*后果有效剂量!$U$3+SUMPRODUCT(H$5:H$27,后果有效剂量!$K$5:$K$27)*后果有效剂量!$Q27+SUMPRODUCT(I$5:I$27,后果有效剂量!$K$5:$K$27)*后果有效剂量!$Q27+SUMPRODUCT(J$5:J$27,后果有效剂量!$K$5:$K$27)*后果有效剂量!$R27+SUMPRODUCT(K$5:K$27,后果有效剂量!$K$5:$K$27)*后果有效剂量!$S27+SUMPRODUCT(L$5:L$27,后果有效剂量!$K$5:$K$27)*后果有效剂量!$T27+SUMPRODUCT(M$5:M$27,后果有效剂量!$K$5:$K$27)*后果有效剂量!$U27</f>
        <v>0</v>
      </c>
      <c r="I53" s="453">
        <f ca="1">SUMPRODUCT(H$5:H$27,后果甲状腺剂量!$I$5:$I$27)*后果甲状腺剂量!$Q27+SUMPRODUCT(I$5:I$27,后果甲状腺剂量!$I$5:$I$27)*后果甲状腺剂量!$Q27+SUMPRODUCT(J$5:J$27,后果甲状腺剂量!$I$5:$I$27)*后果甲状腺剂量!$R27+SUMPRODUCT(K$5:K$27,后果甲状腺剂量!$I$5:$I$27)*后果甲状腺剂量!$S27+SUMPRODUCT(L$5:L$27,后果甲状腺剂量!$I$5:$I$27)*后果甲状腺剂量!$T27+SUMPRODUCT(M$5:M$27,后果甲状腺剂量!$I$5:$I$27)*后果甲状腺剂量!$U27+SUMPRODUCT(H$5:H$27,后果甲状腺剂量!$J$5:$J$27)*后果甲状腺剂量!$Q27*后果甲状腺剂量!$Q$3+SUMPRODUCT(I$5:I$27,后果甲状腺剂量!$J$5:$J$27)*后果甲状腺剂量!$Q27*后果甲状腺剂量!$Q$3+SUMPRODUCT(J$5:J$27,后果甲状腺剂量!$J$5:$J$27)*后果甲状腺剂量!$R27*后果甲状腺剂量!$R$3+SUMPRODUCT(K$5:K$27,后果甲状腺剂量!$J$5:$J$27)*后果甲状腺剂量!$S27*后果甲状腺剂量!$S$3+SUMPRODUCT(L$5:L$27,后果甲状腺剂量!$J$5:$J$27)*后果甲状腺剂量!$T27*后果甲状腺剂量!$T$3+SUMPRODUCT(M$5:M$27,后果甲状腺剂量!$J$5:$J$27)*后果甲状腺剂量!$U27*后果甲状腺剂量!$U$3+SUMPRODUCT(H$5:H$27,后果甲状腺剂量!$K$5:$K$27)*后果甲状腺剂量!$Q27+SUMPRODUCT(I$5:I$27,后果甲状腺剂量!$K$5:$K$27)*后果甲状腺剂量!$Q27+SUMPRODUCT(J$5:J$27,后果甲状腺剂量!$K$5:$K$27)*后果甲状腺剂量!$R27+SUMPRODUCT(K$5:K$27,后果甲状腺剂量!$K$5:$K$27)*后果甲状腺剂量!$S27+SUMPRODUCT(L$5:L$27,后果甲状腺剂量!$K$5:$K$27)*后果甲状腺剂量!$T27+SUMPRODUCT(M$5:M$27,后果甲状腺剂量!$K$5:$K$27)*后果甲状腺剂量!$U27</f>
        <v>0</v>
      </c>
      <c r="J53" s="454">
        <f ca="1" t="shared" si="253"/>
        <v>0</v>
      </c>
      <c r="K53" s="454">
        <f ca="1" t="shared" si="254"/>
        <v>0</v>
      </c>
      <c r="L53" s="459">
        <f ca="1" t="shared" si="261"/>
        <v>0</v>
      </c>
      <c r="M53" s="459">
        <f ca="1" t="shared" si="262"/>
        <v>0</v>
      </c>
      <c r="Q53" s="440">
        <f>后果有效剂量!$P27</f>
        <v>0</v>
      </c>
      <c r="R53" s="441">
        <f ca="1">SUMPRODUCT(R$5:R$27,后果有效剂量!$I$5:$I$27)*后果有效剂量!$Q27+SUMPRODUCT(S$5:S$27,后果有效剂量!$I$5:$I$27)*后果有效剂量!$Q27+SUMPRODUCT(T$5:T$27,后果有效剂量!$I$5:$I$27)*后果有效剂量!$R27+SUMPRODUCT(U$5:U$27,后果有效剂量!$I$5:$I$27)*后果有效剂量!$S27+SUMPRODUCT(V$5:V$27,后果有效剂量!$I$5:$I$27)*后果有效剂量!$T27+SUMPRODUCT(W$5:W$27,后果有效剂量!$I$5:$I$27)*后果有效剂量!$U27+SUMPRODUCT(R$5:R$27,后果有效剂量!$J$5:$J$27)*后果有效剂量!$Q27*后果有效剂量!$Q$3+SUMPRODUCT(S$5:S$27,后果有效剂量!$J$5:$J$27)*后果有效剂量!$Q27*后果有效剂量!$Q$3+SUMPRODUCT(T$5:T$27,后果有效剂量!$J$5:$J$27)*后果有效剂量!$R27*后果有效剂量!$R$3+SUMPRODUCT(U$5:U$27,后果有效剂量!$J$5:$J$27)*后果有效剂量!$S27*后果有效剂量!$S$3+SUMPRODUCT(V$5:V$27,后果有效剂量!$J$5:$J$27)*后果有效剂量!$T27*后果有效剂量!$T$3+SUMPRODUCT(W$5:W$27,后果有效剂量!$J$5:$J$27)*后果有效剂量!$U27*后果有效剂量!$U$3+SUMPRODUCT(R$5:R$27,后果有效剂量!$K$5:$K$27)*后果有效剂量!$Q27+SUMPRODUCT(S$5:S$27,后果有效剂量!$K$5:$K$27)*后果有效剂量!$Q27+SUMPRODUCT(T$5:T$27,后果有效剂量!$K$5:$K$27)*后果有效剂量!$R27+SUMPRODUCT(U$5:U$27,后果有效剂量!$K$5:$K$27)*后果有效剂量!$S27+SUMPRODUCT(V$5:V$27,后果有效剂量!$K$5:$K$27)*后果有效剂量!$T27+SUMPRODUCT(W$5:W$27,后果有效剂量!$K$5:$K$27)*后果有效剂量!$U27</f>
        <v>0</v>
      </c>
      <c r="S53" s="453">
        <f ca="1">SUMPRODUCT(R$5:R$27,后果甲状腺剂量!$I$5:$I$27)*后果甲状腺剂量!$Q27+SUMPRODUCT(S$5:S$27,后果甲状腺剂量!$I$5:$I$27)*后果甲状腺剂量!$Q27+SUMPRODUCT(T$5:T$27,后果甲状腺剂量!$I$5:$I$27)*后果甲状腺剂量!$R27+SUMPRODUCT(U$5:U$27,后果甲状腺剂量!$I$5:$I$27)*后果甲状腺剂量!$S27+SUMPRODUCT(V$5:V$27,后果甲状腺剂量!$I$5:$I$27)*后果甲状腺剂量!$T27+SUMPRODUCT(W$5:W$27,后果甲状腺剂量!$I$5:$I$27)*后果甲状腺剂量!$U27+SUMPRODUCT(R$5:R$27,后果甲状腺剂量!$J$5:$J$27)*后果甲状腺剂量!$Q27*后果甲状腺剂量!$Q$3+SUMPRODUCT(S$5:S$27,后果甲状腺剂量!$J$5:$J$27)*后果甲状腺剂量!$Q27*后果甲状腺剂量!$Q$3+SUMPRODUCT(T$5:T$27,后果甲状腺剂量!$J$5:$J$27)*后果甲状腺剂量!$R27*后果甲状腺剂量!$R$3+SUMPRODUCT(U$5:U$27,后果甲状腺剂量!$J$5:$J$27)*后果甲状腺剂量!$S27*后果甲状腺剂量!$S$3+SUMPRODUCT(V$5:V$27,后果甲状腺剂量!$J$5:$J$27)*后果甲状腺剂量!$T27*后果甲状腺剂量!$T$3+SUMPRODUCT(W$5:W$27,后果甲状腺剂量!$J$5:$J$27)*后果甲状腺剂量!$U27*后果甲状腺剂量!$U$3+SUMPRODUCT(R$5:R$27,后果甲状腺剂量!$K$5:$K$27)*后果甲状腺剂量!$Q27+SUMPRODUCT(S$5:S$27,后果甲状腺剂量!$K$5:$K$27)*后果甲状腺剂量!$Q27+SUMPRODUCT(T$5:T$27,后果甲状腺剂量!$K$5:$K$27)*后果甲状腺剂量!$R27+SUMPRODUCT(U$5:U$27,后果甲状腺剂量!$K$5:$K$27)*后果甲状腺剂量!$S27+SUMPRODUCT(V$5:V$27,后果甲状腺剂量!$K$5:$K$27)*后果甲状腺剂量!$T27+SUMPRODUCT(W$5:W$27,后果甲状腺剂量!$K$5:$K$27)*后果甲状腺剂量!$U27</f>
        <v>0</v>
      </c>
      <c r="T53" s="454">
        <f ca="1" t="shared" si="255"/>
        <v>0</v>
      </c>
      <c r="U53" s="454">
        <f ca="1" t="shared" si="256"/>
        <v>0</v>
      </c>
      <c r="V53" s="459">
        <f ca="1" t="shared" si="263"/>
        <v>0</v>
      </c>
      <c r="W53" s="459">
        <f ca="1" t="shared" si="264"/>
        <v>0</v>
      </c>
      <c r="FS53" s="441">
        <f>SUMPRODUCT(FS$5:FS$27,后果有效剂量!$I$5:$I$27)*后果有效剂量!$Q27+SUMPRODUCT(FT$5:FT$27,后果有效剂量!$I$5:$I$27)*后果有效剂量!$R27+SUMPRODUCT(FU$5:FU$27,后果有效剂量!$I$5:$I$27)*后果有效剂量!$S27+SUMPRODUCT(FV$5:FV$27,后果有效剂量!$I$5:$I$27)*后果有效剂量!$T27+SUMPRODUCT(FS$5:FS$27,后果有效剂量!$J$5:$J$27)*后果有效剂量!$Q27*后果有效剂量!$Q$3+SUMPRODUCT(FT$5:FT$27,后果有效剂量!$J$5:$J$27)*后果有效剂量!$R27*后果有效剂量!$R$3+SUMPRODUCT(FU$5:FU$27,后果有效剂量!$J$5:$J$27)*后果有效剂量!$S27*后果有效剂量!$S$3+SUMPRODUCT(FV$5:FV$27,后果有效剂量!$J$5:$J$27)*后果有效剂量!$T27*后果有效剂量!$T$3+SUMPRODUCT(FS$5:FS$27,后果有效剂量!$K$5:$K$27)*后果有效剂量!$Q27+SUMPRODUCT(FT$5:FT$27,后果有效剂量!$K$5:$K$27)*后果有效剂量!$R27+SUMPRODUCT(FU$5:FU$27,后果有效剂量!$K$5:$K$27)*后果有效剂量!$S27+SUMPRODUCT(FV$5:FV$27,后果有效剂量!$K$5:$K$27)*后果有效剂量!$T27</f>
        <v>0</v>
      </c>
      <c r="FT53" s="453">
        <f>SUMPRODUCT(FS$5:FS$27,后果甲状腺剂量!$I$5:$I$27)*后果甲状腺剂量!$Q27+SUMPRODUCT(FT$5:FT$27,后果甲状腺剂量!$I$5:$I$27)*后果甲状腺剂量!$R27+SUMPRODUCT(FU$5:FU$27,后果甲状腺剂量!$I$5:$I$27)*后果甲状腺剂量!$S27+SUMPRODUCT(FV$5:FV$27,后果甲状腺剂量!$I$5:$I$27)*后果甲状腺剂量!$T27+SUMPRODUCT(FS$5:FS$27,后果甲状腺剂量!$J$5:$J$27)*后果甲状腺剂量!$Q27*后果甲状腺剂量!$Q$3+SUMPRODUCT(FT$5:FT$27,后果甲状腺剂量!$J$5:$J$27)*后果甲状腺剂量!$R27*后果甲状腺剂量!$R$3+SUMPRODUCT(FU$5:FU$27,后果甲状腺剂量!$J$5:$J$27)*后果甲状腺剂量!$S27*后果甲状腺剂量!$S$3+SUMPRODUCT(FV$5:FV$27,后果甲状腺剂量!$J$5:$J$27)*后果甲状腺剂量!$T27*后果甲状腺剂量!$T$3+SUMPRODUCT(FS$5:FS$27,后果甲状腺剂量!$K$5:$K$27)*后果甲状腺剂量!$Q27+SUMPRODUCT(FT$5:FT$27,后果甲状腺剂量!$K$5:$K$27)*后果甲状腺剂量!$R27+SUMPRODUCT(FU$5:FU$27,后果甲状腺剂量!$K$5:$K$27)*后果甲状腺剂量!$S27+SUMPRODUCT(FV$5:FV$27,后果甲状腺剂量!$K$5:$K$27)*后果甲状腺剂量!$T27</f>
        <v>0</v>
      </c>
      <c r="FU53" s="454">
        <f t="shared" si="257"/>
        <v>0</v>
      </c>
      <c r="FV53" s="454">
        <f t="shared" si="258"/>
        <v>0</v>
      </c>
      <c r="FW53" s="459">
        <f t="shared" si="265"/>
        <v>0</v>
      </c>
      <c r="FX53" s="459">
        <f t="shared" si="266"/>
        <v>0</v>
      </c>
      <c r="GD53" s="440">
        <f>后果有效剂量!$P27</f>
        <v>0</v>
      </c>
      <c r="GE53" s="441">
        <f>SUMPRODUCT(GE$5:GE$27,后果有效剂量!$I$5:$I$27)*后果有效剂量!$Q27+SUMPRODUCT(GF$5:GF$27,后果有效剂量!$I$5:$I$27)*后果有效剂量!$R27+SUMPRODUCT(GG$5:GG$27,后果有效剂量!$I$5:$I$27)*后果有效剂量!$S27+(SUMPRODUCT(GH$5:GH$27,后果有效剂量!$I$5:$I$27)+SUMPRODUCT(GI$5:GI$27,后果有效剂量!$I$5:$I$27))*后果有效剂量!$T27+SUMPRODUCT(GJ$5:GJ$27,后果有效剂量!$I$5:$I$27)*后果有效剂量!$U27+SUMPRODUCT(GE$5:GE$27,后果有效剂量!$J$5:$J$27)*后果有效剂量!$Q27*后果有效剂量!$Q$3+SUMPRODUCT(GF$5:GF$27,后果有效剂量!$J$5:$J$27)*后果有效剂量!$R27*后果有效剂量!$R$3+SUMPRODUCT(GG$5:GG$27,后果有效剂量!$J$5:$J$27)*后果有效剂量!$S27*后果有效剂量!$S$3+(SUMPRODUCT(GH$5:GH$27,后果有效剂量!$J$5:$J$27)+SUMPRODUCT(GI$5:GI$27,后果有效剂量!$J$5:$J$27))*后果有效剂量!$T27*后果有效剂量!$T$3+SUMPRODUCT(GJ$5:GJ$27,后果有效剂量!$J$5:$J$27)*后果有效剂量!$U27*后果有效剂量!$U$3+SUMPRODUCT(GE$5:GE$27,后果有效剂量!$K$5:$K$27)*后果有效剂量!$Q27+SUMPRODUCT(GF$5:GF$27,后果有效剂量!$K$5:$K$27)*后果有效剂量!$R27+SUMPRODUCT(GG$5:GG$27,后果有效剂量!$K$5:$K$27)*后果有效剂量!$S27+(SUMPRODUCT(GH$5:GH$27,后果有效剂量!$K$5:$K$27)+SUMPRODUCT(GI$5:GI$27,后果有效剂量!$K$5:$K$27))*后果有效剂量!$T27+SUMPRODUCT(GJ$5:GJ$27,后果有效剂量!$K$5:$K$27)*后果有效剂量!$U27</f>
        <v>0</v>
      </c>
      <c r="GF53" s="453">
        <f>SUMPRODUCT(GE$5:GE$27,后果甲状腺剂量!$I$5:$I$27)*后果甲状腺剂量!$Q27+SUMPRODUCT(GF$5:GF$27,后果甲状腺剂量!$I$5:$I$27)*后果甲状腺剂量!$R27+SUMPRODUCT(GG$5:GG$27,后果甲状腺剂量!$I$5:$I$27)*后果甲状腺剂量!$S27+(SUMPRODUCT(GH$5:GH$27,后果甲状腺剂量!$I$5:$I$27)+SUMPRODUCT(GI$5:GI$27,后果甲状腺剂量!$I$5:$I$27))*后果甲状腺剂量!$T27+SUMPRODUCT(GJ$5:GJ$27,后果甲状腺剂量!$I$5:$I$27)*后果甲状腺剂量!$U27+SUMPRODUCT(GE$5:GE$27,后果甲状腺剂量!$J$5:$J$27)*后果甲状腺剂量!$Q27*后果甲状腺剂量!$Q$3+SUMPRODUCT(GF$5:GF$27,后果甲状腺剂量!$J$5:$J$27)*后果甲状腺剂量!$R27*后果甲状腺剂量!$R$3+SUMPRODUCT(GG$5:GG$27,后果甲状腺剂量!$J$5:$J$27)*后果甲状腺剂量!$S27*后果甲状腺剂量!$S$3+(SUMPRODUCT(GH$5:GH$27,后果甲状腺剂量!$J$5:$J$27)+SUMPRODUCT(GI$5:GI$27,后果甲状腺剂量!$J$5:$J$27))*后果甲状腺剂量!$T27*后果甲状腺剂量!$T$3+SUMPRODUCT(GJ$5:GJ$27,后果甲状腺剂量!$J$5:$J$27)*后果甲状腺剂量!$U27*后果甲状腺剂量!$U$3+SUMPRODUCT(GE$5:GE$27,后果甲状腺剂量!$K$5:$K$27)*后果甲状腺剂量!$Q27+SUMPRODUCT(GF$5:GF$27,后果甲状腺剂量!$K$5:$K$27)*后果甲状腺剂量!$R27+SUMPRODUCT(GG$5:GG$27,后果甲状腺剂量!$K$5:$K$27)*后果甲状腺剂量!$S27+(SUMPRODUCT(GH$5:GH$27,后果甲状腺剂量!$K$5:$K$27)+SUMPRODUCT(GI$5:GI$27,后果甲状腺剂量!$K$5:$K$27))*后果甲状腺剂量!$T27+SUMPRODUCT(GJ$5:GJ$27,后果甲状腺剂量!$K$5:$K$27)*后果甲状腺剂量!$U27</f>
        <v>0</v>
      </c>
      <c r="GG53" s="454">
        <f t="shared" si="259"/>
        <v>0</v>
      </c>
      <c r="GH53" s="454">
        <f t="shared" si="260"/>
        <v>0</v>
      </c>
      <c r="GI53" s="459">
        <f t="shared" si="267"/>
        <v>0</v>
      </c>
      <c r="GJ53" s="459">
        <f t="shared" si="268"/>
        <v>0</v>
      </c>
    </row>
    <row r="54" spans="7:192">
      <c r="G54" s="440">
        <f>后果有效剂量!$P28</f>
        <v>0</v>
      </c>
      <c r="H54" s="441">
        <f ca="1">SUMPRODUCT(H$5:H$27,后果有效剂量!$I$5:$I$27)*后果有效剂量!$Q28+SUMPRODUCT(I$5:I$27,后果有效剂量!$I$5:$I$27)*后果有效剂量!$Q28+SUMPRODUCT(J$5:J$27,后果有效剂量!$I$5:$I$27)*后果有效剂量!$R28+SUMPRODUCT(K$5:K$27,后果有效剂量!$I$5:$I$27)*后果有效剂量!$S28+SUMPRODUCT(L$5:L$27,后果有效剂量!$I$5:$I$27)*后果有效剂量!$T28+SUMPRODUCT(M$5:M$27,后果有效剂量!$I$5:$I$27)*后果有效剂量!$U28+SUMPRODUCT(H$5:H$27,后果有效剂量!$J$5:$J$27)*后果有效剂量!$Q28*后果有效剂量!$Q$3+SUMPRODUCT(I$5:I$27,后果有效剂量!$J$5:$J$27)*后果有效剂量!$Q28*后果有效剂量!$Q$3+SUMPRODUCT(J$5:J$27,后果有效剂量!$J$5:$J$27)*后果有效剂量!$R28*后果有效剂量!$R$3+SUMPRODUCT(K$5:K$27,后果有效剂量!$J$5:$J$27)*后果有效剂量!$S28*后果有效剂量!$S$3+SUMPRODUCT(L$5:L$27,后果有效剂量!$J$5:$J$27)*后果有效剂量!$T28*后果有效剂量!$T$3+SUMPRODUCT(M$5:M$27,后果有效剂量!$J$5:$J$27)*后果有效剂量!$U28*后果有效剂量!$U$3+SUMPRODUCT(H$5:H$27,后果有效剂量!$K$5:$K$27)*后果有效剂量!$Q28+SUMPRODUCT(I$5:I$27,后果有效剂量!$K$5:$K$27)*后果有效剂量!$Q28+SUMPRODUCT(J$5:J$27,后果有效剂量!$K$5:$K$27)*后果有效剂量!$R28+SUMPRODUCT(K$5:K$27,后果有效剂量!$K$5:$K$27)*后果有效剂量!$S28+SUMPRODUCT(L$5:L$27,后果有效剂量!$K$5:$K$27)*后果有效剂量!$T28+SUMPRODUCT(M$5:M$27,后果有效剂量!$K$5:$K$27)*后果有效剂量!$U28</f>
        <v>0</v>
      </c>
      <c r="I54" s="453">
        <f ca="1">SUMPRODUCT(H$5:H$27,后果甲状腺剂量!$I$5:$I$27)*后果甲状腺剂量!$Q28+SUMPRODUCT(I$5:I$27,后果甲状腺剂量!$I$5:$I$27)*后果甲状腺剂量!$Q28+SUMPRODUCT(J$5:J$27,后果甲状腺剂量!$I$5:$I$27)*后果甲状腺剂量!$R28+SUMPRODUCT(K$5:K$27,后果甲状腺剂量!$I$5:$I$27)*后果甲状腺剂量!$S28+SUMPRODUCT(L$5:L$27,后果甲状腺剂量!$I$5:$I$27)*后果甲状腺剂量!$T28+SUMPRODUCT(M$5:M$27,后果甲状腺剂量!$I$5:$I$27)*后果甲状腺剂量!$U28+SUMPRODUCT(H$5:H$27,后果甲状腺剂量!$J$5:$J$27)*后果甲状腺剂量!$Q28*后果甲状腺剂量!$Q$3+SUMPRODUCT(I$5:I$27,后果甲状腺剂量!$J$5:$J$27)*后果甲状腺剂量!$Q28*后果甲状腺剂量!$Q$3+SUMPRODUCT(J$5:J$27,后果甲状腺剂量!$J$5:$J$27)*后果甲状腺剂量!$R28*后果甲状腺剂量!$R$3+SUMPRODUCT(K$5:K$27,后果甲状腺剂量!$J$5:$J$27)*后果甲状腺剂量!$S28*后果甲状腺剂量!$S$3+SUMPRODUCT(L$5:L$27,后果甲状腺剂量!$J$5:$J$27)*后果甲状腺剂量!$T28*后果甲状腺剂量!$T$3+SUMPRODUCT(M$5:M$27,后果甲状腺剂量!$J$5:$J$27)*后果甲状腺剂量!$U28*后果甲状腺剂量!$U$3+SUMPRODUCT(H$5:H$27,后果甲状腺剂量!$K$5:$K$27)*后果甲状腺剂量!$Q28+SUMPRODUCT(I$5:I$27,后果甲状腺剂量!$K$5:$K$27)*后果甲状腺剂量!$Q28+SUMPRODUCT(J$5:J$27,后果甲状腺剂量!$K$5:$K$27)*后果甲状腺剂量!$R28+SUMPRODUCT(K$5:K$27,后果甲状腺剂量!$K$5:$K$27)*后果甲状腺剂量!$S28+SUMPRODUCT(L$5:L$27,后果甲状腺剂量!$K$5:$K$27)*后果甲状腺剂量!$T28+SUMPRODUCT(M$5:M$27,后果甲状腺剂量!$K$5:$K$27)*后果甲状腺剂量!$U28</f>
        <v>0</v>
      </c>
      <c r="J54" s="454">
        <f ca="1" t="shared" si="253"/>
        <v>0</v>
      </c>
      <c r="K54" s="454">
        <f ca="1" t="shared" si="254"/>
        <v>0</v>
      </c>
      <c r="L54" s="459">
        <f ca="1" t="shared" si="261"/>
        <v>0</v>
      </c>
      <c r="M54" s="459">
        <f ca="1" t="shared" si="262"/>
        <v>0</v>
      </c>
      <c r="Q54" s="440">
        <f>后果有效剂量!$P28</f>
        <v>0</v>
      </c>
      <c r="R54" s="441">
        <f ca="1">SUMPRODUCT(R$5:R$27,后果有效剂量!$I$5:$I$27)*后果有效剂量!$Q28+SUMPRODUCT(S$5:S$27,后果有效剂量!$I$5:$I$27)*后果有效剂量!$Q28+SUMPRODUCT(T$5:T$27,后果有效剂量!$I$5:$I$27)*后果有效剂量!$R28+SUMPRODUCT(U$5:U$27,后果有效剂量!$I$5:$I$27)*后果有效剂量!$S28+SUMPRODUCT(V$5:V$27,后果有效剂量!$I$5:$I$27)*后果有效剂量!$T28+SUMPRODUCT(W$5:W$27,后果有效剂量!$I$5:$I$27)*后果有效剂量!$U28+SUMPRODUCT(R$5:R$27,后果有效剂量!$J$5:$J$27)*后果有效剂量!$Q28*后果有效剂量!$Q$3+SUMPRODUCT(S$5:S$27,后果有效剂量!$J$5:$J$27)*后果有效剂量!$Q28*后果有效剂量!$Q$3+SUMPRODUCT(T$5:T$27,后果有效剂量!$J$5:$J$27)*后果有效剂量!$R28*后果有效剂量!$R$3+SUMPRODUCT(U$5:U$27,后果有效剂量!$J$5:$J$27)*后果有效剂量!$S28*后果有效剂量!$S$3+SUMPRODUCT(V$5:V$27,后果有效剂量!$J$5:$J$27)*后果有效剂量!$T28*后果有效剂量!$T$3+SUMPRODUCT(W$5:W$27,后果有效剂量!$J$5:$J$27)*后果有效剂量!$U28*后果有效剂量!$U$3+SUMPRODUCT(R$5:R$27,后果有效剂量!$K$5:$K$27)*后果有效剂量!$Q28+SUMPRODUCT(S$5:S$27,后果有效剂量!$K$5:$K$27)*后果有效剂量!$Q28+SUMPRODUCT(T$5:T$27,后果有效剂量!$K$5:$K$27)*后果有效剂量!$R28+SUMPRODUCT(U$5:U$27,后果有效剂量!$K$5:$K$27)*后果有效剂量!$S28+SUMPRODUCT(V$5:V$27,后果有效剂量!$K$5:$K$27)*后果有效剂量!$T28+SUMPRODUCT(W$5:W$27,后果有效剂量!$K$5:$K$27)*后果有效剂量!$U28</f>
        <v>0</v>
      </c>
      <c r="S54" s="453">
        <f ca="1">SUMPRODUCT(R$5:R$27,后果甲状腺剂量!$I$5:$I$27)*后果甲状腺剂量!$Q28+SUMPRODUCT(S$5:S$27,后果甲状腺剂量!$I$5:$I$27)*后果甲状腺剂量!$Q28+SUMPRODUCT(T$5:T$27,后果甲状腺剂量!$I$5:$I$27)*后果甲状腺剂量!$R28+SUMPRODUCT(U$5:U$27,后果甲状腺剂量!$I$5:$I$27)*后果甲状腺剂量!$S28+SUMPRODUCT(V$5:V$27,后果甲状腺剂量!$I$5:$I$27)*后果甲状腺剂量!$T28+SUMPRODUCT(W$5:W$27,后果甲状腺剂量!$I$5:$I$27)*后果甲状腺剂量!$U28+SUMPRODUCT(R$5:R$27,后果甲状腺剂量!$J$5:$J$27)*后果甲状腺剂量!$Q28*后果甲状腺剂量!$Q$3+SUMPRODUCT(S$5:S$27,后果甲状腺剂量!$J$5:$J$27)*后果甲状腺剂量!$Q28*后果甲状腺剂量!$Q$3+SUMPRODUCT(T$5:T$27,后果甲状腺剂量!$J$5:$J$27)*后果甲状腺剂量!$R28*后果甲状腺剂量!$R$3+SUMPRODUCT(U$5:U$27,后果甲状腺剂量!$J$5:$J$27)*后果甲状腺剂量!$S28*后果甲状腺剂量!$S$3+SUMPRODUCT(V$5:V$27,后果甲状腺剂量!$J$5:$J$27)*后果甲状腺剂量!$T28*后果甲状腺剂量!$T$3+SUMPRODUCT(W$5:W$27,后果甲状腺剂量!$J$5:$J$27)*后果甲状腺剂量!$U28*后果甲状腺剂量!$U$3+SUMPRODUCT(R$5:R$27,后果甲状腺剂量!$K$5:$K$27)*后果甲状腺剂量!$Q28+SUMPRODUCT(S$5:S$27,后果甲状腺剂量!$K$5:$K$27)*后果甲状腺剂量!$Q28+SUMPRODUCT(T$5:T$27,后果甲状腺剂量!$K$5:$K$27)*后果甲状腺剂量!$R28+SUMPRODUCT(U$5:U$27,后果甲状腺剂量!$K$5:$K$27)*后果甲状腺剂量!$S28+SUMPRODUCT(V$5:V$27,后果甲状腺剂量!$K$5:$K$27)*后果甲状腺剂量!$T28+SUMPRODUCT(W$5:W$27,后果甲状腺剂量!$K$5:$K$27)*后果甲状腺剂量!$U28</f>
        <v>0</v>
      </c>
      <c r="T54" s="454">
        <f ca="1" t="shared" si="255"/>
        <v>0</v>
      </c>
      <c r="U54" s="454">
        <f ca="1" t="shared" si="256"/>
        <v>0</v>
      </c>
      <c r="V54" s="459">
        <f ca="1" t="shared" si="263"/>
        <v>0</v>
      </c>
      <c r="W54" s="459">
        <f ca="1" t="shared" si="264"/>
        <v>0</v>
      </c>
      <c r="FS54" s="441">
        <f>SUMPRODUCT(FS$5:FS$27,后果有效剂量!$I$5:$I$27)*后果有效剂量!$Q28+SUMPRODUCT(FT$5:FT$27,后果有效剂量!$I$5:$I$27)*后果有效剂量!$R28+SUMPRODUCT(FU$5:FU$27,后果有效剂量!$I$5:$I$27)*后果有效剂量!$S28+SUMPRODUCT(FV$5:FV$27,后果有效剂量!$I$5:$I$27)*后果有效剂量!$T28+SUMPRODUCT(FS$5:FS$27,后果有效剂量!$J$5:$J$27)*后果有效剂量!$Q28*后果有效剂量!$Q$3+SUMPRODUCT(FT$5:FT$27,后果有效剂量!$J$5:$J$27)*后果有效剂量!$R28*后果有效剂量!$R$3+SUMPRODUCT(FU$5:FU$27,后果有效剂量!$J$5:$J$27)*后果有效剂量!$S28*后果有效剂量!$S$3+SUMPRODUCT(FV$5:FV$27,后果有效剂量!$J$5:$J$27)*后果有效剂量!$T28*后果有效剂量!$T$3+SUMPRODUCT(FS$5:FS$27,后果有效剂量!$K$5:$K$27)*后果有效剂量!$Q28+SUMPRODUCT(FT$5:FT$27,后果有效剂量!$K$5:$K$27)*后果有效剂量!$R28+SUMPRODUCT(FU$5:FU$27,后果有效剂量!$K$5:$K$27)*后果有效剂量!$S28+SUMPRODUCT(FV$5:FV$27,后果有效剂量!$K$5:$K$27)*后果有效剂量!$T28</f>
        <v>0</v>
      </c>
      <c r="FT54" s="453">
        <f>SUMPRODUCT(FS$5:FS$27,后果甲状腺剂量!$I$5:$I$27)*后果甲状腺剂量!$Q28+SUMPRODUCT(FT$5:FT$27,后果甲状腺剂量!$I$5:$I$27)*后果甲状腺剂量!$R28+SUMPRODUCT(FU$5:FU$27,后果甲状腺剂量!$I$5:$I$27)*后果甲状腺剂量!$S28+SUMPRODUCT(FV$5:FV$27,后果甲状腺剂量!$I$5:$I$27)*后果甲状腺剂量!$T28+SUMPRODUCT(FS$5:FS$27,后果甲状腺剂量!$J$5:$J$27)*后果甲状腺剂量!$Q28*后果甲状腺剂量!$Q$3+SUMPRODUCT(FT$5:FT$27,后果甲状腺剂量!$J$5:$J$27)*后果甲状腺剂量!$R28*后果甲状腺剂量!$R$3+SUMPRODUCT(FU$5:FU$27,后果甲状腺剂量!$J$5:$J$27)*后果甲状腺剂量!$S28*后果甲状腺剂量!$S$3+SUMPRODUCT(FV$5:FV$27,后果甲状腺剂量!$J$5:$J$27)*后果甲状腺剂量!$T28*后果甲状腺剂量!$T$3+SUMPRODUCT(FS$5:FS$27,后果甲状腺剂量!$K$5:$K$27)*后果甲状腺剂量!$Q28+SUMPRODUCT(FT$5:FT$27,后果甲状腺剂量!$K$5:$K$27)*后果甲状腺剂量!$R28+SUMPRODUCT(FU$5:FU$27,后果甲状腺剂量!$K$5:$K$27)*后果甲状腺剂量!$S28+SUMPRODUCT(FV$5:FV$27,后果甲状腺剂量!$K$5:$K$27)*后果甲状腺剂量!$T28</f>
        <v>0</v>
      </c>
      <c r="FU54" s="454">
        <f t="shared" si="257"/>
        <v>0</v>
      </c>
      <c r="FV54" s="454">
        <f t="shared" si="258"/>
        <v>0</v>
      </c>
      <c r="FW54" s="459">
        <f t="shared" si="265"/>
        <v>0</v>
      </c>
      <c r="FX54" s="459">
        <f t="shared" si="266"/>
        <v>0</v>
      </c>
      <c r="GD54" s="440">
        <f>后果有效剂量!$P28</f>
        <v>0</v>
      </c>
      <c r="GE54" s="441">
        <f>SUMPRODUCT(GE$5:GE$27,后果有效剂量!$I$5:$I$27)*后果有效剂量!$Q28+SUMPRODUCT(GF$5:GF$27,后果有效剂量!$I$5:$I$27)*后果有效剂量!$R28+SUMPRODUCT(GG$5:GG$27,后果有效剂量!$I$5:$I$27)*后果有效剂量!$S28+(SUMPRODUCT(GH$5:GH$27,后果有效剂量!$I$5:$I$27)+SUMPRODUCT(GI$5:GI$27,后果有效剂量!$I$5:$I$27))*后果有效剂量!$T28+SUMPRODUCT(GJ$5:GJ$27,后果有效剂量!$I$5:$I$27)*后果有效剂量!$U28+SUMPRODUCT(GE$5:GE$27,后果有效剂量!$J$5:$J$27)*后果有效剂量!$Q28*后果有效剂量!$Q$3+SUMPRODUCT(GF$5:GF$27,后果有效剂量!$J$5:$J$27)*后果有效剂量!$R28*后果有效剂量!$R$3+SUMPRODUCT(GG$5:GG$27,后果有效剂量!$J$5:$J$27)*后果有效剂量!$S28*后果有效剂量!$S$3+(SUMPRODUCT(GH$5:GH$27,后果有效剂量!$J$5:$J$27)+SUMPRODUCT(GI$5:GI$27,后果有效剂量!$J$5:$J$27))*后果有效剂量!$T28*后果有效剂量!$T$3+SUMPRODUCT(GJ$5:GJ$27,后果有效剂量!$J$5:$J$27)*后果有效剂量!$U28*后果有效剂量!$U$3+SUMPRODUCT(GE$5:GE$27,后果有效剂量!$K$5:$K$27)*后果有效剂量!$Q28+SUMPRODUCT(GF$5:GF$27,后果有效剂量!$K$5:$K$27)*后果有效剂量!$R28+SUMPRODUCT(GG$5:GG$27,后果有效剂量!$K$5:$K$27)*后果有效剂量!$S28+(SUMPRODUCT(GH$5:GH$27,后果有效剂量!$K$5:$K$27)+SUMPRODUCT(GI$5:GI$27,后果有效剂量!$K$5:$K$27))*后果有效剂量!$T28+SUMPRODUCT(GJ$5:GJ$27,后果有效剂量!$K$5:$K$27)*后果有效剂量!$U28</f>
        <v>0</v>
      </c>
      <c r="GF54" s="453">
        <f>SUMPRODUCT(GE$5:GE$27,后果甲状腺剂量!$I$5:$I$27)*后果甲状腺剂量!$Q28+SUMPRODUCT(GF$5:GF$27,后果甲状腺剂量!$I$5:$I$27)*后果甲状腺剂量!$R28+SUMPRODUCT(GG$5:GG$27,后果甲状腺剂量!$I$5:$I$27)*后果甲状腺剂量!$S28+(SUMPRODUCT(GH$5:GH$27,后果甲状腺剂量!$I$5:$I$27)+SUMPRODUCT(GI$5:GI$27,后果甲状腺剂量!$I$5:$I$27))*后果甲状腺剂量!$T28+SUMPRODUCT(GJ$5:GJ$27,后果甲状腺剂量!$I$5:$I$27)*后果甲状腺剂量!$U28+SUMPRODUCT(GE$5:GE$27,后果甲状腺剂量!$J$5:$J$27)*后果甲状腺剂量!$Q28*后果甲状腺剂量!$Q$3+SUMPRODUCT(GF$5:GF$27,后果甲状腺剂量!$J$5:$J$27)*后果甲状腺剂量!$R28*后果甲状腺剂量!$R$3+SUMPRODUCT(GG$5:GG$27,后果甲状腺剂量!$J$5:$J$27)*后果甲状腺剂量!$S28*后果甲状腺剂量!$S$3+(SUMPRODUCT(GH$5:GH$27,后果甲状腺剂量!$J$5:$J$27)+SUMPRODUCT(GI$5:GI$27,后果甲状腺剂量!$J$5:$J$27))*后果甲状腺剂量!$T28*后果甲状腺剂量!$T$3+SUMPRODUCT(GJ$5:GJ$27,后果甲状腺剂量!$J$5:$J$27)*后果甲状腺剂量!$U28*后果甲状腺剂量!$U$3+SUMPRODUCT(GE$5:GE$27,后果甲状腺剂量!$K$5:$K$27)*后果甲状腺剂量!$Q28+SUMPRODUCT(GF$5:GF$27,后果甲状腺剂量!$K$5:$K$27)*后果甲状腺剂量!$R28+SUMPRODUCT(GG$5:GG$27,后果甲状腺剂量!$K$5:$K$27)*后果甲状腺剂量!$S28+(SUMPRODUCT(GH$5:GH$27,后果甲状腺剂量!$K$5:$K$27)+SUMPRODUCT(GI$5:GI$27,后果甲状腺剂量!$K$5:$K$27))*后果甲状腺剂量!$T28+SUMPRODUCT(GJ$5:GJ$27,后果甲状腺剂量!$K$5:$K$27)*后果甲状腺剂量!$U28</f>
        <v>0</v>
      </c>
      <c r="GG54" s="454">
        <f t="shared" si="259"/>
        <v>0</v>
      </c>
      <c r="GH54" s="454">
        <f t="shared" si="260"/>
        <v>0</v>
      </c>
      <c r="GI54" s="459">
        <f t="shared" si="267"/>
        <v>0</v>
      </c>
      <c r="GJ54" s="459">
        <f t="shared" si="268"/>
        <v>0</v>
      </c>
    </row>
    <row r="55" spans="7:192">
      <c r="G55" s="440">
        <f>后果有效剂量!$P29</f>
        <v>0</v>
      </c>
      <c r="H55" s="441">
        <f ca="1">SUMPRODUCT(H$5:H$27,后果有效剂量!$I$5:$I$27)*后果有效剂量!$Q29+SUMPRODUCT(I$5:I$27,后果有效剂量!$I$5:$I$27)*后果有效剂量!$Q29+SUMPRODUCT(J$5:J$27,后果有效剂量!$I$5:$I$27)*后果有效剂量!$R29+SUMPRODUCT(K$5:K$27,后果有效剂量!$I$5:$I$27)*后果有效剂量!$S29+SUMPRODUCT(L$5:L$27,后果有效剂量!$I$5:$I$27)*后果有效剂量!$T29+SUMPRODUCT(M$5:M$27,后果有效剂量!$I$5:$I$27)*后果有效剂量!$U29+SUMPRODUCT(H$5:H$27,后果有效剂量!$J$5:$J$27)*后果有效剂量!$Q29*后果有效剂量!$Q$3+SUMPRODUCT(I$5:I$27,后果有效剂量!$J$5:$J$27)*后果有效剂量!$Q29*后果有效剂量!$Q$3+SUMPRODUCT(J$5:J$27,后果有效剂量!$J$5:$J$27)*后果有效剂量!$R29*后果有效剂量!$R$3+SUMPRODUCT(K$5:K$27,后果有效剂量!$J$5:$J$27)*后果有效剂量!$S29*后果有效剂量!$S$3+SUMPRODUCT(L$5:L$27,后果有效剂量!$J$5:$J$27)*后果有效剂量!$T29*后果有效剂量!$T$3+SUMPRODUCT(M$5:M$27,后果有效剂量!$J$5:$J$27)*后果有效剂量!$U29*后果有效剂量!$U$3+SUMPRODUCT(H$5:H$27,后果有效剂量!$K$5:$K$27)*后果有效剂量!$Q29+SUMPRODUCT(I$5:I$27,后果有效剂量!$K$5:$K$27)*后果有效剂量!$Q29+SUMPRODUCT(J$5:J$27,后果有效剂量!$K$5:$K$27)*后果有效剂量!$R29+SUMPRODUCT(K$5:K$27,后果有效剂量!$K$5:$K$27)*后果有效剂量!$S29+SUMPRODUCT(L$5:L$27,后果有效剂量!$K$5:$K$27)*后果有效剂量!$T29+SUMPRODUCT(M$5:M$27,后果有效剂量!$K$5:$K$27)*后果有效剂量!$U29</f>
        <v>0</v>
      </c>
      <c r="I55" s="453">
        <f ca="1">SUMPRODUCT(H$5:H$27,后果甲状腺剂量!$I$5:$I$27)*后果甲状腺剂量!$Q29+SUMPRODUCT(I$5:I$27,后果甲状腺剂量!$I$5:$I$27)*后果甲状腺剂量!$Q29+SUMPRODUCT(J$5:J$27,后果甲状腺剂量!$I$5:$I$27)*后果甲状腺剂量!$R29+SUMPRODUCT(K$5:K$27,后果甲状腺剂量!$I$5:$I$27)*后果甲状腺剂量!$S29+SUMPRODUCT(L$5:L$27,后果甲状腺剂量!$I$5:$I$27)*后果甲状腺剂量!$T29+SUMPRODUCT(M$5:M$27,后果甲状腺剂量!$I$5:$I$27)*后果甲状腺剂量!$U29+SUMPRODUCT(H$5:H$27,后果甲状腺剂量!$J$5:$J$27)*后果甲状腺剂量!$Q29*后果甲状腺剂量!$Q$3+SUMPRODUCT(I$5:I$27,后果甲状腺剂量!$J$5:$J$27)*后果甲状腺剂量!$Q29*后果甲状腺剂量!$Q$3+SUMPRODUCT(J$5:J$27,后果甲状腺剂量!$J$5:$J$27)*后果甲状腺剂量!$R29*后果甲状腺剂量!$R$3+SUMPRODUCT(K$5:K$27,后果甲状腺剂量!$J$5:$J$27)*后果甲状腺剂量!$S29*后果甲状腺剂量!$S$3+SUMPRODUCT(L$5:L$27,后果甲状腺剂量!$J$5:$J$27)*后果甲状腺剂量!$T29*后果甲状腺剂量!$T$3+SUMPRODUCT(M$5:M$27,后果甲状腺剂量!$J$5:$J$27)*后果甲状腺剂量!$U29*后果甲状腺剂量!$U$3+SUMPRODUCT(H$5:H$27,后果甲状腺剂量!$K$5:$K$27)*后果甲状腺剂量!$Q29+SUMPRODUCT(I$5:I$27,后果甲状腺剂量!$K$5:$K$27)*后果甲状腺剂量!$Q29+SUMPRODUCT(J$5:J$27,后果甲状腺剂量!$K$5:$K$27)*后果甲状腺剂量!$R29+SUMPRODUCT(K$5:K$27,后果甲状腺剂量!$K$5:$K$27)*后果甲状腺剂量!$S29+SUMPRODUCT(L$5:L$27,后果甲状腺剂量!$K$5:$K$27)*后果甲状腺剂量!$T29+SUMPRODUCT(M$5:M$27,后果甲状腺剂量!$K$5:$K$27)*后果甲状腺剂量!$U29</f>
        <v>0</v>
      </c>
      <c r="J55" s="454">
        <f ca="1" t="shared" si="253"/>
        <v>0</v>
      </c>
      <c r="K55" s="454">
        <f ca="1" t="shared" si="254"/>
        <v>0</v>
      </c>
      <c r="L55" s="459">
        <f ca="1" t="shared" si="261"/>
        <v>0</v>
      </c>
      <c r="M55" s="459">
        <f ca="1" t="shared" si="262"/>
        <v>0</v>
      </c>
      <c r="Q55" s="440">
        <f>后果有效剂量!$P29</f>
        <v>0</v>
      </c>
      <c r="R55" s="441">
        <f ca="1">SUMPRODUCT(R$5:R$27,后果有效剂量!$I$5:$I$27)*后果有效剂量!$Q29+SUMPRODUCT(S$5:S$27,后果有效剂量!$I$5:$I$27)*后果有效剂量!$Q29+SUMPRODUCT(T$5:T$27,后果有效剂量!$I$5:$I$27)*后果有效剂量!$R29+SUMPRODUCT(U$5:U$27,后果有效剂量!$I$5:$I$27)*后果有效剂量!$S29+SUMPRODUCT(V$5:V$27,后果有效剂量!$I$5:$I$27)*后果有效剂量!$T29+SUMPRODUCT(W$5:W$27,后果有效剂量!$I$5:$I$27)*后果有效剂量!$U29+SUMPRODUCT(R$5:R$27,后果有效剂量!$J$5:$J$27)*后果有效剂量!$Q29*后果有效剂量!$Q$3+SUMPRODUCT(S$5:S$27,后果有效剂量!$J$5:$J$27)*后果有效剂量!$Q29*后果有效剂量!$Q$3+SUMPRODUCT(T$5:T$27,后果有效剂量!$J$5:$J$27)*后果有效剂量!$R29*后果有效剂量!$R$3+SUMPRODUCT(U$5:U$27,后果有效剂量!$J$5:$J$27)*后果有效剂量!$S29*后果有效剂量!$S$3+SUMPRODUCT(V$5:V$27,后果有效剂量!$J$5:$J$27)*后果有效剂量!$T29*后果有效剂量!$T$3+SUMPRODUCT(W$5:W$27,后果有效剂量!$J$5:$J$27)*后果有效剂量!$U29*后果有效剂量!$U$3+SUMPRODUCT(R$5:R$27,后果有效剂量!$K$5:$K$27)*后果有效剂量!$Q29+SUMPRODUCT(S$5:S$27,后果有效剂量!$K$5:$K$27)*后果有效剂量!$Q29+SUMPRODUCT(T$5:T$27,后果有效剂量!$K$5:$K$27)*后果有效剂量!$R29+SUMPRODUCT(U$5:U$27,后果有效剂量!$K$5:$K$27)*后果有效剂量!$S29+SUMPRODUCT(V$5:V$27,后果有效剂量!$K$5:$K$27)*后果有效剂量!$T29+SUMPRODUCT(W$5:W$27,后果有效剂量!$K$5:$K$27)*后果有效剂量!$U29</f>
        <v>0</v>
      </c>
      <c r="S55" s="453">
        <f ca="1">SUMPRODUCT(R$5:R$27,后果甲状腺剂量!$I$5:$I$27)*后果甲状腺剂量!$Q29+SUMPRODUCT(S$5:S$27,后果甲状腺剂量!$I$5:$I$27)*后果甲状腺剂量!$Q29+SUMPRODUCT(T$5:T$27,后果甲状腺剂量!$I$5:$I$27)*后果甲状腺剂量!$R29+SUMPRODUCT(U$5:U$27,后果甲状腺剂量!$I$5:$I$27)*后果甲状腺剂量!$S29+SUMPRODUCT(V$5:V$27,后果甲状腺剂量!$I$5:$I$27)*后果甲状腺剂量!$T29+SUMPRODUCT(W$5:W$27,后果甲状腺剂量!$I$5:$I$27)*后果甲状腺剂量!$U29+SUMPRODUCT(R$5:R$27,后果甲状腺剂量!$J$5:$J$27)*后果甲状腺剂量!$Q29*后果甲状腺剂量!$Q$3+SUMPRODUCT(S$5:S$27,后果甲状腺剂量!$J$5:$J$27)*后果甲状腺剂量!$Q29*后果甲状腺剂量!$Q$3+SUMPRODUCT(T$5:T$27,后果甲状腺剂量!$J$5:$J$27)*后果甲状腺剂量!$R29*后果甲状腺剂量!$R$3+SUMPRODUCT(U$5:U$27,后果甲状腺剂量!$J$5:$J$27)*后果甲状腺剂量!$S29*后果甲状腺剂量!$S$3+SUMPRODUCT(V$5:V$27,后果甲状腺剂量!$J$5:$J$27)*后果甲状腺剂量!$T29*后果甲状腺剂量!$T$3+SUMPRODUCT(W$5:W$27,后果甲状腺剂量!$J$5:$J$27)*后果甲状腺剂量!$U29*后果甲状腺剂量!$U$3+SUMPRODUCT(R$5:R$27,后果甲状腺剂量!$K$5:$K$27)*后果甲状腺剂量!$Q29+SUMPRODUCT(S$5:S$27,后果甲状腺剂量!$K$5:$K$27)*后果甲状腺剂量!$Q29+SUMPRODUCT(T$5:T$27,后果甲状腺剂量!$K$5:$K$27)*后果甲状腺剂量!$R29+SUMPRODUCT(U$5:U$27,后果甲状腺剂量!$K$5:$K$27)*后果甲状腺剂量!$S29+SUMPRODUCT(V$5:V$27,后果甲状腺剂量!$K$5:$K$27)*后果甲状腺剂量!$T29+SUMPRODUCT(W$5:W$27,后果甲状腺剂量!$K$5:$K$27)*后果甲状腺剂量!$U29</f>
        <v>0</v>
      </c>
      <c r="T55" s="454">
        <f ca="1" t="shared" si="255"/>
        <v>0</v>
      </c>
      <c r="U55" s="454">
        <f ca="1" t="shared" si="256"/>
        <v>0</v>
      </c>
      <c r="V55" s="459">
        <f ca="1" t="shared" si="263"/>
        <v>0</v>
      </c>
      <c r="W55" s="459">
        <f ca="1" t="shared" si="264"/>
        <v>0</v>
      </c>
      <c r="FS55" s="441">
        <f>SUMPRODUCT(FS$5:FS$27,后果有效剂量!$I$5:$I$27)*后果有效剂量!$Q29+SUMPRODUCT(FT$5:FT$27,后果有效剂量!$I$5:$I$27)*后果有效剂量!$R29+SUMPRODUCT(FU$5:FU$27,后果有效剂量!$I$5:$I$27)*后果有效剂量!$S29+SUMPRODUCT(FV$5:FV$27,后果有效剂量!$I$5:$I$27)*后果有效剂量!$T29+SUMPRODUCT(FS$5:FS$27,后果有效剂量!$J$5:$J$27)*后果有效剂量!$Q29*后果有效剂量!$Q$3+SUMPRODUCT(FT$5:FT$27,后果有效剂量!$J$5:$J$27)*后果有效剂量!$R29*后果有效剂量!$R$3+SUMPRODUCT(FU$5:FU$27,后果有效剂量!$J$5:$J$27)*后果有效剂量!$S29*后果有效剂量!$S$3+SUMPRODUCT(FV$5:FV$27,后果有效剂量!$J$5:$J$27)*后果有效剂量!$T29*后果有效剂量!$T$3+SUMPRODUCT(FS$5:FS$27,后果有效剂量!$K$5:$K$27)*后果有效剂量!$Q29+SUMPRODUCT(FT$5:FT$27,后果有效剂量!$K$5:$K$27)*后果有效剂量!$R29+SUMPRODUCT(FU$5:FU$27,后果有效剂量!$K$5:$K$27)*后果有效剂量!$S29+SUMPRODUCT(FV$5:FV$27,后果有效剂量!$K$5:$K$27)*后果有效剂量!$T29</f>
        <v>0</v>
      </c>
      <c r="FT55" s="453">
        <f>SUMPRODUCT(FS$5:FS$27,后果甲状腺剂量!$I$5:$I$27)*后果甲状腺剂量!$Q29+SUMPRODUCT(FT$5:FT$27,后果甲状腺剂量!$I$5:$I$27)*后果甲状腺剂量!$R29+SUMPRODUCT(FU$5:FU$27,后果甲状腺剂量!$I$5:$I$27)*后果甲状腺剂量!$S29+SUMPRODUCT(FV$5:FV$27,后果甲状腺剂量!$I$5:$I$27)*后果甲状腺剂量!$T29+SUMPRODUCT(FS$5:FS$27,后果甲状腺剂量!$J$5:$J$27)*后果甲状腺剂量!$Q29*后果甲状腺剂量!$Q$3+SUMPRODUCT(FT$5:FT$27,后果甲状腺剂量!$J$5:$J$27)*后果甲状腺剂量!$R29*后果甲状腺剂量!$R$3+SUMPRODUCT(FU$5:FU$27,后果甲状腺剂量!$J$5:$J$27)*后果甲状腺剂量!$S29*后果甲状腺剂量!$S$3+SUMPRODUCT(FV$5:FV$27,后果甲状腺剂量!$J$5:$J$27)*后果甲状腺剂量!$T29*后果甲状腺剂量!$T$3+SUMPRODUCT(FS$5:FS$27,后果甲状腺剂量!$K$5:$K$27)*后果甲状腺剂量!$Q29+SUMPRODUCT(FT$5:FT$27,后果甲状腺剂量!$K$5:$K$27)*后果甲状腺剂量!$R29+SUMPRODUCT(FU$5:FU$27,后果甲状腺剂量!$K$5:$K$27)*后果甲状腺剂量!$S29+SUMPRODUCT(FV$5:FV$27,后果甲状腺剂量!$K$5:$K$27)*后果甲状腺剂量!$T29</f>
        <v>0</v>
      </c>
      <c r="FU55" s="454">
        <f t="shared" si="257"/>
        <v>0</v>
      </c>
      <c r="FV55" s="454">
        <f t="shared" si="258"/>
        <v>0</v>
      </c>
      <c r="FW55" s="459">
        <f t="shared" si="265"/>
        <v>0</v>
      </c>
      <c r="FX55" s="459">
        <f t="shared" si="266"/>
        <v>0</v>
      </c>
      <c r="GD55" s="440">
        <f>后果有效剂量!$P29</f>
        <v>0</v>
      </c>
      <c r="GE55" s="441">
        <f>SUMPRODUCT(GE$5:GE$27,后果有效剂量!$I$5:$I$27)*后果有效剂量!$Q29+SUMPRODUCT(GF$5:GF$27,后果有效剂量!$I$5:$I$27)*后果有效剂量!$R29+SUMPRODUCT(GG$5:GG$27,后果有效剂量!$I$5:$I$27)*后果有效剂量!$S29+(SUMPRODUCT(GH$5:GH$27,后果有效剂量!$I$5:$I$27)+SUMPRODUCT(GI$5:GI$27,后果有效剂量!$I$5:$I$27))*后果有效剂量!$T29+SUMPRODUCT(GJ$5:GJ$27,后果有效剂量!$I$5:$I$27)*后果有效剂量!$U29+SUMPRODUCT(GE$5:GE$27,后果有效剂量!$J$5:$J$27)*后果有效剂量!$Q29*后果有效剂量!$Q$3+SUMPRODUCT(GF$5:GF$27,后果有效剂量!$J$5:$J$27)*后果有效剂量!$R29*后果有效剂量!$R$3+SUMPRODUCT(GG$5:GG$27,后果有效剂量!$J$5:$J$27)*后果有效剂量!$S29*后果有效剂量!$S$3+(SUMPRODUCT(GH$5:GH$27,后果有效剂量!$J$5:$J$27)+SUMPRODUCT(GI$5:GI$27,后果有效剂量!$J$5:$J$27))*后果有效剂量!$T29*后果有效剂量!$T$3+SUMPRODUCT(GJ$5:GJ$27,后果有效剂量!$J$5:$J$27)*后果有效剂量!$U29*后果有效剂量!$U$3+SUMPRODUCT(GE$5:GE$27,后果有效剂量!$K$5:$K$27)*后果有效剂量!$Q29+SUMPRODUCT(GF$5:GF$27,后果有效剂量!$K$5:$K$27)*后果有效剂量!$R29+SUMPRODUCT(GG$5:GG$27,后果有效剂量!$K$5:$K$27)*后果有效剂量!$S29+(SUMPRODUCT(GH$5:GH$27,后果有效剂量!$K$5:$K$27)+SUMPRODUCT(GI$5:GI$27,后果有效剂量!$K$5:$K$27))*后果有效剂量!$T29+SUMPRODUCT(GJ$5:GJ$27,后果有效剂量!$K$5:$K$27)*后果有效剂量!$U29</f>
        <v>0</v>
      </c>
      <c r="GF55" s="453">
        <f>SUMPRODUCT(GE$5:GE$27,后果甲状腺剂量!$I$5:$I$27)*后果甲状腺剂量!$Q29+SUMPRODUCT(GF$5:GF$27,后果甲状腺剂量!$I$5:$I$27)*后果甲状腺剂量!$R29+SUMPRODUCT(GG$5:GG$27,后果甲状腺剂量!$I$5:$I$27)*后果甲状腺剂量!$S29+(SUMPRODUCT(GH$5:GH$27,后果甲状腺剂量!$I$5:$I$27)+SUMPRODUCT(GI$5:GI$27,后果甲状腺剂量!$I$5:$I$27))*后果甲状腺剂量!$T29+SUMPRODUCT(GJ$5:GJ$27,后果甲状腺剂量!$I$5:$I$27)*后果甲状腺剂量!$U29+SUMPRODUCT(GE$5:GE$27,后果甲状腺剂量!$J$5:$J$27)*后果甲状腺剂量!$Q29*后果甲状腺剂量!$Q$3+SUMPRODUCT(GF$5:GF$27,后果甲状腺剂量!$J$5:$J$27)*后果甲状腺剂量!$R29*后果甲状腺剂量!$R$3+SUMPRODUCT(GG$5:GG$27,后果甲状腺剂量!$J$5:$J$27)*后果甲状腺剂量!$S29*后果甲状腺剂量!$S$3+(SUMPRODUCT(GH$5:GH$27,后果甲状腺剂量!$J$5:$J$27)+SUMPRODUCT(GI$5:GI$27,后果甲状腺剂量!$J$5:$J$27))*后果甲状腺剂量!$T29*后果甲状腺剂量!$T$3+SUMPRODUCT(GJ$5:GJ$27,后果甲状腺剂量!$J$5:$J$27)*后果甲状腺剂量!$U29*后果甲状腺剂量!$U$3+SUMPRODUCT(GE$5:GE$27,后果甲状腺剂量!$K$5:$K$27)*后果甲状腺剂量!$Q29+SUMPRODUCT(GF$5:GF$27,后果甲状腺剂量!$K$5:$K$27)*后果甲状腺剂量!$R29+SUMPRODUCT(GG$5:GG$27,后果甲状腺剂量!$K$5:$K$27)*后果甲状腺剂量!$S29+(SUMPRODUCT(GH$5:GH$27,后果甲状腺剂量!$K$5:$K$27)+SUMPRODUCT(GI$5:GI$27,后果甲状腺剂量!$K$5:$K$27))*后果甲状腺剂量!$T29+SUMPRODUCT(GJ$5:GJ$27,后果甲状腺剂量!$K$5:$K$27)*后果甲状腺剂量!$U29</f>
        <v>0</v>
      </c>
      <c r="GG55" s="454">
        <f t="shared" si="259"/>
        <v>0</v>
      </c>
      <c r="GH55" s="454">
        <f t="shared" si="260"/>
        <v>0</v>
      </c>
      <c r="GI55" s="459">
        <f t="shared" si="267"/>
        <v>0</v>
      </c>
      <c r="GJ55" s="459">
        <f t="shared" si="268"/>
        <v>0</v>
      </c>
    </row>
    <row r="56" spans="7:192">
      <c r="G56" s="440">
        <f>后果有效剂量!$P30</f>
        <v>0</v>
      </c>
      <c r="H56" s="441">
        <f ca="1">SUMPRODUCT(H$5:H$27,后果有效剂量!$I$5:$I$27)*后果有效剂量!$Q30+SUMPRODUCT(I$5:I$27,后果有效剂量!$I$5:$I$27)*后果有效剂量!$Q30+SUMPRODUCT(J$5:J$27,后果有效剂量!$I$5:$I$27)*后果有效剂量!$R30+SUMPRODUCT(K$5:K$27,后果有效剂量!$I$5:$I$27)*后果有效剂量!$S30+SUMPRODUCT(L$5:L$27,后果有效剂量!$I$5:$I$27)*后果有效剂量!$T30+SUMPRODUCT(M$5:M$27,后果有效剂量!$I$5:$I$27)*后果有效剂量!$U30+SUMPRODUCT(H$5:H$27,后果有效剂量!$J$5:$J$27)*后果有效剂量!$Q30*后果有效剂量!$Q$3+SUMPRODUCT(I$5:I$27,后果有效剂量!$J$5:$J$27)*后果有效剂量!$Q30*后果有效剂量!$Q$3+SUMPRODUCT(J$5:J$27,后果有效剂量!$J$5:$J$27)*后果有效剂量!$R30*后果有效剂量!$R$3+SUMPRODUCT(K$5:K$27,后果有效剂量!$J$5:$J$27)*后果有效剂量!$S30*后果有效剂量!$S$3+SUMPRODUCT(L$5:L$27,后果有效剂量!$J$5:$J$27)*后果有效剂量!$T30*后果有效剂量!$T$3+SUMPRODUCT(M$5:M$27,后果有效剂量!$J$5:$J$27)*后果有效剂量!$U30*后果有效剂量!$U$3+SUMPRODUCT(H$5:H$27,后果有效剂量!$K$5:$K$27)*后果有效剂量!$Q30+SUMPRODUCT(I$5:I$27,后果有效剂量!$K$5:$K$27)*后果有效剂量!$Q30+SUMPRODUCT(J$5:J$27,后果有效剂量!$K$5:$K$27)*后果有效剂量!$R30+SUMPRODUCT(K$5:K$27,后果有效剂量!$K$5:$K$27)*后果有效剂量!$S30+SUMPRODUCT(L$5:L$27,后果有效剂量!$K$5:$K$27)*后果有效剂量!$T30+SUMPRODUCT(M$5:M$27,后果有效剂量!$K$5:$K$27)*后果有效剂量!$U30</f>
        <v>0</v>
      </c>
      <c r="I56" s="453">
        <f ca="1">SUMPRODUCT(H$5:H$27,后果甲状腺剂量!$I$5:$I$27)*后果甲状腺剂量!$Q30+SUMPRODUCT(I$5:I$27,后果甲状腺剂量!$I$5:$I$27)*后果甲状腺剂量!$Q30+SUMPRODUCT(J$5:J$27,后果甲状腺剂量!$I$5:$I$27)*后果甲状腺剂量!$R30+SUMPRODUCT(K$5:K$27,后果甲状腺剂量!$I$5:$I$27)*后果甲状腺剂量!$S30+SUMPRODUCT(L$5:L$27,后果甲状腺剂量!$I$5:$I$27)*后果甲状腺剂量!$T30+SUMPRODUCT(M$5:M$27,后果甲状腺剂量!$I$5:$I$27)*后果甲状腺剂量!$U30+SUMPRODUCT(H$5:H$27,后果甲状腺剂量!$J$5:$J$27)*后果甲状腺剂量!$Q30*后果甲状腺剂量!$Q$3+SUMPRODUCT(I$5:I$27,后果甲状腺剂量!$J$5:$J$27)*后果甲状腺剂量!$Q30*后果甲状腺剂量!$Q$3+SUMPRODUCT(J$5:J$27,后果甲状腺剂量!$J$5:$J$27)*后果甲状腺剂量!$R30*后果甲状腺剂量!$R$3+SUMPRODUCT(K$5:K$27,后果甲状腺剂量!$J$5:$J$27)*后果甲状腺剂量!$S30*后果甲状腺剂量!$S$3+SUMPRODUCT(L$5:L$27,后果甲状腺剂量!$J$5:$J$27)*后果甲状腺剂量!$T30*后果甲状腺剂量!$T$3+SUMPRODUCT(M$5:M$27,后果甲状腺剂量!$J$5:$J$27)*后果甲状腺剂量!$U30*后果甲状腺剂量!$U$3+SUMPRODUCT(H$5:H$27,后果甲状腺剂量!$K$5:$K$27)*后果甲状腺剂量!$Q30+SUMPRODUCT(I$5:I$27,后果甲状腺剂量!$K$5:$K$27)*后果甲状腺剂量!$Q30+SUMPRODUCT(J$5:J$27,后果甲状腺剂量!$K$5:$K$27)*后果甲状腺剂量!$R30+SUMPRODUCT(K$5:K$27,后果甲状腺剂量!$K$5:$K$27)*后果甲状腺剂量!$S30+SUMPRODUCT(L$5:L$27,后果甲状腺剂量!$K$5:$K$27)*后果甲状腺剂量!$T30+SUMPRODUCT(M$5:M$27,后果甲状腺剂量!$K$5:$K$27)*后果甲状腺剂量!$U30</f>
        <v>0</v>
      </c>
      <c r="J56" s="454">
        <f ca="1" t="shared" si="253"/>
        <v>0</v>
      </c>
      <c r="K56" s="454">
        <f ca="1" t="shared" si="254"/>
        <v>0</v>
      </c>
      <c r="L56" s="459">
        <f ca="1" t="shared" si="261"/>
        <v>0</v>
      </c>
      <c r="M56" s="459">
        <f ca="1" t="shared" si="262"/>
        <v>0</v>
      </c>
      <c r="Q56" s="440">
        <f>后果有效剂量!$P30</f>
        <v>0</v>
      </c>
      <c r="R56" s="441">
        <f ca="1">SUMPRODUCT(R$5:R$27,后果有效剂量!$I$5:$I$27)*后果有效剂量!$Q30+SUMPRODUCT(S$5:S$27,后果有效剂量!$I$5:$I$27)*后果有效剂量!$Q30+SUMPRODUCT(T$5:T$27,后果有效剂量!$I$5:$I$27)*后果有效剂量!$R30+SUMPRODUCT(U$5:U$27,后果有效剂量!$I$5:$I$27)*后果有效剂量!$S30+SUMPRODUCT(V$5:V$27,后果有效剂量!$I$5:$I$27)*后果有效剂量!$T30+SUMPRODUCT(W$5:W$27,后果有效剂量!$I$5:$I$27)*后果有效剂量!$U30+SUMPRODUCT(R$5:R$27,后果有效剂量!$J$5:$J$27)*后果有效剂量!$Q30*后果有效剂量!$Q$3+SUMPRODUCT(S$5:S$27,后果有效剂量!$J$5:$J$27)*后果有效剂量!$Q30*后果有效剂量!$Q$3+SUMPRODUCT(T$5:T$27,后果有效剂量!$J$5:$J$27)*后果有效剂量!$R30*后果有效剂量!$R$3+SUMPRODUCT(U$5:U$27,后果有效剂量!$J$5:$J$27)*后果有效剂量!$S30*后果有效剂量!$S$3+SUMPRODUCT(V$5:V$27,后果有效剂量!$J$5:$J$27)*后果有效剂量!$T30*后果有效剂量!$T$3+SUMPRODUCT(W$5:W$27,后果有效剂量!$J$5:$J$27)*后果有效剂量!$U30*后果有效剂量!$U$3+SUMPRODUCT(R$5:R$27,后果有效剂量!$K$5:$K$27)*后果有效剂量!$Q30+SUMPRODUCT(S$5:S$27,后果有效剂量!$K$5:$K$27)*后果有效剂量!$Q30+SUMPRODUCT(T$5:T$27,后果有效剂量!$K$5:$K$27)*后果有效剂量!$R30+SUMPRODUCT(U$5:U$27,后果有效剂量!$K$5:$K$27)*后果有效剂量!$S30+SUMPRODUCT(V$5:V$27,后果有效剂量!$K$5:$K$27)*后果有效剂量!$T30+SUMPRODUCT(W$5:W$27,后果有效剂量!$K$5:$K$27)*后果有效剂量!$U30</f>
        <v>0</v>
      </c>
      <c r="S56" s="453">
        <f ca="1">SUMPRODUCT(R$5:R$27,后果甲状腺剂量!$I$5:$I$27)*后果甲状腺剂量!$Q30+SUMPRODUCT(S$5:S$27,后果甲状腺剂量!$I$5:$I$27)*后果甲状腺剂量!$Q30+SUMPRODUCT(T$5:T$27,后果甲状腺剂量!$I$5:$I$27)*后果甲状腺剂量!$R30+SUMPRODUCT(U$5:U$27,后果甲状腺剂量!$I$5:$I$27)*后果甲状腺剂量!$S30+SUMPRODUCT(V$5:V$27,后果甲状腺剂量!$I$5:$I$27)*后果甲状腺剂量!$T30+SUMPRODUCT(W$5:W$27,后果甲状腺剂量!$I$5:$I$27)*后果甲状腺剂量!$U30+SUMPRODUCT(R$5:R$27,后果甲状腺剂量!$J$5:$J$27)*后果甲状腺剂量!$Q30*后果甲状腺剂量!$Q$3+SUMPRODUCT(S$5:S$27,后果甲状腺剂量!$J$5:$J$27)*后果甲状腺剂量!$Q30*后果甲状腺剂量!$Q$3+SUMPRODUCT(T$5:T$27,后果甲状腺剂量!$J$5:$J$27)*后果甲状腺剂量!$R30*后果甲状腺剂量!$R$3+SUMPRODUCT(U$5:U$27,后果甲状腺剂量!$J$5:$J$27)*后果甲状腺剂量!$S30*后果甲状腺剂量!$S$3+SUMPRODUCT(V$5:V$27,后果甲状腺剂量!$J$5:$J$27)*后果甲状腺剂量!$T30*后果甲状腺剂量!$T$3+SUMPRODUCT(W$5:W$27,后果甲状腺剂量!$J$5:$J$27)*后果甲状腺剂量!$U30*后果甲状腺剂量!$U$3+SUMPRODUCT(R$5:R$27,后果甲状腺剂量!$K$5:$K$27)*后果甲状腺剂量!$Q30+SUMPRODUCT(S$5:S$27,后果甲状腺剂量!$K$5:$K$27)*后果甲状腺剂量!$Q30+SUMPRODUCT(T$5:T$27,后果甲状腺剂量!$K$5:$K$27)*后果甲状腺剂量!$R30+SUMPRODUCT(U$5:U$27,后果甲状腺剂量!$K$5:$K$27)*后果甲状腺剂量!$S30+SUMPRODUCT(V$5:V$27,后果甲状腺剂量!$K$5:$K$27)*后果甲状腺剂量!$T30+SUMPRODUCT(W$5:W$27,后果甲状腺剂量!$K$5:$K$27)*后果甲状腺剂量!$U30</f>
        <v>0</v>
      </c>
      <c r="T56" s="454">
        <f ca="1" t="shared" si="255"/>
        <v>0</v>
      </c>
      <c r="U56" s="454">
        <f ca="1" t="shared" si="256"/>
        <v>0</v>
      </c>
      <c r="V56" s="459">
        <f ca="1" t="shared" si="263"/>
        <v>0</v>
      </c>
      <c r="W56" s="459">
        <f ca="1" t="shared" si="264"/>
        <v>0</v>
      </c>
      <c r="FS56" s="441">
        <f>SUMPRODUCT(FS$5:FS$27,后果有效剂量!$I$5:$I$27)*后果有效剂量!$Q30+SUMPRODUCT(FT$5:FT$27,后果有效剂量!$I$5:$I$27)*后果有效剂量!$R30+SUMPRODUCT(FU$5:FU$27,后果有效剂量!$I$5:$I$27)*后果有效剂量!$S30+SUMPRODUCT(FV$5:FV$27,后果有效剂量!$I$5:$I$27)*后果有效剂量!$T30+SUMPRODUCT(FS$5:FS$27,后果有效剂量!$J$5:$J$27)*后果有效剂量!$Q30*后果有效剂量!$Q$3+SUMPRODUCT(FT$5:FT$27,后果有效剂量!$J$5:$J$27)*后果有效剂量!$R30*后果有效剂量!$R$3+SUMPRODUCT(FU$5:FU$27,后果有效剂量!$J$5:$J$27)*后果有效剂量!$S30*后果有效剂量!$S$3+SUMPRODUCT(FV$5:FV$27,后果有效剂量!$J$5:$J$27)*后果有效剂量!$T30*后果有效剂量!$T$3+SUMPRODUCT(FS$5:FS$27,后果有效剂量!$K$5:$K$27)*后果有效剂量!$Q30+SUMPRODUCT(FT$5:FT$27,后果有效剂量!$K$5:$K$27)*后果有效剂量!$R30+SUMPRODUCT(FU$5:FU$27,后果有效剂量!$K$5:$K$27)*后果有效剂量!$S30+SUMPRODUCT(FV$5:FV$27,后果有效剂量!$K$5:$K$27)*后果有效剂量!$T30</f>
        <v>0</v>
      </c>
      <c r="FT56" s="453">
        <f>SUMPRODUCT(FS$5:FS$27,后果甲状腺剂量!$I$5:$I$27)*后果甲状腺剂量!$Q30+SUMPRODUCT(FT$5:FT$27,后果甲状腺剂量!$I$5:$I$27)*后果甲状腺剂量!$R30+SUMPRODUCT(FU$5:FU$27,后果甲状腺剂量!$I$5:$I$27)*后果甲状腺剂量!$S30+SUMPRODUCT(FV$5:FV$27,后果甲状腺剂量!$I$5:$I$27)*后果甲状腺剂量!$T30+SUMPRODUCT(FS$5:FS$27,后果甲状腺剂量!$J$5:$J$27)*后果甲状腺剂量!$Q30*后果甲状腺剂量!$Q$3+SUMPRODUCT(FT$5:FT$27,后果甲状腺剂量!$J$5:$J$27)*后果甲状腺剂量!$R30*后果甲状腺剂量!$R$3+SUMPRODUCT(FU$5:FU$27,后果甲状腺剂量!$J$5:$J$27)*后果甲状腺剂量!$S30*后果甲状腺剂量!$S$3+SUMPRODUCT(FV$5:FV$27,后果甲状腺剂量!$J$5:$J$27)*后果甲状腺剂量!$T30*后果甲状腺剂量!$T$3+SUMPRODUCT(FS$5:FS$27,后果甲状腺剂量!$K$5:$K$27)*后果甲状腺剂量!$Q30+SUMPRODUCT(FT$5:FT$27,后果甲状腺剂量!$K$5:$K$27)*后果甲状腺剂量!$R30+SUMPRODUCT(FU$5:FU$27,后果甲状腺剂量!$K$5:$K$27)*后果甲状腺剂量!$S30+SUMPRODUCT(FV$5:FV$27,后果甲状腺剂量!$K$5:$K$27)*后果甲状腺剂量!$T30</f>
        <v>0</v>
      </c>
      <c r="FU56" s="454">
        <f t="shared" si="257"/>
        <v>0</v>
      </c>
      <c r="FV56" s="454">
        <f t="shared" si="258"/>
        <v>0</v>
      </c>
      <c r="FW56" s="459">
        <f t="shared" si="265"/>
        <v>0</v>
      </c>
      <c r="FX56" s="459">
        <f t="shared" si="266"/>
        <v>0</v>
      </c>
      <c r="GD56" s="440">
        <f>后果有效剂量!$P30</f>
        <v>0</v>
      </c>
      <c r="GE56" s="441">
        <f>SUMPRODUCT(GE$5:GE$27,后果有效剂量!$I$5:$I$27)*后果有效剂量!$Q30+SUMPRODUCT(GF$5:GF$27,后果有效剂量!$I$5:$I$27)*后果有效剂量!$R30+SUMPRODUCT(GG$5:GG$27,后果有效剂量!$I$5:$I$27)*后果有效剂量!$S30+(SUMPRODUCT(GH$5:GH$27,后果有效剂量!$I$5:$I$27)+SUMPRODUCT(GI$5:GI$27,后果有效剂量!$I$5:$I$27))*后果有效剂量!$T30+SUMPRODUCT(GJ$5:GJ$27,后果有效剂量!$I$5:$I$27)*后果有效剂量!$U30+SUMPRODUCT(GE$5:GE$27,后果有效剂量!$J$5:$J$27)*后果有效剂量!$Q30*后果有效剂量!$Q$3+SUMPRODUCT(GF$5:GF$27,后果有效剂量!$J$5:$J$27)*后果有效剂量!$R30*后果有效剂量!$R$3+SUMPRODUCT(GG$5:GG$27,后果有效剂量!$J$5:$J$27)*后果有效剂量!$S30*后果有效剂量!$S$3+(SUMPRODUCT(GH$5:GH$27,后果有效剂量!$J$5:$J$27)+SUMPRODUCT(GI$5:GI$27,后果有效剂量!$J$5:$J$27))*后果有效剂量!$T30*后果有效剂量!$T$3+SUMPRODUCT(GJ$5:GJ$27,后果有效剂量!$J$5:$J$27)*后果有效剂量!$U30*后果有效剂量!$U$3+SUMPRODUCT(GE$5:GE$27,后果有效剂量!$K$5:$K$27)*后果有效剂量!$Q30+SUMPRODUCT(GF$5:GF$27,后果有效剂量!$K$5:$K$27)*后果有效剂量!$R30+SUMPRODUCT(GG$5:GG$27,后果有效剂量!$K$5:$K$27)*后果有效剂量!$S30+(SUMPRODUCT(GH$5:GH$27,后果有效剂量!$K$5:$K$27)+SUMPRODUCT(GI$5:GI$27,后果有效剂量!$K$5:$K$27))*后果有效剂量!$T30+SUMPRODUCT(GJ$5:GJ$27,后果有效剂量!$K$5:$K$27)*后果有效剂量!$U30</f>
        <v>0</v>
      </c>
      <c r="GF56" s="453">
        <f>SUMPRODUCT(GE$5:GE$27,后果甲状腺剂量!$I$5:$I$27)*后果甲状腺剂量!$Q30+SUMPRODUCT(GF$5:GF$27,后果甲状腺剂量!$I$5:$I$27)*后果甲状腺剂量!$R30+SUMPRODUCT(GG$5:GG$27,后果甲状腺剂量!$I$5:$I$27)*后果甲状腺剂量!$S30+(SUMPRODUCT(GH$5:GH$27,后果甲状腺剂量!$I$5:$I$27)+SUMPRODUCT(GI$5:GI$27,后果甲状腺剂量!$I$5:$I$27))*后果甲状腺剂量!$T30+SUMPRODUCT(GJ$5:GJ$27,后果甲状腺剂量!$I$5:$I$27)*后果甲状腺剂量!$U30+SUMPRODUCT(GE$5:GE$27,后果甲状腺剂量!$J$5:$J$27)*后果甲状腺剂量!$Q30*后果甲状腺剂量!$Q$3+SUMPRODUCT(GF$5:GF$27,后果甲状腺剂量!$J$5:$J$27)*后果甲状腺剂量!$R30*后果甲状腺剂量!$R$3+SUMPRODUCT(GG$5:GG$27,后果甲状腺剂量!$J$5:$J$27)*后果甲状腺剂量!$S30*后果甲状腺剂量!$S$3+(SUMPRODUCT(GH$5:GH$27,后果甲状腺剂量!$J$5:$J$27)+SUMPRODUCT(GI$5:GI$27,后果甲状腺剂量!$J$5:$J$27))*后果甲状腺剂量!$T30*后果甲状腺剂量!$T$3+SUMPRODUCT(GJ$5:GJ$27,后果甲状腺剂量!$J$5:$J$27)*后果甲状腺剂量!$U30*后果甲状腺剂量!$U$3+SUMPRODUCT(GE$5:GE$27,后果甲状腺剂量!$K$5:$K$27)*后果甲状腺剂量!$Q30+SUMPRODUCT(GF$5:GF$27,后果甲状腺剂量!$K$5:$K$27)*后果甲状腺剂量!$R30+SUMPRODUCT(GG$5:GG$27,后果甲状腺剂量!$K$5:$K$27)*后果甲状腺剂量!$S30+(SUMPRODUCT(GH$5:GH$27,后果甲状腺剂量!$K$5:$K$27)+SUMPRODUCT(GI$5:GI$27,后果甲状腺剂量!$K$5:$K$27))*后果甲状腺剂量!$T30+SUMPRODUCT(GJ$5:GJ$27,后果甲状腺剂量!$K$5:$K$27)*后果甲状腺剂量!$U30</f>
        <v>0</v>
      </c>
      <c r="GG56" s="454">
        <f t="shared" si="259"/>
        <v>0</v>
      </c>
      <c r="GH56" s="454">
        <f t="shared" si="260"/>
        <v>0</v>
      </c>
      <c r="GI56" s="459">
        <f t="shared" si="267"/>
        <v>0</v>
      </c>
      <c r="GJ56" s="459">
        <f t="shared" si="268"/>
        <v>0</v>
      </c>
    </row>
    <row r="57" ht="13.5" spans="8:21">
      <c r="H57" s="447"/>
      <c r="I57" s="460"/>
      <c r="J57" s="461"/>
      <c r="K57" s="461"/>
      <c r="R57" s="447"/>
      <c r="S57" s="460"/>
      <c r="T57" s="461"/>
      <c r="U57" s="461"/>
    </row>
    <row r="58" ht="13.5" spans="9:25">
      <c r="I58" s="462" t="s">
        <v>296</v>
      </c>
      <c r="J58" s="462"/>
      <c r="K58" s="462" t="s">
        <v>297</v>
      </c>
      <c r="L58" s="462"/>
      <c r="M58" s="463" t="s">
        <v>298</v>
      </c>
      <c r="N58" s="464"/>
      <c r="O58" s="463" t="s">
        <v>299</v>
      </c>
      <c r="P58" s="464"/>
      <c r="S58" s="462" t="s">
        <v>296</v>
      </c>
      <c r="T58" s="462"/>
      <c r="U58" s="462" t="s">
        <v>297</v>
      </c>
      <c r="V58" s="462"/>
      <c r="W58" s="463" t="s">
        <v>298</v>
      </c>
      <c r="X58" s="464"/>
      <c r="Y58" s="505"/>
    </row>
    <row r="59" ht="36.75" spans="9:25">
      <c r="I59" s="465" t="s">
        <v>300</v>
      </c>
      <c r="J59" s="466" t="s">
        <v>301</v>
      </c>
      <c r="K59" s="465" t="s">
        <v>300</v>
      </c>
      <c r="L59" s="466" t="s">
        <v>301</v>
      </c>
      <c r="M59" s="466" t="s">
        <v>300</v>
      </c>
      <c r="N59" s="467" t="s">
        <v>301</v>
      </c>
      <c r="O59" s="466" t="s">
        <v>300</v>
      </c>
      <c r="P59" s="467" t="s">
        <v>301</v>
      </c>
      <c r="S59" s="465" t="s">
        <v>300</v>
      </c>
      <c r="T59" s="466" t="s">
        <v>301</v>
      </c>
      <c r="U59" s="465" t="s">
        <v>300</v>
      </c>
      <c r="V59" s="466" t="s">
        <v>301</v>
      </c>
      <c r="W59" s="466" t="s">
        <v>300</v>
      </c>
      <c r="X59" s="467" t="s">
        <v>301</v>
      </c>
      <c r="Y59" s="505"/>
    </row>
    <row r="60" ht="13.5" spans="9:25">
      <c r="I60" s="468">
        <f ca="1">J56</f>
        <v>0</v>
      </c>
      <c r="J60" s="468">
        <f ca="1">K56</f>
        <v>0</v>
      </c>
      <c r="K60" s="468">
        <f ca="1">J33</f>
        <v>0</v>
      </c>
      <c r="L60" s="468">
        <f ca="1">K33</f>
        <v>0</v>
      </c>
      <c r="M60" s="468">
        <f ca="1">J34</f>
        <v>0.649896940255078</v>
      </c>
      <c r="N60" s="468">
        <f ca="1">K34</f>
        <v>23.6348191511087</v>
      </c>
      <c r="O60" s="468">
        <f ca="1">J35</f>
        <v>0.182914127531859</v>
      </c>
      <c r="P60" s="468">
        <f ca="1">K35</f>
        <v>7.3875700130332</v>
      </c>
      <c r="S60" s="468">
        <f ca="1">T56</f>
        <v>0</v>
      </c>
      <c r="T60" s="468">
        <f ca="1">U56</f>
        <v>0</v>
      </c>
      <c r="U60" s="468">
        <f ca="1">T33</f>
        <v>0</v>
      </c>
      <c r="V60" s="468">
        <f ca="1">U33</f>
        <v>0</v>
      </c>
      <c r="W60" s="468">
        <f ca="1">T34</f>
        <v>0.121639272188905</v>
      </c>
      <c r="X60" s="468">
        <f ca="1">U34</f>
        <v>1.46404045635325</v>
      </c>
      <c r="Y60" s="506"/>
    </row>
    <row r="61" ht="13.5" spans="9:24">
      <c r="I61" s="469"/>
      <c r="J61" s="470"/>
      <c r="K61" s="470"/>
      <c r="L61" s="470"/>
      <c r="M61" s="470"/>
      <c r="N61" s="470"/>
      <c r="O61" s="470"/>
      <c r="P61" s="471"/>
      <c r="S61" s="469"/>
      <c r="T61" s="470"/>
      <c r="U61" s="470"/>
      <c r="V61" s="470"/>
      <c r="W61" s="470"/>
      <c r="X61" s="470"/>
    </row>
    <row r="62" ht="13.5" spans="9:25">
      <c r="I62" s="472" t="s">
        <v>300</v>
      </c>
      <c r="J62" s="473"/>
      <c r="K62" s="473"/>
      <c r="L62" s="474"/>
      <c r="M62" s="472" t="s">
        <v>301</v>
      </c>
      <c r="N62" s="473"/>
      <c r="O62" s="473"/>
      <c r="P62" s="474"/>
      <c r="S62" s="472" t="s">
        <v>300</v>
      </c>
      <c r="T62" s="473"/>
      <c r="U62" s="473"/>
      <c r="V62" s="474"/>
      <c r="W62" s="472" t="s">
        <v>301</v>
      </c>
      <c r="X62" s="473"/>
      <c r="Y62" s="506"/>
    </row>
    <row r="63" ht="64.5" spans="9:25">
      <c r="I63" s="475" t="s">
        <v>296</v>
      </c>
      <c r="J63" s="475" t="s">
        <v>297</v>
      </c>
      <c r="K63" s="475" t="s">
        <v>298</v>
      </c>
      <c r="L63" s="475" t="s">
        <v>299</v>
      </c>
      <c r="M63" s="475" t="s">
        <v>296</v>
      </c>
      <c r="N63" s="475" t="s">
        <v>297</v>
      </c>
      <c r="O63" s="475" t="s">
        <v>298</v>
      </c>
      <c r="P63" s="475" t="s">
        <v>299</v>
      </c>
      <c r="S63" s="475" t="s">
        <v>296</v>
      </c>
      <c r="T63" s="475" t="s">
        <v>297</v>
      </c>
      <c r="U63" s="475" t="s">
        <v>298</v>
      </c>
      <c r="V63" s="475" t="s">
        <v>299</v>
      </c>
      <c r="W63" s="475" t="s">
        <v>296</v>
      </c>
      <c r="X63" s="475" t="s">
        <v>297</v>
      </c>
      <c r="Y63" s="506"/>
    </row>
    <row r="64" ht="13.5" spans="9:25">
      <c r="I64" s="475">
        <f ca="1">I60</f>
        <v>0</v>
      </c>
      <c r="J64" s="475">
        <f ca="1">K60</f>
        <v>0</v>
      </c>
      <c r="K64" s="475">
        <f ca="1">M60</f>
        <v>0.649896940255078</v>
      </c>
      <c r="L64" s="475">
        <f ca="1">O60</f>
        <v>0.182914127531859</v>
      </c>
      <c r="M64" s="475">
        <f ca="1">J60</f>
        <v>0</v>
      </c>
      <c r="N64" s="475">
        <f ca="1">L60</f>
        <v>0</v>
      </c>
      <c r="O64" s="475">
        <f ca="1">N60</f>
        <v>23.6348191511087</v>
      </c>
      <c r="P64" s="475">
        <f ca="1">P60</f>
        <v>7.3875700130332</v>
      </c>
      <c r="S64" s="475">
        <f ca="1">S60</f>
        <v>0</v>
      </c>
      <c r="T64" s="475">
        <f ca="1">U60</f>
        <v>0</v>
      </c>
      <c r="U64" s="475">
        <f ca="1">W60</f>
        <v>0.121639272188905</v>
      </c>
      <c r="V64" s="475">
        <f>FS60</f>
        <v>0</v>
      </c>
      <c r="W64" s="475">
        <f ca="1">T60</f>
        <v>0</v>
      </c>
      <c r="X64" s="475">
        <f ca="1">V60</f>
        <v>0</v>
      </c>
      <c r="Y64" s="506"/>
    </row>
    <row r="65" ht="13.5" spans="7:17">
      <c r="G65" s="390"/>
      <c r="Q65" s="390"/>
    </row>
    <row r="66" ht="13.5" spans="7:25">
      <c r="G66" s="390"/>
      <c r="H66" s="618"/>
      <c r="I66" s="462" t="s">
        <v>296</v>
      </c>
      <c r="J66" s="462"/>
      <c r="K66" s="462" t="s">
        <v>297</v>
      </c>
      <c r="L66" s="462"/>
      <c r="M66" s="463" t="s">
        <v>298</v>
      </c>
      <c r="N66" s="464"/>
      <c r="O66" s="463" t="s">
        <v>299</v>
      </c>
      <c r="P66" s="464"/>
      <c r="Q66" s="390"/>
      <c r="R66" s="618"/>
      <c r="S66" s="462" t="s">
        <v>296</v>
      </c>
      <c r="T66" s="462"/>
      <c r="U66" s="462" t="s">
        <v>297</v>
      </c>
      <c r="V66" s="462"/>
      <c r="W66" s="463" t="s">
        <v>298</v>
      </c>
      <c r="X66" s="464"/>
      <c r="Y66" s="505"/>
    </row>
    <row r="67" ht="36.75" spans="7:25">
      <c r="G67" s="611" t="s">
        <v>173</v>
      </c>
      <c r="H67" s="619" t="s">
        <v>276</v>
      </c>
      <c r="I67" s="465" t="s">
        <v>300</v>
      </c>
      <c r="J67" s="466" t="s">
        <v>301</v>
      </c>
      <c r="K67" s="465" t="s">
        <v>300</v>
      </c>
      <c r="L67" s="466" t="s">
        <v>301</v>
      </c>
      <c r="M67" s="466" t="s">
        <v>300</v>
      </c>
      <c r="N67" s="467" t="s">
        <v>301</v>
      </c>
      <c r="O67" s="466" t="s">
        <v>300</v>
      </c>
      <c r="P67" s="467" t="s">
        <v>301</v>
      </c>
      <c r="Q67" s="611" t="s">
        <v>173</v>
      </c>
      <c r="R67" s="619" t="s">
        <v>276</v>
      </c>
      <c r="S67" s="465" t="s">
        <v>300</v>
      </c>
      <c r="T67" s="466" t="s">
        <v>301</v>
      </c>
      <c r="U67" s="465" t="s">
        <v>300</v>
      </c>
      <c r="V67" s="466" t="s">
        <v>301</v>
      </c>
      <c r="W67" s="466" t="s">
        <v>300</v>
      </c>
      <c r="X67" s="467" t="s">
        <v>301</v>
      </c>
      <c r="Y67" s="505"/>
    </row>
    <row r="68" ht="13.5" spans="7:174">
      <c r="G68" s="390" t="s">
        <v>302</v>
      </c>
      <c r="H68" s="620">
        <v>0.1</v>
      </c>
      <c r="I68" s="621"/>
      <c r="J68" s="622"/>
      <c r="K68" s="621"/>
      <c r="L68" s="622"/>
      <c r="M68" s="622"/>
      <c r="N68" s="622"/>
      <c r="O68" s="623"/>
      <c r="P68" s="622"/>
      <c r="Q68" s="390" t="s">
        <v>302</v>
      </c>
      <c r="R68" s="620">
        <v>0.1</v>
      </c>
      <c r="S68" s="621"/>
      <c r="T68" s="622"/>
      <c r="U68" s="621"/>
      <c r="V68" s="622"/>
      <c r="W68" s="622"/>
      <c r="X68" s="622"/>
      <c r="Y68" s="628"/>
      <c r="EV68" s="631"/>
      <c r="FQ68" s="631"/>
      <c r="FR68" s="632"/>
    </row>
    <row r="69" ht="13.5" spans="7:174">
      <c r="G69" s="390" t="s">
        <v>302</v>
      </c>
      <c r="H69" s="620">
        <v>0.1</v>
      </c>
      <c r="I69" s="621"/>
      <c r="J69" s="622"/>
      <c r="K69" s="621"/>
      <c r="L69" s="622"/>
      <c r="M69" s="622"/>
      <c r="N69" s="622"/>
      <c r="O69" s="623"/>
      <c r="P69" s="622"/>
      <c r="Q69" s="390" t="s">
        <v>302</v>
      </c>
      <c r="R69" s="620">
        <v>0.1</v>
      </c>
      <c r="S69" s="621"/>
      <c r="T69" s="622"/>
      <c r="U69" s="621"/>
      <c r="V69" s="622"/>
      <c r="W69" s="622"/>
      <c r="X69" s="622"/>
      <c r="Y69" s="628"/>
      <c r="EV69" s="631"/>
      <c r="FQ69" s="631"/>
      <c r="FR69" s="632"/>
    </row>
    <row r="70" s="390" customFormat="1" ht="13.5" spans="1:174">
      <c r="A70" s="391"/>
      <c r="G70" s="390" t="s">
        <v>302</v>
      </c>
      <c r="H70" s="620">
        <v>0.1</v>
      </c>
      <c r="I70" s="621"/>
      <c r="J70" s="622"/>
      <c r="K70" s="621"/>
      <c r="L70" s="622"/>
      <c r="M70" s="624"/>
      <c r="N70" s="624"/>
      <c r="O70" s="623"/>
      <c r="P70" s="622"/>
      <c r="Q70" s="390" t="s">
        <v>302</v>
      </c>
      <c r="R70" s="620">
        <v>0.1</v>
      </c>
      <c r="S70" s="621"/>
      <c r="T70" s="622"/>
      <c r="U70" s="621"/>
      <c r="V70" s="622"/>
      <c r="W70" s="624"/>
      <c r="X70" s="624"/>
      <c r="Y70" s="629"/>
      <c r="Z70" s="394"/>
      <c r="AV70" s="394"/>
      <c r="AW70" s="394"/>
      <c r="AX70" s="394"/>
      <c r="AY70" s="394"/>
      <c r="AZ70" s="394"/>
      <c r="BA70" s="394"/>
      <c r="BB70" s="394"/>
      <c r="BC70" s="394"/>
      <c r="BD70" s="394"/>
      <c r="BE70" s="394"/>
      <c r="BF70" s="394"/>
      <c r="BG70" s="394"/>
      <c r="BH70" s="394"/>
      <c r="BI70" s="394"/>
      <c r="BJ70" s="394"/>
      <c r="BK70" s="394"/>
      <c r="BL70" s="394"/>
      <c r="BM70" s="394"/>
      <c r="BN70" s="394"/>
      <c r="BO70" s="394"/>
      <c r="BP70" s="394"/>
      <c r="BQ70" s="394"/>
      <c r="BR70" s="394"/>
      <c r="BS70" s="394"/>
      <c r="BT70" s="394"/>
      <c r="BU70" s="394"/>
      <c r="BV70" s="394"/>
      <c r="BW70" s="394"/>
      <c r="BX70" s="394"/>
      <c r="BY70" s="394"/>
      <c r="BZ70" s="394"/>
      <c r="CA70" s="394"/>
      <c r="CB70" s="394"/>
      <c r="CC70" s="394"/>
      <c r="CD70" s="394"/>
      <c r="CE70" s="394"/>
      <c r="CF70" s="394"/>
      <c r="CG70" s="394"/>
      <c r="CH70" s="394"/>
      <c r="CI70" s="394"/>
      <c r="CJ70" s="394"/>
      <c r="CK70" s="394"/>
      <c r="CL70" s="394"/>
      <c r="CM70" s="394"/>
      <c r="CN70" s="394"/>
      <c r="CO70" s="394"/>
      <c r="CP70" s="394"/>
      <c r="CQ70" s="394"/>
      <c r="CR70" s="394"/>
      <c r="CS70" s="394"/>
      <c r="CT70" s="394"/>
      <c r="CU70" s="394"/>
      <c r="CV70" s="394"/>
      <c r="CW70" s="394"/>
      <c r="CX70" s="394"/>
      <c r="CY70" s="394"/>
      <c r="CZ70" s="394"/>
      <c r="DA70" s="394"/>
      <c r="DB70" s="394"/>
      <c r="DC70" s="394"/>
      <c r="DD70" s="394"/>
      <c r="DE70" s="394"/>
      <c r="DF70" s="394"/>
      <c r="DG70" s="394"/>
      <c r="DH70" s="394"/>
      <c r="DI70" s="394"/>
      <c r="DJ70" s="394"/>
      <c r="DK70" s="394"/>
      <c r="DL70" s="394"/>
      <c r="DM70" s="394"/>
      <c r="DN70" s="394"/>
      <c r="DO70" s="394"/>
      <c r="DP70" s="394"/>
      <c r="DQ70" s="394"/>
      <c r="DR70" s="394"/>
      <c r="DS70" s="394"/>
      <c r="DT70" s="394"/>
      <c r="DU70" s="394"/>
      <c r="DV70" s="394"/>
      <c r="DW70" s="394"/>
      <c r="DX70" s="394"/>
      <c r="DY70" s="394"/>
      <c r="DZ70" s="394"/>
      <c r="EA70" s="394"/>
      <c r="EB70" s="394"/>
      <c r="EC70" s="394"/>
      <c r="ED70" s="394"/>
      <c r="EE70" s="394"/>
      <c r="EF70" s="394"/>
      <c r="EG70" s="394"/>
      <c r="EH70" s="394"/>
      <c r="EI70" s="394"/>
      <c r="EJ70" s="394"/>
      <c r="EK70" s="394"/>
      <c r="EL70" s="394"/>
      <c r="EM70" s="394"/>
      <c r="EN70" s="394"/>
      <c r="EO70" s="394"/>
      <c r="EP70" s="394"/>
      <c r="EQ70" s="394"/>
      <c r="ER70" s="394"/>
      <c r="ES70" s="394"/>
      <c r="ET70" s="394"/>
      <c r="EU70" s="394"/>
      <c r="EV70" s="631"/>
      <c r="EW70" s="394"/>
      <c r="EX70" s="394"/>
      <c r="EY70" s="394"/>
      <c r="EZ70" s="394"/>
      <c r="FA70" s="394"/>
      <c r="FB70" s="394"/>
      <c r="FC70" s="394"/>
      <c r="FD70" s="394"/>
      <c r="FE70" s="394"/>
      <c r="FF70" s="394"/>
      <c r="FG70" s="394"/>
      <c r="FH70" s="394"/>
      <c r="FI70" s="394"/>
      <c r="FJ70" s="394"/>
      <c r="FK70" s="394"/>
      <c r="FL70" s="394"/>
      <c r="FM70" s="394"/>
      <c r="FN70" s="394"/>
      <c r="FO70" s="394"/>
      <c r="FP70" s="394"/>
      <c r="FQ70" s="631"/>
      <c r="FR70" s="632"/>
    </row>
    <row r="71" ht="13.5" spans="7:174">
      <c r="G71" s="390" t="s">
        <v>302</v>
      </c>
      <c r="H71" s="620">
        <v>0.1</v>
      </c>
      <c r="I71" s="621"/>
      <c r="J71" s="622"/>
      <c r="K71" s="621"/>
      <c r="L71" s="622"/>
      <c r="M71" s="624"/>
      <c r="N71" s="624"/>
      <c r="O71" s="623"/>
      <c r="P71" s="622"/>
      <c r="Q71" s="390" t="s">
        <v>302</v>
      </c>
      <c r="R71" s="620">
        <v>0.1</v>
      </c>
      <c r="S71" s="621"/>
      <c r="T71" s="622"/>
      <c r="U71" s="621"/>
      <c r="V71" s="622"/>
      <c r="W71" s="624"/>
      <c r="X71" s="624"/>
      <c r="Y71" s="629"/>
      <c r="EV71" s="631"/>
      <c r="FQ71" s="631"/>
      <c r="FR71" s="632"/>
    </row>
    <row r="72" ht="13.5" spans="7:174">
      <c r="G72" s="390" t="s">
        <v>303</v>
      </c>
      <c r="H72" s="620">
        <v>0.1</v>
      </c>
      <c r="I72" s="621"/>
      <c r="J72" s="622"/>
      <c r="K72" s="621"/>
      <c r="L72" s="622"/>
      <c r="M72" s="624"/>
      <c r="N72" s="624"/>
      <c r="O72" s="623"/>
      <c r="P72" s="622"/>
      <c r="Q72" s="390" t="s">
        <v>303</v>
      </c>
      <c r="R72" s="620">
        <v>0.1</v>
      </c>
      <c r="S72" s="621"/>
      <c r="T72" s="622"/>
      <c r="U72" s="621"/>
      <c r="V72" s="622"/>
      <c r="W72" s="624"/>
      <c r="X72" s="624"/>
      <c r="Y72" s="629"/>
      <c r="EV72" s="631"/>
      <c r="FQ72" s="631"/>
      <c r="FR72" s="632"/>
    </row>
    <row r="73" ht="13.5" spans="7:174">
      <c r="G73" s="390" t="s">
        <v>303</v>
      </c>
      <c r="H73" s="620">
        <v>0.1</v>
      </c>
      <c r="I73" s="621"/>
      <c r="J73" s="622"/>
      <c r="K73" s="621"/>
      <c r="L73" s="622"/>
      <c r="M73" s="624"/>
      <c r="N73" s="624"/>
      <c r="O73" s="623"/>
      <c r="P73" s="622"/>
      <c r="Q73" s="390" t="s">
        <v>303</v>
      </c>
      <c r="R73" s="620">
        <v>0.1</v>
      </c>
      <c r="S73" s="621"/>
      <c r="T73" s="622"/>
      <c r="U73" s="621"/>
      <c r="V73" s="622"/>
      <c r="W73" s="624"/>
      <c r="X73" s="624"/>
      <c r="Y73" s="629"/>
      <c r="EV73" s="631"/>
      <c r="FQ73" s="631"/>
      <c r="FR73" s="632"/>
    </row>
    <row r="74" ht="13.5" spans="7:174">
      <c r="G74" s="390" t="s">
        <v>303</v>
      </c>
      <c r="H74" s="620">
        <v>0.1</v>
      </c>
      <c r="I74" s="621"/>
      <c r="J74" s="622"/>
      <c r="K74" s="621"/>
      <c r="L74" s="622"/>
      <c r="M74" s="622"/>
      <c r="N74" s="622"/>
      <c r="O74" s="623"/>
      <c r="P74" s="622"/>
      <c r="Q74" s="390" t="s">
        <v>303</v>
      </c>
      <c r="R74" s="620">
        <v>0.1</v>
      </c>
      <c r="S74" s="621"/>
      <c r="T74" s="622"/>
      <c r="U74" s="621"/>
      <c r="V74" s="622"/>
      <c r="W74" s="622"/>
      <c r="X74" s="622"/>
      <c r="Y74" s="628"/>
      <c r="EV74" s="631"/>
      <c r="FQ74" s="631"/>
      <c r="FR74" s="632"/>
    </row>
    <row r="75" ht="13.5" spans="7:174">
      <c r="G75" s="390"/>
      <c r="H75" s="620"/>
      <c r="I75" s="625"/>
      <c r="J75" s="626"/>
      <c r="K75" s="626"/>
      <c r="L75" s="626"/>
      <c r="M75" s="627"/>
      <c r="N75" s="626"/>
      <c r="O75" s="623"/>
      <c r="P75" s="622"/>
      <c r="Q75" s="390"/>
      <c r="R75" s="620"/>
      <c r="S75" s="625"/>
      <c r="T75" s="626"/>
      <c r="U75" s="626"/>
      <c r="V75" s="626"/>
      <c r="W75" s="627"/>
      <c r="X75" s="626"/>
      <c r="Y75" s="630"/>
      <c r="EV75" s="631"/>
      <c r="FQ75" s="631"/>
      <c r="FR75" s="632"/>
    </row>
    <row r="76" ht="13.5" spans="7:174">
      <c r="G76" s="390"/>
      <c r="H76" s="620"/>
      <c r="I76" s="625"/>
      <c r="J76" s="626"/>
      <c r="K76" s="626"/>
      <c r="L76" s="626"/>
      <c r="M76" s="627"/>
      <c r="N76" s="626"/>
      <c r="O76" s="623"/>
      <c r="P76" s="622"/>
      <c r="Q76" s="390"/>
      <c r="R76" s="620"/>
      <c r="S76" s="625"/>
      <c r="T76" s="626"/>
      <c r="U76" s="626"/>
      <c r="V76" s="626"/>
      <c r="W76" s="627"/>
      <c r="X76" s="626"/>
      <c r="Y76" s="630"/>
      <c r="EV76" s="631"/>
      <c r="FQ76" s="631"/>
      <c r="FR76" s="632"/>
    </row>
    <row r="77" ht="13.5" spans="7:174">
      <c r="G77" s="390"/>
      <c r="H77" s="620"/>
      <c r="I77" s="625"/>
      <c r="J77" s="626"/>
      <c r="K77" s="626"/>
      <c r="L77" s="626"/>
      <c r="M77" s="627"/>
      <c r="N77" s="625"/>
      <c r="O77" s="623"/>
      <c r="P77" s="622"/>
      <c r="Q77" s="390"/>
      <c r="R77" s="620"/>
      <c r="S77" s="625"/>
      <c r="T77" s="626"/>
      <c r="U77" s="626"/>
      <c r="V77" s="626"/>
      <c r="W77" s="627"/>
      <c r="X77" s="625"/>
      <c r="Y77" s="630"/>
      <c r="EV77" s="631"/>
      <c r="FQ77" s="631"/>
      <c r="FR77" s="632"/>
    </row>
  </sheetData>
  <mergeCells count="17">
    <mergeCell ref="I58:J58"/>
    <mergeCell ref="K58:L58"/>
    <mergeCell ref="M58:N58"/>
    <mergeCell ref="O58:P58"/>
    <mergeCell ref="S58:T58"/>
    <mergeCell ref="U58:V58"/>
    <mergeCell ref="W58:X58"/>
    <mergeCell ref="I62:L62"/>
    <mergeCell ref="M62:P62"/>
    <mergeCell ref="S62:V62"/>
    <mergeCell ref="I66:J66"/>
    <mergeCell ref="K66:L66"/>
    <mergeCell ref="M66:N66"/>
    <mergeCell ref="O66:P66"/>
    <mergeCell ref="S66:T66"/>
    <mergeCell ref="U66:V66"/>
    <mergeCell ref="W66:X66"/>
  </mergeCells>
  <conditionalFormatting sqref="GP5:GP27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Q5:GQ27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R5:GR27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1200" verticalDpi="12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59"/>
  <sheetViews>
    <sheetView tabSelected="1" zoomScale="85" zoomScaleNormal="85" workbookViewId="0">
      <selection activeCell="Z23" sqref="Z23:AD24"/>
    </sheetView>
  </sheetViews>
  <sheetFormatPr defaultColWidth="9" defaultRowHeight="15"/>
  <cols>
    <col min="1" max="1" width="6.75" style="91" customWidth="1"/>
    <col min="2" max="7" width="6.625" style="91" customWidth="1"/>
    <col min="8" max="9" width="5.875" style="91" customWidth="1"/>
    <col min="10" max="10" width="3" style="91" customWidth="1"/>
    <col min="11" max="11" width="6.75" style="91" customWidth="1"/>
    <col min="12" max="20" width="6.625" style="91" customWidth="1"/>
    <col min="21" max="22" width="5.875" style="91" customWidth="1"/>
    <col min="23" max="23" width="9" style="91"/>
    <col min="24" max="24" width="16" style="91" customWidth="1"/>
    <col min="25" max="30" width="9.375" style="91" customWidth="1"/>
    <col min="31" max="31" width="9" style="91"/>
    <col min="32" max="35" width="12.625" style="91"/>
    <col min="36" max="38" width="11.125" style="91"/>
    <col min="39" max="39" width="10.125" style="91"/>
    <col min="40" max="42" width="9" style="91"/>
    <col min="43" max="43" width="11.125" style="91"/>
    <col min="44" max="16384" width="9" style="91"/>
  </cols>
  <sheetData>
    <row r="1" s="91" customFormat="1" ht="13.5" customHeight="1" spans="1:30">
      <c r="A1" s="128" t="s">
        <v>114</v>
      </c>
      <c r="B1" s="129"/>
      <c r="C1" s="129"/>
      <c r="D1" s="129"/>
      <c r="E1" s="129"/>
      <c r="F1" s="807" t="s">
        <v>311</v>
      </c>
      <c r="G1" s="129"/>
      <c r="H1" s="129"/>
      <c r="I1" s="129"/>
      <c r="J1" s="136"/>
      <c r="K1" s="128" t="s">
        <v>115</v>
      </c>
      <c r="L1" s="129"/>
      <c r="M1" s="129"/>
      <c r="N1" s="137" t="s">
        <v>116</v>
      </c>
      <c r="O1" s="138">
        <v>20</v>
      </c>
      <c r="P1" s="106"/>
      <c r="Q1" s="106"/>
      <c r="R1" s="129"/>
      <c r="S1" s="129"/>
      <c r="T1" s="129"/>
      <c r="U1" s="129"/>
      <c r="V1" s="129"/>
      <c r="X1" s="142" t="s">
        <v>117</v>
      </c>
      <c r="Y1" s="148"/>
      <c r="Z1" s="92"/>
      <c r="AA1" s="148"/>
      <c r="AB1" s="92"/>
      <c r="AC1" s="148"/>
      <c r="AD1" s="92"/>
    </row>
    <row r="2" s="91" customFormat="1" ht="13.5" customHeight="1" spans="1:32">
      <c r="A2" s="808" t="s">
        <v>312</v>
      </c>
      <c r="B2" s="130"/>
      <c r="C2" s="130"/>
      <c r="D2" s="130"/>
      <c r="E2" s="130"/>
      <c r="F2" s="130"/>
      <c r="G2" s="130"/>
      <c r="H2" s="130"/>
      <c r="I2" s="130"/>
      <c r="J2" s="136"/>
      <c r="K2" s="128"/>
      <c r="L2" s="130"/>
      <c r="M2" s="130"/>
      <c r="N2" s="137" t="s">
        <v>119</v>
      </c>
      <c r="O2" s="138">
        <v>10</v>
      </c>
      <c r="P2" s="139"/>
      <c r="Q2" s="143"/>
      <c r="R2" s="144"/>
      <c r="S2" s="145"/>
      <c r="T2" s="130"/>
      <c r="U2" s="130"/>
      <c r="V2" s="130"/>
      <c r="W2" s="130"/>
      <c r="X2" s="130"/>
      <c r="Z2" s="142"/>
      <c r="AA2" s="148"/>
      <c r="AB2" s="92"/>
      <c r="AC2" s="148"/>
      <c r="AD2" s="92"/>
      <c r="AE2" s="149"/>
      <c r="AF2" s="30"/>
    </row>
    <row r="3" s="91" customFormat="1" ht="13.5" customHeight="1" spans="1:37">
      <c r="A3" s="129" t="s">
        <v>121</v>
      </c>
      <c r="B3" s="131"/>
      <c r="C3" s="131"/>
      <c r="D3" s="131"/>
      <c r="E3" s="131"/>
      <c r="F3" s="131"/>
      <c r="G3" s="131"/>
      <c r="H3" s="131"/>
      <c r="I3" s="131"/>
      <c r="J3" s="140"/>
      <c r="K3" s="129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X3" s="142" t="s">
        <v>122</v>
      </c>
      <c r="Y3" s="150" t="str">
        <f>A3</f>
        <v>0h</v>
      </c>
      <c r="Z3" s="809" t="str">
        <f>A26</f>
        <v>2h</v>
      </c>
      <c r="AA3" s="150" t="str">
        <f>A49</f>
        <v>3h</v>
      </c>
      <c r="AB3" s="150" t="str">
        <f>A72</f>
        <v>4h</v>
      </c>
      <c r="AC3" s="150" t="str">
        <f>A95</f>
        <v>8h</v>
      </c>
      <c r="AD3" s="150" t="str">
        <f>A118</f>
        <v>24h</v>
      </c>
      <c r="AF3" s="106" t="s">
        <v>123</v>
      </c>
      <c r="AG3" s="157" t="s">
        <v>305</v>
      </c>
      <c r="AH3" s="157" t="s">
        <v>306</v>
      </c>
      <c r="AI3" s="157" t="s">
        <v>307</v>
      </c>
      <c r="AJ3" s="157" t="s">
        <v>308</v>
      </c>
      <c r="AK3" s="157" t="s">
        <v>309</v>
      </c>
    </row>
    <row r="4" s="91" customFormat="1" spans="1:40">
      <c r="A4" s="132" t="s">
        <v>128</v>
      </c>
      <c r="B4" s="133">
        <v>17.68</v>
      </c>
      <c r="C4" s="133">
        <v>31.58</v>
      </c>
      <c r="D4" s="133">
        <v>54.25</v>
      </c>
      <c r="E4" s="133">
        <v>82.31</v>
      </c>
      <c r="F4" s="133">
        <v>106.26</v>
      </c>
      <c r="G4" s="133">
        <v>125.73</v>
      </c>
      <c r="H4" s="133">
        <v>142.56</v>
      </c>
      <c r="I4" s="133">
        <v>150.78</v>
      </c>
      <c r="J4" s="133"/>
      <c r="K4" s="132" t="str">
        <f t="shared" ref="K4:K24" si="0">A4</f>
        <v>R/Z[cm]</v>
      </c>
      <c r="L4" s="141">
        <v>0</v>
      </c>
      <c r="M4" s="141">
        <f t="shared" ref="M4:V4" si="1">SQRT(L4*L4+150*150/10)</f>
        <v>47.4341649025257</v>
      </c>
      <c r="N4" s="141">
        <f t="shared" si="1"/>
        <v>67.0820393249937</v>
      </c>
      <c r="O4" s="141">
        <f t="shared" si="1"/>
        <v>82.1583836257749</v>
      </c>
      <c r="P4" s="141">
        <f t="shared" si="1"/>
        <v>94.8683298050514</v>
      </c>
      <c r="Q4" s="141">
        <f t="shared" si="1"/>
        <v>106.066017177982</v>
      </c>
      <c r="R4" s="141">
        <f t="shared" si="1"/>
        <v>116.189500386223</v>
      </c>
      <c r="S4" s="141">
        <f t="shared" si="1"/>
        <v>125.499003980111</v>
      </c>
      <c r="T4" s="141">
        <f t="shared" si="1"/>
        <v>134.164078649987</v>
      </c>
      <c r="U4" s="141">
        <f t="shared" si="1"/>
        <v>142.302494707577</v>
      </c>
      <c r="V4" s="141">
        <f t="shared" si="1"/>
        <v>150</v>
      </c>
      <c r="X4" s="142">
        <v>0</v>
      </c>
      <c r="Y4" s="92"/>
      <c r="Z4" s="92"/>
      <c r="AA4" s="92"/>
      <c r="AB4" s="92"/>
      <c r="AC4" s="92"/>
      <c r="AD4" s="92"/>
      <c r="AF4" s="106"/>
      <c r="AG4" s="106"/>
      <c r="AH4" s="106"/>
      <c r="AI4" s="106"/>
      <c r="AJ4" s="106"/>
      <c r="AK4" s="106"/>
      <c r="AL4" s="158"/>
      <c r="AM4" s="158"/>
      <c r="AN4" s="158"/>
    </row>
    <row r="5" s="91" customFormat="1" spans="1:41">
      <c r="A5" s="132">
        <v>27.5</v>
      </c>
      <c r="B5" s="133">
        <v>280.88</v>
      </c>
      <c r="C5" s="133">
        <v>280.56</v>
      </c>
      <c r="D5" s="133">
        <v>279.65</v>
      </c>
      <c r="E5" s="133">
        <v>278.05</v>
      </c>
      <c r="F5" s="133">
        <v>276.31</v>
      </c>
      <c r="G5" s="133">
        <v>274.93</v>
      </c>
      <c r="H5" s="133">
        <v>274.66</v>
      </c>
      <c r="I5" s="133">
        <v>270.37</v>
      </c>
      <c r="J5" s="133"/>
      <c r="K5" s="132">
        <f t="shared" si="0"/>
        <v>27.5</v>
      </c>
      <c r="L5" s="133">
        <f t="shared" ref="L5:L24" si="2">TREND(B5:C5,B$4:C$4,L$4)</f>
        <v>281.287021582734</v>
      </c>
      <c r="M5" s="133">
        <f t="shared" ref="M5:M24" si="3">TREND(C5:D5,C$4:D$4,M$4)</f>
        <v>279.923595497958</v>
      </c>
      <c r="N5" s="133">
        <f t="shared" ref="N5:N24" si="4">TREND(D5:E5,D$4:E$4,N$4)</f>
        <v>278.918308520314</v>
      </c>
      <c r="O5" s="133">
        <f t="shared" ref="O5:O24" si="5">TREND(D5:E5,D$4:E$4,O$4)</f>
        <v>278.05864526724</v>
      </c>
      <c r="P5" s="133">
        <f t="shared" ref="P5:P24" si="6">TREND(E5:F5,E$4:F$4,P$4)</f>
        <v>277.137620298088</v>
      </c>
      <c r="Q5" s="133">
        <f t="shared" ref="Q5:Q24" si="7">TREND(E5:F5,E$4:F$4,Q$4)</f>
        <v>276.324093115253</v>
      </c>
      <c r="R5" s="133">
        <f t="shared" ref="R5:R24" si="8">TREND(F5:G5,F$4:G$4,R$4)</f>
        <v>275.60621414828</v>
      </c>
      <c r="S5" s="133">
        <f t="shared" ref="S5:S24" si="9">TREND(F5:G5,F$4:G$4,S$4)</f>
        <v>274.946372599253</v>
      </c>
      <c r="T5" s="133">
        <f t="shared" ref="T5:T24" si="10">TREND(G5:H5,G$4:H$4,T$4)</f>
        <v>274.794693925401</v>
      </c>
      <c r="U5" s="133">
        <f t="shared" ref="U5:U24" si="11">TREND(G5:H5,G$4:H$4,U$4)</f>
        <v>274.664131100948</v>
      </c>
      <c r="V5" s="133">
        <f t="shared" ref="V5:V24" si="12">TREND(H5:I5,H$4:I$4,V$4)</f>
        <v>270.777080291971</v>
      </c>
      <c r="X5" s="142">
        <v>400</v>
      </c>
      <c r="Y5" s="151">
        <f ca="1" t="shared" ref="Y5:Y18" si="13">COUNTIFS(OFFSET($L$5,0,0,$O$1,$O$2),"&lt;="&amp;($X5),OFFSET($L$5,0,0,$O$1,$O$2),"&gt;"&amp;($X4))/$O$1/$O$2</f>
        <v>0.225</v>
      </c>
      <c r="Z5" s="151">
        <f ca="1" t="shared" ref="Z5:Z18" si="14">COUNTIFS(OFFSET($L$28,0,0,$O$1,$O$2),"&lt;="&amp;($X5),OFFSET($L$28,0,0,$O$1,$O$2),"&gt;"&amp;($X4))/$O$1/$O$2</f>
        <v>0</v>
      </c>
      <c r="AA5" s="151">
        <f ca="1" t="shared" ref="AA5:AA18" si="15">COUNTIFS(OFFSET($L$51,0,0,$O$1,$O$2),"&lt;="&amp;($X5),OFFSET($L$51,0,0,$O$1,$O$2),"&gt;"&amp;($X4))/$O$1/$O$2</f>
        <v>0</v>
      </c>
      <c r="AB5" s="151">
        <f ca="1" t="shared" ref="AB5:AB18" si="16">COUNTIFS(OFFSET($L$74,0,0,$O$1,$O$2),"&lt;="&amp;($X5),OFFSET($L$74,0,0,$O$1,$O$2),"&gt;"&amp;($X4))/$O$1/$O$2</f>
        <v>0</v>
      </c>
      <c r="AC5" s="151">
        <f ca="1" t="shared" ref="AC5:AC18" si="17">COUNTIFS(OFFSET($L$97,0,0,$O$1,$O$2),"&lt;="&amp;($X5),OFFSET($L$97,0,0,$O$1,$O$2),"&gt;"&amp;($X4))/$O$1/$O$2</f>
        <v>0</v>
      </c>
      <c r="AD5" s="151">
        <f ca="1" t="shared" ref="AD5:AD18" si="18">COUNTIFS(OFFSET($L$120,0,0,$O$1,$O$2),"&lt;="&amp;($X5),OFFSET($L$120,0,0,$O$1,$O$2),"&gt;"&amp;($X4))/$O$1/$O$2</f>
        <v>0</v>
      </c>
      <c r="AF5" s="106">
        <v>400</v>
      </c>
      <c r="AG5" s="106"/>
      <c r="AH5" s="106"/>
      <c r="AI5" s="106"/>
      <c r="AJ5" s="106"/>
      <c r="AK5" s="106"/>
      <c r="AL5" s="158"/>
      <c r="AM5" s="158"/>
      <c r="AN5" s="158"/>
      <c r="AO5" s="158"/>
    </row>
    <row r="6" s="91" customFormat="1" spans="1:43">
      <c r="A6" s="132">
        <v>82.5</v>
      </c>
      <c r="B6" s="133">
        <v>310.73</v>
      </c>
      <c r="C6" s="133">
        <v>309.79</v>
      </c>
      <c r="D6" s="133">
        <v>307.32</v>
      </c>
      <c r="E6" s="133">
        <v>302.79</v>
      </c>
      <c r="F6" s="133">
        <v>297.88</v>
      </c>
      <c r="G6" s="133">
        <v>294.08</v>
      </c>
      <c r="H6" s="133">
        <v>292.75</v>
      </c>
      <c r="I6" s="133">
        <v>283.93</v>
      </c>
      <c r="J6" s="133"/>
      <c r="K6" s="132">
        <f t="shared" si="0"/>
        <v>82.5</v>
      </c>
      <c r="L6" s="133">
        <f t="shared" si="2"/>
        <v>311.925625899281</v>
      </c>
      <c r="M6" s="133">
        <f t="shared" si="3"/>
        <v>308.0626163516</v>
      </c>
      <c r="N6" s="133">
        <f t="shared" si="4"/>
        <v>305.248398498139</v>
      </c>
      <c r="O6" s="133">
        <f t="shared" si="5"/>
        <v>302.814476912874</v>
      </c>
      <c r="P6" s="133">
        <f t="shared" si="6"/>
        <v>300.215411300927</v>
      </c>
      <c r="Q6" s="133">
        <f t="shared" si="7"/>
        <v>297.919768503387</v>
      </c>
      <c r="R6" s="133">
        <f t="shared" si="8"/>
        <v>295.942038959032</v>
      </c>
      <c r="S6" s="133">
        <f t="shared" si="9"/>
        <v>294.125083968956</v>
      </c>
      <c r="T6" s="133">
        <f t="shared" si="10"/>
        <v>293.413492299199</v>
      </c>
      <c r="U6" s="133">
        <f t="shared" si="11"/>
        <v>292.770349497262</v>
      </c>
      <c r="V6" s="133">
        <f t="shared" si="12"/>
        <v>284.766934306569</v>
      </c>
      <c r="X6" s="142">
        <v>500</v>
      </c>
      <c r="Y6" s="151">
        <f ca="1" t="shared" si="13"/>
        <v>0.095</v>
      </c>
      <c r="Z6" s="151">
        <f ca="1" t="shared" si="14"/>
        <v>0.005</v>
      </c>
      <c r="AA6" s="151">
        <f ca="1" t="shared" si="15"/>
        <v>0.005</v>
      </c>
      <c r="AB6" s="151">
        <f ca="1" t="shared" si="16"/>
        <v>0.005</v>
      </c>
      <c r="AC6" s="151">
        <f ca="1" t="shared" si="17"/>
        <v>0.045</v>
      </c>
      <c r="AD6" s="151">
        <f ca="1" t="shared" si="18"/>
        <v>0.055</v>
      </c>
      <c r="AF6" s="106">
        <v>500</v>
      </c>
      <c r="AG6" s="106"/>
      <c r="AH6" s="106"/>
      <c r="AI6" s="106"/>
      <c r="AJ6" s="106"/>
      <c r="AK6" s="106"/>
      <c r="AL6" s="158"/>
      <c r="AM6" s="158"/>
      <c r="AN6" s="158"/>
      <c r="AO6" s="158"/>
      <c r="AP6" s="158"/>
      <c r="AQ6" s="158"/>
    </row>
    <row r="7" s="91" customFormat="1" spans="1:37">
      <c r="A7" s="132">
        <v>137.5</v>
      </c>
      <c r="B7" s="133">
        <v>349.36</v>
      </c>
      <c r="C7" s="133">
        <v>347.62</v>
      </c>
      <c r="D7" s="133">
        <v>343.16</v>
      </c>
      <c r="E7" s="133">
        <v>335.01</v>
      </c>
      <c r="F7" s="133">
        <v>326.28</v>
      </c>
      <c r="G7" s="133">
        <v>319.56</v>
      </c>
      <c r="H7" s="133">
        <v>316.87</v>
      </c>
      <c r="I7" s="133">
        <v>304.88</v>
      </c>
      <c r="J7" s="133"/>
      <c r="K7" s="132">
        <f t="shared" si="0"/>
        <v>137.5</v>
      </c>
      <c r="L7" s="133">
        <f t="shared" si="2"/>
        <v>351.573179856115</v>
      </c>
      <c r="M7" s="133">
        <f t="shared" si="3"/>
        <v>344.500918594386</v>
      </c>
      <c r="N7" s="133">
        <f t="shared" si="4"/>
        <v>339.432946525349</v>
      </c>
      <c r="O7" s="133">
        <f t="shared" si="5"/>
        <v>335.054036830005</v>
      </c>
      <c r="P7" s="133">
        <f t="shared" si="6"/>
        <v>330.432370805925</v>
      </c>
      <c r="Q7" s="133">
        <f t="shared" si="7"/>
        <v>326.350708561011</v>
      </c>
      <c r="R7" s="133">
        <f t="shared" si="8"/>
        <v>322.852868895973</v>
      </c>
      <c r="S7" s="133">
        <f t="shared" si="9"/>
        <v>319.639727439838</v>
      </c>
      <c r="T7" s="133">
        <f t="shared" si="10"/>
        <v>318.211950590109</v>
      </c>
      <c r="U7" s="133">
        <f t="shared" si="11"/>
        <v>316.911158005741</v>
      </c>
      <c r="V7" s="133">
        <f t="shared" si="12"/>
        <v>306.017737226277</v>
      </c>
      <c r="X7" s="142">
        <v>600</v>
      </c>
      <c r="Y7" s="151">
        <f ca="1" t="shared" si="13"/>
        <v>0.1</v>
      </c>
      <c r="Z7" s="151">
        <f ca="1" t="shared" si="14"/>
        <v>0.16</v>
      </c>
      <c r="AA7" s="151">
        <f ca="1" t="shared" si="15"/>
        <v>0.135</v>
      </c>
      <c r="AB7" s="151">
        <f ca="1" t="shared" si="16"/>
        <v>0.16</v>
      </c>
      <c r="AC7" s="151">
        <f ca="1" t="shared" si="17"/>
        <v>0.145</v>
      </c>
      <c r="AD7" s="151">
        <f ca="1" t="shared" si="18"/>
        <v>0.11</v>
      </c>
      <c r="AF7" s="106">
        <v>600</v>
      </c>
      <c r="AG7" s="159">
        <v>0.494811280222222</v>
      </c>
      <c r="AH7" s="159">
        <v>0.256171031111111</v>
      </c>
      <c r="AI7" s="159">
        <v>0.116270849111111</v>
      </c>
      <c r="AJ7" s="159">
        <v>0.107075000888889</v>
      </c>
      <c r="AK7" s="159">
        <v>0.124105550222222</v>
      </c>
    </row>
    <row r="8" s="91" customFormat="1" spans="1:37">
      <c r="A8" s="132">
        <v>192.5</v>
      </c>
      <c r="B8" s="133">
        <v>395.14</v>
      </c>
      <c r="C8" s="133">
        <v>392.45</v>
      </c>
      <c r="D8" s="133">
        <v>385.74</v>
      </c>
      <c r="E8" s="133">
        <v>373.61</v>
      </c>
      <c r="F8" s="133">
        <v>360.68</v>
      </c>
      <c r="G8" s="133">
        <v>350.77</v>
      </c>
      <c r="H8" s="133">
        <v>346.58</v>
      </c>
      <c r="I8" s="133">
        <v>330.95</v>
      </c>
      <c r="J8" s="133"/>
      <c r="K8" s="132">
        <f t="shared" si="0"/>
        <v>192.5</v>
      </c>
      <c r="L8" s="133">
        <f t="shared" si="2"/>
        <v>398.561525179856</v>
      </c>
      <c r="M8" s="133">
        <f t="shared" si="3"/>
        <v>387.757390979446</v>
      </c>
      <c r="N8" s="133">
        <f t="shared" si="4"/>
        <v>380.19286396963</v>
      </c>
      <c r="O8" s="133">
        <f t="shared" si="5"/>
        <v>373.675541932265</v>
      </c>
      <c r="P8" s="133">
        <f t="shared" si="6"/>
        <v>366.830074973724</v>
      </c>
      <c r="Q8" s="133">
        <f t="shared" si="7"/>
        <v>360.784726425415</v>
      </c>
      <c r="R8" s="133">
        <f t="shared" si="8"/>
        <v>355.626001601055</v>
      </c>
      <c r="S8" s="133">
        <f t="shared" si="9"/>
        <v>350.887574245357</v>
      </c>
      <c r="T8" s="133">
        <f t="shared" si="10"/>
        <v>348.670250175672</v>
      </c>
      <c r="U8" s="133">
        <f t="shared" si="11"/>
        <v>346.644108566563</v>
      </c>
      <c r="V8" s="133">
        <f t="shared" si="12"/>
        <v>332.433138686131</v>
      </c>
      <c r="X8" s="142">
        <v>700</v>
      </c>
      <c r="Y8" s="151">
        <f ca="1" t="shared" si="13"/>
        <v>0.135</v>
      </c>
      <c r="Z8" s="151">
        <f ca="1" t="shared" si="14"/>
        <v>0.275</v>
      </c>
      <c r="AA8" s="151">
        <f ca="1" t="shared" si="15"/>
        <v>0.265</v>
      </c>
      <c r="AB8" s="151">
        <f ca="1" t="shared" si="16"/>
        <v>0.225</v>
      </c>
      <c r="AC8" s="151">
        <f ca="1" t="shared" si="17"/>
        <v>0.185</v>
      </c>
      <c r="AD8" s="151">
        <f ca="1" t="shared" si="18"/>
        <v>0.15</v>
      </c>
      <c r="AF8" s="106">
        <v>700</v>
      </c>
      <c r="AG8" s="159">
        <v>0.108885500666667</v>
      </c>
      <c r="AH8" s="159">
        <v>0.177138678222222</v>
      </c>
      <c r="AI8" s="159">
        <v>0.137168958666667</v>
      </c>
      <c r="AJ8" s="159">
        <v>0.101721209111111</v>
      </c>
      <c r="AK8" s="159">
        <v>0.0793323157777778</v>
      </c>
    </row>
    <row r="9" s="91" customFormat="1" spans="1:37">
      <c r="A9" s="132">
        <v>241.5</v>
      </c>
      <c r="B9" s="133">
        <v>440.29</v>
      </c>
      <c r="C9" s="133">
        <v>436.65</v>
      </c>
      <c r="D9" s="133">
        <v>427.88</v>
      </c>
      <c r="E9" s="133">
        <v>412.28</v>
      </c>
      <c r="F9" s="133">
        <v>395.78</v>
      </c>
      <c r="G9" s="133">
        <v>383.35</v>
      </c>
      <c r="H9" s="133">
        <v>378.2</v>
      </c>
      <c r="I9" s="133">
        <v>358.93</v>
      </c>
      <c r="J9" s="133"/>
      <c r="K9" s="132">
        <f t="shared" si="0"/>
        <v>241.5</v>
      </c>
      <c r="L9" s="133">
        <f t="shared" si="2"/>
        <v>444.919870503597</v>
      </c>
      <c r="M9" s="133">
        <f t="shared" si="3"/>
        <v>430.516739029768</v>
      </c>
      <c r="N9" s="133">
        <f t="shared" si="4"/>
        <v>420.746008073061</v>
      </c>
      <c r="O9" s="133">
        <f t="shared" si="5"/>
        <v>412.364291355592</v>
      </c>
      <c r="P9" s="133">
        <f t="shared" si="6"/>
        <v>403.628123516353</v>
      </c>
      <c r="Q9" s="133">
        <f t="shared" si="7"/>
        <v>395.913641610158</v>
      </c>
      <c r="R9" s="133">
        <f t="shared" si="8"/>
        <v>389.440827437044</v>
      </c>
      <c r="S9" s="133">
        <f t="shared" si="9"/>
        <v>383.497472035296</v>
      </c>
      <c r="T9" s="133">
        <f t="shared" si="10"/>
        <v>380.769161910432</v>
      </c>
      <c r="U9" s="133">
        <f t="shared" si="11"/>
        <v>378.278796925489</v>
      </c>
      <c r="V9" s="133">
        <f t="shared" si="12"/>
        <v>360.758540145985</v>
      </c>
      <c r="X9" s="142">
        <v>800</v>
      </c>
      <c r="Y9" s="151">
        <f ca="1" t="shared" si="13"/>
        <v>0.205</v>
      </c>
      <c r="Z9" s="151">
        <f ca="1" t="shared" si="14"/>
        <v>0.17</v>
      </c>
      <c r="AA9" s="151">
        <f ca="1" t="shared" si="15"/>
        <v>0.22</v>
      </c>
      <c r="AB9" s="151">
        <f ca="1" t="shared" si="16"/>
        <v>0.24</v>
      </c>
      <c r="AC9" s="151">
        <f ca="1" t="shared" si="17"/>
        <v>0.255</v>
      </c>
      <c r="AD9" s="151">
        <f ca="1" t="shared" si="18"/>
        <v>0.245</v>
      </c>
      <c r="AF9" s="106">
        <v>800</v>
      </c>
      <c r="AG9" s="159">
        <v>0.150552117777778</v>
      </c>
      <c r="AH9" s="159">
        <v>0.111688740888889</v>
      </c>
      <c r="AI9" s="159">
        <v>0.134721039111111</v>
      </c>
      <c r="AJ9" s="159">
        <v>0.110235319555556</v>
      </c>
      <c r="AK9" s="159">
        <v>0.120271434</v>
      </c>
    </row>
    <row r="10" s="91" customFormat="1" spans="1:37">
      <c r="A10" s="132">
        <v>296.5</v>
      </c>
      <c r="B10" s="133">
        <v>499.84</v>
      </c>
      <c r="C10" s="133">
        <v>495.05</v>
      </c>
      <c r="D10" s="133">
        <v>483.75</v>
      </c>
      <c r="E10" s="133">
        <v>464.01</v>
      </c>
      <c r="F10" s="133">
        <v>443.62</v>
      </c>
      <c r="G10" s="133">
        <v>429.12</v>
      </c>
      <c r="H10" s="133">
        <v>423.34</v>
      </c>
      <c r="I10" s="133">
        <v>391.86</v>
      </c>
      <c r="J10" s="133"/>
      <c r="K10" s="132">
        <f t="shared" si="0"/>
        <v>296.5</v>
      </c>
      <c r="L10" s="133">
        <f t="shared" si="2"/>
        <v>505.932604316547</v>
      </c>
      <c r="M10" s="133">
        <f t="shared" si="3"/>
        <v>487.14739464497</v>
      </c>
      <c r="N10" s="133">
        <f t="shared" si="4"/>
        <v>474.722756369374</v>
      </c>
      <c r="O10" s="133">
        <f t="shared" si="5"/>
        <v>464.116660984576</v>
      </c>
      <c r="P10" s="133">
        <f t="shared" si="6"/>
        <v>453.318378090814</v>
      </c>
      <c r="Q10" s="133">
        <f t="shared" si="7"/>
        <v>443.78514863219</v>
      </c>
      <c r="R10" s="133">
        <f t="shared" si="8"/>
        <v>436.225148659465</v>
      </c>
      <c r="S10" s="133">
        <f t="shared" si="9"/>
        <v>429.292030934175</v>
      </c>
      <c r="T10" s="133">
        <f t="shared" si="10"/>
        <v>426.223447736368</v>
      </c>
      <c r="U10" s="133">
        <f t="shared" si="11"/>
        <v>423.428436161034</v>
      </c>
      <c r="V10" s="133">
        <f t="shared" si="12"/>
        <v>394.847153284672</v>
      </c>
      <c r="X10" s="142">
        <v>900</v>
      </c>
      <c r="Y10" s="151">
        <f ca="1" t="shared" si="13"/>
        <v>0.18</v>
      </c>
      <c r="Z10" s="151">
        <f ca="1" t="shared" si="14"/>
        <v>0.17</v>
      </c>
      <c r="AA10" s="151">
        <f ca="1" t="shared" si="15"/>
        <v>0.165</v>
      </c>
      <c r="AB10" s="151">
        <f ca="1" t="shared" si="16"/>
        <v>0.175</v>
      </c>
      <c r="AC10" s="151">
        <f ca="1" t="shared" si="17"/>
        <v>0.23</v>
      </c>
      <c r="AD10" s="151">
        <f ca="1" t="shared" si="18"/>
        <v>0.315</v>
      </c>
      <c r="AF10" s="106">
        <v>900</v>
      </c>
      <c r="AG10" s="159">
        <v>0.19651376</v>
      </c>
      <c r="AH10" s="159">
        <v>0.159067392444444</v>
      </c>
      <c r="AI10" s="159">
        <v>0.166178188</v>
      </c>
      <c r="AJ10" s="159">
        <v>0.175793896222222</v>
      </c>
      <c r="AK10" s="159">
        <v>0.147223262</v>
      </c>
    </row>
    <row r="11" s="91" customFormat="1" spans="1:37">
      <c r="A11" s="132">
        <v>357.5</v>
      </c>
      <c r="B11" s="133">
        <v>561.89</v>
      </c>
      <c r="C11" s="133">
        <v>555.9</v>
      </c>
      <c r="D11" s="133">
        <v>542.06</v>
      </c>
      <c r="E11" s="133">
        <v>518.34</v>
      </c>
      <c r="F11" s="133">
        <v>494.26</v>
      </c>
      <c r="G11" s="133">
        <v>477.45</v>
      </c>
      <c r="H11" s="133">
        <v>470.72</v>
      </c>
      <c r="I11" s="133">
        <v>439.49</v>
      </c>
      <c r="J11" s="133"/>
      <c r="K11" s="132">
        <f t="shared" si="0"/>
        <v>357.5</v>
      </c>
      <c r="L11" s="133">
        <f t="shared" si="2"/>
        <v>569.508935251799</v>
      </c>
      <c r="M11" s="133">
        <f t="shared" si="3"/>
        <v>546.221056804104</v>
      </c>
      <c r="N11" s="133">
        <f t="shared" si="4"/>
        <v>531.212673813655</v>
      </c>
      <c r="O11" s="133">
        <f t="shared" si="5"/>
        <v>518.468166086836</v>
      </c>
      <c r="P11" s="133">
        <f t="shared" si="6"/>
        <v>505.71350389538</v>
      </c>
      <c r="Q11" s="133">
        <f t="shared" si="7"/>
        <v>494.455035755916</v>
      </c>
      <c r="R11" s="133">
        <f t="shared" si="8"/>
        <v>485.687072342455</v>
      </c>
      <c r="S11" s="133">
        <f t="shared" si="9"/>
        <v>477.649437241619</v>
      </c>
      <c r="T11" s="133">
        <f t="shared" si="10"/>
        <v>474.077370807224</v>
      </c>
      <c r="U11" s="133">
        <f t="shared" si="11"/>
        <v>470.822971516221</v>
      </c>
      <c r="V11" s="133">
        <f t="shared" si="12"/>
        <v>442.453430656934</v>
      </c>
      <c r="X11" s="142">
        <v>1000</v>
      </c>
      <c r="Y11" s="151">
        <f ca="1" t="shared" si="13"/>
        <v>0.06</v>
      </c>
      <c r="Z11" s="151">
        <f ca="1" t="shared" si="14"/>
        <v>0.145</v>
      </c>
      <c r="AA11" s="151">
        <f ca="1" t="shared" si="15"/>
        <v>0.115</v>
      </c>
      <c r="AB11" s="151">
        <f ca="1" t="shared" si="16"/>
        <v>0.13</v>
      </c>
      <c r="AC11" s="151">
        <f ca="1" t="shared" si="17"/>
        <v>0.14</v>
      </c>
      <c r="AD11" s="151">
        <f ca="1" t="shared" si="18"/>
        <v>0.125</v>
      </c>
      <c r="AF11" s="106">
        <v>1000</v>
      </c>
      <c r="AG11" s="159">
        <v>0.0596643813333333</v>
      </c>
      <c r="AH11" s="159">
        <v>0.140269491333333</v>
      </c>
      <c r="AI11" s="159">
        <v>0.114597690444444</v>
      </c>
      <c r="AJ11" s="159">
        <v>0.146215211777778</v>
      </c>
      <c r="AK11" s="159">
        <v>0.170108075555556</v>
      </c>
    </row>
    <row r="12" s="91" customFormat="1" spans="1:37">
      <c r="A12" s="132">
        <v>412.5</v>
      </c>
      <c r="B12" s="133">
        <v>619.11</v>
      </c>
      <c r="C12" s="133">
        <v>611.97</v>
      </c>
      <c r="D12" s="133">
        <v>595.81</v>
      </c>
      <c r="E12" s="133">
        <v>568.63</v>
      </c>
      <c r="F12" s="133">
        <v>541.42</v>
      </c>
      <c r="G12" s="133">
        <v>522.52</v>
      </c>
      <c r="H12" s="133">
        <v>515.17</v>
      </c>
      <c r="I12" s="133">
        <v>485.16</v>
      </c>
      <c r="J12" s="133"/>
      <c r="K12" s="132">
        <f t="shared" si="0"/>
        <v>412.5</v>
      </c>
      <c r="L12" s="133">
        <f t="shared" si="2"/>
        <v>628.191669064748</v>
      </c>
      <c r="M12" s="133">
        <f t="shared" si="3"/>
        <v>600.6685749967</v>
      </c>
      <c r="N12" s="133">
        <f t="shared" si="4"/>
        <v>583.380390988834</v>
      </c>
      <c r="O12" s="133">
        <f t="shared" si="5"/>
        <v>568.776861477243</v>
      </c>
      <c r="P12" s="133">
        <f t="shared" si="6"/>
        <v>554.36226914424</v>
      </c>
      <c r="Q12" s="133">
        <f t="shared" si="7"/>
        <v>541.640387164388</v>
      </c>
      <c r="R12" s="133">
        <f t="shared" si="8"/>
        <v>531.781193769923</v>
      </c>
      <c r="S12" s="133">
        <f t="shared" si="9"/>
        <v>522.744233424545</v>
      </c>
      <c r="T12" s="133">
        <f t="shared" si="10"/>
        <v>518.836667969257</v>
      </c>
      <c r="U12" s="133">
        <f t="shared" si="11"/>
        <v>515.282457748028</v>
      </c>
      <c r="V12" s="133">
        <f t="shared" si="12"/>
        <v>488.007664233577</v>
      </c>
      <c r="X12" s="142">
        <v>1100</v>
      </c>
      <c r="Y12" s="151">
        <f ca="1" t="shared" si="13"/>
        <v>0</v>
      </c>
      <c r="Z12" s="151">
        <f ca="1" t="shared" si="14"/>
        <v>0.075</v>
      </c>
      <c r="AA12" s="151">
        <f ca="1" t="shared" si="15"/>
        <v>0.085</v>
      </c>
      <c r="AB12" s="151">
        <f ca="1" t="shared" si="16"/>
        <v>0.065</v>
      </c>
      <c r="AC12" s="151">
        <f ca="1" t="shared" si="17"/>
        <v>0</v>
      </c>
      <c r="AD12" s="151">
        <f ca="1" t="shared" si="18"/>
        <v>0</v>
      </c>
      <c r="AF12" s="106">
        <v>1100</v>
      </c>
      <c r="AG12" s="159"/>
      <c r="AH12" s="159">
        <v>0.107948911333333</v>
      </c>
      <c r="AI12" s="159">
        <v>0.118918976</v>
      </c>
      <c r="AJ12" s="159">
        <v>0.128959049111111</v>
      </c>
      <c r="AK12" s="159">
        <v>0.143319088222222</v>
      </c>
    </row>
    <row r="13" s="91" customFormat="1" spans="1:37">
      <c r="A13" s="132">
        <v>467.5</v>
      </c>
      <c r="B13" s="133">
        <v>674.13</v>
      </c>
      <c r="C13" s="133">
        <v>665.83</v>
      </c>
      <c r="D13" s="133">
        <v>647.5</v>
      </c>
      <c r="E13" s="133">
        <v>617.17</v>
      </c>
      <c r="F13" s="133">
        <v>587.15</v>
      </c>
      <c r="G13" s="133">
        <v>566.41</v>
      </c>
      <c r="H13" s="133">
        <v>558.07</v>
      </c>
      <c r="I13" s="133">
        <v>528.95</v>
      </c>
      <c r="J13" s="133"/>
      <c r="K13" s="132">
        <f t="shared" si="0"/>
        <v>467.5</v>
      </c>
      <c r="L13" s="133">
        <f t="shared" si="2"/>
        <v>684.687122302158</v>
      </c>
      <c r="M13" s="133">
        <f t="shared" si="3"/>
        <v>653.010995030291</v>
      </c>
      <c r="N13" s="133">
        <f t="shared" si="4"/>
        <v>633.629873388202</v>
      </c>
      <c r="O13" s="133">
        <f t="shared" si="5"/>
        <v>617.333881847122</v>
      </c>
      <c r="P13" s="133">
        <f t="shared" si="6"/>
        <v>601.428828361268</v>
      </c>
      <c r="Q13" s="133">
        <f t="shared" si="7"/>
        <v>587.393146735573</v>
      </c>
      <c r="R13" s="133">
        <f t="shared" si="8"/>
        <v>576.572812634296</v>
      </c>
      <c r="S13" s="133">
        <f t="shared" si="9"/>
        <v>566.656063556882</v>
      </c>
      <c r="T13" s="133">
        <f t="shared" si="10"/>
        <v>562.230545695728</v>
      </c>
      <c r="U13" s="133">
        <f t="shared" si="11"/>
        <v>558.19760511817</v>
      </c>
      <c r="V13" s="133">
        <f t="shared" si="12"/>
        <v>531.713211678832</v>
      </c>
      <c r="X13" s="142">
        <v>1200</v>
      </c>
      <c r="Y13" s="151">
        <f ca="1" t="shared" si="13"/>
        <v>0</v>
      </c>
      <c r="Z13" s="151">
        <f ca="1" t="shared" si="14"/>
        <v>0</v>
      </c>
      <c r="AA13" s="151">
        <f ca="1" t="shared" si="15"/>
        <v>0.01</v>
      </c>
      <c r="AB13" s="151">
        <f ca="1" t="shared" si="16"/>
        <v>0</v>
      </c>
      <c r="AC13" s="151">
        <f ca="1" t="shared" si="17"/>
        <v>0</v>
      </c>
      <c r="AD13" s="151">
        <f ca="1" t="shared" si="18"/>
        <v>0</v>
      </c>
      <c r="AF13" s="106">
        <v>1200</v>
      </c>
      <c r="AG13" s="159"/>
      <c r="AH13" s="159">
        <v>0.0456724684444444</v>
      </c>
      <c r="AI13" s="159">
        <v>0.103862087555556</v>
      </c>
      <c r="AJ13" s="159">
        <v>0.102472085555556</v>
      </c>
      <c r="AK13" s="159">
        <v>0.113898202</v>
      </c>
    </row>
    <row r="14" s="91" customFormat="1" spans="1:37">
      <c r="A14" s="132">
        <v>522.5</v>
      </c>
      <c r="B14" s="133">
        <v>725.42</v>
      </c>
      <c r="C14" s="133">
        <v>716.06</v>
      </c>
      <c r="D14" s="133">
        <v>695.72</v>
      </c>
      <c r="E14" s="133">
        <v>662.65</v>
      </c>
      <c r="F14" s="133">
        <v>630.25</v>
      </c>
      <c r="G14" s="133">
        <v>607.89</v>
      </c>
      <c r="H14" s="133">
        <v>598.48</v>
      </c>
      <c r="I14" s="133">
        <v>570.97</v>
      </c>
      <c r="J14" s="133"/>
      <c r="K14" s="132">
        <f t="shared" si="0"/>
        <v>522.5</v>
      </c>
      <c r="L14" s="133">
        <f t="shared" si="2"/>
        <v>737.325381294964</v>
      </c>
      <c r="M14" s="133">
        <f t="shared" si="3"/>
        <v>701.835310360945</v>
      </c>
      <c r="N14" s="133">
        <f t="shared" si="4"/>
        <v>680.596851729239</v>
      </c>
      <c r="O14" s="133">
        <f t="shared" si="5"/>
        <v>662.828686867271</v>
      </c>
      <c r="P14" s="133">
        <f t="shared" si="6"/>
        <v>645.66086072302</v>
      </c>
      <c r="Q14" s="133">
        <f t="shared" si="7"/>
        <v>630.512423525402</v>
      </c>
      <c r="R14" s="133">
        <f t="shared" si="8"/>
        <v>618.846629243147</v>
      </c>
      <c r="S14" s="133">
        <f t="shared" si="9"/>
        <v>608.1552835647</v>
      </c>
      <c r="T14" s="133">
        <f t="shared" si="10"/>
        <v>603.17433273343</v>
      </c>
      <c r="U14" s="133">
        <f t="shared" si="11"/>
        <v>598.623976518223</v>
      </c>
      <c r="V14" s="133">
        <f t="shared" si="12"/>
        <v>573.580437956204</v>
      </c>
      <c r="X14" s="142">
        <v>1300</v>
      </c>
      <c r="Y14" s="151">
        <f ca="1" t="shared" si="13"/>
        <v>0</v>
      </c>
      <c r="Z14" s="151">
        <f ca="1" t="shared" si="14"/>
        <v>0</v>
      </c>
      <c r="AA14" s="151">
        <f ca="1" t="shared" si="15"/>
        <v>0</v>
      </c>
      <c r="AB14" s="151">
        <f ca="1" t="shared" si="16"/>
        <v>0</v>
      </c>
      <c r="AC14" s="151">
        <f ca="1" t="shared" si="17"/>
        <v>0</v>
      </c>
      <c r="AD14" s="151">
        <f ca="1" t="shared" si="18"/>
        <v>0</v>
      </c>
      <c r="AF14" s="106">
        <v>1300</v>
      </c>
      <c r="AG14" s="159"/>
      <c r="AH14" s="159">
        <v>0.0124703262222222</v>
      </c>
      <c r="AI14" s="159">
        <v>0.0750359893333334</v>
      </c>
      <c r="AJ14" s="159">
        <v>0.0644122573333333</v>
      </c>
      <c r="AK14" s="159">
        <v>0.0743413617777778</v>
      </c>
    </row>
    <row r="15" s="91" customFormat="1" spans="1:37">
      <c r="A15" s="132">
        <v>577.5</v>
      </c>
      <c r="B15" s="133">
        <v>771.98</v>
      </c>
      <c r="C15" s="133">
        <v>761.69</v>
      </c>
      <c r="D15" s="133">
        <v>739.65</v>
      </c>
      <c r="E15" s="133">
        <v>704.32</v>
      </c>
      <c r="F15" s="133">
        <v>670</v>
      </c>
      <c r="G15" s="133">
        <v>646.22</v>
      </c>
      <c r="H15" s="133">
        <v>635.66</v>
      </c>
      <c r="I15" s="133">
        <v>608.35</v>
      </c>
      <c r="J15" s="133"/>
      <c r="K15" s="132">
        <f t="shared" si="0"/>
        <v>577.5</v>
      </c>
      <c r="L15" s="133">
        <f t="shared" si="2"/>
        <v>785.068287769784</v>
      </c>
      <c r="M15" s="133">
        <f t="shared" si="3"/>
        <v>746.276422829657</v>
      </c>
      <c r="N15" s="133">
        <f t="shared" si="4"/>
        <v>723.493337514183</v>
      </c>
      <c r="O15" s="133">
        <f t="shared" si="5"/>
        <v>704.510898307248</v>
      </c>
      <c r="P15" s="133">
        <f t="shared" si="6"/>
        <v>686.324096914014</v>
      </c>
      <c r="Q15" s="133">
        <f t="shared" si="7"/>
        <v>670.27797454913</v>
      </c>
      <c r="R15" s="133">
        <f t="shared" si="8"/>
        <v>657.872443801522</v>
      </c>
      <c r="S15" s="133">
        <f t="shared" si="9"/>
        <v>646.502130732047</v>
      </c>
      <c r="T15" s="133">
        <f t="shared" si="10"/>
        <v>640.928029082361</v>
      </c>
      <c r="U15" s="133">
        <f t="shared" si="11"/>
        <v>635.821571948187</v>
      </c>
      <c r="V15" s="133">
        <f t="shared" si="12"/>
        <v>610.941459854015</v>
      </c>
      <c r="X15" s="142">
        <v>1400</v>
      </c>
      <c r="Y15" s="151">
        <f ca="1" t="shared" si="13"/>
        <v>0</v>
      </c>
      <c r="Z15" s="151">
        <f ca="1" t="shared" si="14"/>
        <v>0</v>
      </c>
      <c r="AA15" s="151">
        <f ca="1" t="shared" si="15"/>
        <v>0</v>
      </c>
      <c r="AB15" s="151">
        <f ca="1" t="shared" si="16"/>
        <v>0</v>
      </c>
      <c r="AC15" s="151">
        <f ca="1" t="shared" si="17"/>
        <v>0</v>
      </c>
      <c r="AD15" s="151">
        <f ca="1" t="shared" si="18"/>
        <v>0</v>
      </c>
      <c r="AF15" s="106">
        <v>1400</v>
      </c>
      <c r="AG15" s="159"/>
      <c r="AH15" s="159">
        <v>0</v>
      </c>
      <c r="AI15" s="159">
        <v>0.0325921906666667</v>
      </c>
      <c r="AJ15" s="159">
        <v>0.0581380146666667</v>
      </c>
      <c r="AK15" s="159">
        <v>0.0311791077777778</v>
      </c>
    </row>
    <row r="16" s="91" customFormat="1" spans="1:37">
      <c r="A16" s="132">
        <v>632.5</v>
      </c>
      <c r="B16" s="133">
        <v>813.34</v>
      </c>
      <c r="C16" s="133">
        <v>802.22</v>
      </c>
      <c r="D16" s="133">
        <v>778.75</v>
      </c>
      <c r="E16" s="133">
        <v>741.68</v>
      </c>
      <c r="F16" s="133">
        <v>705.9</v>
      </c>
      <c r="G16" s="133">
        <v>681</v>
      </c>
      <c r="H16" s="133">
        <v>669.32</v>
      </c>
      <c r="I16" s="133">
        <v>643.74</v>
      </c>
      <c r="J16" s="133"/>
      <c r="K16" s="132">
        <f t="shared" si="0"/>
        <v>632.5</v>
      </c>
      <c r="L16" s="133">
        <f t="shared" si="2"/>
        <v>827.484</v>
      </c>
      <c r="M16" s="133">
        <f t="shared" si="3"/>
        <v>785.806358612163</v>
      </c>
      <c r="N16" s="133">
        <f t="shared" si="4"/>
        <v>761.797623030024</v>
      </c>
      <c r="O16" s="133">
        <f t="shared" si="5"/>
        <v>741.880300035371</v>
      </c>
      <c r="P16" s="133">
        <f t="shared" si="6"/>
        <v>722.918536934249</v>
      </c>
      <c r="Q16" s="133">
        <f t="shared" si="7"/>
        <v>706.189799806756</v>
      </c>
      <c r="R16" s="133">
        <f t="shared" si="8"/>
        <v>693.201255284184</v>
      </c>
      <c r="S16" s="133">
        <f t="shared" si="9"/>
        <v>681.295418638687</v>
      </c>
      <c r="T16" s="133">
        <f t="shared" si="10"/>
        <v>675.146759439581</v>
      </c>
      <c r="U16" s="133">
        <f t="shared" si="11"/>
        <v>669.498708366934</v>
      </c>
      <c r="V16" s="133">
        <f t="shared" si="12"/>
        <v>646.167299270073</v>
      </c>
      <c r="X16" s="142">
        <v>1500</v>
      </c>
      <c r="Y16" s="151">
        <f ca="1" t="shared" si="13"/>
        <v>0</v>
      </c>
      <c r="Z16" s="151">
        <f ca="1" t="shared" si="14"/>
        <v>0</v>
      </c>
      <c r="AA16" s="151">
        <f ca="1" t="shared" si="15"/>
        <v>0</v>
      </c>
      <c r="AB16" s="151">
        <f ca="1" t="shared" si="16"/>
        <v>0</v>
      </c>
      <c r="AC16" s="151">
        <f ca="1" t="shared" si="17"/>
        <v>0</v>
      </c>
      <c r="AD16" s="151">
        <f ca="1" t="shared" si="18"/>
        <v>0</v>
      </c>
      <c r="AF16" s="106">
        <v>1500</v>
      </c>
      <c r="AG16" s="159"/>
      <c r="AH16" s="159">
        <v>0</v>
      </c>
      <c r="AI16" s="159">
        <v>0.0110810711111111</v>
      </c>
      <c r="AJ16" s="159">
        <v>0.0154049957777778</v>
      </c>
      <c r="AK16" s="159">
        <v>0.00664864266666667</v>
      </c>
    </row>
    <row r="17" s="91" customFormat="1" spans="1:37">
      <c r="A17" s="132">
        <v>687.5</v>
      </c>
      <c r="B17" s="133">
        <v>849.34</v>
      </c>
      <c r="C17" s="133">
        <v>837.52</v>
      </c>
      <c r="D17" s="133">
        <v>812.88</v>
      </c>
      <c r="E17" s="133">
        <v>774.54</v>
      </c>
      <c r="F17" s="133">
        <v>737.8</v>
      </c>
      <c r="G17" s="133">
        <v>712.04</v>
      </c>
      <c r="H17" s="133">
        <v>699.43</v>
      </c>
      <c r="I17" s="133">
        <v>675.51</v>
      </c>
      <c r="J17" s="133"/>
      <c r="K17" s="132">
        <f t="shared" si="0"/>
        <v>687.5</v>
      </c>
      <c r="L17" s="133">
        <f t="shared" si="2"/>
        <v>864.37435971223</v>
      </c>
      <c r="M17" s="133">
        <f t="shared" si="3"/>
        <v>820.288124252394</v>
      </c>
      <c r="N17" s="133">
        <f t="shared" si="4"/>
        <v>795.346842918024</v>
      </c>
      <c r="O17" s="133">
        <f t="shared" si="5"/>
        <v>774.747162216243</v>
      </c>
      <c r="P17" s="133">
        <f t="shared" si="6"/>
        <v>755.275155029746</v>
      </c>
      <c r="Q17" s="133">
        <f t="shared" si="7"/>
        <v>738.09757531862</v>
      </c>
      <c r="R17" s="133">
        <f t="shared" si="8"/>
        <v>724.662664101228</v>
      </c>
      <c r="S17" s="133">
        <f t="shared" si="9"/>
        <v>712.345621852713</v>
      </c>
      <c r="T17" s="133">
        <f t="shared" si="10"/>
        <v>705.72070518263</v>
      </c>
      <c r="U17" s="133">
        <f t="shared" si="11"/>
        <v>699.622937714644</v>
      </c>
      <c r="V17" s="133">
        <f t="shared" si="12"/>
        <v>677.779781021898</v>
      </c>
      <c r="X17" s="142">
        <v>1600</v>
      </c>
      <c r="Y17" s="151">
        <f ca="1" t="shared" si="13"/>
        <v>0</v>
      </c>
      <c r="Z17" s="151">
        <f ca="1" t="shared" si="14"/>
        <v>0</v>
      </c>
      <c r="AA17" s="151">
        <f ca="1" t="shared" si="15"/>
        <v>0</v>
      </c>
      <c r="AB17" s="151">
        <f ca="1" t="shared" si="16"/>
        <v>0</v>
      </c>
      <c r="AC17" s="151">
        <f ca="1" t="shared" si="17"/>
        <v>0</v>
      </c>
      <c r="AD17" s="151">
        <f ca="1" t="shared" si="18"/>
        <v>0</v>
      </c>
      <c r="AF17" s="106">
        <v>1570</v>
      </c>
      <c r="AG17" s="159">
        <v>0</v>
      </c>
      <c r="AH17" s="159">
        <v>0</v>
      </c>
      <c r="AI17" s="159">
        <v>0</v>
      </c>
      <c r="AJ17" s="159"/>
      <c r="AK17" s="106"/>
    </row>
    <row r="18" s="91" customFormat="1" spans="1:37">
      <c r="A18" s="132">
        <v>742.5</v>
      </c>
      <c r="B18" s="133">
        <v>880.03</v>
      </c>
      <c r="C18" s="133">
        <v>867.63</v>
      </c>
      <c r="D18" s="133">
        <v>842.1</v>
      </c>
      <c r="E18" s="133">
        <v>802.9</v>
      </c>
      <c r="F18" s="133">
        <v>765.59</v>
      </c>
      <c r="G18" s="133">
        <v>739.27</v>
      </c>
      <c r="H18" s="133">
        <v>725.91</v>
      </c>
      <c r="I18" s="133">
        <v>703.23</v>
      </c>
      <c r="J18" s="133"/>
      <c r="K18" s="132">
        <f t="shared" si="0"/>
        <v>742.5</v>
      </c>
      <c r="L18" s="133">
        <f t="shared" si="2"/>
        <v>895.802086330935</v>
      </c>
      <c r="M18" s="133">
        <f t="shared" si="3"/>
        <v>849.775706662484</v>
      </c>
      <c r="N18" s="133">
        <f t="shared" si="4"/>
        <v>824.173558747692</v>
      </c>
      <c r="O18" s="133">
        <f t="shared" si="5"/>
        <v>803.111809047385</v>
      </c>
      <c r="P18" s="133">
        <f t="shared" si="6"/>
        <v>783.336272023947</v>
      </c>
      <c r="Q18" s="133">
        <f t="shared" si="7"/>
        <v>765.892192028789</v>
      </c>
      <c r="R18" s="133">
        <f t="shared" si="8"/>
        <v>752.167069842559</v>
      </c>
      <c r="S18" s="133">
        <f t="shared" si="9"/>
        <v>739.582265806033</v>
      </c>
      <c r="T18" s="133">
        <f t="shared" si="10"/>
        <v>732.574854975411</v>
      </c>
      <c r="U18" s="133">
        <f t="shared" si="11"/>
        <v>726.114412995055</v>
      </c>
      <c r="V18" s="133">
        <f t="shared" si="12"/>
        <v>705.382116788321</v>
      </c>
      <c r="X18" s="142">
        <v>1620</v>
      </c>
      <c r="Y18" s="151">
        <f ca="1" t="shared" si="13"/>
        <v>0</v>
      </c>
      <c r="Z18" s="151">
        <f ca="1" t="shared" si="14"/>
        <v>0</v>
      </c>
      <c r="AA18" s="151">
        <f ca="1" t="shared" si="15"/>
        <v>0</v>
      </c>
      <c r="AB18" s="151">
        <f ca="1" t="shared" si="16"/>
        <v>0</v>
      </c>
      <c r="AC18" s="151">
        <f ca="1" t="shared" si="17"/>
        <v>0</v>
      </c>
      <c r="AD18" s="151">
        <f ca="1" t="shared" si="18"/>
        <v>0</v>
      </c>
      <c r="AF18" s="106">
        <v>1620</v>
      </c>
      <c r="AG18" s="106"/>
      <c r="AH18" s="106"/>
      <c r="AI18" s="106"/>
      <c r="AJ18" s="106"/>
      <c r="AK18" s="106"/>
    </row>
    <row r="19" s="91" customFormat="1" spans="1:30">
      <c r="A19" s="132">
        <v>797.5</v>
      </c>
      <c r="B19" s="133">
        <v>905.63</v>
      </c>
      <c r="C19" s="133">
        <v>892.76</v>
      </c>
      <c r="D19" s="133">
        <v>866.6</v>
      </c>
      <c r="E19" s="133">
        <v>826.91</v>
      </c>
      <c r="F19" s="133">
        <v>789.37</v>
      </c>
      <c r="G19" s="133">
        <v>762.78</v>
      </c>
      <c r="H19" s="133">
        <v>748.72</v>
      </c>
      <c r="I19" s="133">
        <v>726.3</v>
      </c>
      <c r="J19" s="133"/>
      <c r="K19" s="132">
        <f t="shared" si="0"/>
        <v>797.5</v>
      </c>
      <c r="L19" s="133">
        <f t="shared" si="2"/>
        <v>921.999899280576</v>
      </c>
      <c r="M19" s="133">
        <f t="shared" si="3"/>
        <v>874.465118930301</v>
      </c>
      <c r="N19" s="133">
        <f t="shared" si="4"/>
        <v>848.449478232038</v>
      </c>
      <c r="O19" s="133">
        <f t="shared" si="5"/>
        <v>827.124456660477</v>
      </c>
      <c r="P19" s="133">
        <f t="shared" si="6"/>
        <v>807.225670109327</v>
      </c>
      <c r="Q19" s="133">
        <f t="shared" si="7"/>
        <v>789.674054911839</v>
      </c>
      <c r="R19" s="133">
        <f t="shared" si="8"/>
        <v>775.809372610701</v>
      </c>
      <c r="S19" s="133">
        <f t="shared" si="9"/>
        <v>763.09546914067</v>
      </c>
      <c r="T19" s="133">
        <f t="shared" si="10"/>
        <v>755.734061448674</v>
      </c>
      <c r="U19" s="133">
        <f t="shared" si="11"/>
        <v>748.935123256772</v>
      </c>
      <c r="V19" s="133">
        <f t="shared" si="12"/>
        <v>728.427445255474</v>
      </c>
      <c r="X19" s="142"/>
      <c r="Y19" s="151"/>
      <c r="Z19" s="151"/>
      <c r="AA19" s="151"/>
      <c r="AB19" s="151"/>
      <c r="AC19" s="151"/>
      <c r="AD19" s="151"/>
    </row>
    <row r="20" s="91" customFormat="1" spans="1:30">
      <c r="A20" s="132">
        <v>852.5</v>
      </c>
      <c r="B20" s="133">
        <v>926.37</v>
      </c>
      <c r="C20" s="133">
        <v>913.14</v>
      </c>
      <c r="D20" s="133">
        <v>886.56</v>
      </c>
      <c r="E20" s="133">
        <v>846.72</v>
      </c>
      <c r="F20" s="133">
        <v>809.26</v>
      </c>
      <c r="G20" s="133">
        <v>782.59</v>
      </c>
      <c r="H20" s="133">
        <v>767.11</v>
      </c>
      <c r="I20" s="133">
        <v>740.33</v>
      </c>
      <c r="J20" s="133"/>
      <c r="K20" s="132">
        <f t="shared" si="0"/>
        <v>852.5</v>
      </c>
      <c r="L20" s="133">
        <f t="shared" si="2"/>
        <v>943.197798561151</v>
      </c>
      <c r="M20" s="133">
        <f t="shared" si="3"/>
        <v>894.551393775512</v>
      </c>
      <c r="N20" s="133">
        <f t="shared" si="4"/>
        <v>868.340882155818</v>
      </c>
      <c r="O20" s="133">
        <f t="shared" si="5"/>
        <v>846.935267154281</v>
      </c>
      <c r="P20" s="133">
        <f t="shared" si="6"/>
        <v>827.077618601369</v>
      </c>
      <c r="Q20" s="133">
        <f t="shared" si="7"/>
        <v>809.563406952517</v>
      </c>
      <c r="R20" s="133">
        <f t="shared" si="8"/>
        <v>795.658573430891</v>
      </c>
      <c r="S20" s="133">
        <f t="shared" si="9"/>
        <v>782.906418276858</v>
      </c>
      <c r="T20" s="133">
        <f t="shared" si="10"/>
        <v>774.832451723006</v>
      </c>
      <c r="U20" s="133">
        <f t="shared" si="11"/>
        <v>767.346849787683</v>
      </c>
      <c r="V20" s="133">
        <f t="shared" si="12"/>
        <v>742.871167883212</v>
      </c>
      <c r="X20" s="142" t="s">
        <v>129</v>
      </c>
      <c r="Y20" s="152">
        <f ca="1">MAX(OFFSET($L$5,0,0,$O$1,$O$2))</f>
        <v>985.278892086331</v>
      </c>
      <c r="Z20" s="152">
        <f ca="1">MAX(OFFSET($L$28,0,0,$O$1,$O$2))</f>
        <v>1089.07164028777</v>
      </c>
      <c r="AA20" s="152">
        <f ca="1">MAX(OFFSET($L$51,0,0,$O$1,$O$2))</f>
        <v>1105.25516546763</v>
      </c>
      <c r="AB20" s="152">
        <f ca="1">MAX(OFFSET($L$74,0,0,$O$1,$O$2))</f>
        <v>1093.11277697842</v>
      </c>
      <c r="AC20" s="152">
        <f ca="1">MAX(OFFSET($L$97,0,0,$O$1,$O$2))</f>
        <v>993.089798561151</v>
      </c>
      <c r="AD20" s="152">
        <f ca="1">MAX(OFFSET($L$120,0,0,$O$1,$O$2))</f>
        <v>962.882417266187</v>
      </c>
    </row>
    <row r="21" s="91" customFormat="1" spans="1:30">
      <c r="A21" s="132">
        <v>907.5</v>
      </c>
      <c r="B21" s="133">
        <v>943.22</v>
      </c>
      <c r="C21" s="133">
        <v>929.66</v>
      </c>
      <c r="D21" s="133">
        <v>902.85</v>
      </c>
      <c r="E21" s="133">
        <v>863.11</v>
      </c>
      <c r="F21" s="133">
        <v>825.97</v>
      </c>
      <c r="G21" s="133">
        <v>799.08</v>
      </c>
      <c r="H21" s="133">
        <v>778.26</v>
      </c>
      <c r="I21" s="133">
        <v>738.45</v>
      </c>
      <c r="J21" s="133"/>
      <c r="K21" s="132">
        <f t="shared" si="0"/>
        <v>907.5</v>
      </c>
      <c r="L21" s="133">
        <f t="shared" si="2"/>
        <v>960.467539568345</v>
      </c>
      <c r="M21" s="133">
        <f t="shared" si="3"/>
        <v>910.910544285985</v>
      </c>
      <c r="N21" s="133">
        <f t="shared" si="4"/>
        <v>884.676612873298</v>
      </c>
      <c r="O21" s="133">
        <f t="shared" si="5"/>
        <v>863.324726825079</v>
      </c>
      <c r="P21" s="133">
        <f t="shared" si="6"/>
        <v>843.635412569536</v>
      </c>
      <c r="Q21" s="133">
        <f t="shared" si="7"/>
        <v>826.270815115229</v>
      </c>
      <c r="R21" s="133">
        <f t="shared" si="8"/>
        <v>812.256375686414</v>
      </c>
      <c r="S21" s="133">
        <f t="shared" si="9"/>
        <v>799.399028401377</v>
      </c>
      <c r="T21" s="133">
        <f t="shared" si="10"/>
        <v>788.646398247609</v>
      </c>
      <c r="U21" s="133">
        <f t="shared" si="11"/>
        <v>778.578553784209</v>
      </c>
      <c r="V21" s="133">
        <f t="shared" si="12"/>
        <v>742.227591240876</v>
      </c>
      <c r="X21" s="142" t="s">
        <v>130</v>
      </c>
      <c r="Y21" s="152">
        <f ca="1">AVERAGE(OFFSET($L$5,0,0,$O$1,$O$2))</f>
        <v>621.776818628596</v>
      </c>
      <c r="Z21" s="152">
        <f ca="1">AVERAGE(OFFSET($L$28,0,0,$O$1,$O$2))</f>
        <v>763.548375900155</v>
      </c>
      <c r="AA21" s="152">
        <f ca="1">AVERAGE(OFFSET($L$51,0,0,$O$1,$O$2))</f>
        <v>762.056516979123</v>
      </c>
      <c r="AB21" s="152">
        <f ca="1">AVERAGE(OFFSET($L$74,0,0,$O$1,$O$2))</f>
        <v>756.110404199675</v>
      </c>
      <c r="AC21" s="152">
        <f ca="1">AVERAGE(OFFSET($L$97,0,0,$O$1,$O$2))</f>
        <v>741.646626009583</v>
      </c>
      <c r="AD21" s="152">
        <f ca="1">AVERAGE(OFFSET($L$120,0,0,$O$1,$O$2))</f>
        <v>750.91381519845</v>
      </c>
    </row>
    <row r="22" s="91" customFormat="1" spans="1:30">
      <c r="A22" s="132">
        <v>962.5</v>
      </c>
      <c r="B22" s="133">
        <v>954.59</v>
      </c>
      <c r="C22" s="133">
        <v>940.8</v>
      </c>
      <c r="D22" s="133">
        <v>913.8</v>
      </c>
      <c r="E22" s="133">
        <v>874.25</v>
      </c>
      <c r="F22" s="133">
        <v>837.42</v>
      </c>
      <c r="G22" s="133">
        <v>808.35</v>
      </c>
      <c r="H22" s="133">
        <v>767.5</v>
      </c>
      <c r="I22" s="133">
        <v>691.88</v>
      </c>
      <c r="J22" s="133"/>
      <c r="K22" s="132">
        <f t="shared" si="0"/>
        <v>962.5</v>
      </c>
      <c r="L22" s="133">
        <f t="shared" si="2"/>
        <v>972.130086330935</v>
      </c>
      <c r="M22" s="133">
        <f t="shared" si="3"/>
        <v>921.917668620724</v>
      </c>
      <c r="N22" s="133">
        <f t="shared" si="4"/>
        <v>895.713501236511</v>
      </c>
      <c r="O22" s="133">
        <f t="shared" si="5"/>
        <v>874.463700199594</v>
      </c>
      <c r="P22" s="133">
        <f t="shared" si="6"/>
        <v>854.937962976199</v>
      </c>
      <c r="Q22" s="133">
        <f t="shared" si="7"/>
        <v>837.718304272857</v>
      </c>
      <c r="R22" s="133">
        <f t="shared" si="8"/>
        <v>822.594598036595</v>
      </c>
      <c r="S22" s="133">
        <f t="shared" si="9"/>
        <v>808.694892362515</v>
      </c>
      <c r="T22" s="133">
        <f t="shared" si="10"/>
        <v>787.878692046822</v>
      </c>
      <c r="U22" s="133">
        <f t="shared" si="11"/>
        <v>768.125020273053</v>
      </c>
      <c r="V22" s="133">
        <f t="shared" si="12"/>
        <v>699.055620437956</v>
      </c>
      <c r="X22" s="142" t="s">
        <v>131</v>
      </c>
      <c r="Y22" s="153">
        <f ca="1" t="shared" ref="Y22:AD22" si="19">Y21+273.15</f>
        <v>894.926818628596</v>
      </c>
      <c r="Z22" s="153">
        <f ca="1" t="shared" si="19"/>
        <v>1036.69837590016</v>
      </c>
      <c r="AA22" s="153">
        <f ca="1" t="shared" si="19"/>
        <v>1035.20651697912</v>
      </c>
      <c r="AB22" s="153">
        <f ca="1" t="shared" si="19"/>
        <v>1029.26040419967</v>
      </c>
      <c r="AC22" s="153">
        <f ca="1" t="shared" si="19"/>
        <v>1014.79662600958</v>
      </c>
      <c r="AD22" s="153">
        <f ca="1" t="shared" si="19"/>
        <v>1024.06381519845</v>
      </c>
    </row>
    <row r="23" s="91" customFormat="1" spans="1:30">
      <c r="A23" s="132">
        <v>1017.5</v>
      </c>
      <c r="B23" s="133">
        <v>961.57</v>
      </c>
      <c r="C23" s="133">
        <v>947.22</v>
      </c>
      <c r="D23" s="133">
        <v>921.22</v>
      </c>
      <c r="E23" s="133">
        <v>881.64</v>
      </c>
      <c r="F23" s="133">
        <v>843.75</v>
      </c>
      <c r="G23" s="133">
        <v>802.96</v>
      </c>
      <c r="H23" s="133">
        <v>705.36</v>
      </c>
      <c r="I23" s="133">
        <v>572.71</v>
      </c>
      <c r="J23" s="133"/>
      <c r="K23" s="132">
        <f t="shared" si="0"/>
        <v>1017.5</v>
      </c>
      <c r="L23" s="133">
        <f t="shared" si="2"/>
        <v>979.822374100719</v>
      </c>
      <c r="M23" s="133">
        <f t="shared" si="3"/>
        <v>929.037014227364</v>
      </c>
      <c r="N23" s="133">
        <f t="shared" si="4"/>
        <v>903.119782021267</v>
      </c>
      <c r="O23" s="133">
        <f t="shared" si="5"/>
        <v>881.853862298355</v>
      </c>
      <c r="P23" s="133">
        <f t="shared" si="6"/>
        <v>861.772145456643</v>
      </c>
      <c r="Q23" s="133">
        <f t="shared" si="7"/>
        <v>844.056889733873</v>
      </c>
      <c r="R23" s="133">
        <f t="shared" si="8"/>
        <v>822.947518194452</v>
      </c>
      <c r="S23" s="133">
        <f t="shared" si="9"/>
        <v>803.443940814138</v>
      </c>
      <c r="T23" s="133">
        <f t="shared" si="10"/>
        <v>754.049359700608</v>
      </c>
      <c r="U23" s="133">
        <f t="shared" si="11"/>
        <v>706.853316490819</v>
      </c>
      <c r="V23" s="133">
        <f t="shared" si="12"/>
        <v>585.297226277372</v>
      </c>
      <c r="X23" s="142" t="s">
        <v>132</v>
      </c>
      <c r="Y23" s="106"/>
      <c r="Z23" s="810">
        <f ca="1" t="shared" ref="Z23:AD23" si="20">Z22/Y22-1</f>
        <v>0.158416927865469</v>
      </c>
      <c r="AA23" s="810">
        <f ca="1" t="shared" si="20"/>
        <v>-0.00143904818963092</v>
      </c>
      <c r="AB23" s="810">
        <f ca="1" t="shared" si="20"/>
        <v>-0.00574389040439949</v>
      </c>
      <c r="AC23" s="810">
        <f ca="1" t="shared" si="20"/>
        <v>-0.014052593620697</v>
      </c>
      <c r="AD23" s="810">
        <f ca="1" t="shared" si="20"/>
        <v>0.00913206543197509</v>
      </c>
    </row>
    <row r="24" s="91" customFormat="1" spans="1:30">
      <c r="A24" s="132">
        <v>1072.5</v>
      </c>
      <c r="B24" s="133">
        <v>973.17</v>
      </c>
      <c r="C24" s="133">
        <v>963.65</v>
      </c>
      <c r="D24" s="133">
        <v>934.07</v>
      </c>
      <c r="E24" s="133">
        <v>890.11</v>
      </c>
      <c r="F24" s="133">
        <v>843.35</v>
      </c>
      <c r="G24" s="133">
        <v>767</v>
      </c>
      <c r="H24" s="133">
        <v>604.47</v>
      </c>
      <c r="I24" s="133">
        <v>458.56</v>
      </c>
      <c r="J24" s="133"/>
      <c r="K24" s="132">
        <f t="shared" si="0"/>
        <v>1072.5</v>
      </c>
      <c r="L24" s="133">
        <f t="shared" si="2"/>
        <v>985.278892086331</v>
      </c>
      <c r="M24" s="133">
        <f t="shared" si="3"/>
        <v>942.963356955593</v>
      </c>
      <c r="N24" s="133">
        <f t="shared" si="4"/>
        <v>913.966776595626</v>
      </c>
      <c r="O24" s="133">
        <f t="shared" si="5"/>
        <v>890.347528717425</v>
      </c>
      <c r="P24" s="133">
        <f t="shared" si="6"/>
        <v>865.591106401495</v>
      </c>
      <c r="Q24" s="133">
        <f t="shared" si="7"/>
        <v>843.728732223698</v>
      </c>
      <c r="R24" s="133">
        <f t="shared" si="8"/>
        <v>804.412282768973</v>
      </c>
      <c r="S24" s="133">
        <f t="shared" si="9"/>
        <v>767.905831849949</v>
      </c>
      <c r="T24" s="133">
        <f t="shared" si="10"/>
        <v>685.550754427662</v>
      </c>
      <c r="U24" s="133">
        <f t="shared" si="11"/>
        <v>606.956769766934</v>
      </c>
      <c r="V24" s="133">
        <f t="shared" si="12"/>
        <v>472.405474452555</v>
      </c>
      <c r="X24" s="161" t="s">
        <v>133</v>
      </c>
      <c r="Y24" s="106"/>
      <c r="Z24" s="162">
        <f ca="1">-LN(1-Z23)*150%/2/3600</f>
        <v>3.59313648144934e-5</v>
      </c>
      <c r="AA24" s="162">
        <f ca="1">-LN(1-AA23)*150%/1/3600</f>
        <v>-5.99172396695679e-7</v>
      </c>
      <c r="AB24" s="162">
        <f ca="1">-LN(1-AB23)*150%/1/3600</f>
        <v>-2.38644048460005e-6</v>
      </c>
      <c r="AC24" s="162">
        <f ca="1">-LN(1-AC23)*150%/4/3600</f>
        <v>-1.45362201041176e-6</v>
      </c>
      <c r="AD24" s="162">
        <f ca="1">-LN(1-AD23)*150%/16/3600</f>
        <v>2.38906727812668e-7</v>
      </c>
    </row>
    <row r="25" s="91" customFormat="1" spans="1:22">
      <c r="A25" s="129"/>
      <c r="B25" s="129"/>
      <c r="C25" s="134">
        <f t="shared" ref="C25:I25" si="21">PI()*(C4*C4-B4*B4)</f>
        <v>2151.09247221008</v>
      </c>
      <c r="D25" s="134">
        <f t="shared" si="21"/>
        <v>6112.80448536406</v>
      </c>
      <c r="E25" s="134">
        <f t="shared" si="21"/>
        <v>12038.1859512447</v>
      </c>
      <c r="F25" s="134">
        <f t="shared" si="21"/>
        <v>14188.2225341639</v>
      </c>
      <c r="G25" s="134">
        <f t="shared" si="21"/>
        <v>14190.0880118816</v>
      </c>
      <c r="H25" s="134">
        <f t="shared" si="21"/>
        <v>14185.2983397219</v>
      </c>
      <c r="I25" s="134">
        <f t="shared" si="21"/>
        <v>7575.18036561312</v>
      </c>
      <c r="J25" s="134"/>
      <c r="K25" s="129"/>
      <c r="L25" s="129"/>
      <c r="M25" s="134">
        <f t="shared" ref="M25:V25" si="22">PI()*(M4*M4-L4*L4)</f>
        <v>7068.58347057703</v>
      </c>
      <c r="N25" s="134">
        <f t="shared" si="22"/>
        <v>7068.58347057703</v>
      </c>
      <c r="O25" s="134">
        <f t="shared" si="22"/>
        <v>7068.58347057704</v>
      </c>
      <c r="P25" s="134">
        <f t="shared" si="22"/>
        <v>7068.58347057703</v>
      </c>
      <c r="Q25" s="134">
        <f t="shared" si="22"/>
        <v>7068.58347057703</v>
      </c>
      <c r="R25" s="134">
        <f t="shared" si="22"/>
        <v>7068.58347057704</v>
      </c>
      <c r="S25" s="134">
        <f t="shared" si="22"/>
        <v>7068.58347057703</v>
      </c>
      <c r="T25" s="134">
        <f t="shared" si="22"/>
        <v>7068.58347057703</v>
      </c>
      <c r="U25" s="134">
        <f t="shared" si="22"/>
        <v>7068.58347057705</v>
      </c>
      <c r="V25" s="134">
        <f t="shared" si="22"/>
        <v>7068.58347057703</v>
      </c>
    </row>
    <row r="26" s="91" customFormat="1" spans="1:30">
      <c r="A26" s="129" t="s">
        <v>134</v>
      </c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X26" s="146" t="s">
        <v>135</v>
      </c>
      <c r="Y26" s="155" t="str">
        <f t="shared" ref="Y26:AD26" si="23">Y3</f>
        <v>0h</v>
      </c>
      <c r="Z26" s="155" t="str">
        <f t="shared" si="23"/>
        <v>2h</v>
      </c>
      <c r="AA26" s="155" t="str">
        <f t="shared" si="23"/>
        <v>3h</v>
      </c>
      <c r="AB26" s="155" t="str">
        <f t="shared" si="23"/>
        <v>4h</v>
      </c>
      <c r="AC26" s="155" t="str">
        <f t="shared" si="23"/>
        <v>8h</v>
      </c>
      <c r="AD26" s="155" t="str">
        <f t="shared" si="23"/>
        <v>24h</v>
      </c>
    </row>
    <row r="27" s="91" customFormat="1" spans="1:37">
      <c r="A27" s="132" t="s">
        <v>128</v>
      </c>
      <c r="B27" s="133">
        <v>17.68</v>
      </c>
      <c r="C27" s="133">
        <v>31.58</v>
      </c>
      <c r="D27" s="133">
        <v>54.25</v>
      </c>
      <c r="E27" s="133">
        <v>82.31</v>
      </c>
      <c r="F27" s="133">
        <v>106.26</v>
      </c>
      <c r="G27" s="133">
        <v>125.73</v>
      </c>
      <c r="H27" s="133">
        <v>142.56</v>
      </c>
      <c r="I27" s="133">
        <v>150.78</v>
      </c>
      <c r="J27" s="133"/>
      <c r="K27" s="132" t="str">
        <f t="shared" ref="K27:K47" si="24">A27</f>
        <v>R/Z[cm]</v>
      </c>
      <c r="L27" s="141">
        <v>0</v>
      </c>
      <c r="M27" s="141">
        <f t="shared" ref="M27:V27" si="25">SQRT(L27*L27+150*150/10)</f>
        <v>47.4341649025257</v>
      </c>
      <c r="N27" s="141">
        <f t="shared" si="25"/>
        <v>67.0820393249937</v>
      </c>
      <c r="O27" s="141">
        <f t="shared" si="25"/>
        <v>82.1583836257749</v>
      </c>
      <c r="P27" s="141">
        <f t="shared" si="25"/>
        <v>94.8683298050514</v>
      </c>
      <c r="Q27" s="141">
        <f t="shared" si="25"/>
        <v>106.066017177982</v>
      </c>
      <c r="R27" s="141">
        <f t="shared" si="25"/>
        <v>116.189500386223</v>
      </c>
      <c r="S27" s="141">
        <f t="shared" si="25"/>
        <v>125.499003980111</v>
      </c>
      <c r="T27" s="141">
        <f t="shared" si="25"/>
        <v>134.164078649987</v>
      </c>
      <c r="U27" s="141">
        <f t="shared" si="25"/>
        <v>142.302494707577</v>
      </c>
      <c r="V27" s="141">
        <f t="shared" si="25"/>
        <v>150</v>
      </c>
      <c r="X27" s="106" t="str">
        <f>事故释放率!A4</f>
        <v>Kr-83m</v>
      </c>
      <c r="Y27" s="156">
        <f ca="1" t="array" ref="Y27">SUMPRODUCT(Y$5:Y$18,TRANSPOSE(事故释放率!$B4:$O4))</f>
        <v>5.73335971691486e-11</v>
      </c>
      <c r="Z27" s="156">
        <f ca="1" t="array" ref="Z27">SUMPRODUCT(Z$5:Z$18,TRANSPOSE(事故释放率!$B4:$O4))</f>
        <v>7.62920106460944e-11</v>
      </c>
      <c r="AA27" s="156">
        <f ca="1" t="array" ref="AA27">SUMPRODUCT(AA$5:AA$18,TRANSPOSE(事故释放率!$B4:$O4))</f>
        <v>7.79847968143463e-11</v>
      </c>
      <c r="AB27" s="156">
        <f ca="1" t="array" ref="AB27">SUMPRODUCT(AB$5:AB$18,TRANSPOSE(事故释放率!$B4:$O4))</f>
        <v>7.61735516318152e-11</v>
      </c>
      <c r="AC27" s="156">
        <f ca="1" t="array" ref="AC27">SUMPRODUCT(AC$5:AC$18,TRANSPOSE(事故释放率!$B4:$O4))</f>
        <v>7.3481090088717e-11</v>
      </c>
      <c r="AD27" s="156">
        <f ca="1" t="array" ref="AD27">SUMPRODUCT(AD$5:AD$18,TRANSPOSE(事故释放率!$B4:$O4))</f>
        <v>7.55894775521089e-11</v>
      </c>
      <c r="AF27" s="156">
        <f ca="1">MMULT(事故释放率!$B4:$O4,Y$5:Y$18)</f>
        <v>5.73335971691486e-11</v>
      </c>
      <c r="AG27" s="156">
        <f ca="1">MMULT(事故释放率!$B4:$O4,Z$5:Z$18)</f>
        <v>7.62920106460944e-11</v>
      </c>
      <c r="AH27" s="156">
        <f ca="1">MMULT(事故释放率!$B4:$O4,AA$5:AA$18)</f>
        <v>7.79847968143463e-11</v>
      </c>
      <c r="AI27" s="156">
        <f ca="1">MMULT(事故释放率!$B4:$O4,AB$5:AB$18)</f>
        <v>7.61735516318152e-11</v>
      </c>
      <c r="AJ27" s="156">
        <f ca="1">MMULT(事故释放率!$B4:$O4,AC$5:AC$18)</f>
        <v>7.3481090088717e-11</v>
      </c>
      <c r="AK27" s="156">
        <f ca="1">MMULT(事故释放率!$B4:$O4,AD$5:AD$18)</f>
        <v>7.55894775521089e-11</v>
      </c>
    </row>
    <row r="28" s="91" customFormat="1" spans="1:37">
      <c r="A28" s="132">
        <v>27.5</v>
      </c>
      <c r="B28" s="135">
        <v>965.42</v>
      </c>
      <c r="C28" s="135">
        <v>947.2</v>
      </c>
      <c r="D28" s="135">
        <v>905.12</v>
      </c>
      <c r="E28" s="135">
        <v>827.04</v>
      </c>
      <c r="F28" s="135">
        <v>742.38</v>
      </c>
      <c r="G28" s="135">
        <v>697.68</v>
      </c>
      <c r="H28" s="135">
        <v>634.05</v>
      </c>
      <c r="I28" s="135">
        <v>556.06</v>
      </c>
      <c r="J28" s="133"/>
      <c r="K28" s="132">
        <f t="shared" si="24"/>
        <v>27.5</v>
      </c>
      <c r="L28" s="133">
        <f t="shared" ref="L28:L47" si="26">TREND(B28:C28,B$4:C$4,L$4)</f>
        <v>988.594791366906</v>
      </c>
      <c r="M28" s="133">
        <f t="shared" ref="M28:M47" si="27">TREND(C28:D28,C$4:D$4,M$4)</f>
        <v>917.771536872595</v>
      </c>
      <c r="N28" s="133">
        <f t="shared" ref="N28:N47" si="28">TREND(D28:E28,D$4:E$4,N$4)</f>
        <v>869.413455791322</v>
      </c>
      <c r="O28" s="133">
        <f t="shared" ref="O28:O47" si="29">TREND(D28:E28,D$4:E$4,O$4)</f>
        <v>827.461889041322</v>
      </c>
      <c r="P28" s="133">
        <f t="shared" ref="P28:P47" si="30">TREND(E28:F28,E$4:F$4,P$4)</f>
        <v>782.648008296632</v>
      </c>
      <c r="Q28" s="133">
        <f t="shared" ref="Q28:Q47" si="31">TREND(E28:F28,E$4:F$4,Q$4)</f>
        <v>743.065702952486</v>
      </c>
      <c r="R28" s="133">
        <f t="shared" ref="R28:R47" si="32">TREND(F28:G28,F$4:G$4,R$4)</f>
        <v>719.583458281246</v>
      </c>
      <c r="S28" s="133">
        <f t="shared" ref="S28:S47" si="33">TREND(F28:G28,F$4:G$4,S$4)</f>
        <v>698.210329845353</v>
      </c>
      <c r="T28" s="133">
        <f t="shared" ref="T28:T47" si="34">TREND(G28:H28,G$4:H$4,T$4)</f>
        <v>665.792868419566</v>
      </c>
      <c r="U28" s="133">
        <f t="shared" ref="U28:U47" si="35">TREND(G28:H28,G$4:H$4,U$4)</f>
        <v>635.02356279007</v>
      </c>
      <c r="V28" s="133">
        <f t="shared" ref="V28:V47" si="36">TREND(H28:I28,H$4:I$4,V$4)</f>
        <v>563.460510948905</v>
      </c>
      <c r="X28" s="106" t="str">
        <f>事故释放率!A5</f>
        <v>Kr-85</v>
      </c>
      <c r="Y28" s="156">
        <f ca="1" t="array" ref="Y28">SUMPRODUCT(Y$5:Y$18,TRANSPOSE(事故释放率!$B5:$O5))</f>
        <v>2.047507e-13</v>
      </c>
      <c r="Z28" s="156">
        <f ca="1" t="array" ref="Z28">SUMPRODUCT(Z$5:Z$18,TRANSPOSE(事故释放率!$B5:$O5))</f>
        <v>4.413424e-13</v>
      </c>
      <c r="AA28" s="156">
        <f ca="1" t="array" ref="AA28">SUMPRODUCT(AA$5:AA$18,TRANSPOSE(事故释放率!$B5:$O5))</f>
        <v>5.548144e-13</v>
      </c>
      <c r="AB28" s="156">
        <f ca="1" t="array" ref="AB28">SUMPRODUCT(AB$5:AB$18,TRANSPOSE(事故释放率!$B5:$O5))</f>
        <v>4.152914e-13</v>
      </c>
      <c r="AC28" s="156">
        <f ca="1" t="array" ref="AC28">SUMPRODUCT(AC$5:AC$18,TRANSPOSE(事故释放率!$B5:$O5))</f>
        <v>3.078349e-13</v>
      </c>
      <c r="AD28" s="156">
        <f ca="1" t="array" ref="AD28">SUMPRODUCT(AD$5:AD$18,TRANSPOSE(事故释放率!$B5:$O5))</f>
        <v>3.203949e-13</v>
      </c>
      <c r="AF28" s="156">
        <f ca="1">MMULT(事故释放率!$B5:$O5,Y$5:Y$18)</f>
        <v>2.047507e-13</v>
      </c>
      <c r="AG28" s="156">
        <f ca="1">MMULT(事故释放率!$B5:$O5,Z$5:Z$18)</f>
        <v>4.413424e-13</v>
      </c>
      <c r="AH28" s="156">
        <f ca="1">MMULT(事故释放率!$B5:$O5,AA$5:AA$18)</f>
        <v>5.548144e-13</v>
      </c>
      <c r="AI28" s="156">
        <f ca="1">MMULT(事故释放率!$B5:$O5,AB$5:AB$18)</f>
        <v>4.152914e-13</v>
      </c>
      <c r="AJ28" s="156">
        <f ca="1">MMULT(事故释放率!$B5:$O5,AC$5:AC$18)</f>
        <v>3.078349e-13</v>
      </c>
      <c r="AK28" s="156">
        <f ca="1">MMULT(事故释放率!$B5:$O5,AD$5:AD$18)</f>
        <v>3.203949e-13</v>
      </c>
    </row>
    <row r="29" s="91" customFormat="1" spans="1:37">
      <c r="A29" s="132">
        <v>82.5</v>
      </c>
      <c r="B29" s="135">
        <v>1011.17</v>
      </c>
      <c r="C29" s="135">
        <v>996.2</v>
      </c>
      <c r="D29" s="135">
        <v>959.98</v>
      </c>
      <c r="E29" s="135">
        <v>890.16</v>
      </c>
      <c r="F29" s="135">
        <v>797.58</v>
      </c>
      <c r="G29" s="135">
        <v>696.57</v>
      </c>
      <c r="H29" s="135">
        <v>602.2</v>
      </c>
      <c r="I29" s="135">
        <v>535.15</v>
      </c>
      <c r="J29" s="133"/>
      <c r="K29" s="132">
        <f t="shared" si="24"/>
        <v>82.5</v>
      </c>
      <c r="L29" s="133">
        <f t="shared" si="26"/>
        <v>1030.21097841727</v>
      </c>
      <c r="M29" s="133">
        <f t="shared" si="27"/>
        <v>970.869702127504</v>
      </c>
      <c r="N29" s="133">
        <f t="shared" si="28"/>
        <v>928.050813055201</v>
      </c>
      <c r="O29" s="133">
        <f t="shared" si="29"/>
        <v>890.537257849194</v>
      </c>
      <c r="P29" s="133">
        <f t="shared" si="30"/>
        <v>841.615107584482</v>
      </c>
      <c r="Q29" s="133">
        <f t="shared" si="31"/>
        <v>798.329850925362</v>
      </c>
      <c r="R29" s="133">
        <f t="shared" si="32"/>
        <v>746.065935592587</v>
      </c>
      <c r="S29" s="133">
        <f t="shared" si="33"/>
        <v>697.76840308007</v>
      </c>
      <c r="T29" s="133">
        <f t="shared" si="34"/>
        <v>649.278021259697</v>
      </c>
      <c r="U29" s="133">
        <f t="shared" si="35"/>
        <v>603.643896283182</v>
      </c>
      <c r="V29" s="133">
        <f t="shared" si="36"/>
        <v>541.512408759124</v>
      </c>
      <c r="X29" s="106" t="str">
        <f>事故释放率!A6</f>
        <v>Kr-85m</v>
      </c>
      <c r="Y29" s="156">
        <f ca="1" t="array" ref="Y29">SUMPRODUCT(Y$5:Y$18,TRANSPOSE(事故释放率!$B6:$O6))</f>
        <v>3.68314838060086e-11</v>
      </c>
      <c r="Z29" s="156">
        <f ca="1" t="array" ref="Z29">SUMPRODUCT(Z$5:Z$18,TRANSPOSE(事故释放率!$B6:$O6))</f>
        <v>4.90034336111046e-11</v>
      </c>
      <c r="AA29" s="156">
        <f ca="1" t="array" ref="AA29">SUMPRODUCT(AA$5:AA$18,TRANSPOSE(事故释放率!$B6:$O6))</f>
        <v>5.00888888725562e-11</v>
      </c>
      <c r="AB29" s="156">
        <f ca="1" t="array" ref="AB29">SUMPRODUCT(AB$5:AB$18,TRANSPOSE(事故释放率!$B6:$O6))</f>
        <v>4.89278123041495e-11</v>
      </c>
      <c r="AC29" s="156">
        <f ca="1" t="array" ref="AC29">SUMPRODUCT(AC$5:AC$18,TRANSPOSE(事故释放率!$B6:$O6))</f>
        <v>4.72003484120074e-11</v>
      </c>
      <c r="AD29" s="156">
        <f ca="1" t="array" ref="AD29">SUMPRODUCT(AD$5:AD$18,TRANSPOSE(事故释放率!$B6:$O6))</f>
        <v>4.85537079961087e-11</v>
      </c>
      <c r="AF29" s="156">
        <f ca="1">MMULT(事故释放率!$B6:$O6,Y$5:Y$18)</f>
        <v>3.68314838060086e-11</v>
      </c>
      <c r="AG29" s="156">
        <f ca="1">MMULT(事故释放率!$B6:$O6,Z$5:Z$18)</f>
        <v>4.90034336111046e-11</v>
      </c>
      <c r="AH29" s="156">
        <f ca="1">MMULT(事故释放率!$B6:$O6,AA$5:AA$18)</f>
        <v>5.00888888725562e-11</v>
      </c>
      <c r="AI29" s="156">
        <f ca="1">MMULT(事故释放率!$B6:$O6,AB$5:AB$18)</f>
        <v>4.89278123041495e-11</v>
      </c>
      <c r="AJ29" s="156">
        <f ca="1">MMULT(事故释放率!$B6:$O6,AC$5:AC$18)</f>
        <v>4.72003484120074e-11</v>
      </c>
      <c r="AK29" s="156">
        <f ca="1">MMULT(事故释放率!$B6:$O6,AD$5:AD$18)</f>
        <v>4.85537079961087e-11</v>
      </c>
    </row>
    <row r="30" s="91" customFormat="1" spans="1:37">
      <c r="A30" s="132">
        <v>137.5</v>
      </c>
      <c r="B30" s="135">
        <v>1037.13</v>
      </c>
      <c r="C30" s="135">
        <v>1022.79</v>
      </c>
      <c r="D30" s="135">
        <v>987.06</v>
      </c>
      <c r="E30" s="135">
        <v>914.06</v>
      </c>
      <c r="F30" s="135">
        <v>810.99</v>
      </c>
      <c r="G30" s="135">
        <v>690.06</v>
      </c>
      <c r="H30" s="135">
        <v>580.42</v>
      </c>
      <c r="I30" s="135">
        <v>516.68</v>
      </c>
      <c r="J30" s="133"/>
      <c r="K30" s="132">
        <f t="shared" si="24"/>
        <v>137.5</v>
      </c>
      <c r="L30" s="133">
        <f t="shared" si="26"/>
        <v>1055.36965467626</v>
      </c>
      <c r="M30" s="133">
        <f t="shared" si="27"/>
        <v>997.802381474758</v>
      </c>
      <c r="N30" s="133">
        <f t="shared" si="28"/>
        <v>953.676576239325</v>
      </c>
      <c r="O30" s="133">
        <f t="shared" si="29"/>
        <v>914.454440317834</v>
      </c>
      <c r="P30" s="133">
        <f t="shared" si="30"/>
        <v>860.014611565484</v>
      </c>
      <c r="Q30" s="133">
        <f t="shared" si="31"/>
        <v>811.824814591456</v>
      </c>
      <c r="R30" s="133">
        <f t="shared" si="32"/>
        <v>749.316939819934</v>
      </c>
      <c r="S30" s="133">
        <f t="shared" si="33"/>
        <v>691.494737991019</v>
      </c>
      <c r="T30" s="133">
        <f t="shared" si="34"/>
        <v>635.115711040724</v>
      </c>
      <c r="U30" s="133">
        <f t="shared" si="35"/>
        <v>582.09753299235</v>
      </c>
      <c r="V30" s="133">
        <f t="shared" si="36"/>
        <v>522.728321167883</v>
      </c>
      <c r="X30" s="106" t="str">
        <f>事故释放率!A7</f>
        <v>Kr-87</v>
      </c>
      <c r="Y30" s="156">
        <f ca="1" t="array" ref="Y30">SUMPRODUCT(Y$5:Y$18,TRANSPOSE(事故释放率!$B7:$O7))</f>
        <v>6.84945191553734e-11</v>
      </c>
      <c r="Z30" s="156">
        <f ca="1" t="array" ref="Z30">SUMPRODUCT(Z$5:Z$18,TRANSPOSE(事故释放率!$B7:$O7))</f>
        <v>9.11473632576864e-11</v>
      </c>
      <c r="AA30" s="156">
        <f ca="1" t="array" ref="AA30">SUMPRODUCT(AA$5:AA$18,TRANSPOSE(事故释放率!$B7:$O7))</f>
        <v>9.31707738154924e-11</v>
      </c>
      <c r="AB30" s="156">
        <f ca="1" t="array" ref="AB30">SUMPRODUCT(AB$5:AB$18,TRANSPOSE(事故释放率!$B7:$O7))</f>
        <v>9.10055828266189e-11</v>
      </c>
      <c r="AC30" s="156">
        <f ca="1" t="array" ref="AC30">SUMPRODUCT(AC$5:AC$18,TRANSPOSE(事故释放率!$B7:$O7))</f>
        <v>8.77877900133092e-11</v>
      </c>
      <c r="AD30" s="156">
        <f ca="1" t="array" ref="AD30">SUMPRODUCT(AD$5:AD$18,TRANSPOSE(事故释放率!$B7:$O7))</f>
        <v>9.03072021921737e-11</v>
      </c>
      <c r="AF30" s="156">
        <f ca="1">MMULT(事故释放率!$B7:$O7,Y$5:Y$18)</f>
        <v>6.84945191553734e-11</v>
      </c>
      <c r="AG30" s="156">
        <f ca="1">MMULT(事故释放率!$B7:$O7,Z$5:Z$18)</f>
        <v>9.11473632576864e-11</v>
      </c>
      <c r="AH30" s="156">
        <f ca="1">MMULT(事故释放率!$B7:$O7,AA$5:AA$18)</f>
        <v>9.31707738154924e-11</v>
      </c>
      <c r="AI30" s="156">
        <f ca="1">MMULT(事故释放率!$B7:$O7,AB$5:AB$18)</f>
        <v>9.10055828266189e-11</v>
      </c>
      <c r="AJ30" s="156">
        <f ca="1">MMULT(事故释放率!$B7:$O7,AC$5:AC$18)</f>
        <v>8.77877900133092e-11</v>
      </c>
      <c r="AK30" s="156">
        <f ca="1">MMULT(事故释放率!$B7:$O7,AD$5:AD$18)</f>
        <v>9.03072021921737e-11</v>
      </c>
    </row>
    <row r="31" s="91" customFormat="1" spans="1:37">
      <c r="A31" s="132">
        <v>192.5</v>
      </c>
      <c r="B31" s="135">
        <v>1055.96</v>
      </c>
      <c r="C31" s="135">
        <v>1042.24</v>
      </c>
      <c r="D31" s="135">
        <v>1007.09</v>
      </c>
      <c r="E31" s="135">
        <v>932.15</v>
      </c>
      <c r="F31" s="135">
        <v>820.65</v>
      </c>
      <c r="G31" s="135">
        <v>684.48</v>
      </c>
      <c r="H31" s="135">
        <v>566.36</v>
      </c>
      <c r="I31" s="135">
        <v>506.26</v>
      </c>
      <c r="J31" s="133"/>
      <c r="K31" s="132">
        <f t="shared" si="24"/>
        <v>192.5</v>
      </c>
      <c r="L31" s="133">
        <f t="shared" si="26"/>
        <v>1073.41105035971</v>
      </c>
      <c r="M31" s="133">
        <f t="shared" si="27"/>
        <v>1017.65800192661</v>
      </c>
      <c r="N31" s="133">
        <f t="shared" si="28"/>
        <v>972.819400320206</v>
      </c>
      <c r="O31" s="133">
        <f t="shared" si="29"/>
        <v>932.554922704363</v>
      </c>
      <c r="P31" s="133">
        <f t="shared" si="30"/>
        <v>873.684289216567</v>
      </c>
      <c r="Q31" s="133">
        <f t="shared" si="31"/>
        <v>821.55309330501</v>
      </c>
      <c r="R31" s="133">
        <f t="shared" si="32"/>
        <v>751.204696066157</v>
      </c>
      <c r="S31" s="133">
        <f t="shared" si="33"/>
        <v>686.095548434938</v>
      </c>
      <c r="T31" s="133">
        <f t="shared" si="34"/>
        <v>625.286098031105</v>
      </c>
      <c r="U31" s="133">
        <f t="shared" si="35"/>
        <v>568.167280162864</v>
      </c>
      <c r="V31" s="133">
        <f t="shared" si="36"/>
        <v>511.962919708029</v>
      </c>
      <c r="X31" s="106" t="str">
        <f>事故释放率!A8</f>
        <v>Kr-88</v>
      </c>
      <c r="Y31" s="156">
        <f ca="1" t="array" ref="Y31">SUMPRODUCT(Y$5:Y$18,TRANSPOSE(事故释放率!$B8:$O8))</f>
        <v>4.61709032162165e-11</v>
      </c>
      <c r="Z31" s="156">
        <f ca="1" t="array" ref="Z31">SUMPRODUCT(Z$5:Z$18,TRANSPOSE(事故释放率!$B8:$O8))</f>
        <v>6.14343148397861e-11</v>
      </c>
      <c r="AA31" s="156">
        <f ca="1" t="array" ref="AA31">SUMPRODUCT(AA$5:AA$18,TRANSPOSE(事故释放率!$B8:$O8))</f>
        <v>6.27964284698863e-11</v>
      </c>
      <c r="AB31" s="156">
        <f ca="1" t="array" ref="AB31">SUMPRODUCT(AB$5:AB$18,TRANSPOSE(事故释放率!$B8:$O8))</f>
        <v>6.13391799088511e-11</v>
      </c>
      <c r="AC31" s="156">
        <f ca="1" t="array" ref="AC31">SUMPRODUCT(AC$5:AC$18,TRANSPOSE(事故释放率!$B8:$O8))</f>
        <v>5.91721282861782e-11</v>
      </c>
      <c r="AD31" s="156">
        <f ca="1" t="array" ref="AD31">SUMPRODUCT(AD$5:AD$18,TRANSPOSE(事故释放率!$B8:$O8))</f>
        <v>6.08694281262695e-11</v>
      </c>
      <c r="AF31" s="156">
        <f ca="1">MMULT(事故释放率!$B8:$O8,Y$5:Y$18)</f>
        <v>4.61709032162165e-11</v>
      </c>
      <c r="AG31" s="156">
        <f ca="1">MMULT(事故释放率!$B8:$O8,Z$5:Z$18)</f>
        <v>6.14343148397861e-11</v>
      </c>
      <c r="AH31" s="156">
        <f ca="1">MMULT(事故释放率!$B8:$O8,AA$5:AA$18)</f>
        <v>6.27964284698863e-11</v>
      </c>
      <c r="AI31" s="156">
        <f ca="1">MMULT(事故释放率!$B8:$O8,AB$5:AB$18)</f>
        <v>6.13391799088511e-11</v>
      </c>
      <c r="AJ31" s="156">
        <f ca="1">MMULT(事故释放率!$B8:$O8,AC$5:AC$18)</f>
        <v>5.91721282861782e-11</v>
      </c>
      <c r="AK31" s="156">
        <f ca="1">MMULT(事故释放率!$B8:$O8,AD$5:AD$18)</f>
        <v>6.08694281262695e-11</v>
      </c>
    </row>
    <row r="32" s="91" customFormat="1" spans="1:37">
      <c r="A32" s="132">
        <v>241.5</v>
      </c>
      <c r="B32" s="135">
        <v>1067.75</v>
      </c>
      <c r="C32" s="135">
        <v>1054.83</v>
      </c>
      <c r="D32" s="135">
        <v>1020.63</v>
      </c>
      <c r="E32" s="135">
        <v>945</v>
      </c>
      <c r="F32" s="135">
        <v>827.64</v>
      </c>
      <c r="G32" s="135">
        <v>680.57</v>
      </c>
      <c r="H32" s="135">
        <v>558.83</v>
      </c>
      <c r="I32" s="135">
        <v>502.83</v>
      </c>
      <c r="J32" s="133"/>
      <c r="K32" s="132">
        <f t="shared" si="24"/>
        <v>241.5</v>
      </c>
      <c r="L32" s="133">
        <f t="shared" si="26"/>
        <v>1084.18349640288</v>
      </c>
      <c r="M32" s="133">
        <f t="shared" si="27"/>
        <v>1030.91238025292</v>
      </c>
      <c r="N32" s="133">
        <f t="shared" si="28"/>
        <v>986.043858369591</v>
      </c>
      <c r="O32" s="133">
        <f t="shared" si="29"/>
        <v>945.40865097586</v>
      </c>
      <c r="P32" s="133">
        <f t="shared" si="30"/>
        <v>883.461562174496</v>
      </c>
      <c r="Q32" s="133">
        <f t="shared" si="31"/>
        <v>828.590556325345</v>
      </c>
      <c r="R32" s="133">
        <f t="shared" si="32"/>
        <v>752.635807817065</v>
      </c>
      <c r="S32" s="133">
        <f t="shared" si="33"/>
        <v>682.314868240628</v>
      </c>
      <c r="T32" s="133">
        <f t="shared" si="34"/>
        <v>619.561994364262</v>
      </c>
      <c r="U32" s="133">
        <f t="shared" si="35"/>
        <v>560.692667516314</v>
      </c>
      <c r="V32" s="133">
        <f t="shared" si="36"/>
        <v>508.143868613139</v>
      </c>
      <c r="X32" s="106" t="str">
        <f>事故释放率!A9</f>
        <v>Xe-131m</v>
      </c>
      <c r="Y32" s="156">
        <f ca="1" t="array" ref="Y32">SUMPRODUCT(Y$5:Y$18,TRANSPOSE(事故释放率!$B9:$O9))</f>
        <v>4.55855205255296e-12</v>
      </c>
      <c r="Z32" s="156">
        <f ca="1" t="array" ref="Z32">SUMPRODUCT(Z$5:Z$18,TRANSPOSE(事故释放率!$B9:$O9))</f>
        <v>6.04276271361969e-12</v>
      </c>
      <c r="AA32" s="156">
        <f ca="1" t="array" ref="AA32">SUMPRODUCT(AA$5:AA$18,TRANSPOSE(事故释放率!$B9:$O9))</f>
        <v>6.17197385818139e-12</v>
      </c>
      <c r="AB32" s="156">
        <f ca="1" t="array" ref="AB32">SUMPRODUCT(AB$5:AB$18,TRANSPOSE(事故释放率!$B9:$O9))</f>
        <v>6.03475369993438e-12</v>
      </c>
      <c r="AC32" s="156">
        <f ca="1" t="array" ref="AC32">SUMPRODUCT(AC$5:AC$18,TRANSPOSE(事故释放率!$B9:$O9))</f>
        <v>5.82747457607138e-12</v>
      </c>
      <c r="AD32" s="156">
        <f ca="1" t="array" ref="AD32">SUMPRODUCT(AD$5:AD$18,TRANSPOSE(事故释放率!$B9:$O9))</f>
        <v>5.99151849636631e-12</v>
      </c>
      <c r="AF32" s="156">
        <f ca="1">MMULT(事故释放率!$B9:$O9,Y$5:Y$18)</f>
        <v>4.55855205255296e-12</v>
      </c>
      <c r="AG32" s="156">
        <f ca="1">MMULT(事故释放率!$B9:$O9,Z$5:Z$18)</f>
        <v>6.04276271361969e-12</v>
      </c>
      <c r="AH32" s="156">
        <f ca="1">MMULT(事故释放率!$B9:$O9,AA$5:AA$18)</f>
        <v>6.17197385818139e-12</v>
      </c>
      <c r="AI32" s="156">
        <f ca="1">MMULT(事故释放率!$B9:$O9,AB$5:AB$18)</f>
        <v>6.03475369993438e-12</v>
      </c>
      <c r="AJ32" s="156">
        <f ca="1">MMULT(事故释放率!$B9:$O9,AC$5:AC$18)</f>
        <v>5.82747457607138e-12</v>
      </c>
      <c r="AK32" s="156">
        <f ca="1">MMULT(事故释放率!$B9:$O9,AD$5:AD$18)</f>
        <v>5.99151849636631e-12</v>
      </c>
    </row>
    <row r="33" s="91" customFormat="1" spans="1:37">
      <c r="A33" s="132">
        <v>296.5</v>
      </c>
      <c r="B33" s="135">
        <v>1074.05</v>
      </c>
      <c r="C33" s="135">
        <v>1062.24</v>
      </c>
      <c r="D33" s="135">
        <v>1029.73</v>
      </c>
      <c r="E33" s="135">
        <v>954.84</v>
      </c>
      <c r="F33" s="135">
        <v>834.26</v>
      </c>
      <c r="G33" s="135">
        <v>679.76</v>
      </c>
      <c r="H33" s="135">
        <v>558.23</v>
      </c>
      <c r="I33" s="135">
        <v>510.45</v>
      </c>
      <c r="J33" s="133"/>
      <c r="K33" s="132">
        <f t="shared" si="24"/>
        <v>296.5</v>
      </c>
      <c r="L33" s="133">
        <f t="shared" si="26"/>
        <v>1089.07164028777</v>
      </c>
      <c r="M33" s="133">
        <f t="shared" si="27"/>
        <v>1039.50427432814</v>
      </c>
      <c r="N33" s="133">
        <f t="shared" si="28"/>
        <v>995.482265678946</v>
      </c>
      <c r="O33" s="133">
        <f t="shared" si="29"/>
        <v>955.244652539762</v>
      </c>
      <c r="P33" s="133">
        <f t="shared" si="30"/>
        <v>891.613135369808</v>
      </c>
      <c r="Q33" s="133">
        <f t="shared" si="31"/>
        <v>835.236636688055</v>
      </c>
      <c r="R33" s="133">
        <f t="shared" si="32"/>
        <v>755.466583992225</v>
      </c>
      <c r="S33" s="133">
        <f t="shared" si="33"/>
        <v>681.59301926414</v>
      </c>
      <c r="T33" s="133">
        <f t="shared" si="34"/>
        <v>618.857232422284</v>
      </c>
      <c r="U33" s="133">
        <f t="shared" si="35"/>
        <v>560.089454437799</v>
      </c>
      <c r="V33" s="133">
        <f t="shared" si="36"/>
        <v>514.983868613139</v>
      </c>
      <c r="X33" s="106" t="str">
        <f>事故释放率!A10</f>
        <v>Xe-133</v>
      </c>
      <c r="Y33" s="156">
        <f ca="1" t="array" ref="Y33">SUMPRODUCT(Y$5:Y$18,TRANSPOSE(事故释放率!$B10:$O10))</f>
        <v>6.8914605764245e-12</v>
      </c>
      <c r="Z33" s="156">
        <f ca="1" t="array" ref="Z33">SUMPRODUCT(Z$5:Z$18,TRANSPOSE(事故释放率!$B10:$O10))</f>
        <v>9.14491405557229e-12</v>
      </c>
      <c r="AA33" s="156">
        <f ca="1" t="array" ref="AA33">SUMPRODUCT(AA$5:AA$18,TRANSPOSE(事故释放率!$B10:$O10))</f>
        <v>9.34305830532889e-12</v>
      </c>
      <c r="AB33" s="156">
        <f ca="1" t="array" ref="AB33">SUMPRODUCT(AB$5:AB$18,TRANSPOSE(事故释放率!$B10:$O10))</f>
        <v>9.1321710500346e-12</v>
      </c>
      <c r="AC33" s="156">
        <f ca="1" t="array" ref="AC33">SUMPRODUCT(AC$5:AC$18,TRANSPOSE(事故释放率!$B10:$O10))</f>
        <v>8.81585927247433e-12</v>
      </c>
      <c r="AD33" s="156">
        <f ca="1" t="array" ref="AD33">SUMPRODUCT(AD$5:AD$18,TRANSPOSE(事故释放率!$B10:$O10))</f>
        <v>9.06535149146176e-12</v>
      </c>
      <c r="AF33" s="156">
        <f ca="1">MMULT(事故释放率!$B10:$O10,Y$5:Y$18)</f>
        <v>6.8914605764245e-12</v>
      </c>
      <c r="AG33" s="156">
        <f ca="1">MMULT(事故释放率!$B10:$O10,Z$5:Z$18)</f>
        <v>9.14491405557229e-12</v>
      </c>
      <c r="AH33" s="156">
        <f ca="1">MMULT(事故释放率!$B10:$O10,AA$5:AA$18)</f>
        <v>9.34305830532889e-12</v>
      </c>
      <c r="AI33" s="156">
        <f ca="1">MMULT(事故释放率!$B10:$O10,AB$5:AB$18)</f>
        <v>9.1321710500346e-12</v>
      </c>
      <c r="AJ33" s="156">
        <f ca="1">MMULT(事故释放率!$B10:$O10,AC$5:AC$18)</f>
        <v>8.81585927247433e-12</v>
      </c>
      <c r="AK33" s="156">
        <f ca="1">MMULT(事故释放率!$B10:$O10,AD$5:AD$18)</f>
        <v>9.06535149146176e-12</v>
      </c>
    </row>
    <row r="34" s="91" customFormat="1" spans="1:37">
      <c r="A34" s="132">
        <v>357.5</v>
      </c>
      <c r="B34" s="135">
        <v>1073.6</v>
      </c>
      <c r="C34" s="135">
        <v>1062.14</v>
      </c>
      <c r="D34" s="135">
        <v>1031.49</v>
      </c>
      <c r="E34" s="135">
        <v>960.16</v>
      </c>
      <c r="F34" s="135">
        <v>839.79</v>
      </c>
      <c r="G34" s="135">
        <v>682.05</v>
      </c>
      <c r="H34" s="135">
        <v>561.93</v>
      </c>
      <c r="I34" s="135">
        <v>517.79</v>
      </c>
      <c r="J34" s="133"/>
      <c r="K34" s="132">
        <f t="shared" si="24"/>
        <v>357.5</v>
      </c>
      <c r="L34" s="133">
        <f t="shared" si="26"/>
        <v>1088.17646043165</v>
      </c>
      <c r="M34" s="133">
        <f t="shared" si="27"/>
        <v>1040.70505715649</v>
      </c>
      <c r="N34" s="133">
        <f t="shared" si="28"/>
        <v>998.870279221247</v>
      </c>
      <c r="O34" s="133">
        <f t="shared" si="29"/>
        <v>960.545416820152</v>
      </c>
      <c r="P34" s="133">
        <f t="shared" si="30"/>
        <v>897.043250161418</v>
      </c>
      <c r="Q34" s="133">
        <f t="shared" si="31"/>
        <v>840.764935794835</v>
      </c>
      <c r="R34" s="133">
        <f t="shared" si="32"/>
        <v>759.344217209926</v>
      </c>
      <c r="S34" s="133">
        <f t="shared" si="33"/>
        <v>683.921459279776</v>
      </c>
      <c r="T34" s="133">
        <f t="shared" si="34"/>
        <v>621.853830811855</v>
      </c>
      <c r="U34" s="133">
        <f t="shared" si="35"/>
        <v>563.767880910626</v>
      </c>
      <c r="V34" s="133">
        <f t="shared" si="36"/>
        <v>521.978467153285</v>
      </c>
      <c r="X34" s="106" t="str">
        <f>事故释放率!A11</f>
        <v>Xe-133m</v>
      </c>
      <c r="Y34" s="156">
        <f ca="1" t="array" ref="Y34">SUMPRODUCT(Y$5:Y$18,TRANSPOSE(事故释放率!$B11:$O11))</f>
        <v>1.07057675436671e-11</v>
      </c>
      <c r="Z34" s="156">
        <f ca="1" t="array" ref="Z34">SUMPRODUCT(Z$5:Z$18,TRANSPOSE(事故释放率!$B11:$O11))</f>
        <v>1.42169352087719e-11</v>
      </c>
      <c r="AA34" s="156">
        <f ca="1" t="array" ref="AA34">SUMPRODUCT(AA$5:AA$18,TRANSPOSE(事故释放率!$B11:$O11))</f>
        <v>1.4527785616369e-11</v>
      </c>
      <c r="AB34" s="156">
        <f ca="1" t="array" ref="AB34">SUMPRODUCT(AB$5:AB$18,TRANSPOSE(事故释放率!$B11:$O11))</f>
        <v>1.41964520135616e-11</v>
      </c>
      <c r="AC34" s="156">
        <f ca="1" t="array" ref="AC34">SUMPRODUCT(AC$5:AC$18,TRANSPOSE(事故释放率!$B11:$O11))</f>
        <v>1.37018712646082e-11</v>
      </c>
      <c r="AD34" s="156">
        <f ca="1" t="array" ref="AD34">SUMPRODUCT(AD$5:AD$18,TRANSPOSE(事故释放率!$B11:$O11))</f>
        <v>1.40910717668601e-11</v>
      </c>
      <c r="AF34" s="156">
        <f ca="1">MMULT(事故释放率!$B11:$O11,Y$5:Y$18)</f>
        <v>1.07057675436671e-11</v>
      </c>
      <c r="AG34" s="156">
        <f ca="1">MMULT(事故释放率!$B11:$O11,Z$5:Z$18)</f>
        <v>1.42169352087719e-11</v>
      </c>
      <c r="AH34" s="156">
        <f ca="1">MMULT(事故释放率!$B11:$O11,AA$5:AA$18)</f>
        <v>1.4527785616369e-11</v>
      </c>
      <c r="AI34" s="156">
        <f ca="1">MMULT(事故释放率!$B11:$O11,AB$5:AB$18)</f>
        <v>1.41964520135616e-11</v>
      </c>
      <c r="AJ34" s="156">
        <f ca="1">MMULT(事故释放率!$B11:$O11,AC$5:AC$18)</f>
        <v>1.37018712646082e-11</v>
      </c>
      <c r="AK34" s="156">
        <f ca="1">MMULT(事故释放率!$B11:$O11,AD$5:AD$18)</f>
        <v>1.40910717668601e-11</v>
      </c>
    </row>
    <row r="35" s="91" customFormat="1" spans="1:37">
      <c r="A35" s="132">
        <v>412.5</v>
      </c>
      <c r="B35" s="135">
        <v>1063.63</v>
      </c>
      <c r="C35" s="135">
        <v>1053.27</v>
      </c>
      <c r="D35" s="135">
        <v>1025.73</v>
      </c>
      <c r="E35" s="135">
        <v>959.69</v>
      </c>
      <c r="F35" s="135">
        <v>842.96</v>
      </c>
      <c r="G35" s="135">
        <v>686.83</v>
      </c>
      <c r="H35" s="135">
        <v>569.66</v>
      </c>
      <c r="I35" s="135">
        <v>528.79</v>
      </c>
      <c r="J35" s="133"/>
      <c r="K35" s="132">
        <f t="shared" si="24"/>
        <v>412.5</v>
      </c>
      <c r="L35" s="133">
        <f t="shared" si="26"/>
        <v>1076.80732374101</v>
      </c>
      <c r="M35" s="133">
        <f t="shared" si="27"/>
        <v>1034.01002199314</v>
      </c>
      <c r="N35" s="133">
        <f t="shared" si="28"/>
        <v>995.529434175959</v>
      </c>
      <c r="O35" s="133">
        <f t="shared" si="29"/>
        <v>960.04683340534</v>
      </c>
      <c r="P35" s="133">
        <f t="shared" si="30"/>
        <v>898.481906549326</v>
      </c>
      <c r="Q35" s="133">
        <f t="shared" si="31"/>
        <v>843.905453645685</v>
      </c>
      <c r="R35" s="133">
        <f t="shared" si="32"/>
        <v>763.3353007036</v>
      </c>
      <c r="S35" s="133">
        <f t="shared" si="33"/>
        <v>688.682357913982</v>
      </c>
      <c r="T35" s="133">
        <f t="shared" si="34"/>
        <v>628.112174960248</v>
      </c>
      <c r="U35" s="133">
        <f t="shared" si="35"/>
        <v>571.452744807676</v>
      </c>
      <c r="V35" s="133">
        <f t="shared" si="36"/>
        <v>532.668175182482</v>
      </c>
      <c r="X35" s="106" t="str">
        <f>事故释放率!A12</f>
        <v>Xe-135</v>
      </c>
      <c r="Y35" s="156">
        <f ca="1" t="array" ref="Y35">SUMPRODUCT(Y$5:Y$18,TRANSPOSE(事故释放率!$B12:$O12))</f>
        <v>2.57353332455595e-11</v>
      </c>
      <c r="Z35" s="156">
        <f ca="1" t="array" ref="Z35">SUMPRODUCT(Z$5:Z$18,TRANSPOSE(事故释放率!$B12:$O12))</f>
        <v>3.42023095104613e-11</v>
      </c>
      <c r="AA35" s="156">
        <f ca="1" t="array" ref="AA35">SUMPRODUCT(AA$5:AA$18,TRANSPOSE(事故释放率!$B12:$O12))</f>
        <v>3.49572634056203e-11</v>
      </c>
      <c r="AB35" s="156">
        <f ca="1" t="array" ref="AB35">SUMPRODUCT(AB$5:AB$18,TRANSPOSE(事故释放率!$B12:$O12))</f>
        <v>3.41513262102235e-11</v>
      </c>
      <c r="AC35" s="156">
        <f ca="1" t="array" ref="AC35">SUMPRODUCT(AC$5:AC$18,TRANSPOSE(事故释放率!$B12:$O12))</f>
        <v>3.2954303618401e-11</v>
      </c>
      <c r="AD35" s="156">
        <f ca="1" t="array" ref="AD35">SUMPRODUCT(AD$5:AD$18,TRANSPOSE(事故释放率!$B12:$O12))</f>
        <v>3.38940017056033e-11</v>
      </c>
      <c r="AF35" s="156">
        <f ca="1">MMULT(事故释放率!$B12:$O12,Y$5:Y$18)</f>
        <v>2.57353332455595e-11</v>
      </c>
      <c r="AG35" s="156">
        <f ca="1">MMULT(事故释放率!$B12:$O12,Z$5:Z$18)</f>
        <v>3.42023095104613e-11</v>
      </c>
      <c r="AH35" s="156">
        <f ca="1">MMULT(事故释放率!$B12:$O12,AA$5:AA$18)</f>
        <v>3.49572634056203e-11</v>
      </c>
      <c r="AI35" s="156">
        <f ca="1">MMULT(事故释放率!$B12:$O12,AB$5:AB$18)</f>
        <v>3.41513262102235e-11</v>
      </c>
      <c r="AJ35" s="156">
        <f ca="1">MMULT(事故释放率!$B12:$O12,AC$5:AC$18)</f>
        <v>3.2954303618401e-11</v>
      </c>
      <c r="AK35" s="156">
        <f ca="1">MMULT(事故释放率!$B12:$O12,AD$5:AD$18)</f>
        <v>3.38940017056033e-11</v>
      </c>
    </row>
    <row r="36" s="91" customFormat="1" spans="1:37">
      <c r="A36" s="132">
        <v>467.5</v>
      </c>
      <c r="B36" s="135">
        <v>1044.84</v>
      </c>
      <c r="C36" s="135">
        <v>1035.86</v>
      </c>
      <c r="D36" s="135">
        <v>1012.06</v>
      </c>
      <c r="E36" s="135">
        <v>953.61</v>
      </c>
      <c r="F36" s="135">
        <v>845.04</v>
      </c>
      <c r="G36" s="135">
        <v>695.41</v>
      </c>
      <c r="H36" s="135">
        <v>582.7</v>
      </c>
      <c r="I36" s="135">
        <v>544.95</v>
      </c>
      <c r="J36" s="133"/>
      <c r="K36" s="132">
        <f t="shared" si="24"/>
        <v>467.5</v>
      </c>
      <c r="L36" s="133">
        <f t="shared" si="26"/>
        <v>1056.26204316547</v>
      </c>
      <c r="M36" s="133">
        <f t="shared" si="27"/>
        <v>1019.21557456197</v>
      </c>
      <c r="N36" s="133">
        <f t="shared" si="28"/>
        <v>985.33039563272</v>
      </c>
      <c r="O36" s="133">
        <f t="shared" si="29"/>
        <v>953.925822418869</v>
      </c>
      <c r="P36" s="133">
        <f t="shared" si="30"/>
        <v>896.680652737602</v>
      </c>
      <c r="Q36" s="133">
        <f t="shared" si="31"/>
        <v>845.919361794843</v>
      </c>
      <c r="R36" s="133">
        <f t="shared" si="32"/>
        <v>768.73023406315</v>
      </c>
      <c r="S36" s="133">
        <f t="shared" si="33"/>
        <v>697.185240598662</v>
      </c>
      <c r="T36" s="133">
        <f t="shared" si="34"/>
        <v>638.927230859175</v>
      </c>
      <c r="U36" s="133">
        <f t="shared" si="35"/>
        <v>584.424505140166</v>
      </c>
      <c r="V36" s="133">
        <f t="shared" si="36"/>
        <v>548.532116788321</v>
      </c>
      <c r="X36" s="106" t="str">
        <f>事故释放率!A13</f>
        <v>I-131</v>
      </c>
      <c r="Y36" s="156">
        <f ca="1" t="array" ref="Y36">SUMPRODUCT(Y$5:Y$18,TRANSPOSE(事故释放率!$B13:$O13))</f>
        <v>1.51678602422716e-12</v>
      </c>
      <c r="Z36" s="156">
        <f ca="1" t="array" ref="Z36">SUMPRODUCT(Z$5:Z$18,TRANSPOSE(事故释放率!$B13:$O13))</f>
        <v>2.6744960147142e-12</v>
      </c>
      <c r="AA36" s="156">
        <f ca="1" t="array" ref="AA36">SUMPRODUCT(AA$5:AA$18,TRANSPOSE(事故释放率!$B13:$O13))</f>
        <v>2.84543074385941e-12</v>
      </c>
      <c r="AB36" s="156">
        <f ca="1" t="array" ref="AB36">SUMPRODUCT(AB$5:AB$18,TRANSPOSE(事故释放率!$B13:$O13))</f>
        <v>2.60682797367498e-12</v>
      </c>
      <c r="AC36" s="156">
        <f ca="1" t="array" ref="AC36">SUMPRODUCT(AC$5:AC$18,TRANSPOSE(事故释放率!$B13:$O13))</f>
        <v>2.28178204200412e-12</v>
      </c>
      <c r="AD36" s="156">
        <f ca="1" t="array" ref="AD36">SUMPRODUCT(AD$5:AD$18,TRANSPOSE(事故释放率!$B13:$O13))</f>
        <v>2.42463872897568e-12</v>
      </c>
      <c r="AF36" s="156">
        <f ca="1">MMULT(事故释放率!$B13:$O13,Y$5:Y$18)</f>
        <v>1.51678602422716e-12</v>
      </c>
      <c r="AG36" s="156">
        <f ca="1">MMULT(事故释放率!$B13:$O13,Z$5:Z$18)</f>
        <v>2.6744960147142e-12</v>
      </c>
      <c r="AH36" s="156">
        <f ca="1">MMULT(事故释放率!$B13:$O13,AA$5:AA$18)</f>
        <v>2.84543074385941e-12</v>
      </c>
      <c r="AI36" s="156">
        <f ca="1">MMULT(事故释放率!$B13:$O13,AB$5:AB$18)</f>
        <v>2.60682797367498e-12</v>
      </c>
      <c r="AJ36" s="156">
        <f ca="1">MMULT(事故释放率!$B13:$O13,AC$5:AC$18)</f>
        <v>2.28178204200412e-12</v>
      </c>
      <c r="AK36" s="156">
        <f ca="1">MMULT(事故释放率!$B13:$O13,AD$5:AD$18)</f>
        <v>2.42463872897568e-12</v>
      </c>
    </row>
    <row r="37" s="91" customFormat="1" spans="1:37">
      <c r="A37" s="132">
        <v>522.5</v>
      </c>
      <c r="B37" s="135">
        <v>1016.73</v>
      </c>
      <c r="C37" s="135">
        <v>1009.24</v>
      </c>
      <c r="D37" s="135">
        <v>989.61</v>
      </c>
      <c r="E37" s="135">
        <v>940.87</v>
      </c>
      <c r="F37" s="135">
        <v>846.19</v>
      </c>
      <c r="G37" s="135">
        <v>709.52</v>
      </c>
      <c r="H37" s="135">
        <v>602.24</v>
      </c>
      <c r="I37" s="135">
        <v>566.08</v>
      </c>
      <c r="J37" s="133"/>
      <c r="K37" s="132">
        <f t="shared" si="24"/>
        <v>522.5</v>
      </c>
      <c r="L37" s="133">
        <f t="shared" si="26"/>
        <v>1026.25684892086</v>
      </c>
      <c r="M37" s="133">
        <f t="shared" si="27"/>
        <v>995.51184574166</v>
      </c>
      <c r="N37" s="133">
        <f t="shared" si="28"/>
        <v>967.320848300065</v>
      </c>
      <c r="O37" s="133">
        <f t="shared" si="29"/>
        <v>941.133356453305</v>
      </c>
      <c r="P37" s="133">
        <f t="shared" si="30"/>
        <v>891.223959668381</v>
      </c>
      <c r="Q37" s="133">
        <f t="shared" si="31"/>
        <v>846.956859857564</v>
      </c>
      <c r="R37" s="133">
        <f t="shared" si="32"/>
        <v>776.489701192346</v>
      </c>
      <c r="S37" s="133">
        <f t="shared" si="33"/>
        <v>711.141480536116</v>
      </c>
      <c r="T37" s="133">
        <f t="shared" si="34"/>
        <v>655.758386359439</v>
      </c>
      <c r="U37" s="133">
        <f t="shared" si="35"/>
        <v>603.88142410999</v>
      </c>
      <c r="V37" s="133">
        <f t="shared" si="36"/>
        <v>569.511240875913</v>
      </c>
      <c r="X37" s="106" t="str">
        <f>事故释放率!A14</f>
        <v>I-132</v>
      </c>
      <c r="Y37" s="156">
        <f ca="1" t="array" ref="Y37">SUMPRODUCT(Y$5:Y$18,TRANSPOSE(事故释放率!$B14:$O14))</f>
        <v>1.35366550277358e-11</v>
      </c>
      <c r="Z37" s="156">
        <f ca="1" t="array" ref="Z37">SUMPRODUCT(Z$5:Z$18,TRANSPOSE(事故释放率!$B14:$O14))</f>
        <v>2.39451640247382e-11</v>
      </c>
      <c r="AA37" s="156">
        <f ca="1" t="array" ref="AA37">SUMPRODUCT(AA$5:AA$18,TRANSPOSE(事故释放率!$B14:$O14))</f>
        <v>2.55284204919198e-11</v>
      </c>
      <c r="AB37" s="156">
        <f ca="1" t="array" ref="AB37">SUMPRODUCT(AB$5:AB$18,TRANSPOSE(事故释放率!$B14:$O14))</f>
        <v>2.33285905757221e-11</v>
      </c>
      <c r="AC37" s="156">
        <f ca="1" t="array" ref="AC37">SUMPRODUCT(AC$5:AC$18,TRANSPOSE(事故释放率!$B14:$O14))</f>
        <v>2.0379114872493e-11</v>
      </c>
      <c r="AD37" s="156">
        <f ca="1" t="array" ref="AD37">SUMPRODUCT(AD$5:AD$18,TRANSPOSE(事故释放率!$B14:$O14))</f>
        <v>2.16537629871132e-11</v>
      </c>
      <c r="AF37" s="156">
        <f ca="1">MMULT(事故释放率!$B14:$O14,Y$5:Y$18)</f>
        <v>1.35366550277358e-11</v>
      </c>
      <c r="AG37" s="156">
        <f ca="1">MMULT(事故释放率!$B14:$O14,Z$5:Z$18)</f>
        <v>2.39451640247382e-11</v>
      </c>
      <c r="AH37" s="156">
        <f ca="1">MMULT(事故释放率!$B14:$O14,AA$5:AA$18)</f>
        <v>2.55284204919198e-11</v>
      </c>
      <c r="AI37" s="156">
        <f ca="1">MMULT(事故释放率!$B14:$O14,AB$5:AB$18)</f>
        <v>2.33285905757221e-11</v>
      </c>
      <c r="AJ37" s="156">
        <f ca="1">MMULT(事故释放率!$B14:$O14,AC$5:AC$18)</f>
        <v>2.0379114872493e-11</v>
      </c>
      <c r="AK37" s="156">
        <f ca="1">MMULT(事故释放率!$B14:$O14,AD$5:AD$18)</f>
        <v>2.16537629871132e-11</v>
      </c>
    </row>
    <row r="38" s="91" customFormat="1" spans="1:37">
      <c r="A38" s="132">
        <v>577.5</v>
      </c>
      <c r="B38" s="135">
        <v>978.97</v>
      </c>
      <c r="C38" s="135">
        <v>973.03</v>
      </c>
      <c r="D38" s="135">
        <v>957.69</v>
      </c>
      <c r="E38" s="135">
        <v>920.16</v>
      </c>
      <c r="F38" s="135">
        <v>845.05</v>
      </c>
      <c r="G38" s="135">
        <v>731.09</v>
      </c>
      <c r="H38" s="135">
        <v>622.9</v>
      </c>
      <c r="I38" s="135">
        <v>574.18</v>
      </c>
      <c r="J38" s="133"/>
      <c r="K38" s="132">
        <f t="shared" si="24"/>
        <v>577.5</v>
      </c>
      <c r="L38" s="133">
        <f t="shared" si="26"/>
        <v>986.525338129497</v>
      </c>
      <c r="M38" s="133">
        <f t="shared" si="27"/>
        <v>962.302038394144</v>
      </c>
      <c r="N38" s="133">
        <f t="shared" si="28"/>
        <v>940.527261729615</v>
      </c>
      <c r="O38" s="133">
        <f t="shared" si="29"/>
        <v>920.362785549703</v>
      </c>
      <c r="P38" s="133">
        <f t="shared" si="30"/>
        <v>880.775609534137</v>
      </c>
      <c r="Q38" s="133">
        <f t="shared" si="31"/>
        <v>845.658352808424</v>
      </c>
      <c r="R38" s="133">
        <f t="shared" si="32"/>
        <v>786.931568360867</v>
      </c>
      <c r="S38" s="133">
        <f t="shared" si="33"/>
        <v>732.442044500591</v>
      </c>
      <c r="T38" s="133">
        <f t="shared" si="34"/>
        <v>676.87235477468</v>
      </c>
      <c r="U38" s="133">
        <f t="shared" si="35"/>
        <v>624.555347450222</v>
      </c>
      <c r="V38" s="133">
        <f t="shared" si="36"/>
        <v>578.803065693431</v>
      </c>
      <c r="X38" s="106" t="str">
        <f>事故释放率!A15</f>
        <v>I-133</v>
      </c>
      <c r="Y38" s="156">
        <f ca="1" t="array" ref="Y38">SUMPRODUCT(Y$5:Y$18,TRANSPOSE(事故释放率!$B15:$O15))</f>
        <v>4.62129883090596e-12</v>
      </c>
      <c r="Z38" s="156">
        <f ca="1" t="array" ref="Z38">SUMPRODUCT(Z$5:Z$18,TRANSPOSE(事故释放率!$B15:$O15))</f>
        <v>8.16827442259147e-12</v>
      </c>
      <c r="AA38" s="156">
        <f ca="1" t="array" ref="AA38">SUMPRODUCT(AA$5:AA$18,TRANSPOSE(事故释放率!$B15:$O15))</f>
        <v>8.70395061718682e-12</v>
      </c>
      <c r="AB38" s="156">
        <f ca="1" t="array" ref="AB38">SUMPRODUCT(AB$5:AB$18,TRANSPOSE(事故释放率!$B15:$O15))</f>
        <v>7.95884191168537e-12</v>
      </c>
      <c r="AC38" s="156">
        <f ca="1" t="array" ref="AC38">SUMPRODUCT(AC$5:AC$18,TRANSPOSE(事故释放率!$B15:$O15))</f>
        <v>6.95598350581651e-12</v>
      </c>
      <c r="AD38" s="156">
        <f ca="1" t="array" ref="AD38">SUMPRODUCT(AD$5:AD$18,TRANSPOSE(事故释放率!$B15:$O15))</f>
        <v>7.39116143933844e-12</v>
      </c>
      <c r="AF38" s="156">
        <f ca="1">MMULT(事故释放率!$B15:$O15,Y$5:Y$18)</f>
        <v>4.62129883090596e-12</v>
      </c>
      <c r="AG38" s="156">
        <f ca="1">MMULT(事故释放率!$B15:$O15,Z$5:Z$18)</f>
        <v>8.16827442259147e-12</v>
      </c>
      <c r="AH38" s="156">
        <f ca="1">MMULT(事故释放率!$B15:$O15,AA$5:AA$18)</f>
        <v>8.70395061718682e-12</v>
      </c>
      <c r="AI38" s="156">
        <f ca="1">MMULT(事故释放率!$B15:$O15,AB$5:AB$18)</f>
        <v>7.95884191168537e-12</v>
      </c>
      <c r="AJ38" s="156">
        <f ca="1">MMULT(事故释放率!$B15:$O15,AC$5:AC$18)</f>
        <v>6.95598350581651e-12</v>
      </c>
      <c r="AK38" s="156">
        <f ca="1">MMULT(事故释放率!$B15:$O15,AD$5:AD$18)</f>
        <v>7.39116143933844e-12</v>
      </c>
    </row>
    <row r="39" s="91" customFormat="1" spans="1:37">
      <c r="A39" s="132">
        <v>632.5</v>
      </c>
      <c r="B39" s="135">
        <v>931.95</v>
      </c>
      <c r="C39" s="135">
        <v>927.52</v>
      </c>
      <c r="D39" s="135">
        <v>916.26</v>
      </c>
      <c r="E39" s="135">
        <v>889.18</v>
      </c>
      <c r="F39" s="135">
        <v>835.47</v>
      </c>
      <c r="G39" s="135">
        <v>746.24</v>
      </c>
      <c r="H39" s="135">
        <v>641.1</v>
      </c>
      <c r="I39" s="135">
        <v>589.14</v>
      </c>
      <c r="J39" s="133"/>
      <c r="K39" s="132">
        <f t="shared" si="24"/>
        <v>632.5</v>
      </c>
      <c r="L39" s="133">
        <f t="shared" si="26"/>
        <v>937.584705035971</v>
      </c>
      <c r="M39" s="133">
        <f t="shared" si="27"/>
        <v>919.645368469235</v>
      </c>
      <c r="N39" s="133">
        <f t="shared" si="28"/>
        <v>903.876121706314</v>
      </c>
      <c r="O39" s="133">
        <f t="shared" si="29"/>
        <v>889.326321148041</v>
      </c>
      <c r="P39" s="133">
        <f t="shared" si="30"/>
        <v>861.016831155352</v>
      </c>
      <c r="Q39" s="133">
        <f t="shared" si="31"/>
        <v>835.905023689795</v>
      </c>
      <c r="R39" s="133">
        <f t="shared" si="32"/>
        <v>789.963614819587</v>
      </c>
      <c r="S39" s="133">
        <f t="shared" si="33"/>
        <v>747.298642776306</v>
      </c>
      <c r="T39" s="133">
        <f t="shared" si="34"/>
        <v>693.550812284036</v>
      </c>
      <c r="U39" s="133">
        <f t="shared" si="35"/>
        <v>642.708681309884</v>
      </c>
      <c r="V39" s="133">
        <f t="shared" si="36"/>
        <v>594.070510948905</v>
      </c>
      <c r="X39" s="106" t="str">
        <f>事故释放率!A16</f>
        <v>I-134</v>
      </c>
      <c r="Y39" s="156">
        <f ca="1" t="array" ref="Y39">SUMPRODUCT(Y$5:Y$18,TRANSPOSE(事故释放率!$B16:$O16))</f>
        <v>2.08821275271886e-11</v>
      </c>
      <c r="Z39" s="156">
        <f ca="1" t="array" ref="Z39">SUMPRODUCT(Z$5:Z$18,TRANSPOSE(事故释放率!$B16:$O16))</f>
        <v>3.69441587269252e-11</v>
      </c>
      <c r="AA39" s="156">
        <f ca="1" t="array" ref="AA39">SUMPRODUCT(AA$5:AA$18,TRANSPOSE(事故释放率!$B16:$O16))</f>
        <v>3.9390695540613e-11</v>
      </c>
      <c r="AB39" s="156">
        <f ca="1" t="array" ref="AB39">SUMPRODUCT(AB$5:AB$18,TRANSPOSE(事故释放率!$B16:$O16))</f>
        <v>3.59921004033181e-11</v>
      </c>
      <c r="AC39" s="156">
        <f ca="1" t="array" ref="AC39">SUMPRODUCT(AC$5:AC$18,TRANSPOSE(事故释放率!$B16:$O16))</f>
        <v>3.14386429229126e-11</v>
      </c>
      <c r="AD39" s="156">
        <f ca="1" t="array" ref="AD39">SUMPRODUCT(AD$5:AD$18,TRANSPOSE(事故释放率!$B16:$O16))</f>
        <v>3.34049401060742e-11</v>
      </c>
      <c r="AF39" s="156">
        <f ca="1">MMULT(事故释放率!$B16:$O16,Y$5:Y$18)</f>
        <v>2.08821275271886e-11</v>
      </c>
      <c r="AG39" s="156">
        <f ca="1">MMULT(事故释放率!$B16:$O16,Z$5:Z$18)</f>
        <v>3.69441587269252e-11</v>
      </c>
      <c r="AH39" s="156">
        <f ca="1">MMULT(事故释放率!$B16:$O16,AA$5:AA$18)</f>
        <v>3.9390695540613e-11</v>
      </c>
      <c r="AI39" s="156">
        <f ca="1">MMULT(事故释放率!$B16:$O16,AB$5:AB$18)</f>
        <v>3.59921004033181e-11</v>
      </c>
      <c r="AJ39" s="156">
        <f ca="1">MMULT(事故释放率!$B16:$O16,AC$5:AC$18)</f>
        <v>3.14386429229126e-11</v>
      </c>
      <c r="AK39" s="156">
        <f ca="1">MMULT(事故释放率!$B16:$O16,AD$5:AD$18)</f>
        <v>3.34049401060742e-11</v>
      </c>
    </row>
    <row r="40" s="91" customFormat="1" ht="13.5" customHeight="1" spans="1:37">
      <c r="A40" s="132">
        <v>687.5</v>
      </c>
      <c r="B40" s="135">
        <v>877.64</v>
      </c>
      <c r="C40" s="135">
        <v>874.48</v>
      </c>
      <c r="D40" s="135">
        <v>866.6</v>
      </c>
      <c r="E40" s="135">
        <v>847.95</v>
      </c>
      <c r="F40" s="135">
        <v>811.4</v>
      </c>
      <c r="G40" s="135">
        <v>745.6</v>
      </c>
      <c r="H40" s="135">
        <v>649.86</v>
      </c>
      <c r="I40" s="135">
        <v>595.78</v>
      </c>
      <c r="J40" s="133"/>
      <c r="K40" s="132">
        <f t="shared" si="24"/>
        <v>687.5</v>
      </c>
      <c r="L40" s="133">
        <f t="shared" si="26"/>
        <v>881.659338129496</v>
      </c>
      <c r="M40" s="133">
        <f t="shared" si="27"/>
        <v>868.969156619678</v>
      </c>
      <c r="N40" s="133">
        <f t="shared" si="28"/>
        <v>858.07122118991</v>
      </c>
      <c r="O40" s="133">
        <f t="shared" si="29"/>
        <v>848.050771396269</v>
      </c>
      <c r="P40" s="133">
        <f t="shared" si="30"/>
        <v>828.784782698345</v>
      </c>
      <c r="Q40" s="133">
        <f t="shared" si="31"/>
        <v>811.69603641523</v>
      </c>
      <c r="R40" s="133">
        <f t="shared" si="32"/>
        <v>777.842674606397</v>
      </c>
      <c r="S40" s="133">
        <f t="shared" si="33"/>
        <v>746.380664515083</v>
      </c>
      <c r="T40" s="133">
        <f t="shared" si="34"/>
        <v>697.62146821451</v>
      </c>
      <c r="U40" s="133">
        <f t="shared" si="35"/>
        <v>651.324857795399</v>
      </c>
      <c r="V40" s="133">
        <f t="shared" si="36"/>
        <v>600.911678832117</v>
      </c>
      <c r="X40" s="106" t="str">
        <f>事故释放率!A17</f>
        <v>I-135</v>
      </c>
      <c r="Y40" s="156">
        <f ca="1" t="array" ref="Y40">SUMPRODUCT(Y$5:Y$18,TRANSPOSE(事故释放率!$B17:$O17))</f>
        <v>8.16581981569396e-12</v>
      </c>
      <c r="Z40" s="156">
        <f ca="1" t="array" ref="Z40">SUMPRODUCT(Z$5:Z$18,TRANSPOSE(事故释放率!$B17:$O17))</f>
        <v>1.44407353018696e-11</v>
      </c>
      <c r="AA40" s="156">
        <f ca="1" t="array" ref="AA40">SUMPRODUCT(AA$5:AA$18,TRANSPOSE(事故释放率!$B17:$O17))</f>
        <v>1.53928781712662e-11</v>
      </c>
      <c r="AB40" s="156">
        <f ca="1" t="array" ref="AB40">SUMPRODUCT(AB$5:AB$18,TRANSPOSE(事故释放率!$B17:$O17))</f>
        <v>1.40694392628904e-11</v>
      </c>
      <c r="AC40" s="156">
        <f ca="1" t="array" ref="AC40">SUMPRODUCT(AC$5:AC$18,TRANSPOSE(事故释放率!$B17:$O17))</f>
        <v>1.22926757740342e-11</v>
      </c>
      <c r="AD40" s="156">
        <f ca="1" t="array" ref="AD40">SUMPRODUCT(AD$5:AD$18,TRANSPOSE(事故释放率!$B17:$O17))</f>
        <v>1.30616060224524e-11</v>
      </c>
      <c r="AF40" s="156">
        <f ca="1">MMULT(事故释放率!$B17:$O17,Y$5:Y$18)</f>
        <v>8.16581981569396e-12</v>
      </c>
      <c r="AG40" s="156">
        <f ca="1">MMULT(事故释放率!$B17:$O17,Z$5:Z$18)</f>
        <v>1.44407353018696e-11</v>
      </c>
      <c r="AH40" s="156">
        <f ca="1">MMULT(事故释放率!$B17:$O17,AA$5:AA$18)</f>
        <v>1.53928781712662e-11</v>
      </c>
      <c r="AI40" s="156">
        <f ca="1">MMULT(事故释放率!$B17:$O17,AB$5:AB$18)</f>
        <v>1.40694392628904e-11</v>
      </c>
      <c r="AJ40" s="156">
        <f ca="1">MMULT(事故释放率!$B17:$O17,AC$5:AC$18)</f>
        <v>1.22926757740342e-11</v>
      </c>
      <c r="AK40" s="156">
        <f ca="1">MMULT(事故释放率!$B17:$O17,AD$5:AD$18)</f>
        <v>1.30616060224524e-11</v>
      </c>
    </row>
    <row r="41" s="91" customFormat="1" ht="13.5" customHeight="1" spans="1:37">
      <c r="A41" s="132">
        <v>742.5</v>
      </c>
      <c r="B41" s="135">
        <v>818.51</v>
      </c>
      <c r="C41" s="135">
        <v>816.35</v>
      </c>
      <c r="D41" s="135">
        <v>811.17</v>
      </c>
      <c r="E41" s="135">
        <v>799.32</v>
      </c>
      <c r="F41" s="135">
        <v>776.18</v>
      </c>
      <c r="G41" s="135">
        <v>729.52</v>
      </c>
      <c r="H41" s="135">
        <v>646.35</v>
      </c>
      <c r="I41" s="135">
        <v>592.22</v>
      </c>
      <c r="J41" s="133"/>
      <c r="K41" s="132">
        <f t="shared" si="24"/>
        <v>742.5</v>
      </c>
      <c r="L41" s="133">
        <f t="shared" si="26"/>
        <v>821.257395683453</v>
      </c>
      <c r="M41" s="133">
        <f t="shared" si="27"/>
        <v>812.727389757605</v>
      </c>
      <c r="N41" s="133">
        <f t="shared" si="28"/>
        <v>805.750909978575</v>
      </c>
      <c r="O41" s="133">
        <f t="shared" si="29"/>
        <v>799.384029010498</v>
      </c>
      <c r="P41" s="133">
        <f t="shared" si="30"/>
        <v>787.186398676873</v>
      </c>
      <c r="Q41" s="133">
        <f t="shared" si="31"/>
        <v>776.367422233883</v>
      </c>
      <c r="R41" s="133">
        <f t="shared" si="32"/>
        <v>752.383878375904</v>
      </c>
      <c r="S41" s="133">
        <f t="shared" si="33"/>
        <v>730.073583681972</v>
      </c>
      <c r="T41" s="133">
        <f t="shared" si="34"/>
        <v>687.840717687496</v>
      </c>
      <c r="U41" s="133">
        <f t="shared" si="35"/>
        <v>647.622532095711</v>
      </c>
      <c r="V41" s="133">
        <f t="shared" si="36"/>
        <v>597.356423357664</v>
      </c>
      <c r="X41" s="106" t="str">
        <f>事故释放率!A18</f>
        <v>Sr-89</v>
      </c>
      <c r="Y41" s="811">
        <v>9.908e-18</v>
      </c>
      <c r="Z41" s="811">
        <v>5.684759915e-15</v>
      </c>
      <c r="AA41" s="812">
        <f>Z41</f>
        <v>5.684759915e-15</v>
      </c>
      <c r="AB41" s="812">
        <f>AA41</f>
        <v>5.684759915e-15</v>
      </c>
      <c r="AC41" s="811">
        <v>5.518197795e-16</v>
      </c>
      <c r="AD41" s="811">
        <v>1.9879052025e-16</v>
      </c>
      <c r="AF41" s="156">
        <f ca="1">MMULT(事故释放率!$B18:$O18,Y$5:Y$18)</f>
        <v>4.950394364e-17</v>
      </c>
      <c r="AG41" s="156">
        <f ca="1">MMULT(事故释放率!$B18:$O18,Z$5:Z$18)</f>
        <v>3.25348675055e-16</v>
      </c>
      <c r="AH41" s="156">
        <f ca="1">MMULT(事故释放率!$B18:$O18,AA$5:AA$18)</f>
        <v>4.9935842988e-16</v>
      </c>
      <c r="AI41" s="156">
        <f ca="1">MMULT(事故释放率!$B18:$O18,AB$5:AB$18)</f>
        <v>2.87694530055e-16</v>
      </c>
      <c r="AJ41" s="156">
        <f ca="1">MMULT(事故释放率!$B18:$O18,AC$5:AC$18)</f>
        <v>9.529859023e-17</v>
      </c>
      <c r="AK41" s="156">
        <f ca="1">MMULT(事故释放率!$B18:$O18,AD$5:AD$18)</f>
        <v>9.5616262555e-17</v>
      </c>
    </row>
    <row r="42" s="91" customFormat="1" spans="1:37">
      <c r="A42" s="132">
        <v>797.5</v>
      </c>
      <c r="B42" s="135">
        <v>757.37</v>
      </c>
      <c r="C42" s="135">
        <v>755.81</v>
      </c>
      <c r="D42" s="135">
        <v>752.5</v>
      </c>
      <c r="E42" s="135">
        <v>745.54</v>
      </c>
      <c r="F42" s="135">
        <v>732.73</v>
      </c>
      <c r="G42" s="135">
        <v>700.37</v>
      </c>
      <c r="H42" s="135">
        <v>631.01</v>
      </c>
      <c r="I42" s="135">
        <v>578.46</v>
      </c>
      <c r="J42" s="133"/>
      <c r="K42" s="132">
        <f t="shared" si="24"/>
        <v>797.5</v>
      </c>
      <c r="L42" s="133">
        <f t="shared" si="26"/>
        <v>759.354230215827</v>
      </c>
      <c r="M42" s="133">
        <f t="shared" si="27"/>
        <v>753.495166042022</v>
      </c>
      <c r="N42" s="133">
        <f t="shared" si="28"/>
        <v>749.317142063366</v>
      </c>
      <c r="O42" s="133">
        <f t="shared" si="29"/>
        <v>745.577606912495</v>
      </c>
      <c r="P42" s="133">
        <f t="shared" si="30"/>
        <v>738.822997711787</v>
      </c>
      <c r="Q42" s="133">
        <f t="shared" si="31"/>
        <v>732.833754486432</v>
      </c>
      <c r="R42" s="133">
        <f t="shared" si="32"/>
        <v>716.226731766915</v>
      </c>
      <c r="S42" s="133">
        <f t="shared" si="33"/>
        <v>700.753925588269</v>
      </c>
      <c r="T42" s="133">
        <f t="shared" si="34"/>
        <v>665.611372836416</v>
      </c>
      <c r="U42" s="133">
        <f t="shared" si="35"/>
        <v>632.07123393241</v>
      </c>
      <c r="V42" s="133">
        <f t="shared" si="36"/>
        <v>583.446496350365</v>
      </c>
      <c r="X42" s="106" t="str">
        <f>事故释放率!A19</f>
        <v>Sr-90</v>
      </c>
      <c r="Y42" s="811">
        <v>9.494e-18</v>
      </c>
      <c r="Z42" s="811">
        <v>5.45393451e-15</v>
      </c>
      <c r="AA42" s="812">
        <f>Z42</f>
        <v>5.45393451e-15</v>
      </c>
      <c r="AB42" s="812">
        <f>AA42</f>
        <v>5.45393451e-15</v>
      </c>
      <c r="AC42" s="811">
        <v>5.31427241e-16</v>
      </c>
      <c r="AD42" s="811">
        <v>1.93252241e-16</v>
      </c>
      <c r="AF42" s="156">
        <f ca="1">MMULT(事故释放率!$B19:$O19,Y$5:Y$18)</f>
        <v>4.745742964e-17</v>
      </c>
      <c r="AG42" s="156">
        <f ca="1">MMULT(事故释放率!$B19:$O19,Z$5:Z$18)</f>
        <v>3.12570525055e-16</v>
      </c>
      <c r="AH42" s="156">
        <f ca="1">MMULT(事故释放率!$B19:$O19,AA$5:AA$18)</f>
        <v>4.8000918388e-16</v>
      </c>
      <c r="AI42" s="156">
        <f ca="1">MMULT(事故释放率!$B19:$O19,AB$5:AB$18)</f>
        <v>2.76383060055e-16</v>
      </c>
      <c r="AJ42" s="156">
        <f ca="1">MMULT(事故释放率!$B19:$O19,AC$5:AC$18)</f>
        <v>9.135645623e-17</v>
      </c>
      <c r="AK42" s="156">
        <f ca="1">MMULT(事故释放率!$B19:$O19,AD$5:AD$18)</f>
        <v>9.1661762555e-17</v>
      </c>
    </row>
    <row r="43" s="91" customFormat="1" spans="1:37">
      <c r="A43" s="132">
        <v>852.5</v>
      </c>
      <c r="B43" s="135">
        <v>698.66</v>
      </c>
      <c r="C43" s="135">
        <v>697.02</v>
      </c>
      <c r="D43" s="135">
        <v>694.54</v>
      </c>
      <c r="E43" s="135">
        <v>690.79</v>
      </c>
      <c r="F43" s="135">
        <v>684.37</v>
      </c>
      <c r="G43" s="135">
        <v>664.21</v>
      </c>
      <c r="H43" s="135">
        <v>606.16</v>
      </c>
      <c r="I43" s="135">
        <v>554.77</v>
      </c>
      <c r="J43" s="133"/>
      <c r="K43" s="132">
        <f t="shared" si="24"/>
        <v>852.5</v>
      </c>
      <c r="L43" s="133">
        <f t="shared" si="26"/>
        <v>700.745985611511</v>
      </c>
      <c r="M43" s="133">
        <f t="shared" si="27"/>
        <v>695.285622895533</v>
      </c>
      <c r="N43" s="133">
        <f t="shared" si="28"/>
        <v>692.825098094486</v>
      </c>
      <c r="O43" s="133">
        <f t="shared" si="29"/>
        <v>690.810262345094</v>
      </c>
      <c r="P43" s="133">
        <f t="shared" si="30"/>
        <v>687.423633513636</v>
      </c>
      <c r="Q43" s="133">
        <f t="shared" si="31"/>
        <v>684.421998735589</v>
      </c>
      <c r="R43" s="133">
        <f t="shared" si="32"/>
        <v>674.088606687917</v>
      </c>
      <c r="S43" s="133">
        <f t="shared" si="33"/>
        <v>664.449182319515</v>
      </c>
      <c r="T43" s="133">
        <f t="shared" si="34"/>
        <v>635.119193961273</v>
      </c>
      <c r="U43" s="133">
        <f t="shared" si="35"/>
        <v>607.048186703812</v>
      </c>
      <c r="V43" s="133">
        <f t="shared" si="36"/>
        <v>559.646423357664</v>
      </c>
      <c r="X43" s="106" t="str">
        <f>事故释放率!A20</f>
        <v>Cs-134</v>
      </c>
      <c r="Y43" s="811">
        <v>4.063e-14</v>
      </c>
      <c r="Z43" s="811">
        <v>1.6575995e-12</v>
      </c>
      <c r="AA43" s="812">
        <f>Z43</f>
        <v>1.6575995e-12</v>
      </c>
      <c r="AB43" s="812">
        <f>AA43</f>
        <v>1.6575995e-12</v>
      </c>
      <c r="AC43" s="811">
        <v>3.51756675e-13</v>
      </c>
      <c r="AD43" s="811">
        <v>2.06554125e-13</v>
      </c>
      <c r="AF43" s="156">
        <f ca="1">MMULT(事故释放率!$B20:$O20,Y$5:Y$18)</f>
        <v>5.8391407e-14</v>
      </c>
      <c r="AG43" s="156">
        <f ca="1">MMULT(事故释放率!$B20:$O20,Z$5:Z$18)</f>
        <v>1.744469215e-13</v>
      </c>
      <c r="AH43" s="156">
        <f ca="1">MMULT(事故释放率!$B20:$O20,AA$5:AA$18)</f>
        <v>2.02774069e-13</v>
      </c>
      <c r="AI43" s="156">
        <f ca="1">MMULT(事故释放率!$B20:$O20,AB$5:AB$18)</f>
        <v>1.604511715e-13</v>
      </c>
      <c r="AJ43" s="156">
        <f ca="1">MMULT(事故释放率!$B20:$O20,AC$5:AC$18)</f>
        <v>1.00652774e-13</v>
      </c>
      <c r="AK43" s="156">
        <f ca="1">MMULT(事故释放率!$B20:$O20,AD$5:AD$18)</f>
        <v>1.057625465e-13</v>
      </c>
    </row>
    <row r="44" s="91" customFormat="1" spans="1:37">
      <c r="A44" s="132">
        <v>907.5</v>
      </c>
      <c r="B44" s="135">
        <v>655.79</v>
      </c>
      <c r="C44" s="135">
        <v>650.84</v>
      </c>
      <c r="D44" s="135">
        <v>644.54</v>
      </c>
      <c r="E44" s="135">
        <v>641.14</v>
      </c>
      <c r="F44" s="135">
        <v>638.02</v>
      </c>
      <c r="G44" s="135">
        <v>624.37</v>
      </c>
      <c r="H44" s="135">
        <v>573.13</v>
      </c>
      <c r="I44" s="135">
        <v>523.3</v>
      </c>
      <c r="J44" s="133"/>
      <c r="K44" s="132">
        <f t="shared" si="24"/>
        <v>907.5</v>
      </c>
      <c r="L44" s="133">
        <f t="shared" si="26"/>
        <v>662.086115107914</v>
      </c>
      <c r="M44" s="133">
        <f t="shared" si="27"/>
        <v>646.434122678169</v>
      </c>
      <c r="N44" s="133">
        <f t="shared" si="28"/>
        <v>642.985155605667</v>
      </c>
      <c r="O44" s="133">
        <f t="shared" si="29"/>
        <v>641.158371192885</v>
      </c>
      <c r="P44" s="133">
        <f t="shared" si="30"/>
        <v>639.504008810365</v>
      </c>
      <c r="Q44" s="133">
        <f t="shared" si="31"/>
        <v>638.045270413557</v>
      </c>
      <c r="R44" s="133">
        <f t="shared" si="32"/>
        <v>631.058639944944</v>
      </c>
      <c r="S44" s="133">
        <f t="shared" si="33"/>
        <v>624.531946362172</v>
      </c>
      <c r="T44" s="133">
        <f t="shared" si="34"/>
        <v>598.691913842819</v>
      </c>
      <c r="U44" s="133">
        <f t="shared" si="35"/>
        <v>573.91399115768</v>
      </c>
      <c r="V44" s="133">
        <f t="shared" si="36"/>
        <v>528.028394160584</v>
      </c>
      <c r="X44" s="106" t="str">
        <f>事故释放率!A21</f>
        <v>Cs-137</v>
      </c>
      <c r="Y44" s="811">
        <v>4.688e-14</v>
      </c>
      <c r="Z44" s="811">
        <v>1.91444975e-12</v>
      </c>
      <c r="AA44" s="812">
        <f>Z44</f>
        <v>1.91444975e-12</v>
      </c>
      <c r="AB44" s="812">
        <f>AA44</f>
        <v>1.91444975e-12</v>
      </c>
      <c r="AC44" s="811">
        <v>4.065264e-13</v>
      </c>
      <c r="AD44" s="811">
        <v>2.385014e-13</v>
      </c>
      <c r="AF44" s="156">
        <f ca="1">MMULT(事故释放率!$B21:$O21,Y$5:Y$18)</f>
        <v>6.3152471e-14</v>
      </c>
      <c r="AG44" s="156">
        <f ca="1">MMULT(事故释放率!$B21:$O21,Z$5:Z$18)</f>
        <v>1.93036917e-13</v>
      </c>
      <c r="AH44" s="156">
        <f ca="1">MMULT(事故释放率!$B21:$O21,AA$5:AA$18)</f>
        <v>2.28259817e-13</v>
      </c>
      <c r="AI44" s="156">
        <f ca="1">MMULT(事故释放率!$B21:$O21,AB$5:AB$18)</f>
        <v>1.77660467e-13</v>
      </c>
      <c r="AJ44" s="156">
        <f ca="1">MMULT(事故释放率!$B21:$O21,AC$5:AC$18)</f>
        <v>1.06706317e-13</v>
      </c>
      <c r="AK44" s="156">
        <f ca="1">MMULT(事故释放率!$B21:$O21,AD$5:AD$18)</f>
        <v>1.13464792e-13</v>
      </c>
    </row>
    <row r="45" s="91" customFormat="1" spans="1:37">
      <c r="A45" s="132">
        <v>962.5</v>
      </c>
      <c r="B45" s="135">
        <v>633.07</v>
      </c>
      <c r="C45" s="135">
        <v>622.22</v>
      </c>
      <c r="D45" s="135">
        <v>608.82</v>
      </c>
      <c r="E45" s="135">
        <v>600.69</v>
      </c>
      <c r="F45" s="135">
        <v>597.32</v>
      </c>
      <c r="G45" s="135">
        <v>586.92</v>
      </c>
      <c r="H45" s="135">
        <v>539.38</v>
      </c>
      <c r="I45" s="135">
        <v>491.27</v>
      </c>
      <c r="J45" s="133"/>
      <c r="K45" s="132">
        <f t="shared" si="24"/>
        <v>962.5</v>
      </c>
      <c r="L45" s="133">
        <f t="shared" si="26"/>
        <v>646.870575539568</v>
      </c>
      <c r="M45" s="133">
        <f t="shared" si="27"/>
        <v>612.848768871026</v>
      </c>
      <c r="N45" s="133">
        <f t="shared" si="28"/>
        <v>605.102092668845</v>
      </c>
      <c r="O45" s="133">
        <f t="shared" si="29"/>
        <v>600.733928764164</v>
      </c>
      <c r="P45" s="133">
        <f t="shared" si="30"/>
        <v>598.922919772734</v>
      </c>
      <c r="Q45" s="133">
        <f t="shared" si="31"/>
        <v>597.347295286438</v>
      </c>
      <c r="R45" s="133">
        <f t="shared" si="32"/>
        <v>592.016106624719</v>
      </c>
      <c r="S45" s="133">
        <f t="shared" si="33"/>
        <v>587.043387704512</v>
      </c>
      <c r="T45" s="133">
        <f t="shared" si="34"/>
        <v>563.096108198431</v>
      </c>
      <c r="U45" s="133">
        <f t="shared" si="35"/>
        <v>540.107379774319</v>
      </c>
      <c r="V45" s="133">
        <f t="shared" si="36"/>
        <v>495.835182481752</v>
      </c>
      <c r="X45" s="106" t="str">
        <f>事故释放率!A22</f>
        <v>Ag-110m</v>
      </c>
      <c r="Y45" s="811">
        <v>1.879e-12</v>
      </c>
      <c r="Z45" s="811">
        <v>3.98798975e-10</v>
      </c>
      <c r="AA45" s="812">
        <f>Z45</f>
        <v>3.98798975e-10</v>
      </c>
      <c r="AB45" s="812">
        <f>AA45</f>
        <v>3.98798975e-10</v>
      </c>
      <c r="AC45" s="811">
        <v>3.5252487e-11</v>
      </c>
      <c r="AD45" s="811">
        <v>1.1987311e-11</v>
      </c>
      <c r="AF45" s="156">
        <f ca="1">MMULT(事故释放率!$B22:$O22,Y$5:Y$18)</f>
        <v>5.8792278e-12</v>
      </c>
      <c r="AG45" s="156">
        <f ca="1">MMULT(事故释放率!$B22:$O22,Z$5:Z$18)</f>
        <v>2.775412435e-11</v>
      </c>
      <c r="AH45" s="156">
        <f ca="1">MMULT(事故释放率!$B22:$O22,AA$5:AA$18)</f>
        <v>4.03404856e-11</v>
      </c>
      <c r="AI45" s="156">
        <f ca="1">MMULT(事故释放率!$B22:$O22,AB$5:AB$18)</f>
        <v>2.480896435e-11</v>
      </c>
      <c r="AJ45" s="156">
        <f ca="1">MMULT(事故释放率!$B22:$O22,AC$5:AC$18)</f>
        <v>1.08453281e-11</v>
      </c>
      <c r="AK45" s="156">
        <f ca="1">MMULT(事故释放率!$B22:$O22,AD$5:AD$18)</f>
        <v>1.110567435e-11</v>
      </c>
    </row>
    <row r="46" s="91" customFormat="1" spans="1:37">
      <c r="A46" s="132">
        <v>1017.5</v>
      </c>
      <c r="B46" s="135">
        <v>622.66</v>
      </c>
      <c r="C46" s="135">
        <v>602.1</v>
      </c>
      <c r="D46" s="135">
        <v>585.76</v>
      </c>
      <c r="E46" s="135">
        <v>574.99</v>
      </c>
      <c r="F46" s="135">
        <v>568.15</v>
      </c>
      <c r="G46" s="135">
        <v>554.8</v>
      </c>
      <c r="H46" s="135">
        <v>508.59</v>
      </c>
      <c r="I46" s="135">
        <v>463.16</v>
      </c>
      <c r="J46" s="133"/>
      <c r="K46" s="132">
        <f t="shared" si="24"/>
        <v>1017.5</v>
      </c>
      <c r="L46" s="133">
        <f t="shared" si="26"/>
        <v>648.811136690647</v>
      </c>
      <c r="M46" s="133">
        <f t="shared" si="27"/>
        <v>590.672692787505</v>
      </c>
      <c r="N46" s="133">
        <f t="shared" si="28"/>
        <v>580.834801727363</v>
      </c>
      <c r="O46" s="133">
        <f t="shared" si="29"/>
        <v>575.048193455111</v>
      </c>
      <c r="P46" s="133">
        <f t="shared" si="30"/>
        <v>571.403403930415</v>
      </c>
      <c r="Q46" s="133">
        <f t="shared" si="31"/>
        <v>568.205400522029</v>
      </c>
      <c r="R46" s="133">
        <f t="shared" si="32"/>
        <v>561.341636869231</v>
      </c>
      <c r="S46" s="133">
        <f t="shared" si="33"/>
        <v>554.958387101464</v>
      </c>
      <c r="T46" s="133">
        <f t="shared" si="34"/>
        <v>531.642615899233</v>
      </c>
      <c r="U46" s="133">
        <f t="shared" si="35"/>
        <v>509.297030277057</v>
      </c>
      <c r="V46" s="133">
        <f t="shared" si="36"/>
        <v>467.470875912409</v>
      </c>
      <c r="X46" s="106" t="str">
        <f>事故释放率!A23</f>
        <v>H-3</v>
      </c>
      <c r="Y46" s="156">
        <f ca="1" t="array" ref="Y46">SUMPRODUCT(Y$5:Y$18,TRANSPOSE(事故释放率!$B23:$O23))</f>
        <v>0</v>
      </c>
      <c r="Z46" s="156">
        <f ca="1" t="array" ref="Z46">SUMPRODUCT(Z$5:Z$18,TRANSPOSE(事故释放率!$B23:$O23))</f>
        <v>0</v>
      </c>
      <c r="AA46" s="156">
        <f ca="1" t="array" ref="AA46">SUMPRODUCT(AA$5:AA$18,TRANSPOSE(事故释放率!$B23:$O23))</f>
        <v>0</v>
      </c>
      <c r="AB46" s="156">
        <f ca="1" t="array" ref="AB46">SUMPRODUCT(AB$5:AB$18,TRANSPOSE(事故释放率!$B23:$O23))</f>
        <v>0</v>
      </c>
      <c r="AC46" s="156">
        <f ca="1" t="array" ref="AC46">SUMPRODUCT(AC$5:AC$18,TRANSPOSE(事故释放率!$B23:$O23))</f>
        <v>0</v>
      </c>
      <c r="AD46" s="156">
        <f ca="1" t="array" ref="AD46">SUMPRODUCT(AD$5:AD$18,TRANSPOSE(事故释放率!$B23:$O23))</f>
        <v>0</v>
      </c>
      <c r="AF46" s="156">
        <f ca="1">MMULT(事故释放率!$B23:$O23,Y$5:Y$18)</f>
        <v>0</v>
      </c>
      <c r="AG46" s="156">
        <f ca="1">MMULT(事故释放率!$B23:$O23,Z$5:Z$18)</f>
        <v>0</v>
      </c>
      <c r="AH46" s="156">
        <f ca="1">MMULT(事故释放率!$B23:$O23,AA$5:AA$18)</f>
        <v>0</v>
      </c>
      <c r="AI46" s="156">
        <f ca="1">MMULT(事故释放率!$B23:$O23,AB$5:AB$18)</f>
        <v>0</v>
      </c>
      <c r="AJ46" s="156">
        <f ca="1">MMULT(事故释放率!$B23:$O23,AC$5:AC$18)</f>
        <v>0</v>
      </c>
      <c r="AK46" s="156">
        <f ca="1">MMULT(事故释放率!$B23:$O23,AD$5:AD$18)</f>
        <v>0</v>
      </c>
    </row>
    <row r="47" s="91" customFormat="1" spans="1:37">
      <c r="A47" s="132">
        <v>1072.5</v>
      </c>
      <c r="B47" s="135">
        <v>628.7</v>
      </c>
      <c r="C47" s="135">
        <v>589.06</v>
      </c>
      <c r="D47" s="135">
        <v>567.15</v>
      </c>
      <c r="E47" s="135">
        <v>557.83</v>
      </c>
      <c r="F47" s="135">
        <v>547.69</v>
      </c>
      <c r="G47" s="135">
        <v>527.83</v>
      </c>
      <c r="H47" s="135">
        <v>483.09</v>
      </c>
      <c r="I47" s="135">
        <v>442.04</v>
      </c>
      <c r="J47" s="133"/>
      <c r="K47" s="132">
        <f t="shared" si="24"/>
        <v>1072.5</v>
      </c>
      <c r="L47" s="133">
        <f t="shared" si="26"/>
        <v>679.119798561151</v>
      </c>
      <c r="M47" s="133">
        <f t="shared" si="27"/>
        <v>573.737337758521</v>
      </c>
      <c r="N47" s="133">
        <f t="shared" si="28"/>
        <v>562.887897130829</v>
      </c>
      <c r="O47" s="133">
        <f t="shared" si="29"/>
        <v>557.880358681674</v>
      </c>
      <c r="P47" s="133">
        <f t="shared" si="30"/>
        <v>552.513028633686</v>
      </c>
      <c r="Q47" s="133">
        <f t="shared" si="31"/>
        <v>547.772128844061</v>
      </c>
      <c r="R47" s="133">
        <f t="shared" si="32"/>
        <v>537.561603612205</v>
      </c>
      <c r="S47" s="133">
        <f t="shared" si="33"/>
        <v>528.065623058808</v>
      </c>
      <c r="T47" s="133">
        <f t="shared" si="34"/>
        <v>505.409282305381</v>
      </c>
      <c r="U47" s="133">
        <f t="shared" si="35"/>
        <v>483.774538727451</v>
      </c>
      <c r="V47" s="133">
        <f t="shared" si="36"/>
        <v>445.935255474453</v>
      </c>
      <c r="X47" s="106" t="str">
        <f>事故释放率!A24</f>
        <v>C-14</v>
      </c>
      <c r="Y47" s="156">
        <f ca="1" t="array" ref="Y47">SUMPRODUCT(Y$5:Y$18,TRANSPOSE(事故释放率!$B24:$O24))</f>
        <v>0</v>
      </c>
      <c r="Z47" s="156">
        <f ca="1" t="array" ref="Z47">SUMPRODUCT(Z$5:Z$18,TRANSPOSE(事故释放率!$B24:$O24))</f>
        <v>0</v>
      </c>
      <c r="AA47" s="156">
        <f ca="1" t="array" ref="AA47">SUMPRODUCT(AA$5:AA$18,TRANSPOSE(事故释放率!$B24:$O24))</f>
        <v>0</v>
      </c>
      <c r="AB47" s="156">
        <f ca="1" t="array" ref="AB47">SUMPRODUCT(AB$5:AB$18,TRANSPOSE(事故释放率!$B24:$O24))</f>
        <v>0</v>
      </c>
      <c r="AC47" s="156">
        <f ca="1" t="array" ref="AC47">SUMPRODUCT(AC$5:AC$18,TRANSPOSE(事故释放率!$B24:$O24))</f>
        <v>0</v>
      </c>
      <c r="AD47" s="156">
        <f ca="1" t="array" ref="AD47">SUMPRODUCT(AD$5:AD$18,TRANSPOSE(事故释放率!$B24:$O24))</f>
        <v>0</v>
      </c>
      <c r="AF47" s="156">
        <f ca="1">MMULT(事故释放率!$B24:$O24,Y$5:Y$18)</f>
        <v>0</v>
      </c>
      <c r="AG47" s="156">
        <f ca="1">MMULT(事故释放率!$B24:$O24,Z$5:Z$18)</f>
        <v>0</v>
      </c>
      <c r="AH47" s="156">
        <f ca="1">MMULT(事故释放率!$B24:$O24,AA$5:AA$18)</f>
        <v>0</v>
      </c>
      <c r="AI47" s="156">
        <f ca="1">MMULT(事故释放率!$B24:$O24,AB$5:AB$18)</f>
        <v>0</v>
      </c>
      <c r="AJ47" s="156">
        <f ca="1">MMULT(事故释放率!$B24:$O24,AC$5:AC$18)</f>
        <v>0</v>
      </c>
      <c r="AK47" s="156">
        <f ca="1">MMULT(事故释放率!$B24:$O24,AD$5:AD$18)</f>
        <v>0</v>
      </c>
    </row>
    <row r="48" s="91" customFormat="1" spans="1:37">
      <c r="A48" s="129"/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X48" s="106" t="str">
        <f>事故释放率!A25</f>
        <v>Co-60</v>
      </c>
      <c r="Y48" s="156">
        <f ca="1" t="array" ref="Y48">SUMPRODUCT(Y$5:Y$18,TRANSPOSE(事故释放率!$B25:$O25))</f>
        <v>0</v>
      </c>
      <c r="Z48" s="156">
        <f ca="1" t="array" ref="Z48">SUMPRODUCT(Z$5:Z$18,TRANSPOSE(事故释放率!$B25:$O25))</f>
        <v>0</v>
      </c>
      <c r="AA48" s="156">
        <f ca="1" t="array" ref="AA48">SUMPRODUCT(AA$5:AA$18,TRANSPOSE(事故释放率!$B25:$O25))</f>
        <v>0</v>
      </c>
      <c r="AB48" s="156">
        <f ca="1" t="array" ref="AB48">SUMPRODUCT(AB$5:AB$18,TRANSPOSE(事故释放率!$B25:$O25))</f>
        <v>0</v>
      </c>
      <c r="AC48" s="156">
        <f ca="1" t="array" ref="AC48">SUMPRODUCT(AC$5:AC$18,TRANSPOSE(事故释放率!$B25:$O25))</f>
        <v>0</v>
      </c>
      <c r="AD48" s="156">
        <f ca="1" t="array" ref="AD48">SUMPRODUCT(AD$5:AD$18,TRANSPOSE(事故释放率!$B25:$O25))</f>
        <v>0</v>
      </c>
      <c r="AF48" s="156">
        <f ca="1">MMULT(事故释放率!$B25:$O25,Y$5:Y$18)</f>
        <v>0</v>
      </c>
      <c r="AG48" s="156">
        <f ca="1">MMULT(事故释放率!$B25:$O25,Z$5:Z$18)</f>
        <v>0</v>
      </c>
      <c r="AH48" s="156">
        <f ca="1">MMULT(事故释放率!$B25:$O25,AA$5:AA$18)</f>
        <v>0</v>
      </c>
      <c r="AI48" s="156">
        <f ca="1">MMULT(事故释放率!$B25:$O25,AB$5:AB$18)</f>
        <v>0</v>
      </c>
      <c r="AJ48" s="156">
        <f ca="1">MMULT(事故释放率!$B25:$O25,AC$5:AC$18)</f>
        <v>0</v>
      </c>
      <c r="AK48" s="156">
        <f ca="1">MMULT(事故释放率!$B25:$O25,AD$5:AD$18)</f>
        <v>0</v>
      </c>
    </row>
    <row r="49" s="91" customFormat="1" spans="1:37">
      <c r="A49" s="129" t="s">
        <v>313</v>
      </c>
      <c r="B49" s="129"/>
      <c r="C49" s="129"/>
      <c r="D49" s="129"/>
      <c r="E49" s="129"/>
      <c r="F49" s="129"/>
      <c r="G49" s="129"/>
      <c r="H49" s="129"/>
      <c r="I49" s="129"/>
      <c r="J49" s="129"/>
      <c r="K49" s="129" t="str">
        <f>A49</f>
        <v>3h</v>
      </c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X49" s="106" t="str">
        <f>事故释放率!A26</f>
        <v>Ar-41</v>
      </c>
      <c r="Y49" s="156">
        <f ca="1" t="array" ref="Y49">SUMPRODUCT(Y$5:Y$18,TRANSPOSE(事故释放率!$B26:$O26))</f>
        <v>0</v>
      </c>
      <c r="Z49" s="156">
        <f ca="1" t="array" ref="Z49">SUMPRODUCT(Z$5:Z$18,TRANSPOSE(事故释放率!$B26:$O26))</f>
        <v>0</v>
      </c>
      <c r="AA49" s="156">
        <f ca="1" t="array" ref="AA49">SUMPRODUCT(AA$5:AA$18,TRANSPOSE(事故释放率!$B26:$O26))</f>
        <v>0</v>
      </c>
      <c r="AB49" s="156">
        <f ca="1" t="array" ref="AB49">SUMPRODUCT(AB$5:AB$18,TRANSPOSE(事故释放率!$B26:$O26))</f>
        <v>0</v>
      </c>
      <c r="AC49" s="156">
        <f ca="1" t="array" ref="AC49">SUMPRODUCT(AC$5:AC$18,TRANSPOSE(事故释放率!$B26:$O26))</f>
        <v>0</v>
      </c>
      <c r="AD49" s="156">
        <f ca="1" t="array" ref="AD49">SUMPRODUCT(AD$5:AD$18,TRANSPOSE(事故释放率!$B26:$O26))</f>
        <v>0</v>
      </c>
      <c r="AF49" s="156">
        <f ca="1">MMULT(事故释放率!$B26:$O26,Y$5:Y$18)</f>
        <v>0</v>
      </c>
      <c r="AG49" s="156">
        <f ca="1">MMULT(事故释放率!$B26:$O26,Z$5:Z$18)</f>
        <v>0</v>
      </c>
      <c r="AH49" s="156">
        <f ca="1">MMULT(事故释放率!$B26:$O26,AA$5:AA$18)</f>
        <v>0</v>
      </c>
      <c r="AI49" s="156">
        <f ca="1">MMULT(事故释放率!$B26:$O26,AB$5:AB$18)</f>
        <v>0</v>
      </c>
      <c r="AJ49" s="156">
        <f ca="1">MMULT(事故释放率!$B26:$O26,AC$5:AC$18)</f>
        <v>0</v>
      </c>
      <c r="AK49" s="156">
        <f ca="1">MMULT(事故释放率!$B26:$O26,AD$5:AD$18)</f>
        <v>0</v>
      </c>
    </row>
    <row r="50" s="91" customFormat="1" spans="1:22">
      <c r="A50" s="132" t="s">
        <v>128</v>
      </c>
      <c r="B50" s="133">
        <v>17.68</v>
      </c>
      <c r="C50" s="133">
        <v>31.58</v>
      </c>
      <c r="D50" s="133">
        <v>54.25</v>
      </c>
      <c r="E50" s="133">
        <v>82.31</v>
      </c>
      <c r="F50" s="133">
        <v>106.26</v>
      </c>
      <c r="G50" s="133">
        <v>125.73</v>
      </c>
      <c r="H50" s="133">
        <v>142.56</v>
      </c>
      <c r="I50" s="133">
        <v>150.78</v>
      </c>
      <c r="J50" s="133"/>
      <c r="K50" s="132" t="str">
        <f t="shared" ref="K50:K70" si="37">A50</f>
        <v>R/Z[cm]</v>
      </c>
      <c r="L50" s="141">
        <v>0</v>
      </c>
      <c r="M50" s="141">
        <f t="shared" ref="M50:V50" si="38">SQRT(L50*L50+150*150/10)</f>
        <v>47.4341649025257</v>
      </c>
      <c r="N50" s="141">
        <f t="shared" si="38"/>
        <v>67.0820393249937</v>
      </c>
      <c r="O50" s="141">
        <f t="shared" si="38"/>
        <v>82.1583836257749</v>
      </c>
      <c r="P50" s="141">
        <f t="shared" si="38"/>
        <v>94.8683298050514</v>
      </c>
      <c r="Q50" s="141">
        <f t="shared" si="38"/>
        <v>106.066017177982</v>
      </c>
      <c r="R50" s="141">
        <f t="shared" si="38"/>
        <v>116.189500386223</v>
      </c>
      <c r="S50" s="141">
        <f t="shared" si="38"/>
        <v>125.499003980111</v>
      </c>
      <c r="T50" s="141">
        <f t="shared" si="38"/>
        <v>134.164078649987</v>
      </c>
      <c r="U50" s="141">
        <f t="shared" si="38"/>
        <v>142.302494707577</v>
      </c>
      <c r="V50" s="141">
        <f t="shared" si="38"/>
        <v>150</v>
      </c>
    </row>
    <row r="51" s="91" customFormat="1" spans="1:30">
      <c r="A51" s="132">
        <v>27.5</v>
      </c>
      <c r="B51" s="133">
        <v>1047.8</v>
      </c>
      <c r="C51" s="133">
        <v>1031.15</v>
      </c>
      <c r="D51" s="133">
        <v>991.64</v>
      </c>
      <c r="E51" s="133">
        <v>916.8</v>
      </c>
      <c r="F51" s="133">
        <v>834.53</v>
      </c>
      <c r="G51" s="133">
        <v>786.3</v>
      </c>
      <c r="H51" s="133">
        <v>723.24</v>
      </c>
      <c r="I51" s="133">
        <v>646.47</v>
      </c>
      <c r="J51" s="133"/>
      <c r="K51" s="132">
        <f t="shared" si="37"/>
        <v>27.5</v>
      </c>
      <c r="L51" s="133">
        <f t="shared" ref="L51:L70" si="39">TREND(B51:C51,B$4:C$4,L$4)</f>
        <v>1068.97784172662</v>
      </c>
      <c r="M51" s="133">
        <f t="shared" ref="M51:M70" si="40">TREND(C51:D51,C$4:D$4,M$4)</f>
        <v>1003.51885508166</v>
      </c>
      <c r="N51" s="133">
        <f t="shared" ref="N51:N70" si="41">TREND(D51:E51,D$4:E$4,N$4)</f>
        <v>957.415131037686</v>
      </c>
      <c r="O51" s="133">
        <f t="shared" ref="O51:O70" si="42">TREND(D51:E51,D$4:E$4,O$4)</f>
        <v>917.204382375161</v>
      </c>
      <c r="P51" s="133">
        <f t="shared" ref="P51:P70" si="43">TREND(E51:F51,E$4:F$4,P$4)</f>
        <v>873.661219496385</v>
      </c>
      <c r="Q51" s="133">
        <f t="shared" ref="Q51:Q70" si="44">TREND(E51:F51,E$4:F$4,Q$4)</f>
        <v>835.196345167742</v>
      </c>
      <c r="R51" s="133">
        <f t="shared" ref="R51:R70" si="45">TREND(F51:G51,F$4:G$4,R$4)</f>
        <v>809.933194472136</v>
      </c>
      <c r="S51" s="133">
        <f t="shared" ref="S51:S70" si="46">TREND(F51:G51,F$4:G$4,S$4)</f>
        <v>786.872210479673</v>
      </c>
      <c r="T51" s="133">
        <f t="shared" ref="T51:T70" si="47">TREND(G51:H51,G$4:H$4,T$4)</f>
        <v>754.698514577053</v>
      </c>
      <c r="U51" s="133">
        <f t="shared" ref="U51:U70" si="48">TREND(G51:H51,G$4:H$4,U$4)</f>
        <v>724.204841576957</v>
      </c>
      <c r="V51" s="133">
        <f t="shared" ref="V51:V70" si="49">TREND(H51:I51,H$4:I$4,V$4)</f>
        <v>653.754744525547</v>
      </c>
      <c r="X51" s="147" t="s">
        <v>137</v>
      </c>
      <c r="Y51" s="106"/>
      <c r="Z51" s="106" t="s">
        <v>134</v>
      </c>
      <c r="AA51" s="106" t="s">
        <v>138</v>
      </c>
      <c r="AB51" s="106"/>
      <c r="AC51" s="106"/>
      <c r="AD51" s="106" t="s">
        <v>140</v>
      </c>
    </row>
    <row r="52" s="91" customFormat="1" spans="1:30">
      <c r="A52" s="132">
        <v>82.5</v>
      </c>
      <c r="B52" s="133">
        <v>1080.01</v>
      </c>
      <c r="C52" s="133">
        <v>1066.33</v>
      </c>
      <c r="D52" s="133">
        <v>1032.41</v>
      </c>
      <c r="E52" s="133">
        <v>965.69</v>
      </c>
      <c r="F52" s="133">
        <v>877</v>
      </c>
      <c r="G52" s="133">
        <v>785.02</v>
      </c>
      <c r="H52" s="133">
        <v>691.19</v>
      </c>
      <c r="I52" s="133">
        <v>620.08</v>
      </c>
      <c r="J52" s="133"/>
      <c r="K52" s="132">
        <f t="shared" si="37"/>
        <v>82.5</v>
      </c>
      <c r="L52" s="133">
        <f t="shared" si="39"/>
        <v>1097.41017266187</v>
      </c>
      <c r="M52" s="133">
        <f t="shared" si="40"/>
        <v>1042.60819702278</v>
      </c>
      <c r="N52" s="133">
        <f t="shared" si="41"/>
        <v>1001.89846529709</v>
      </c>
      <c r="O52" s="133">
        <f t="shared" si="42"/>
        <v>966.050507643917</v>
      </c>
      <c r="P52" s="133">
        <f t="shared" si="43"/>
        <v>919.184853010021</v>
      </c>
      <c r="Q52" s="133">
        <f t="shared" si="44"/>
        <v>877.718343903331</v>
      </c>
      <c r="R52" s="133">
        <f t="shared" si="45"/>
        <v>830.091143013624</v>
      </c>
      <c r="S52" s="133">
        <f t="shared" si="46"/>
        <v>786.111269332787</v>
      </c>
      <c r="T52" s="133">
        <f t="shared" si="47"/>
        <v>737.998633408894</v>
      </c>
      <c r="U52" s="133">
        <f t="shared" si="48"/>
        <v>692.625634081286</v>
      </c>
      <c r="V52" s="133">
        <f t="shared" si="49"/>
        <v>626.827664233577</v>
      </c>
      <c r="X52" s="106" t="s">
        <v>46</v>
      </c>
      <c r="Y52" s="106"/>
      <c r="Z52" s="106"/>
      <c r="AA52" s="106">
        <v>2.01979680525334e-11</v>
      </c>
      <c r="AB52" s="106"/>
      <c r="AC52" s="106"/>
      <c r="AD52" s="106"/>
    </row>
    <row r="53" s="91" customFormat="1" spans="1:30">
      <c r="A53" s="132">
        <v>137.5</v>
      </c>
      <c r="B53" s="133">
        <v>1088.58</v>
      </c>
      <c r="C53" s="133">
        <v>1075.47</v>
      </c>
      <c r="D53" s="133">
        <v>1042.21</v>
      </c>
      <c r="E53" s="133">
        <v>974.55</v>
      </c>
      <c r="F53" s="133">
        <v>880.17</v>
      </c>
      <c r="G53" s="133">
        <v>774.82</v>
      </c>
      <c r="H53" s="133">
        <v>668.62</v>
      </c>
      <c r="I53" s="133">
        <v>600.33</v>
      </c>
      <c r="J53" s="133"/>
      <c r="K53" s="132">
        <f t="shared" si="37"/>
        <v>137.5</v>
      </c>
      <c r="L53" s="133">
        <f t="shared" si="39"/>
        <v>1105.25516546763</v>
      </c>
      <c r="M53" s="133">
        <f t="shared" si="40"/>
        <v>1052.20976512316</v>
      </c>
      <c r="N53" s="133">
        <f t="shared" si="41"/>
        <v>1011.26859655278</v>
      </c>
      <c r="O53" s="133">
        <f t="shared" si="42"/>
        <v>974.91558673842</v>
      </c>
      <c r="P53" s="133">
        <f t="shared" si="43"/>
        <v>925.061266513539</v>
      </c>
      <c r="Q53" s="133">
        <f t="shared" si="44"/>
        <v>880.934430010106</v>
      </c>
      <c r="R53" s="133">
        <f t="shared" si="45"/>
        <v>826.442580087902</v>
      </c>
      <c r="S53" s="133">
        <f t="shared" si="46"/>
        <v>776.069893718299</v>
      </c>
      <c r="T53" s="133">
        <f t="shared" si="47"/>
        <v>721.599610657834</v>
      </c>
      <c r="U53" s="133">
        <f t="shared" si="48"/>
        <v>670.244899706198</v>
      </c>
      <c r="V53" s="133">
        <f t="shared" si="49"/>
        <v>606.810072992701</v>
      </c>
      <c r="X53" s="106" t="s">
        <v>113</v>
      </c>
      <c r="Y53" s="106"/>
      <c r="Z53" s="106"/>
      <c r="AA53" s="106">
        <v>4.61992e-13</v>
      </c>
      <c r="AB53" s="106"/>
      <c r="AC53" s="106"/>
      <c r="AD53" s="106"/>
    </row>
    <row r="54" s="91" customFormat="1" spans="1:30">
      <c r="A54" s="132">
        <v>192.5</v>
      </c>
      <c r="B54" s="133">
        <v>1088.16</v>
      </c>
      <c r="C54" s="133">
        <v>1075.66</v>
      </c>
      <c r="D54" s="133">
        <v>1043.18</v>
      </c>
      <c r="E54" s="133">
        <v>974.94</v>
      </c>
      <c r="F54" s="133">
        <v>876.41</v>
      </c>
      <c r="G54" s="133">
        <v>763.51</v>
      </c>
      <c r="H54" s="133">
        <v>652.96</v>
      </c>
      <c r="I54" s="133">
        <v>587.79</v>
      </c>
      <c r="J54" s="133"/>
      <c r="K54" s="132">
        <f t="shared" si="37"/>
        <v>192.5</v>
      </c>
      <c r="L54" s="133">
        <f t="shared" si="39"/>
        <v>1104.05928057554</v>
      </c>
      <c r="M54" s="133">
        <f t="shared" si="40"/>
        <v>1052.94525469634</v>
      </c>
      <c r="N54" s="133">
        <f t="shared" si="41"/>
        <v>1011.97335839139</v>
      </c>
      <c r="O54" s="133">
        <f t="shared" si="42"/>
        <v>975.308720647795</v>
      </c>
      <c r="P54" s="133">
        <f t="shared" si="43"/>
        <v>923.275188488864</v>
      </c>
      <c r="Q54" s="133">
        <f t="shared" si="44"/>
        <v>877.208042899934</v>
      </c>
      <c r="R54" s="133">
        <f t="shared" si="45"/>
        <v>818.832157493348</v>
      </c>
      <c r="S54" s="133">
        <f t="shared" si="46"/>
        <v>764.849468446093</v>
      </c>
      <c r="T54" s="133">
        <f t="shared" si="47"/>
        <v>708.109679455965</v>
      </c>
      <c r="U54" s="133">
        <f t="shared" si="48"/>
        <v>654.651456332582</v>
      </c>
      <c r="V54" s="133">
        <f t="shared" si="49"/>
        <v>593.97401459854</v>
      </c>
      <c r="X54" s="106" t="s">
        <v>48</v>
      </c>
      <c r="Y54" s="106"/>
      <c r="Z54" s="106"/>
      <c r="AA54" s="106">
        <v>1.29254972377044e-11</v>
      </c>
      <c r="AB54" s="106"/>
      <c r="AC54" s="106"/>
      <c r="AD54" s="106"/>
    </row>
    <row r="55" s="91" customFormat="1" spans="1:30">
      <c r="A55" s="132">
        <v>241.5</v>
      </c>
      <c r="B55" s="133">
        <v>1080.82</v>
      </c>
      <c r="C55" s="133">
        <v>1069.07</v>
      </c>
      <c r="D55" s="133">
        <v>1037.77</v>
      </c>
      <c r="E55" s="133">
        <v>970.19</v>
      </c>
      <c r="F55" s="133">
        <v>869.8</v>
      </c>
      <c r="G55" s="133">
        <v>753.42</v>
      </c>
      <c r="H55" s="133">
        <v>643.18</v>
      </c>
      <c r="I55" s="133">
        <v>581.86</v>
      </c>
      <c r="J55" s="133"/>
      <c r="K55" s="132">
        <f t="shared" si="37"/>
        <v>241.5</v>
      </c>
      <c r="L55" s="133">
        <f t="shared" si="39"/>
        <v>1095.76532374101</v>
      </c>
      <c r="M55" s="133">
        <f t="shared" si="40"/>
        <v>1047.18048251217</v>
      </c>
      <c r="N55" s="133">
        <f t="shared" si="41"/>
        <v>1006.86518112676</v>
      </c>
      <c r="O55" s="133">
        <f t="shared" si="42"/>
        <v>970.555154475058</v>
      </c>
      <c r="P55" s="133">
        <f t="shared" si="43"/>
        <v>917.549886048889</v>
      </c>
      <c r="Q55" s="133">
        <f t="shared" si="44"/>
        <v>870.61310795417</v>
      </c>
      <c r="R55" s="133">
        <f t="shared" si="45"/>
        <v>810.447393171619</v>
      </c>
      <c r="S55" s="133">
        <f t="shared" si="46"/>
        <v>754.800755870295</v>
      </c>
      <c r="T55" s="133">
        <f t="shared" si="47"/>
        <v>698.175030874949</v>
      </c>
      <c r="U55" s="133">
        <f t="shared" si="48"/>
        <v>644.866713216679</v>
      </c>
      <c r="V55" s="133">
        <f t="shared" si="49"/>
        <v>587.678686131387</v>
      </c>
      <c r="X55" s="106" t="s">
        <v>49</v>
      </c>
      <c r="Y55" s="106"/>
      <c r="Z55" s="106"/>
      <c r="AA55" s="106">
        <v>2.42215262251862e-11</v>
      </c>
      <c r="AB55" s="106"/>
      <c r="AC55" s="106"/>
      <c r="AD55" s="106"/>
    </row>
    <row r="56" s="91" customFormat="1" spans="1:30">
      <c r="A56" s="132">
        <v>296.5</v>
      </c>
      <c r="B56" s="133">
        <v>1062.79</v>
      </c>
      <c r="C56" s="133">
        <v>1052.18</v>
      </c>
      <c r="D56" s="133">
        <v>1023.06</v>
      </c>
      <c r="E56" s="133">
        <v>958.42</v>
      </c>
      <c r="F56" s="133">
        <v>859.22</v>
      </c>
      <c r="G56" s="133">
        <v>743.35</v>
      </c>
      <c r="H56" s="133">
        <v>638.53</v>
      </c>
      <c r="I56" s="133">
        <v>585.62</v>
      </c>
      <c r="J56" s="133"/>
      <c r="K56" s="132">
        <f t="shared" si="37"/>
        <v>296.5</v>
      </c>
      <c r="L56" s="133">
        <f t="shared" si="39"/>
        <v>1076.28530935252</v>
      </c>
      <c r="M56" s="133">
        <f t="shared" si="40"/>
        <v>1031.81505593465</v>
      </c>
      <c r="N56" s="133">
        <f t="shared" si="41"/>
        <v>993.499664220684</v>
      </c>
      <c r="O56" s="133">
        <f t="shared" si="42"/>
        <v>958.769268796504</v>
      </c>
      <c r="P56" s="133">
        <f t="shared" si="43"/>
        <v>906.403869868013</v>
      </c>
      <c r="Q56" s="133">
        <f t="shared" si="44"/>
        <v>860.023469559256</v>
      </c>
      <c r="R56" s="133">
        <f t="shared" si="45"/>
        <v>800.127487942907</v>
      </c>
      <c r="S56" s="133">
        <f t="shared" si="46"/>
        <v>744.724705127093</v>
      </c>
      <c r="T56" s="133">
        <f t="shared" si="47"/>
        <v>690.821175039116</v>
      </c>
      <c r="U56" s="133">
        <f t="shared" si="48"/>
        <v>640.133785190242</v>
      </c>
      <c r="V56" s="133">
        <f t="shared" si="49"/>
        <v>590.640656934307</v>
      </c>
      <c r="X56" s="106" t="s">
        <v>50</v>
      </c>
      <c r="Y56" s="106"/>
      <c r="Z56" s="106"/>
      <c r="AA56" s="106">
        <v>1.63496044645443e-11</v>
      </c>
      <c r="AB56" s="106"/>
      <c r="AC56" s="106"/>
      <c r="AD56" s="106"/>
    </row>
    <row r="57" s="91" customFormat="1" spans="1:30">
      <c r="A57" s="132">
        <v>357.5</v>
      </c>
      <c r="B57" s="133">
        <v>1033.75</v>
      </c>
      <c r="C57" s="133">
        <v>1024.4</v>
      </c>
      <c r="D57" s="133">
        <v>998.69</v>
      </c>
      <c r="E57" s="133">
        <v>939.73</v>
      </c>
      <c r="F57" s="133">
        <v>845.39</v>
      </c>
      <c r="G57" s="133">
        <v>734.29</v>
      </c>
      <c r="H57" s="133">
        <v>634.88</v>
      </c>
      <c r="I57" s="133">
        <v>584.16</v>
      </c>
      <c r="J57" s="133"/>
      <c r="K57" s="132">
        <f t="shared" si="37"/>
        <v>357.5</v>
      </c>
      <c r="L57" s="133">
        <f t="shared" si="39"/>
        <v>1045.6426618705</v>
      </c>
      <c r="M57" s="133">
        <f t="shared" si="40"/>
        <v>1006.41982445329</v>
      </c>
      <c r="N57" s="133">
        <f t="shared" si="41"/>
        <v>971.72716897357</v>
      </c>
      <c r="O57" s="133">
        <f t="shared" si="42"/>
        <v>940.048578097802</v>
      </c>
      <c r="P57" s="133">
        <f t="shared" si="43"/>
        <v>890.26224075956</v>
      </c>
      <c r="Q57" s="133">
        <f t="shared" si="44"/>
        <v>846.154106030445</v>
      </c>
      <c r="R57" s="133">
        <f t="shared" si="45"/>
        <v>788.730139039069</v>
      </c>
      <c r="S57" s="133">
        <f t="shared" si="46"/>
        <v>735.608112881851</v>
      </c>
      <c r="T57" s="133">
        <f t="shared" si="47"/>
        <v>684.472307867187</v>
      </c>
      <c r="U57" s="133">
        <f t="shared" si="48"/>
        <v>636.401010167544</v>
      </c>
      <c r="V57" s="133">
        <f t="shared" si="49"/>
        <v>588.972846715329</v>
      </c>
      <c r="X57" s="106" t="s">
        <v>51</v>
      </c>
      <c r="Y57" s="106"/>
      <c r="Z57" s="106"/>
      <c r="AA57" s="106">
        <v>1.61102122650251e-12</v>
      </c>
      <c r="AB57" s="106"/>
      <c r="AC57" s="106"/>
      <c r="AD57" s="106"/>
    </row>
    <row r="58" s="91" customFormat="1" spans="1:30">
      <c r="A58" s="132">
        <v>412.5</v>
      </c>
      <c r="B58" s="133">
        <v>1000.56</v>
      </c>
      <c r="C58" s="133">
        <v>992.91</v>
      </c>
      <c r="D58" s="133">
        <v>971.14</v>
      </c>
      <c r="E58" s="133">
        <v>918.55</v>
      </c>
      <c r="F58" s="133">
        <v>831.2</v>
      </c>
      <c r="G58" s="133">
        <v>726.72</v>
      </c>
      <c r="H58" s="133">
        <v>632.35</v>
      </c>
      <c r="I58" s="133">
        <v>583.71</v>
      </c>
      <c r="J58" s="133"/>
      <c r="K58" s="132">
        <f t="shared" si="37"/>
        <v>412.5</v>
      </c>
      <c r="L58" s="133">
        <f t="shared" si="39"/>
        <v>1010.29035971223</v>
      </c>
      <c r="M58" s="133">
        <f t="shared" si="40"/>
        <v>977.68524614345</v>
      </c>
      <c r="N58" s="133">
        <f t="shared" si="41"/>
        <v>947.09021567707</v>
      </c>
      <c r="O58" s="133">
        <f t="shared" si="42"/>
        <v>918.834159127601</v>
      </c>
      <c r="P58" s="133">
        <f t="shared" si="43"/>
        <v>872.747490251723</v>
      </c>
      <c r="Q58" s="133">
        <f t="shared" si="44"/>
        <v>831.907490584687</v>
      </c>
      <c r="R58" s="133">
        <f t="shared" si="45"/>
        <v>777.916271168335</v>
      </c>
      <c r="S58" s="133">
        <f t="shared" si="46"/>
        <v>727.959571862248</v>
      </c>
      <c r="T58" s="133">
        <f t="shared" si="47"/>
        <v>679.428021259697</v>
      </c>
      <c r="U58" s="133">
        <f t="shared" si="48"/>
        <v>633.793896283182</v>
      </c>
      <c r="V58" s="133">
        <f t="shared" si="49"/>
        <v>588.325474452555</v>
      </c>
      <c r="X58" s="106" t="s">
        <v>52</v>
      </c>
      <c r="Y58" s="106"/>
      <c r="Z58" s="106"/>
      <c r="AA58" s="106">
        <v>2.43015976046601e-12</v>
      </c>
      <c r="AB58" s="106"/>
      <c r="AC58" s="106"/>
      <c r="AD58" s="106"/>
    </row>
    <row r="59" s="91" customFormat="1" spans="1:30">
      <c r="A59" s="132">
        <v>467.5</v>
      </c>
      <c r="B59" s="133">
        <v>963.2</v>
      </c>
      <c r="C59" s="133">
        <v>957.18</v>
      </c>
      <c r="D59" s="133">
        <v>939.39</v>
      </c>
      <c r="E59" s="133">
        <v>894.14</v>
      </c>
      <c r="F59" s="133">
        <v>815.67</v>
      </c>
      <c r="G59" s="133">
        <v>719.24</v>
      </c>
      <c r="H59" s="133">
        <v>630.48</v>
      </c>
      <c r="I59" s="133">
        <v>584.37</v>
      </c>
      <c r="J59" s="133"/>
      <c r="K59" s="132">
        <f t="shared" si="37"/>
        <v>467.5</v>
      </c>
      <c r="L59" s="133">
        <f t="shared" si="39"/>
        <v>970.85709352518</v>
      </c>
      <c r="M59" s="133">
        <f t="shared" si="40"/>
        <v>944.738641657877</v>
      </c>
      <c r="N59" s="133">
        <f t="shared" si="41"/>
        <v>918.69685034013</v>
      </c>
      <c r="O59" s="133">
        <f t="shared" si="42"/>
        <v>894.384498964137</v>
      </c>
      <c r="P59" s="133">
        <f t="shared" si="43"/>
        <v>852.993772868376</v>
      </c>
      <c r="Q59" s="133">
        <f t="shared" si="44"/>
        <v>816.305567099947</v>
      </c>
      <c r="R59" s="133">
        <f t="shared" si="45"/>
        <v>766.491688636701</v>
      </c>
      <c r="S59" s="133">
        <f t="shared" si="46"/>
        <v>720.384065033275</v>
      </c>
      <c r="T59" s="133">
        <f t="shared" si="47"/>
        <v>674.759380809692</v>
      </c>
      <c r="U59" s="133">
        <f t="shared" si="48"/>
        <v>631.838061185708</v>
      </c>
      <c r="V59" s="133">
        <f t="shared" si="49"/>
        <v>588.745401459854</v>
      </c>
      <c r="X59" s="106" t="s">
        <v>53</v>
      </c>
      <c r="Y59" s="106"/>
      <c r="Z59" s="106"/>
      <c r="AA59" s="106">
        <v>1.1908565881018e-11</v>
      </c>
      <c r="AB59" s="106"/>
      <c r="AC59" s="106"/>
      <c r="AD59" s="106"/>
    </row>
    <row r="60" s="91" customFormat="1" spans="1:30">
      <c r="A60" s="132">
        <v>522.5</v>
      </c>
      <c r="B60" s="133">
        <v>922.9</v>
      </c>
      <c r="C60" s="133">
        <v>918.41</v>
      </c>
      <c r="D60" s="133">
        <v>904.59</v>
      </c>
      <c r="E60" s="133">
        <v>867.42</v>
      </c>
      <c r="F60" s="133">
        <v>799.62</v>
      </c>
      <c r="G60" s="133">
        <v>712.18</v>
      </c>
      <c r="H60" s="133">
        <v>629.34</v>
      </c>
      <c r="I60" s="133">
        <v>585.93</v>
      </c>
      <c r="J60" s="133"/>
      <c r="K60" s="132">
        <f t="shared" si="37"/>
        <v>522.5</v>
      </c>
      <c r="L60" s="133">
        <f t="shared" si="39"/>
        <v>928.611021582734</v>
      </c>
      <c r="M60" s="133">
        <f t="shared" si="40"/>
        <v>908.745043716237</v>
      </c>
      <c r="N60" s="133">
        <f t="shared" si="41"/>
        <v>887.591892312544</v>
      </c>
      <c r="O60" s="133">
        <f t="shared" si="42"/>
        <v>867.620840364574</v>
      </c>
      <c r="P60" s="133">
        <f t="shared" si="43"/>
        <v>831.868652994468</v>
      </c>
      <c r="Q60" s="133">
        <f t="shared" si="44"/>
        <v>800.169145525378</v>
      </c>
      <c r="R60" s="133">
        <f t="shared" si="45"/>
        <v>755.026496467833</v>
      </c>
      <c r="S60" s="133">
        <f t="shared" si="46"/>
        <v>713.217405854086</v>
      </c>
      <c r="T60" s="133">
        <f t="shared" si="47"/>
        <v>670.666091778672</v>
      </c>
      <c r="U60" s="133">
        <f t="shared" si="48"/>
        <v>630.60748297233</v>
      </c>
      <c r="V60" s="133">
        <f t="shared" si="49"/>
        <v>590.049197080292</v>
      </c>
      <c r="X60" s="106" t="s">
        <v>54</v>
      </c>
      <c r="Y60" s="106"/>
      <c r="Z60" s="106"/>
      <c r="AA60" s="106">
        <v>9.03280591456674e-12</v>
      </c>
      <c r="AB60" s="106"/>
      <c r="AC60" s="106"/>
      <c r="AD60" s="106"/>
    </row>
    <row r="61" s="91" customFormat="1" spans="1:30">
      <c r="A61" s="132">
        <v>577.5</v>
      </c>
      <c r="B61" s="133">
        <v>880.89</v>
      </c>
      <c r="C61" s="133">
        <v>877.74</v>
      </c>
      <c r="D61" s="133">
        <v>867.61</v>
      </c>
      <c r="E61" s="133">
        <v>838.76</v>
      </c>
      <c r="F61" s="133">
        <v>783.21</v>
      </c>
      <c r="G61" s="133">
        <v>706.49</v>
      </c>
      <c r="H61" s="133">
        <v>624.58</v>
      </c>
      <c r="I61" s="133">
        <v>574.57</v>
      </c>
      <c r="J61" s="133"/>
      <c r="K61" s="132">
        <f t="shared" si="37"/>
        <v>577.5</v>
      </c>
      <c r="L61" s="133">
        <f t="shared" si="39"/>
        <v>884.896618705036</v>
      </c>
      <c r="M61" s="133">
        <f t="shared" si="40"/>
        <v>870.655629004738</v>
      </c>
      <c r="N61" s="133">
        <f t="shared" si="41"/>
        <v>854.416688006911</v>
      </c>
      <c r="O61" s="133">
        <f t="shared" si="42"/>
        <v>838.915884974925</v>
      </c>
      <c r="P61" s="133">
        <f t="shared" si="43"/>
        <v>809.632015838388</v>
      </c>
      <c r="Q61" s="133">
        <f t="shared" si="44"/>
        <v>783.6599267542</v>
      </c>
      <c r="R61" s="133">
        <f t="shared" si="45"/>
        <v>744.083586562353</v>
      </c>
      <c r="S61" s="133">
        <f t="shared" si="46"/>
        <v>707.400221604821</v>
      </c>
      <c r="T61" s="133">
        <f t="shared" si="47"/>
        <v>665.442146035623</v>
      </c>
      <c r="U61" s="133">
        <f t="shared" si="48"/>
        <v>625.833253624621</v>
      </c>
      <c r="V61" s="133">
        <f t="shared" si="49"/>
        <v>579.315474452555</v>
      </c>
      <c r="X61" s="106" t="s">
        <v>55</v>
      </c>
      <c r="Y61" s="106"/>
      <c r="Z61" s="106"/>
      <c r="AA61" s="106">
        <v>1.96816094897122e-12</v>
      </c>
      <c r="AB61" s="106"/>
      <c r="AC61" s="106"/>
      <c r="AD61" s="106"/>
    </row>
    <row r="62" s="91" customFormat="1" spans="1:30">
      <c r="A62" s="132">
        <v>632.5</v>
      </c>
      <c r="B62" s="133">
        <v>838.35</v>
      </c>
      <c r="C62" s="133">
        <v>836.27</v>
      </c>
      <c r="D62" s="133">
        <v>829.29</v>
      </c>
      <c r="E62" s="133">
        <v>808.1</v>
      </c>
      <c r="F62" s="133">
        <v>764.72</v>
      </c>
      <c r="G62" s="133">
        <v>698.39</v>
      </c>
      <c r="H62" s="133">
        <v>620.9</v>
      </c>
      <c r="I62" s="133">
        <v>574.76</v>
      </c>
      <c r="J62" s="133"/>
      <c r="K62" s="132">
        <f t="shared" si="37"/>
        <v>632.5</v>
      </c>
      <c r="L62" s="133">
        <f t="shared" si="39"/>
        <v>840.99564028777</v>
      </c>
      <c r="M62" s="133">
        <f t="shared" si="40"/>
        <v>831.388567665654</v>
      </c>
      <c r="N62" s="133">
        <f t="shared" si="41"/>
        <v>819.599660965908</v>
      </c>
      <c r="O62" s="133">
        <f t="shared" si="42"/>
        <v>808.214495758013</v>
      </c>
      <c r="P62" s="133">
        <f t="shared" si="43"/>
        <v>785.353430190266</v>
      </c>
      <c r="Q62" s="133">
        <f t="shared" si="44"/>
        <v>765.071355942344</v>
      </c>
      <c r="R62" s="133">
        <f t="shared" si="45"/>
        <v>730.892380040157</v>
      </c>
      <c r="S62" s="133">
        <f t="shared" si="46"/>
        <v>699.176952542333</v>
      </c>
      <c r="T62" s="133">
        <f t="shared" si="47"/>
        <v>659.557156590165</v>
      </c>
      <c r="U62" s="133">
        <f t="shared" si="48"/>
        <v>622.085625972065</v>
      </c>
      <c r="V62" s="133">
        <f t="shared" si="49"/>
        <v>579.138248175182</v>
      </c>
      <c r="X62" s="106" t="s">
        <v>56</v>
      </c>
      <c r="Y62" s="106"/>
      <c r="Z62" s="106"/>
      <c r="AA62" s="106">
        <v>1.80333229528697e-11</v>
      </c>
      <c r="AB62" s="106"/>
      <c r="AC62" s="106"/>
      <c r="AD62" s="106"/>
    </row>
    <row r="63" s="91" customFormat="1" ht="13.5" customHeight="1" spans="1:30">
      <c r="A63" s="132">
        <v>687.5</v>
      </c>
      <c r="B63" s="133">
        <v>796.15</v>
      </c>
      <c r="C63" s="133">
        <v>794.9</v>
      </c>
      <c r="D63" s="133">
        <v>790.48</v>
      </c>
      <c r="E63" s="133">
        <v>776</v>
      </c>
      <c r="F63" s="133">
        <v>744.01</v>
      </c>
      <c r="G63" s="133">
        <v>689.7</v>
      </c>
      <c r="H63" s="133">
        <v>618.63</v>
      </c>
      <c r="I63" s="133">
        <v>575.04</v>
      </c>
      <c r="J63" s="133"/>
      <c r="K63" s="132">
        <f t="shared" si="37"/>
        <v>687.5</v>
      </c>
      <c r="L63" s="133">
        <f t="shared" si="39"/>
        <v>797.739928057554</v>
      </c>
      <c r="M63" s="133">
        <f t="shared" si="40"/>
        <v>791.808892418652</v>
      </c>
      <c r="N63" s="133">
        <f t="shared" si="41"/>
        <v>783.858192108842</v>
      </c>
      <c r="O63" s="133">
        <f t="shared" si="42"/>
        <v>776.078239668524</v>
      </c>
      <c r="P63" s="133">
        <f t="shared" si="43"/>
        <v>759.225846744735</v>
      </c>
      <c r="Q63" s="133">
        <f t="shared" si="44"/>
        <v>744.269102733877</v>
      </c>
      <c r="R63" s="133">
        <f t="shared" si="45"/>
        <v>716.312456806587</v>
      </c>
      <c r="S63" s="133">
        <f t="shared" si="46"/>
        <v>690.344344830003</v>
      </c>
      <c r="T63" s="133">
        <f t="shared" si="47"/>
        <v>654.084434363957</v>
      </c>
      <c r="U63" s="133">
        <f t="shared" si="48"/>
        <v>619.717397571747</v>
      </c>
      <c r="V63" s="133">
        <f t="shared" si="49"/>
        <v>579.176277372263</v>
      </c>
      <c r="X63" s="106" t="s">
        <v>57</v>
      </c>
      <c r="Y63" s="106"/>
      <c r="Z63" s="106"/>
      <c r="AA63" s="106">
        <v>5.9981666076336e-12</v>
      </c>
      <c r="AB63" s="106"/>
      <c r="AC63" s="106"/>
      <c r="AD63" s="106"/>
    </row>
    <row r="64" s="91" customFormat="1" ht="13.5" customHeight="1" spans="1:30">
      <c r="A64" s="132">
        <v>742.5</v>
      </c>
      <c r="B64" s="133">
        <v>754.54</v>
      </c>
      <c r="C64" s="133">
        <v>753.87</v>
      </c>
      <c r="D64" s="133">
        <v>751.43</v>
      </c>
      <c r="E64" s="133">
        <v>742.71</v>
      </c>
      <c r="F64" s="133">
        <v>721.44</v>
      </c>
      <c r="G64" s="133">
        <v>680.82</v>
      </c>
      <c r="H64" s="133">
        <v>616.16</v>
      </c>
      <c r="I64" s="133">
        <v>573.39</v>
      </c>
      <c r="J64" s="133"/>
      <c r="K64" s="132">
        <f t="shared" si="37"/>
        <v>742.5</v>
      </c>
      <c r="L64" s="133">
        <f t="shared" si="39"/>
        <v>755.392201438849</v>
      </c>
      <c r="M64" s="133">
        <f t="shared" si="40"/>
        <v>752.163596719799</v>
      </c>
      <c r="N64" s="133">
        <f t="shared" si="41"/>
        <v>747.442281435711</v>
      </c>
      <c r="O64" s="133">
        <f t="shared" si="42"/>
        <v>742.757116706459</v>
      </c>
      <c r="P64" s="133">
        <f t="shared" si="43"/>
        <v>731.556944678353</v>
      </c>
      <c r="Q64" s="133">
        <f t="shared" si="44"/>
        <v>721.612276184732</v>
      </c>
      <c r="R64" s="133">
        <f t="shared" si="45"/>
        <v>700.724216451548</v>
      </c>
      <c r="S64" s="133">
        <f t="shared" si="46"/>
        <v>681.301923899737</v>
      </c>
      <c r="T64" s="133">
        <f t="shared" si="47"/>
        <v>648.416700801653</v>
      </c>
      <c r="U64" s="133">
        <f t="shared" si="48"/>
        <v>617.149322175167</v>
      </c>
      <c r="V64" s="133">
        <f t="shared" si="49"/>
        <v>577.448467153285</v>
      </c>
      <c r="X64" s="106" t="s">
        <v>58</v>
      </c>
      <c r="Y64" s="106"/>
      <c r="Z64" s="106"/>
      <c r="AA64" s="106">
        <v>2.92364320927967e-11</v>
      </c>
      <c r="AB64" s="106"/>
      <c r="AC64" s="106"/>
      <c r="AD64" s="106"/>
    </row>
    <row r="65" s="91" customFormat="1" spans="1:30">
      <c r="A65" s="132">
        <v>797.5</v>
      </c>
      <c r="B65" s="133">
        <v>713.17</v>
      </c>
      <c r="C65" s="133">
        <v>712.85</v>
      </c>
      <c r="D65" s="133">
        <v>711.79</v>
      </c>
      <c r="E65" s="133">
        <v>707.6</v>
      </c>
      <c r="F65" s="133">
        <v>695.61</v>
      </c>
      <c r="G65" s="133">
        <v>667.82</v>
      </c>
      <c r="H65" s="133">
        <v>609.44</v>
      </c>
      <c r="I65" s="133">
        <v>566.54</v>
      </c>
      <c r="J65" s="133"/>
      <c r="K65" s="132">
        <f t="shared" si="37"/>
        <v>797.5</v>
      </c>
      <c r="L65" s="133">
        <f t="shared" si="39"/>
        <v>713.577021582734</v>
      </c>
      <c r="M65" s="133">
        <f t="shared" si="40"/>
        <v>712.108693656962</v>
      </c>
      <c r="N65" s="133">
        <f t="shared" si="41"/>
        <v>709.873882937572</v>
      </c>
      <c r="O65" s="133">
        <f t="shared" si="42"/>
        <v>707.622639793585</v>
      </c>
      <c r="P65" s="133">
        <f t="shared" si="43"/>
        <v>701.312969755216</v>
      </c>
      <c r="Q65" s="133">
        <f t="shared" si="44"/>
        <v>695.707112903382</v>
      </c>
      <c r="R65" s="133">
        <f t="shared" si="45"/>
        <v>681.437384913553</v>
      </c>
      <c r="S65" s="133">
        <f t="shared" si="46"/>
        <v>668.149706183498</v>
      </c>
      <c r="T65" s="133">
        <f t="shared" si="47"/>
        <v>638.563819870097</v>
      </c>
      <c r="U65" s="133">
        <f t="shared" si="48"/>
        <v>610.333235827193</v>
      </c>
      <c r="V65" s="133">
        <f t="shared" si="49"/>
        <v>570.610802919708</v>
      </c>
      <c r="X65" s="106" t="s">
        <v>59</v>
      </c>
      <c r="Y65" s="106"/>
      <c r="Z65" s="106"/>
      <c r="AA65" s="106">
        <v>1.05597583468239e-11</v>
      </c>
      <c r="AB65" s="106"/>
      <c r="AC65" s="106"/>
      <c r="AD65" s="106"/>
    </row>
    <row r="66" s="91" customFormat="1" spans="1:30">
      <c r="A66" s="132">
        <v>852.5</v>
      </c>
      <c r="B66" s="133">
        <v>672.05</v>
      </c>
      <c r="C66" s="133">
        <v>671.61</v>
      </c>
      <c r="D66" s="133">
        <v>670.86</v>
      </c>
      <c r="E66" s="133">
        <v>669.02</v>
      </c>
      <c r="F66" s="133">
        <v>664.03</v>
      </c>
      <c r="G66" s="133">
        <v>644.23</v>
      </c>
      <c r="H66" s="133">
        <v>593.51</v>
      </c>
      <c r="I66" s="133">
        <v>551.26</v>
      </c>
      <c r="J66" s="133"/>
      <c r="K66" s="132">
        <f t="shared" si="37"/>
        <v>852.5</v>
      </c>
      <c r="L66" s="133">
        <f t="shared" si="39"/>
        <v>672.609654676259</v>
      </c>
      <c r="M66" s="133">
        <f t="shared" si="40"/>
        <v>671.08549079502</v>
      </c>
      <c r="N66" s="133">
        <f t="shared" si="41"/>
        <v>670.018554798361</v>
      </c>
      <c r="O66" s="133">
        <f t="shared" si="42"/>
        <v>669.029942057326</v>
      </c>
      <c r="P66" s="133">
        <f t="shared" si="43"/>
        <v>666.403462808885</v>
      </c>
      <c r="Q66" s="133">
        <f t="shared" si="44"/>
        <v>664.070416462709</v>
      </c>
      <c r="R66" s="133">
        <f t="shared" si="45"/>
        <v>653.932202997062</v>
      </c>
      <c r="S66" s="133">
        <f t="shared" si="46"/>
        <v>644.464911206666</v>
      </c>
      <c r="T66" s="133">
        <f t="shared" si="47"/>
        <v>618.812503319824</v>
      </c>
      <c r="U66" s="133">
        <f t="shared" si="48"/>
        <v>594.286034963262</v>
      </c>
      <c r="V66" s="133">
        <f t="shared" si="49"/>
        <v>555.269124087591</v>
      </c>
      <c r="X66" s="106" t="s">
        <v>60</v>
      </c>
      <c r="Y66" s="106"/>
      <c r="Z66" s="106"/>
      <c r="AA66" s="106">
        <v>3.15286758e-16</v>
      </c>
      <c r="AB66" s="106"/>
      <c r="AC66" s="106"/>
      <c r="AD66" s="106"/>
    </row>
    <row r="67" s="91" customFormat="1" spans="1:30">
      <c r="A67" s="132">
        <v>907.5</v>
      </c>
      <c r="B67" s="133">
        <v>638.47</v>
      </c>
      <c r="C67" s="133">
        <v>636.59</v>
      </c>
      <c r="D67" s="133">
        <v>634.17</v>
      </c>
      <c r="E67" s="133">
        <v>632.51</v>
      </c>
      <c r="F67" s="133">
        <v>630.19</v>
      </c>
      <c r="G67" s="133">
        <v>616.68</v>
      </c>
      <c r="H67" s="133">
        <v>570.42</v>
      </c>
      <c r="I67" s="133">
        <v>528.22</v>
      </c>
      <c r="J67" s="133"/>
      <c r="K67" s="132">
        <f t="shared" si="37"/>
        <v>907.5</v>
      </c>
      <c r="L67" s="133">
        <f t="shared" si="39"/>
        <v>640.861251798561</v>
      </c>
      <c r="M67" s="133">
        <f t="shared" si="40"/>
        <v>634.897583631932</v>
      </c>
      <c r="N67" s="133">
        <f t="shared" si="41"/>
        <v>633.410870089826</v>
      </c>
      <c r="O67" s="133">
        <f t="shared" si="42"/>
        <v>632.518969464762</v>
      </c>
      <c r="P67" s="133">
        <f t="shared" si="43"/>
        <v>631.293493730784</v>
      </c>
      <c r="Q67" s="133">
        <f t="shared" si="44"/>
        <v>630.208790820338</v>
      </c>
      <c r="R67" s="133">
        <f t="shared" si="45"/>
        <v>623.300038509611</v>
      </c>
      <c r="S67" s="133">
        <f t="shared" si="46"/>
        <v>616.840285373842</v>
      </c>
      <c r="T67" s="133">
        <f t="shared" si="47"/>
        <v>593.497559218751</v>
      </c>
      <c r="U67" s="133">
        <f t="shared" si="48"/>
        <v>571.127795295751</v>
      </c>
      <c r="V67" s="133">
        <f t="shared" si="49"/>
        <v>532.224379562044</v>
      </c>
      <c r="X67" s="106" t="s">
        <v>61</v>
      </c>
      <c r="Y67" s="106"/>
      <c r="Z67" s="106"/>
      <c r="AA67" s="106">
        <v>3.02855406e-16</v>
      </c>
      <c r="AB67" s="106"/>
      <c r="AC67" s="106"/>
      <c r="AD67" s="106"/>
    </row>
    <row r="68" s="91" customFormat="1" spans="1:30">
      <c r="A68" s="132">
        <v>962.5</v>
      </c>
      <c r="B68" s="133">
        <v>612.45</v>
      </c>
      <c r="C68" s="133">
        <v>607.71</v>
      </c>
      <c r="D68" s="133">
        <v>602.08</v>
      </c>
      <c r="E68" s="133">
        <v>599.09</v>
      </c>
      <c r="F68" s="133">
        <v>597.29</v>
      </c>
      <c r="G68" s="133">
        <v>587.19</v>
      </c>
      <c r="H68" s="133">
        <v>545.08</v>
      </c>
      <c r="I68" s="133">
        <v>503.21</v>
      </c>
      <c r="J68" s="133"/>
      <c r="K68" s="132">
        <f t="shared" si="37"/>
        <v>962.5</v>
      </c>
      <c r="L68" s="133">
        <f t="shared" si="39"/>
        <v>618.479007194245</v>
      </c>
      <c r="M68" s="133">
        <f t="shared" si="40"/>
        <v>603.772684234618</v>
      </c>
      <c r="N68" s="133">
        <f t="shared" si="41"/>
        <v>600.712651547337</v>
      </c>
      <c r="O68" s="133">
        <f t="shared" si="42"/>
        <v>599.106155843155</v>
      </c>
      <c r="P68" s="133">
        <f t="shared" si="43"/>
        <v>598.146158929057</v>
      </c>
      <c r="Q68" s="133">
        <f t="shared" si="44"/>
        <v>597.304579084745</v>
      </c>
      <c r="R68" s="133">
        <f t="shared" si="45"/>
        <v>592.139103549006</v>
      </c>
      <c r="S68" s="133">
        <f t="shared" si="46"/>
        <v>587.309828443805</v>
      </c>
      <c r="T68" s="133">
        <f t="shared" si="47"/>
        <v>566.087263698695</v>
      </c>
      <c r="U68" s="133">
        <f t="shared" si="48"/>
        <v>545.724298744143</v>
      </c>
      <c r="V68" s="133">
        <f t="shared" si="49"/>
        <v>507.183065693431</v>
      </c>
      <c r="X68" s="106" t="s">
        <v>62</v>
      </c>
      <c r="Y68" s="106"/>
      <c r="Z68" s="106"/>
      <c r="AA68" s="106">
        <v>1.942649e-13</v>
      </c>
      <c r="AB68" s="106"/>
      <c r="AC68" s="106"/>
      <c r="AD68" s="106"/>
    </row>
    <row r="69" s="91" customFormat="1" spans="1:30">
      <c r="A69" s="132">
        <v>1017.5</v>
      </c>
      <c r="B69" s="133">
        <v>593.02</v>
      </c>
      <c r="C69" s="133">
        <v>581.62</v>
      </c>
      <c r="D69" s="133">
        <v>572.66</v>
      </c>
      <c r="E69" s="133">
        <v>567.93</v>
      </c>
      <c r="F69" s="133">
        <v>566.13</v>
      </c>
      <c r="G69" s="133">
        <v>557.06</v>
      </c>
      <c r="H69" s="133">
        <v>518.5</v>
      </c>
      <c r="I69" s="133">
        <v>478.28</v>
      </c>
      <c r="J69" s="133"/>
      <c r="K69" s="132">
        <f t="shared" si="37"/>
        <v>1017.5</v>
      </c>
      <c r="L69" s="133">
        <f t="shared" si="39"/>
        <v>607.520143884892</v>
      </c>
      <c r="M69" s="133">
        <f t="shared" si="40"/>
        <v>575.353863364507</v>
      </c>
      <c r="N69" s="133">
        <f t="shared" si="41"/>
        <v>570.496937063178</v>
      </c>
      <c r="O69" s="133">
        <f t="shared" si="42"/>
        <v>567.955557571279</v>
      </c>
      <c r="P69" s="133">
        <f t="shared" si="43"/>
        <v>566.986158929057</v>
      </c>
      <c r="Q69" s="133">
        <f t="shared" si="44"/>
        <v>566.144579084744</v>
      </c>
      <c r="R69" s="133">
        <f t="shared" si="45"/>
        <v>561.504392989058</v>
      </c>
      <c r="S69" s="133">
        <f t="shared" si="46"/>
        <v>557.167608315377</v>
      </c>
      <c r="T69" s="133">
        <f t="shared" si="47"/>
        <v>537.736288012863</v>
      </c>
      <c r="U69" s="133">
        <f t="shared" si="48"/>
        <v>519.089982416864</v>
      </c>
      <c r="V69" s="133">
        <f t="shared" si="49"/>
        <v>482.096496350365</v>
      </c>
      <c r="X69" s="106" t="s">
        <v>63</v>
      </c>
      <c r="Y69" s="106"/>
      <c r="Z69" s="106"/>
      <c r="AA69" s="106">
        <v>2.2368374e-13</v>
      </c>
      <c r="AB69" s="106"/>
      <c r="AC69" s="106"/>
      <c r="AD69" s="106"/>
    </row>
    <row r="70" s="91" customFormat="1" spans="1:30">
      <c r="A70" s="132">
        <v>1072.5</v>
      </c>
      <c r="B70" s="133">
        <v>588.63</v>
      </c>
      <c r="C70" s="133">
        <v>561.71</v>
      </c>
      <c r="D70" s="133">
        <v>543.87</v>
      </c>
      <c r="E70" s="133">
        <v>539.82</v>
      </c>
      <c r="F70" s="133">
        <v>535.79</v>
      </c>
      <c r="G70" s="133">
        <v>522.15</v>
      </c>
      <c r="H70" s="133">
        <v>490.07</v>
      </c>
      <c r="I70" s="133">
        <v>453.97</v>
      </c>
      <c r="J70" s="133"/>
      <c r="K70" s="132">
        <f t="shared" si="37"/>
        <v>1072.5</v>
      </c>
      <c r="L70" s="133">
        <f t="shared" si="39"/>
        <v>622.870690647482</v>
      </c>
      <c r="M70" s="133">
        <f t="shared" si="40"/>
        <v>549.233674377545</v>
      </c>
      <c r="N70" s="133">
        <f t="shared" si="41"/>
        <v>542.017905942045</v>
      </c>
      <c r="O70" s="133">
        <f t="shared" si="42"/>
        <v>539.841883332702</v>
      </c>
      <c r="P70" s="133">
        <f t="shared" si="43"/>
        <v>537.706844713388</v>
      </c>
      <c r="Q70" s="133">
        <f t="shared" si="44"/>
        <v>535.822640950845</v>
      </c>
      <c r="R70" s="133">
        <f t="shared" si="45"/>
        <v>528.83373984242</v>
      </c>
      <c r="S70" s="133">
        <f t="shared" si="46"/>
        <v>522.311827720148</v>
      </c>
      <c r="T70" s="133">
        <f t="shared" si="47"/>
        <v>506.073633803233</v>
      </c>
      <c r="U70" s="133">
        <f t="shared" si="48"/>
        <v>490.560835994113</v>
      </c>
      <c r="V70" s="133">
        <f t="shared" si="49"/>
        <v>457.395547445255</v>
      </c>
      <c r="X70" s="106" t="s">
        <v>64</v>
      </c>
      <c r="Y70" s="106"/>
      <c r="Z70" s="106"/>
      <c r="AA70" s="106">
        <v>2.9320052e-11</v>
      </c>
      <c r="AB70" s="106"/>
      <c r="AC70" s="106"/>
      <c r="AD70" s="106"/>
    </row>
    <row r="71" s="91" customFormat="1" spans="1:22">
      <c r="A71" s="129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</row>
    <row r="72" s="91" customFormat="1" spans="1:22">
      <c r="A72" s="129" t="s">
        <v>314</v>
      </c>
      <c r="B72" s="129"/>
      <c r="C72" s="129"/>
      <c r="D72" s="129"/>
      <c r="E72" s="129"/>
      <c r="F72" s="129"/>
      <c r="G72" s="129"/>
      <c r="H72" s="129"/>
      <c r="I72" s="129"/>
      <c r="J72" s="129"/>
      <c r="K72" s="129" t="s">
        <v>138</v>
      </c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</row>
    <row r="73" s="91" customFormat="1" spans="1:30">
      <c r="A73" s="132" t="s">
        <v>128</v>
      </c>
      <c r="B73" s="133">
        <v>17.68</v>
      </c>
      <c r="C73" s="133">
        <v>31.58</v>
      </c>
      <c r="D73" s="133">
        <v>54.25</v>
      </c>
      <c r="E73" s="133">
        <v>82.31</v>
      </c>
      <c r="F73" s="133">
        <v>106.26</v>
      </c>
      <c r="G73" s="133">
        <v>125.73</v>
      </c>
      <c r="H73" s="133">
        <v>142.56</v>
      </c>
      <c r="I73" s="133">
        <v>150.78</v>
      </c>
      <c r="J73" s="133"/>
      <c r="K73" s="132" t="str">
        <f t="shared" ref="K73:K93" si="50">A73</f>
        <v>R/Z[cm]</v>
      </c>
      <c r="L73" s="141">
        <v>0</v>
      </c>
      <c r="M73" s="141">
        <f t="shared" ref="M73:V73" si="51">SQRT(L73*L73+150*150/10)</f>
        <v>47.4341649025257</v>
      </c>
      <c r="N73" s="141">
        <f t="shared" si="51"/>
        <v>67.0820393249937</v>
      </c>
      <c r="O73" s="141">
        <f t="shared" si="51"/>
        <v>82.1583836257749</v>
      </c>
      <c r="P73" s="141">
        <f t="shared" si="51"/>
        <v>94.8683298050514</v>
      </c>
      <c r="Q73" s="141">
        <f t="shared" si="51"/>
        <v>106.066017177982</v>
      </c>
      <c r="R73" s="141">
        <f t="shared" si="51"/>
        <v>116.189500386223</v>
      </c>
      <c r="S73" s="141">
        <f t="shared" si="51"/>
        <v>125.499003980111</v>
      </c>
      <c r="T73" s="141">
        <f t="shared" si="51"/>
        <v>134.164078649987</v>
      </c>
      <c r="U73" s="141">
        <f t="shared" si="51"/>
        <v>142.302494707577</v>
      </c>
      <c r="V73" s="141">
        <f t="shared" si="51"/>
        <v>150</v>
      </c>
      <c r="X73" s="147" t="s">
        <v>141</v>
      </c>
      <c r="Y73" s="106"/>
      <c r="Z73" s="106" t="s">
        <v>134</v>
      </c>
      <c r="AA73" s="106" t="s">
        <v>136</v>
      </c>
      <c r="AB73" s="106" t="s">
        <v>138</v>
      </c>
      <c r="AC73" s="106" t="s">
        <v>139</v>
      </c>
      <c r="AD73" s="106" t="s">
        <v>140</v>
      </c>
    </row>
    <row r="74" s="91" customFormat="1" spans="1:30">
      <c r="A74" s="132">
        <v>27.5</v>
      </c>
      <c r="B74" s="133">
        <v>1061.92</v>
      </c>
      <c r="C74" s="133">
        <v>1047.42</v>
      </c>
      <c r="D74" s="133">
        <v>1012.74</v>
      </c>
      <c r="E74" s="133">
        <v>947</v>
      </c>
      <c r="F74" s="133">
        <v>876.16</v>
      </c>
      <c r="G74" s="133">
        <v>826.62</v>
      </c>
      <c r="H74" s="133">
        <v>762.39</v>
      </c>
      <c r="I74" s="133">
        <v>688.75</v>
      </c>
      <c r="J74" s="133"/>
      <c r="K74" s="132">
        <f t="shared" si="50"/>
        <v>27.5</v>
      </c>
      <c r="L74" s="133">
        <f t="shared" ref="L74:L93" si="52">TREND(B74:C74,B$4:C$4,L$4)</f>
        <v>1080.36316546763</v>
      </c>
      <c r="M74" s="133">
        <f t="shared" ref="M74:M93" si="53">TREND(C74:D74,C$4:D$4,M$4)</f>
        <v>1023.16669436173</v>
      </c>
      <c r="N74" s="133">
        <f t="shared" ref="N74:N93" si="54">TREND(D74:E74,D$4:E$4,N$4)</f>
        <v>982.6766263284</v>
      </c>
      <c r="O74" s="133">
        <f t="shared" ref="O74:O93" si="55">TREND(D74:E74,D$4:E$4,O$4)</f>
        <v>947.355212417732</v>
      </c>
      <c r="P74" s="133">
        <f t="shared" ref="P74:P93" si="56">TREND(E74:F74,E$4:F$4,P$4)</f>
        <v>909.854610296875</v>
      </c>
      <c r="Q74" s="133">
        <f t="shared" ref="Q74:Q93" si="57">TREND(E74:F74,E$4:F$4,Q$4)</f>
        <v>876.733767979614</v>
      </c>
      <c r="R74" s="133">
        <f t="shared" ref="R74:R93" si="58">TREND(F74:G74,F$4:G$4,R$4)</f>
        <v>850.89510790275</v>
      </c>
      <c r="S74" s="133">
        <f t="shared" ref="S74:S93" si="59">TREND(F74:G74,F$4:G$4,S$4)</f>
        <v>827.207752584761</v>
      </c>
      <c r="T74" s="133">
        <f t="shared" ref="T74:T93" si="60">TREND(G74:H74,G$4:H$4,T$4)</f>
        <v>794.432188253792</v>
      </c>
      <c r="U74" s="133">
        <f t="shared" ref="U74:U93" si="61">TREND(G74:H74,G$4:H$4,U$4)</f>
        <v>763.372743014398</v>
      </c>
      <c r="V74" s="133">
        <f t="shared" ref="V74:V93" si="62">TREND(H74:I74,H$4:I$4,V$4)</f>
        <v>695.737737226277</v>
      </c>
      <c r="X74" s="106" t="s">
        <v>46</v>
      </c>
      <c r="Y74" s="106"/>
      <c r="Z74" s="160" t="e">
        <f ca="1" t="shared" ref="Z74:AD74" si="63">Z27/Z52</f>
        <v>#DIV/0!</v>
      </c>
      <c r="AA74" s="160">
        <f ca="1" t="shared" si="63"/>
        <v>3.86102189148501</v>
      </c>
      <c r="AB74" s="160" t="e">
        <f ca="1" t="shared" si="63"/>
        <v>#DIV/0!</v>
      </c>
      <c r="AC74" s="160" t="e">
        <f ca="1" t="shared" si="63"/>
        <v>#DIV/0!</v>
      </c>
      <c r="AD74" s="160" t="e">
        <f ca="1" t="shared" si="63"/>
        <v>#DIV/0!</v>
      </c>
    </row>
    <row r="75" s="91" customFormat="1" spans="1:30">
      <c r="A75" s="132">
        <v>82.5</v>
      </c>
      <c r="B75" s="133">
        <v>1078.46</v>
      </c>
      <c r="C75" s="133">
        <v>1066.94</v>
      </c>
      <c r="D75" s="133">
        <v>1038.56</v>
      </c>
      <c r="E75" s="133">
        <v>983.48</v>
      </c>
      <c r="F75" s="133">
        <v>910.28</v>
      </c>
      <c r="G75" s="133">
        <v>828.22</v>
      </c>
      <c r="H75" s="133">
        <v>735.38</v>
      </c>
      <c r="I75" s="133">
        <v>665.69</v>
      </c>
      <c r="J75" s="133"/>
      <c r="K75" s="132">
        <f t="shared" si="50"/>
        <v>82.5</v>
      </c>
      <c r="L75" s="133">
        <f t="shared" si="52"/>
        <v>1093.11277697842</v>
      </c>
      <c r="M75" s="133">
        <f t="shared" si="53"/>
        <v>1047.09257168356</v>
      </c>
      <c r="N75" s="133">
        <f t="shared" si="54"/>
        <v>1013.37152081181</v>
      </c>
      <c r="O75" s="133">
        <f t="shared" si="55"/>
        <v>983.777613324744</v>
      </c>
      <c r="P75" s="133">
        <f t="shared" si="56"/>
        <v>945.097129781638</v>
      </c>
      <c r="Q75" s="133">
        <f t="shared" si="57"/>
        <v>910.872882779612</v>
      </c>
      <c r="R75" s="133">
        <f t="shared" si="58"/>
        <v>868.430241310045</v>
      </c>
      <c r="S75" s="133">
        <f t="shared" si="59"/>
        <v>829.193576445407</v>
      </c>
      <c r="T75" s="133">
        <f t="shared" si="60"/>
        <v>781.694755682423</v>
      </c>
      <c r="U75" s="133">
        <f t="shared" si="61"/>
        <v>736.800486711144</v>
      </c>
      <c r="V75" s="133">
        <f t="shared" si="62"/>
        <v>672.302919708029</v>
      </c>
      <c r="X75" s="106" t="s">
        <v>113</v>
      </c>
      <c r="Y75" s="106"/>
      <c r="Z75" s="160" t="e">
        <f ca="1" t="shared" ref="Z75:AD75" si="64">Z28/Z53</f>
        <v>#DIV/0!</v>
      </c>
      <c r="AA75" s="160">
        <f ca="1" t="shared" si="64"/>
        <v>1.20091776480978</v>
      </c>
      <c r="AB75" s="160" t="e">
        <f ca="1" t="shared" si="64"/>
        <v>#DIV/0!</v>
      </c>
      <c r="AC75" s="160" t="e">
        <f ca="1" t="shared" si="64"/>
        <v>#DIV/0!</v>
      </c>
      <c r="AD75" s="160" t="e">
        <f ca="1" t="shared" si="64"/>
        <v>#DIV/0!</v>
      </c>
    </row>
    <row r="76" s="91" customFormat="1" spans="1:30">
      <c r="A76" s="132">
        <v>137.5</v>
      </c>
      <c r="B76" s="133">
        <v>1069.34</v>
      </c>
      <c r="C76" s="133">
        <v>1058.58</v>
      </c>
      <c r="D76" s="133">
        <v>1031.59</v>
      </c>
      <c r="E76" s="133">
        <v>978.3</v>
      </c>
      <c r="F76" s="133">
        <v>904.82</v>
      </c>
      <c r="G76" s="133">
        <v>816.38</v>
      </c>
      <c r="H76" s="133">
        <v>714.49</v>
      </c>
      <c r="I76" s="133">
        <v>646.98</v>
      </c>
      <c r="J76" s="133"/>
      <c r="K76" s="132">
        <f t="shared" si="50"/>
        <v>137.5</v>
      </c>
      <c r="L76" s="133">
        <f t="shared" si="52"/>
        <v>1083.02610071942</v>
      </c>
      <c r="M76" s="133">
        <f t="shared" si="53"/>
        <v>1039.70466207679</v>
      </c>
      <c r="N76" s="133">
        <f t="shared" si="54"/>
        <v>1007.22010065471</v>
      </c>
      <c r="O76" s="133">
        <f t="shared" si="55"/>
        <v>978.587941432019</v>
      </c>
      <c r="P76" s="133">
        <f t="shared" si="56"/>
        <v>939.770310059492</v>
      </c>
      <c r="Q76" s="133">
        <f t="shared" si="57"/>
        <v>905.415150637239</v>
      </c>
      <c r="R76" s="133">
        <f t="shared" si="58"/>
        <v>859.71650672021</v>
      </c>
      <c r="S76" s="133">
        <f t="shared" si="59"/>
        <v>817.429270056443</v>
      </c>
      <c r="T76" s="133">
        <f t="shared" si="60"/>
        <v>765.319496515317</v>
      </c>
      <c r="U76" s="133">
        <f t="shared" si="61"/>
        <v>716.04895509477</v>
      </c>
      <c r="V76" s="133">
        <f t="shared" si="62"/>
        <v>653.386058394161</v>
      </c>
      <c r="X76" s="106" t="s">
        <v>48</v>
      </c>
      <c r="Y76" s="106"/>
      <c r="Z76" s="160" t="e">
        <f ca="1" t="shared" ref="Z76:AD76" si="65">Z29/Z54</f>
        <v>#DIV/0!</v>
      </c>
      <c r="AA76" s="160">
        <f ca="1" t="shared" si="65"/>
        <v>3.87520015295382</v>
      </c>
      <c r="AB76" s="160" t="e">
        <f ca="1" t="shared" si="65"/>
        <v>#DIV/0!</v>
      </c>
      <c r="AC76" s="160" t="e">
        <f ca="1" t="shared" si="65"/>
        <v>#DIV/0!</v>
      </c>
      <c r="AD76" s="160" t="e">
        <f ca="1" t="shared" si="65"/>
        <v>#DIV/0!</v>
      </c>
    </row>
    <row r="77" s="91" customFormat="1" spans="1:30">
      <c r="A77" s="132">
        <v>192.5</v>
      </c>
      <c r="B77" s="133">
        <v>1052.13</v>
      </c>
      <c r="C77" s="133">
        <v>1042.1</v>
      </c>
      <c r="D77" s="133">
        <v>1016.76</v>
      </c>
      <c r="E77" s="133">
        <v>965.54</v>
      </c>
      <c r="F77" s="133">
        <v>892.54</v>
      </c>
      <c r="G77" s="133">
        <v>802.09</v>
      </c>
      <c r="H77" s="133">
        <v>698.63</v>
      </c>
      <c r="I77" s="133">
        <v>633.93</v>
      </c>
      <c r="J77" s="133"/>
      <c r="K77" s="132">
        <f t="shared" si="50"/>
        <v>192.5</v>
      </c>
      <c r="L77" s="133">
        <f t="shared" si="52"/>
        <v>1064.88758273381</v>
      </c>
      <c r="M77" s="133">
        <f t="shared" si="53"/>
        <v>1024.37858232775</v>
      </c>
      <c r="N77" s="133">
        <f t="shared" si="54"/>
        <v>993.336726506551</v>
      </c>
      <c r="O77" s="133">
        <f t="shared" si="55"/>
        <v>965.816756617527</v>
      </c>
      <c r="P77" s="133">
        <f t="shared" si="56"/>
        <v>927.262001011743</v>
      </c>
      <c r="Q77" s="133">
        <f t="shared" si="57"/>
        <v>893.131262881307</v>
      </c>
      <c r="R77" s="133">
        <f t="shared" si="58"/>
        <v>846.411427327487</v>
      </c>
      <c r="S77" s="133">
        <f t="shared" si="59"/>
        <v>803.163117103181</v>
      </c>
      <c r="T77" s="133">
        <f t="shared" si="60"/>
        <v>750.242716748206</v>
      </c>
      <c r="U77" s="133">
        <f t="shared" si="61"/>
        <v>700.212976681763</v>
      </c>
      <c r="V77" s="133">
        <f t="shared" si="62"/>
        <v>640.069416058394</v>
      </c>
      <c r="X77" s="106" t="s">
        <v>49</v>
      </c>
      <c r="Y77" s="106"/>
      <c r="Z77" s="160" t="e">
        <f ca="1" t="shared" ref="Z77:AD77" si="66">Z30/Z55</f>
        <v>#DIV/0!</v>
      </c>
      <c r="AA77" s="160">
        <f ca="1" t="shared" si="66"/>
        <v>3.84661036423918</v>
      </c>
      <c r="AB77" s="160" t="e">
        <f ca="1" t="shared" si="66"/>
        <v>#DIV/0!</v>
      </c>
      <c r="AC77" s="160" t="e">
        <f ca="1" t="shared" si="66"/>
        <v>#DIV/0!</v>
      </c>
      <c r="AD77" s="160" t="e">
        <f ca="1" t="shared" si="66"/>
        <v>#DIV/0!</v>
      </c>
    </row>
    <row r="78" s="91" customFormat="1" spans="1:30">
      <c r="A78" s="132">
        <v>241.5</v>
      </c>
      <c r="B78" s="133">
        <v>1031.84</v>
      </c>
      <c r="C78" s="133">
        <v>1022.76</v>
      </c>
      <c r="D78" s="133">
        <v>999.54</v>
      </c>
      <c r="E78" s="133">
        <v>950.78</v>
      </c>
      <c r="F78" s="133">
        <v>878.99</v>
      </c>
      <c r="G78" s="133">
        <v>788.87</v>
      </c>
      <c r="H78" s="133">
        <v>687.65</v>
      </c>
      <c r="I78" s="133">
        <v>626.68</v>
      </c>
      <c r="J78" s="133"/>
      <c r="K78" s="132">
        <f t="shared" si="50"/>
        <v>241.5</v>
      </c>
      <c r="L78" s="133">
        <f t="shared" si="52"/>
        <v>1043.38923741007</v>
      </c>
      <c r="M78" s="133">
        <f t="shared" si="53"/>
        <v>1006.52119501382</v>
      </c>
      <c r="N78" s="133">
        <f t="shared" si="54"/>
        <v>977.241702156568</v>
      </c>
      <c r="O78" s="133">
        <f t="shared" si="55"/>
        <v>951.043464519145</v>
      </c>
      <c r="P78" s="133">
        <f t="shared" si="56"/>
        <v>913.136471953877</v>
      </c>
      <c r="Q78" s="133">
        <f t="shared" si="57"/>
        <v>879.571462496562</v>
      </c>
      <c r="R78" s="133">
        <f t="shared" si="58"/>
        <v>833.029723944203</v>
      </c>
      <c r="S78" s="133">
        <f t="shared" si="59"/>
        <v>789.939201916403</v>
      </c>
      <c r="T78" s="133">
        <f t="shared" si="60"/>
        <v>738.145256033766</v>
      </c>
      <c r="U78" s="133">
        <f t="shared" si="61"/>
        <v>689.198703844269</v>
      </c>
      <c r="V78" s="133">
        <f t="shared" si="62"/>
        <v>632.465474452555</v>
      </c>
      <c r="X78" s="106" t="s">
        <v>50</v>
      </c>
      <c r="Y78" s="106"/>
      <c r="Z78" s="160" t="e">
        <f ca="1" t="shared" ref="Z78:AD78" si="67">Z31/Z56</f>
        <v>#DIV/0!</v>
      </c>
      <c r="AA78" s="160">
        <f ca="1" t="shared" si="67"/>
        <v>3.84085306810121</v>
      </c>
      <c r="AB78" s="160" t="e">
        <f ca="1" t="shared" si="67"/>
        <v>#DIV/0!</v>
      </c>
      <c r="AC78" s="160" t="e">
        <f ca="1" t="shared" si="67"/>
        <v>#DIV/0!</v>
      </c>
      <c r="AD78" s="160" t="e">
        <f ca="1" t="shared" si="67"/>
        <v>#DIV/0!</v>
      </c>
    </row>
    <row r="79" s="91" customFormat="1" spans="1:30">
      <c r="A79" s="132">
        <v>296.5</v>
      </c>
      <c r="B79" s="133">
        <v>1004.75</v>
      </c>
      <c r="C79" s="133">
        <v>997.09</v>
      </c>
      <c r="D79" s="133">
        <v>976.47</v>
      </c>
      <c r="E79" s="133">
        <v>931.24</v>
      </c>
      <c r="F79" s="133">
        <v>862.35</v>
      </c>
      <c r="G79" s="133">
        <v>775.08</v>
      </c>
      <c r="H79" s="133">
        <v>681.13</v>
      </c>
      <c r="I79" s="133">
        <v>628.67</v>
      </c>
      <c r="J79" s="133"/>
      <c r="K79" s="132">
        <f t="shared" si="50"/>
        <v>296.5</v>
      </c>
      <c r="L79" s="133">
        <f t="shared" si="52"/>
        <v>1014.49307913669</v>
      </c>
      <c r="M79" s="133">
        <f t="shared" si="53"/>
        <v>982.669493591086</v>
      </c>
      <c r="N79" s="133">
        <f t="shared" si="54"/>
        <v>955.785996483626</v>
      </c>
      <c r="O79" s="133">
        <f t="shared" si="55"/>
        <v>931.484390898297</v>
      </c>
      <c r="P79" s="133">
        <f t="shared" si="56"/>
        <v>895.117104790397</v>
      </c>
      <c r="Q79" s="133">
        <f t="shared" si="57"/>
        <v>862.90797397114</v>
      </c>
      <c r="R79" s="133">
        <f t="shared" si="58"/>
        <v>817.843194724929</v>
      </c>
      <c r="S79" s="133">
        <f t="shared" si="59"/>
        <v>776.115388939686</v>
      </c>
      <c r="T79" s="133">
        <f t="shared" si="60"/>
        <v>727.998497375739</v>
      </c>
      <c r="U79" s="133">
        <f t="shared" si="61"/>
        <v>682.567470126152</v>
      </c>
      <c r="V79" s="133">
        <f t="shared" si="62"/>
        <v>633.64795620438</v>
      </c>
      <c r="X79" s="106" t="s">
        <v>51</v>
      </c>
      <c r="Y79" s="106"/>
      <c r="Z79" s="160" t="e">
        <f ca="1" t="shared" ref="Z79:AD79" si="68">Z32/Z57</f>
        <v>#DIV/0!</v>
      </c>
      <c r="AA79" s="160">
        <f ca="1" t="shared" si="68"/>
        <v>3.83109406421702</v>
      </c>
      <c r="AB79" s="160" t="e">
        <f ca="1" t="shared" si="68"/>
        <v>#DIV/0!</v>
      </c>
      <c r="AC79" s="160" t="e">
        <f ca="1" t="shared" si="68"/>
        <v>#DIV/0!</v>
      </c>
      <c r="AD79" s="160" t="e">
        <f ca="1" t="shared" si="68"/>
        <v>#DIV/0!</v>
      </c>
    </row>
    <row r="80" s="91" customFormat="1" spans="1:30">
      <c r="A80" s="132">
        <v>357.5</v>
      </c>
      <c r="B80" s="133">
        <v>970.41</v>
      </c>
      <c r="C80" s="133">
        <v>964</v>
      </c>
      <c r="D80" s="133">
        <v>946.48</v>
      </c>
      <c r="E80" s="133">
        <v>906.65</v>
      </c>
      <c r="F80" s="133">
        <v>843.67</v>
      </c>
      <c r="G80" s="133">
        <v>762.48</v>
      </c>
      <c r="H80" s="133">
        <v>674.4</v>
      </c>
      <c r="I80" s="133">
        <v>623.76</v>
      </c>
      <c r="J80" s="133"/>
      <c r="K80" s="132">
        <f t="shared" si="50"/>
        <v>357.5</v>
      </c>
      <c r="L80" s="133">
        <f t="shared" si="52"/>
        <v>978.563151079137</v>
      </c>
      <c r="M80" s="133">
        <f t="shared" si="53"/>
        <v>951.74746497167</v>
      </c>
      <c r="N80" s="133">
        <f t="shared" si="54"/>
        <v>928.265455227566</v>
      </c>
      <c r="O80" s="133">
        <f t="shared" si="55"/>
        <v>906.865213121361</v>
      </c>
      <c r="P80" s="133">
        <f t="shared" si="56"/>
        <v>873.626049639994</v>
      </c>
      <c r="Q80" s="133">
        <f t="shared" si="57"/>
        <v>844.180105976229</v>
      </c>
      <c r="R80" s="133">
        <f t="shared" si="58"/>
        <v>802.263932390477</v>
      </c>
      <c r="S80" s="133">
        <f t="shared" si="59"/>
        <v>763.443254589356</v>
      </c>
      <c r="T80" s="133">
        <f t="shared" si="60"/>
        <v>718.340151664237</v>
      </c>
      <c r="U80" s="133">
        <f t="shared" si="61"/>
        <v>675.747656931468</v>
      </c>
      <c r="V80" s="133">
        <f t="shared" si="62"/>
        <v>628.565255474452</v>
      </c>
      <c r="X80" s="106" t="s">
        <v>52</v>
      </c>
      <c r="Y80" s="106"/>
      <c r="Z80" s="160" t="e">
        <f ca="1" t="shared" ref="Z80:AD80" si="69">Z33/Z58</f>
        <v>#DIV/0!</v>
      </c>
      <c r="AA80" s="160">
        <f ca="1" t="shared" si="69"/>
        <v>3.84462719584216</v>
      </c>
      <c r="AB80" s="160" t="e">
        <f ca="1" t="shared" si="69"/>
        <v>#DIV/0!</v>
      </c>
      <c r="AC80" s="160" t="e">
        <f ca="1" t="shared" si="69"/>
        <v>#DIV/0!</v>
      </c>
      <c r="AD80" s="160" t="e">
        <f ca="1" t="shared" si="69"/>
        <v>#DIV/0!</v>
      </c>
    </row>
    <row r="81" s="91" customFormat="1" spans="1:30">
      <c r="A81" s="132">
        <v>412.5</v>
      </c>
      <c r="B81" s="133">
        <v>937</v>
      </c>
      <c r="C81" s="133">
        <v>931.8</v>
      </c>
      <c r="D81" s="133">
        <v>917.15</v>
      </c>
      <c r="E81" s="133">
        <v>882.59</v>
      </c>
      <c r="F81" s="133">
        <v>826.22</v>
      </c>
      <c r="G81" s="133">
        <v>751.54</v>
      </c>
      <c r="H81" s="133">
        <v>668.24</v>
      </c>
      <c r="I81" s="133">
        <v>619.43</v>
      </c>
      <c r="J81" s="133"/>
      <c r="K81" s="132">
        <f t="shared" si="50"/>
        <v>412.5</v>
      </c>
      <c r="L81" s="133">
        <f t="shared" si="52"/>
        <v>943.614100719425</v>
      </c>
      <c r="M81" s="133">
        <f t="shared" si="53"/>
        <v>921.554586862726</v>
      </c>
      <c r="N81" s="133">
        <f t="shared" si="54"/>
        <v>901.345464038782</v>
      </c>
      <c r="O81" s="133">
        <f t="shared" si="55"/>
        <v>882.776737772388</v>
      </c>
      <c r="P81" s="133">
        <f t="shared" si="56"/>
        <v>853.032043794958</v>
      </c>
      <c r="Q81" s="133">
        <f t="shared" si="57"/>
        <v>826.676568337251</v>
      </c>
      <c r="R81" s="133">
        <f t="shared" si="58"/>
        <v>788.133965647504</v>
      </c>
      <c r="S81" s="133">
        <f t="shared" si="59"/>
        <v>752.426018632013</v>
      </c>
      <c r="T81" s="133">
        <f t="shared" si="60"/>
        <v>709.795570318244</v>
      </c>
      <c r="U81" s="133">
        <f t="shared" si="61"/>
        <v>669.514521144315</v>
      </c>
      <c r="V81" s="133">
        <f t="shared" si="62"/>
        <v>624.061605839416</v>
      </c>
      <c r="X81" s="106" t="s">
        <v>53</v>
      </c>
      <c r="Y81" s="106"/>
      <c r="Z81" s="160" t="e">
        <f ca="1" t="shared" ref="Z81:AD81" si="70">Z34/Z59</f>
        <v>#DIV/0!</v>
      </c>
      <c r="AA81" s="160">
        <f ca="1" t="shared" si="70"/>
        <v>1.21994417812526</v>
      </c>
      <c r="AB81" s="160" t="e">
        <f ca="1" t="shared" si="70"/>
        <v>#DIV/0!</v>
      </c>
      <c r="AC81" s="160" t="e">
        <f ca="1" t="shared" si="70"/>
        <v>#DIV/0!</v>
      </c>
      <c r="AD81" s="160" t="e">
        <f ca="1" t="shared" si="70"/>
        <v>#DIV/0!</v>
      </c>
    </row>
    <row r="82" s="91" customFormat="1" spans="1:30">
      <c r="A82" s="132">
        <v>467.5</v>
      </c>
      <c r="B82" s="133">
        <v>902.07</v>
      </c>
      <c r="C82" s="133">
        <v>898.02</v>
      </c>
      <c r="D82" s="133">
        <v>886.2</v>
      </c>
      <c r="E82" s="133">
        <v>857.1</v>
      </c>
      <c r="F82" s="133">
        <v>807.91</v>
      </c>
      <c r="G82" s="133">
        <v>740.23</v>
      </c>
      <c r="H82" s="133">
        <v>661.98</v>
      </c>
      <c r="I82" s="133">
        <v>615.43</v>
      </c>
      <c r="J82" s="133"/>
      <c r="K82" s="132">
        <f t="shared" si="50"/>
        <v>467.5</v>
      </c>
      <c r="L82" s="133">
        <f t="shared" si="52"/>
        <v>907.221366906475</v>
      </c>
      <c r="M82" s="133">
        <f t="shared" si="53"/>
        <v>889.753734929517</v>
      </c>
      <c r="N82" s="133">
        <f t="shared" si="54"/>
        <v>872.89236121321</v>
      </c>
      <c r="O82" s="133">
        <f t="shared" si="55"/>
        <v>857.257235797931</v>
      </c>
      <c r="P82" s="133">
        <f t="shared" si="56"/>
        <v>831.306920955721</v>
      </c>
      <c r="Q82" s="133">
        <f t="shared" si="57"/>
        <v>808.308413988103</v>
      </c>
      <c r="R82" s="133">
        <f t="shared" si="58"/>
        <v>773.393893880866</v>
      </c>
      <c r="S82" s="133">
        <f t="shared" si="59"/>
        <v>741.032969215515</v>
      </c>
      <c r="T82" s="133">
        <f t="shared" si="60"/>
        <v>701.01629504685</v>
      </c>
      <c r="U82" s="133">
        <f t="shared" si="61"/>
        <v>663.177254256215</v>
      </c>
      <c r="V82" s="133">
        <f t="shared" si="62"/>
        <v>619.847153284672</v>
      </c>
      <c r="X82" s="106" t="s">
        <v>54</v>
      </c>
      <c r="Y82" s="106"/>
      <c r="Z82" s="160" t="e">
        <f ca="1" t="shared" ref="Z82:AD82" si="71">Z35/Z60</f>
        <v>#DIV/0!</v>
      </c>
      <c r="AA82" s="160">
        <f ca="1" t="shared" si="71"/>
        <v>3.87003371225397</v>
      </c>
      <c r="AB82" s="160" t="e">
        <f ca="1" t="shared" si="71"/>
        <v>#DIV/0!</v>
      </c>
      <c r="AC82" s="160" t="e">
        <f ca="1" t="shared" si="71"/>
        <v>#DIV/0!</v>
      </c>
      <c r="AD82" s="160" t="e">
        <f ca="1" t="shared" si="71"/>
        <v>#DIV/0!</v>
      </c>
    </row>
    <row r="83" s="91" customFormat="1" spans="1:30">
      <c r="A83" s="132">
        <v>522.5</v>
      </c>
      <c r="B83" s="133">
        <v>866.4</v>
      </c>
      <c r="C83" s="133">
        <v>863.4</v>
      </c>
      <c r="D83" s="133">
        <v>854.24</v>
      </c>
      <c r="E83" s="133">
        <v>830.67</v>
      </c>
      <c r="F83" s="133">
        <v>789.18</v>
      </c>
      <c r="G83" s="133">
        <v>728.69</v>
      </c>
      <c r="H83" s="133">
        <v>655.55</v>
      </c>
      <c r="I83" s="133">
        <v>611.37</v>
      </c>
      <c r="J83" s="133"/>
      <c r="K83" s="132">
        <f t="shared" si="50"/>
        <v>522.5</v>
      </c>
      <c r="L83" s="133">
        <f t="shared" si="52"/>
        <v>870.215827338129</v>
      </c>
      <c r="M83" s="133">
        <f t="shared" si="53"/>
        <v>856.993994243179</v>
      </c>
      <c r="N83" s="133">
        <f t="shared" si="54"/>
        <v>843.461269889875</v>
      </c>
      <c r="O83" s="133">
        <f t="shared" si="55"/>
        <v>830.797355593032</v>
      </c>
      <c r="P83" s="133">
        <f t="shared" si="56"/>
        <v>808.914463314757</v>
      </c>
      <c r="Q83" s="133">
        <f t="shared" si="57"/>
        <v>789.516047903362</v>
      </c>
      <c r="R83" s="133">
        <f t="shared" si="58"/>
        <v>758.330720166276</v>
      </c>
      <c r="S83" s="133">
        <f t="shared" si="59"/>
        <v>729.407665600568</v>
      </c>
      <c r="T83" s="133">
        <f t="shared" si="60"/>
        <v>692.037087792034</v>
      </c>
      <c r="U83" s="133">
        <f t="shared" si="61"/>
        <v>656.669069345681</v>
      </c>
      <c r="V83" s="133">
        <f t="shared" si="62"/>
        <v>615.562262773723</v>
      </c>
      <c r="X83" s="106" t="s">
        <v>55</v>
      </c>
      <c r="Y83" s="106"/>
      <c r="Z83" s="160" t="e">
        <f ca="1" t="shared" ref="Z83:AD83" si="72">Z36/Z61</f>
        <v>#DIV/0!</v>
      </c>
      <c r="AA83" s="160">
        <f ca="1" t="shared" si="72"/>
        <v>1.44573071899773</v>
      </c>
      <c r="AB83" s="160" t="e">
        <f ca="1" t="shared" si="72"/>
        <v>#DIV/0!</v>
      </c>
      <c r="AC83" s="160" t="e">
        <f ca="1" t="shared" si="72"/>
        <v>#DIV/0!</v>
      </c>
      <c r="AD83" s="160" t="e">
        <f ca="1" t="shared" si="72"/>
        <v>#DIV/0!</v>
      </c>
    </row>
    <row r="84" s="91" customFormat="1" spans="1:30">
      <c r="A84" s="132">
        <v>577.5</v>
      </c>
      <c r="B84" s="133">
        <v>830.53</v>
      </c>
      <c r="C84" s="133">
        <v>828.4</v>
      </c>
      <c r="D84" s="133">
        <v>821.59</v>
      </c>
      <c r="E84" s="133">
        <v>803.26</v>
      </c>
      <c r="F84" s="133">
        <v>769.85</v>
      </c>
      <c r="G84" s="133">
        <v>717.44</v>
      </c>
      <c r="H84" s="133">
        <v>643.89</v>
      </c>
      <c r="I84" s="133">
        <v>592.66</v>
      </c>
      <c r="J84" s="133"/>
      <c r="K84" s="132">
        <f t="shared" si="50"/>
        <v>577.5</v>
      </c>
      <c r="L84" s="133">
        <f t="shared" si="52"/>
        <v>833.239237410072</v>
      </c>
      <c r="M84" s="133">
        <f t="shared" si="53"/>
        <v>823.637456418783</v>
      </c>
      <c r="N84" s="133">
        <f t="shared" si="54"/>
        <v>813.207559485847</v>
      </c>
      <c r="O84" s="133">
        <f t="shared" si="55"/>
        <v>803.359042342821</v>
      </c>
      <c r="P84" s="133">
        <f t="shared" si="56"/>
        <v>785.741261010991</v>
      </c>
      <c r="Q84" s="133">
        <f t="shared" si="57"/>
        <v>770.120604011842</v>
      </c>
      <c r="R84" s="133">
        <f t="shared" si="58"/>
        <v>743.121437327071</v>
      </c>
      <c r="S84" s="133">
        <f t="shared" si="59"/>
        <v>718.061802845525</v>
      </c>
      <c r="T84" s="133">
        <f t="shared" si="60"/>
        <v>680.581623012087</v>
      </c>
      <c r="U84" s="133">
        <f t="shared" si="61"/>
        <v>645.015342498972</v>
      </c>
      <c r="V84" s="133">
        <f t="shared" si="62"/>
        <v>597.521240875912</v>
      </c>
      <c r="X84" s="106" t="s">
        <v>56</v>
      </c>
      <c r="Y84" s="106"/>
      <c r="Z84" s="160" t="e">
        <f ca="1" t="shared" ref="Z84:AD84" si="73">Z37/Z62</f>
        <v>#DIV/0!</v>
      </c>
      <c r="AA84" s="160">
        <f ca="1" t="shared" si="73"/>
        <v>1.41562487172434</v>
      </c>
      <c r="AB84" s="160" t="e">
        <f ca="1" t="shared" si="73"/>
        <v>#DIV/0!</v>
      </c>
      <c r="AC84" s="160" t="e">
        <f ca="1" t="shared" si="73"/>
        <v>#DIV/0!</v>
      </c>
      <c r="AD84" s="160" t="e">
        <f ca="1" t="shared" si="73"/>
        <v>#DIV/0!</v>
      </c>
    </row>
    <row r="85" s="91" customFormat="1" spans="1:30">
      <c r="A85" s="132">
        <v>632.5</v>
      </c>
      <c r="B85" s="133">
        <v>795.07</v>
      </c>
      <c r="C85" s="133">
        <v>793.6</v>
      </c>
      <c r="D85" s="133">
        <v>788.68</v>
      </c>
      <c r="E85" s="133">
        <v>774.74</v>
      </c>
      <c r="F85" s="133">
        <v>748.22</v>
      </c>
      <c r="G85" s="133">
        <v>701.91</v>
      </c>
      <c r="H85" s="133">
        <v>632.5</v>
      </c>
      <c r="I85" s="133">
        <v>585.81</v>
      </c>
      <c r="J85" s="133"/>
      <c r="K85" s="132">
        <f t="shared" si="50"/>
        <v>632.5</v>
      </c>
      <c r="L85" s="133">
        <f t="shared" si="52"/>
        <v>796.939755395684</v>
      </c>
      <c r="M85" s="133">
        <f t="shared" si="53"/>
        <v>790.159219615332</v>
      </c>
      <c r="N85" s="133">
        <f t="shared" si="54"/>
        <v>782.305137983235</v>
      </c>
      <c r="O85" s="133">
        <f t="shared" si="55"/>
        <v>774.81532189083</v>
      </c>
      <c r="P85" s="133">
        <f t="shared" si="56"/>
        <v>760.834074888102</v>
      </c>
      <c r="Q85" s="133">
        <f t="shared" si="57"/>
        <v>748.434798515236</v>
      </c>
      <c r="R85" s="133">
        <f t="shared" si="58"/>
        <v>724.602374787572</v>
      </c>
      <c r="S85" s="133">
        <f t="shared" si="59"/>
        <v>702.459431211148</v>
      </c>
      <c r="T85" s="133">
        <f t="shared" si="60"/>
        <v>667.126316155934</v>
      </c>
      <c r="U85" s="133">
        <f t="shared" si="61"/>
        <v>633.561998951104</v>
      </c>
      <c r="V85" s="133">
        <f t="shared" si="62"/>
        <v>590.240437956204</v>
      </c>
      <c r="X85" s="106" t="s">
        <v>57</v>
      </c>
      <c r="Y85" s="106"/>
      <c r="Z85" s="160" t="e">
        <f ca="1" t="shared" ref="Z85:AD85" si="74">Z38/Z63</f>
        <v>#DIV/0!</v>
      </c>
      <c r="AA85" s="160">
        <f ca="1" t="shared" si="74"/>
        <v>1.45110184270468</v>
      </c>
      <c r="AB85" s="160" t="e">
        <f ca="1" t="shared" si="74"/>
        <v>#DIV/0!</v>
      </c>
      <c r="AC85" s="160" t="e">
        <f ca="1" t="shared" si="74"/>
        <v>#DIV/0!</v>
      </c>
      <c r="AD85" s="160" t="e">
        <f ca="1" t="shared" si="74"/>
        <v>#DIV/0!</v>
      </c>
    </row>
    <row r="86" s="91" customFormat="1" ht="13.5" customHeight="1" spans="1:30">
      <c r="A86" s="132">
        <v>687.5</v>
      </c>
      <c r="B86" s="133">
        <v>760.54</v>
      </c>
      <c r="C86" s="133">
        <v>759.6</v>
      </c>
      <c r="D86" s="133">
        <v>756.2</v>
      </c>
      <c r="E86" s="133">
        <v>745.88</v>
      </c>
      <c r="F86" s="133">
        <v>725.04</v>
      </c>
      <c r="G86" s="133">
        <v>685.35</v>
      </c>
      <c r="H86" s="133">
        <v>621.99</v>
      </c>
      <c r="I86" s="133">
        <v>578.83</v>
      </c>
      <c r="J86" s="133"/>
      <c r="K86" s="132">
        <f t="shared" si="50"/>
        <v>687.5</v>
      </c>
      <c r="L86" s="133">
        <f t="shared" si="52"/>
        <v>761.73562589928</v>
      </c>
      <c r="M86" s="133">
        <f t="shared" si="53"/>
        <v>757.222224937424</v>
      </c>
      <c r="N86" s="133">
        <f t="shared" si="54"/>
        <v>751.480589956025</v>
      </c>
      <c r="O86" s="133">
        <f t="shared" si="55"/>
        <v>745.935761973699</v>
      </c>
      <c r="P86" s="133">
        <f t="shared" si="56"/>
        <v>734.952417823078</v>
      </c>
      <c r="Q86" s="133">
        <f t="shared" si="57"/>
        <v>725.208793403376</v>
      </c>
      <c r="R86" s="133">
        <f t="shared" si="58"/>
        <v>704.798506916838</v>
      </c>
      <c r="S86" s="133">
        <f t="shared" si="59"/>
        <v>685.820890191545</v>
      </c>
      <c r="T86" s="133">
        <f t="shared" si="60"/>
        <v>653.598174494165</v>
      </c>
      <c r="U86" s="133">
        <f t="shared" si="61"/>
        <v>622.959431689122</v>
      </c>
      <c r="V86" s="133">
        <f t="shared" si="62"/>
        <v>582.925474452555</v>
      </c>
      <c r="X86" s="106" t="s">
        <v>58</v>
      </c>
      <c r="Y86" s="106"/>
      <c r="Z86" s="160" t="e">
        <f ca="1" t="shared" ref="Z86:AD86" si="75">Z39/Z64</f>
        <v>#DIV/0!</v>
      </c>
      <c r="AA86" s="160">
        <f ca="1" t="shared" si="75"/>
        <v>1.34731541166127</v>
      </c>
      <c r="AB86" s="160" t="e">
        <f ca="1" t="shared" si="75"/>
        <v>#DIV/0!</v>
      </c>
      <c r="AC86" s="160" t="e">
        <f ca="1" t="shared" si="75"/>
        <v>#DIV/0!</v>
      </c>
      <c r="AD86" s="160" t="e">
        <f ca="1" t="shared" si="75"/>
        <v>#DIV/0!</v>
      </c>
    </row>
    <row r="87" s="91" customFormat="1" ht="13.5" customHeight="1" spans="1:30">
      <c r="A87" s="132">
        <v>742.5</v>
      </c>
      <c r="B87" s="133">
        <v>726.97</v>
      </c>
      <c r="C87" s="133">
        <v>726.42</v>
      </c>
      <c r="D87" s="133">
        <v>724.27</v>
      </c>
      <c r="E87" s="133">
        <v>717.11</v>
      </c>
      <c r="F87" s="133">
        <v>701.54</v>
      </c>
      <c r="G87" s="133">
        <v>669.05</v>
      </c>
      <c r="H87" s="133">
        <v>611.67</v>
      </c>
      <c r="I87" s="133">
        <v>570.97</v>
      </c>
      <c r="J87" s="133"/>
      <c r="K87" s="132">
        <f t="shared" si="50"/>
        <v>742.5</v>
      </c>
      <c r="L87" s="133">
        <f t="shared" si="52"/>
        <v>727.669568345324</v>
      </c>
      <c r="M87" s="133">
        <f t="shared" si="53"/>
        <v>724.916406945724</v>
      </c>
      <c r="N87" s="133">
        <f t="shared" si="54"/>
        <v>720.995680628405</v>
      </c>
      <c r="O87" s="133">
        <f t="shared" si="55"/>
        <v>717.1486875709</v>
      </c>
      <c r="P87" s="133">
        <f t="shared" si="56"/>
        <v>708.94577473634</v>
      </c>
      <c r="Q87" s="133">
        <f t="shared" si="57"/>
        <v>701.66610908304</v>
      </c>
      <c r="R87" s="133">
        <f t="shared" si="58"/>
        <v>684.970433099724</v>
      </c>
      <c r="S87" s="133">
        <f t="shared" si="59"/>
        <v>669.435467934575</v>
      </c>
      <c r="T87" s="133">
        <f t="shared" si="60"/>
        <v>640.294953479722</v>
      </c>
      <c r="U87" s="133">
        <f t="shared" si="61"/>
        <v>612.547935453311</v>
      </c>
      <c r="V87" s="133">
        <f t="shared" si="62"/>
        <v>574.832043795621</v>
      </c>
      <c r="X87" s="106" t="s">
        <v>59</v>
      </c>
      <c r="Y87" s="106"/>
      <c r="Z87" s="160" t="e">
        <f ca="1" t="shared" ref="Z87:AD87" si="76">Z40/Z65</f>
        <v>#DIV/0!</v>
      </c>
      <c r="AA87" s="160">
        <f ca="1" t="shared" si="76"/>
        <v>1.45769227530628</v>
      </c>
      <c r="AB87" s="160" t="e">
        <f ca="1" t="shared" si="76"/>
        <v>#DIV/0!</v>
      </c>
      <c r="AC87" s="160" t="e">
        <f ca="1" t="shared" si="76"/>
        <v>#DIV/0!</v>
      </c>
      <c r="AD87" s="160" t="e">
        <f ca="1" t="shared" si="76"/>
        <v>#DIV/0!</v>
      </c>
    </row>
    <row r="88" s="91" customFormat="1" spans="1:30">
      <c r="A88" s="132">
        <v>797.5</v>
      </c>
      <c r="B88" s="133">
        <v>693.72</v>
      </c>
      <c r="C88" s="133">
        <v>693.47</v>
      </c>
      <c r="D88" s="133">
        <v>692.36</v>
      </c>
      <c r="E88" s="133">
        <v>688.1</v>
      </c>
      <c r="F88" s="133">
        <v>677.52</v>
      </c>
      <c r="G88" s="133">
        <v>652.52</v>
      </c>
      <c r="H88" s="133">
        <v>600.43</v>
      </c>
      <c r="I88" s="133">
        <v>561.11</v>
      </c>
      <c r="J88" s="133"/>
      <c r="K88" s="132">
        <f t="shared" si="50"/>
        <v>797.5</v>
      </c>
      <c r="L88" s="133">
        <f t="shared" si="52"/>
        <v>694.037985611511</v>
      </c>
      <c r="M88" s="133">
        <f t="shared" si="53"/>
        <v>692.69372637663</v>
      </c>
      <c r="N88" s="133">
        <f t="shared" si="54"/>
        <v>690.411871435336</v>
      </c>
      <c r="O88" s="133">
        <f t="shared" si="55"/>
        <v>688.123018024027</v>
      </c>
      <c r="P88" s="133">
        <f t="shared" si="56"/>
        <v>682.552311927455</v>
      </c>
      <c r="Q88" s="133">
        <f t="shared" si="57"/>
        <v>677.605692620332</v>
      </c>
      <c r="R88" s="133">
        <f t="shared" si="58"/>
        <v>664.770256309421</v>
      </c>
      <c r="S88" s="133">
        <f t="shared" si="59"/>
        <v>652.816605058922</v>
      </c>
      <c r="T88" s="133">
        <f t="shared" si="60"/>
        <v>626.415950274638</v>
      </c>
      <c r="U88" s="133">
        <f t="shared" si="61"/>
        <v>601.226996475479</v>
      </c>
      <c r="V88" s="133">
        <f t="shared" si="62"/>
        <v>564.841094890511</v>
      </c>
      <c r="X88" s="106" t="s">
        <v>60</v>
      </c>
      <c r="Y88" s="106"/>
      <c r="Z88" s="160" t="e">
        <f t="shared" ref="Z88:AD88" si="77">Z41/Z66</f>
        <v>#DIV/0!</v>
      </c>
      <c r="AA88" s="160">
        <f t="shared" si="77"/>
        <v>18.0304429880306</v>
      </c>
      <c r="AB88" s="160" t="e">
        <f t="shared" si="77"/>
        <v>#DIV/0!</v>
      </c>
      <c r="AC88" s="160" t="e">
        <f t="shared" si="77"/>
        <v>#DIV/0!</v>
      </c>
      <c r="AD88" s="160" t="e">
        <f t="shared" si="77"/>
        <v>#DIV/0!</v>
      </c>
    </row>
    <row r="89" s="91" customFormat="1" spans="1:30">
      <c r="A89" s="132">
        <v>852.5</v>
      </c>
      <c r="B89" s="133">
        <v>659.72</v>
      </c>
      <c r="C89" s="133">
        <v>659.56</v>
      </c>
      <c r="D89" s="133">
        <v>658.99</v>
      </c>
      <c r="E89" s="133">
        <v>656.88</v>
      </c>
      <c r="F89" s="133">
        <v>651.21</v>
      </c>
      <c r="G89" s="133">
        <v>632.37</v>
      </c>
      <c r="H89" s="133">
        <v>585.48</v>
      </c>
      <c r="I89" s="133">
        <v>546.99</v>
      </c>
      <c r="J89" s="133"/>
      <c r="K89" s="132">
        <f t="shared" si="50"/>
        <v>852.5</v>
      </c>
      <c r="L89" s="133">
        <f t="shared" si="52"/>
        <v>659.923510791367</v>
      </c>
      <c r="M89" s="133">
        <f t="shared" si="53"/>
        <v>659.161373004215</v>
      </c>
      <c r="N89" s="133">
        <f t="shared" si="54"/>
        <v>658.025081861164</v>
      </c>
      <c r="O89" s="133">
        <f t="shared" si="55"/>
        <v>656.891400946173</v>
      </c>
      <c r="P89" s="133">
        <f t="shared" si="56"/>
        <v>653.906900626529</v>
      </c>
      <c r="Q89" s="133">
        <f t="shared" si="57"/>
        <v>651.255924116945</v>
      </c>
      <c r="R89" s="133">
        <f t="shared" si="58"/>
        <v>641.60179315478</v>
      </c>
      <c r="S89" s="133">
        <f t="shared" si="59"/>
        <v>632.593521572404</v>
      </c>
      <c r="T89" s="133">
        <f t="shared" si="60"/>
        <v>608.871845044688</v>
      </c>
      <c r="U89" s="133">
        <f t="shared" si="61"/>
        <v>586.197434531296</v>
      </c>
      <c r="V89" s="133">
        <f t="shared" si="62"/>
        <v>550.642335766423</v>
      </c>
      <c r="X89" s="106" t="s">
        <v>61</v>
      </c>
      <c r="Y89" s="106"/>
      <c r="Z89" s="160" t="e">
        <f t="shared" ref="Z89:AD89" si="78">Z42/Z67</f>
        <v>#DIV/0!</v>
      </c>
      <c r="AA89" s="160">
        <f t="shared" si="78"/>
        <v>18.0083776018183</v>
      </c>
      <c r="AB89" s="160" t="e">
        <f t="shared" si="78"/>
        <v>#DIV/0!</v>
      </c>
      <c r="AC89" s="160" t="e">
        <f t="shared" si="78"/>
        <v>#DIV/0!</v>
      </c>
      <c r="AD89" s="160" t="e">
        <f t="shared" si="78"/>
        <v>#DIV/0!</v>
      </c>
    </row>
    <row r="90" s="91" customFormat="1" spans="1:30">
      <c r="A90" s="132">
        <v>907.5</v>
      </c>
      <c r="B90" s="133">
        <v>626.53</v>
      </c>
      <c r="C90" s="133">
        <v>626.3</v>
      </c>
      <c r="D90" s="133">
        <v>625.81</v>
      </c>
      <c r="E90" s="133">
        <v>624.73</v>
      </c>
      <c r="F90" s="133">
        <v>621.73</v>
      </c>
      <c r="G90" s="133">
        <v>607.56</v>
      </c>
      <c r="H90" s="133">
        <v>565.33</v>
      </c>
      <c r="I90" s="133">
        <v>527.02</v>
      </c>
      <c r="J90" s="133"/>
      <c r="K90" s="132">
        <f t="shared" si="50"/>
        <v>907.5</v>
      </c>
      <c r="L90" s="133">
        <f t="shared" si="52"/>
        <v>626.82254676259</v>
      </c>
      <c r="M90" s="133">
        <f t="shared" si="53"/>
        <v>625.957320652746</v>
      </c>
      <c r="N90" s="133">
        <f t="shared" si="54"/>
        <v>625.316108251212</v>
      </c>
      <c r="O90" s="133">
        <f t="shared" si="55"/>
        <v>624.735835555387</v>
      </c>
      <c r="P90" s="133">
        <f t="shared" si="56"/>
        <v>623.156931548428</v>
      </c>
      <c r="Q90" s="133">
        <f t="shared" si="57"/>
        <v>621.754298474574</v>
      </c>
      <c r="R90" s="133">
        <f t="shared" si="58"/>
        <v>614.50344527618</v>
      </c>
      <c r="S90" s="133">
        <f t="shared" si="59"/>
        <v>607.728115747397</v>
      </c>
      <c r="T90" s="133">
        <f t="shared" si="60"/>
        <v>586.39712766554</v>
      </c>
      <c r="U90" s="133">
        <f t="shared" si="61"/>
        <v>565.976134789009</v>
      </c>
      <c r="V90" s="133">
        <f t="shared" si="62"/>
        <v>530.655255474453</v>
      </c>
      <c r="X90" s="106" t="s">
        <v>62</v>
      </c>
      <c r="Y90" s="106"/>
      <c r="Z90" s="160" t="e">
        <f t="shared" ref="Z90:AD90" si="79">Z43/Z68</f>
        <v>#DIV/0!</v>
      </c>
      <c r="AA90" s="160">
        <f t="shared" si="79"/>
        <v>8.53267625803735</v>
      </c>
      <c r="AB90" s="160" t="e">
        <f t="shared" si="79"/>
        <v>#DIV/0!</v>
      </c>
      <c r="AC90" s="160" t="e">
        <f t="shared" si="79"/>
        <v>#DIV/0!</v>
      </c>
      <c r="AD90" s="160" t="e">
        <f t="shared" si="79"/>
        <v>#DIV/0!</v>
      </c>
    </row>
    <row r="91" s="91" customFormat="1" spans="1:30">
      <c r="A91" s="132">
        <v>962.5</v>
      </c>
      <c r="B91" s="133">
        <v>594.47</v>
      </c>
      <c r="C91" s="133">
        <v>593.22</v>
      </c>
      <c r="D91" s="133">
        <v>592.19</v>
      </c>
      <c r="E91" s="133">
        <v>591.52</v>
      </c>
      <c r="F91" s="133">
        <v>590.18</v>
      </c>
      <c r="G91" s="133">
        <v>580.32</v>
      </c>
      <c r="H91" s="133">
        <v>542.02</v>
      </c>
      <c r="I91" s="133">
        <v>503.94</v>
      </c>
      <c r="J91" s="133"/>
      <c r="K91" s="132">
        <f t="shared" si="50"/>
        <v>962.5</v>
      </c>
      <c r="L91" s="133">
        <f t="shared" si="52"/>
        <v>596.059928057554</v>
      </c>
      <c r="M91" s="133">
        <f t="shared" si="53"/>
        <v>592.499674025161</v>
      </c>
      <c r="N91" s="133">
        <f t="shared" si="54"/>
        <v>591.883604192882</v>
      </c>
      <c r="O91" s="133">
        <f t="shared" si="55"/>
        <v>591.523620205657</v>
      </c>
      <c r="P91" s="133">
        <f t="shared" si="56"/>
        <v>590.817362758298</v>
      </c>
      <c r="Q91" s="133">
        <f t="shared" si="57"/>
        <v>590.190853318643</v>
      </c>
      <c r="R91" s="133">
        <f t="shared" si="58"/>
        <v>585.151501088436</v>
      </c>
      <c r="S91" s="133">
        <f t="shared" si="59"/>
        <v>580.436981035239</v>
      </c>
      <c r="T91" s="133">
        <f t="shared" si="60"/>
        <v>561.126582751366</v>
      </c>
      <c r="U91" s="133">
        <f t="shared" si="61"/>
        <v>542.606004319655</v>
      </c>
      <c r="V91" s="133">
        <f t="shared" si="62"/>
        <v>507.553430656934</v>
      </c>
      <c r="X91" s="106" t="s">
        <v>63</v>
      </c>
      <c r="Y91" s="106"/>
      <c r="Z91" s="160" t="e">
        <f t="shared" ref="Z91:AD91" si="80">Z44/Z69</f>
        <v>#DIV/0!</v>
      </c>
      <c r="AA91" s="160">
        <f t="shared" si="80"/>
        <v>8.55873453296158</v>
      </c>
      <c r="AB91" s="160" t="e">
        <f t="shared" si="80"/>
        <v>#DIV/0!</v>
      </c>
      <c r="AC91" s="160" t="e">
        <f t="shared" si="80"/>
        <v>#DIV/0!</v>
      </c>
      <c r="AD91" s="160" t="e">
        <f t="shared" si="80"/>
        <v>#DIV/0!</v>
      </c>
    </row>
    <row r="92" s="91" customFormat="1" spans="1:30">
      <c r="A92" s="132">
        <v>1017.5</v>
      </c>
      <c r="B92" s="133">
        <v>569.25</v>
      </c>
      <c r="C92" s="133">
        <v>563.99</v>
      </c>
      <c r="D92" s="133">
        <v>560.14</v>
      </c>
      <c r="E92" s="133">
        <v>557.73</v>
      </c>
      <c r="F92" s="133">
        <v>557.63</v>
      </c>
      <c r="G92" s="133">
        <v>550.27</v>
      </c>
      <c r="H92" s="133">
        <v>516.29</v>
      </c>
      <c r="I92" s="133">
        <v>479.52</v>
      </c>
      <c r="J92" s="133"/>
      <c r="K92" s="132">
        <f t="shared" si="50"/>
        <v>1017.5</v>
      </c>
      <c r="L92" s="133">
        <f t="shared" si="52"/>
        <v>575.940417266187</v>
      </c>
      <c r="M92" s="133">
        <f t="shared" si="53"/>
        <v>561.297519414437</v>
      </c>
      <c r="N92" s="133">
        <f t="shared" si="54"/>
        <v>559.037889708723</v>
      </c>
      <c r="O92" s="133">
        <f t="shared" si="55"/>
        <v>557.743021933781</v>
      </c>
      <c r="P92" s="133">
        <f t="shared" si="56"/>
        <v>557.677564384948</v>
      </c>
      <c r="Q92" s="133">
        <f t="shared" si="57"/>
        <v>557.630809949152</v>
      </c>
      <c r="R92" s="133">
        <f t="shared" si="58"/>
        <v>553.876475457494</v>
      </c>
      <c r="S92" s="133">
        <f t="shared" si="59"/>
        <v>550.357320529347</v>
      </c>
      <c r="T92" s="133">
        <f t="shared" si="60"/>
        <v>533.241479944945</v>
      </c>
      <c r="U92" s="133">
        <f t="shared" si="61"/>
        <v>516.809906704488</v>
      </c>
      <c r="V92" s="133">
        <f t="shared" si="62"/>
        <v>483.009124087591</v>
      </c>
      <c r="X92" s="106" t="s">
        <v>64</v>
      </c>
      <c r="Y92" s="106"/>
      <c r="Z92" s="160" t="e">
        <f t="shared" ref="Z92:AD92" si="81">Z45/Z70</f>
        <v>#DIV/0!</v>
      </c>
      <c r="AA92" s="160">
        <f t="shared" si="81"/>
        <v>13.6015780258507</v>
      </c>
      <c r="AB92" s="160" t="e">
        <f t="shared" si="81"/>
        <v>#DIV/0!</v>
      </c>
      <c r="AC92" s="160" t="e">
        <f t="shared" si="81"/>
        <v>#DIV/0!</v>
      </c>
      <c r="AD92" s="160" t="e">
        <f t="shared" si="81"/>
        <v>#DIV/0!</v>
      </c>
    </row>
    <row r="93" s="91" customFormat="1" spans="1:22">
      <c r="A93" s="132">
        <v>1072.5</v>
      </c>
      <c r="B93" s="133">
        <v>559.9</v>
      </c>
      <c r="C93" s="133">
        <v>541.68</v>
      </c>
      <c r="D93" s="133">
        <v>527.13</v>
      </c>
      <c r="E93" s="133">
        <v>525.71</v>
      </c>
      <c r="F93" s="133">
        <v>524.63</v>
      </c>
      <c r="G93" s="133">
        <v>513.79</v>
      </c>
      <c r="H93" s="133">
        <v>486.57</v>
      </c>
      <c r="I93" s="133">
        <v>454.52</v>
      </c>
      <c r="J93" s="133"/>
      <c r="K93" s="132">
        <f t="shared" si="50"/>
        <v>1072.5</v>
      </c>
      <c r="L93" s="133">
        <f t="shared" si="52"/>
        <v>583.074791366907</v>
      </c>
      <c r="M93" s="133">
        <f t="shared" si="53"/>
        <v>531.50452142339</v>
      </c>
      <c r="N93" s="133">
        <f t="shared" si="54"/>
        <v>526.480623811779</v>
      </c>
      <c r="O93" s="133">
        <f t="shared" si="55"/>
        <v>525.717672674676</v>
      </c>
      <c r="P93" s="133">
        <f t="shared" si="56"/>
        <v>525.143695357434</v>
      </c>
      <c r="Q93" s="133">
        <f t="shared" si="57"/>
        <v>524.638747450847</v>
      </c>
      <c r="R93" s="133">
        <f t="shared" si="58"/>
        <v>519.101711135765</v>
      </c>
      <c r="S93" s="133">
        <f t="shared" si="59"/>
        <v>513.918607953549</v>
      </c>
      <c r="T93" s="133">
        <f t="shared" si="60"/>
        <v>500.14914314601</v>
      </c>
      <c r="U93" s="133">
        <f t="shared" si="61"/>
        <v>486.98647617705</v>
      </c>
      <c r="V93" s="133">
        <f t="shared" si="62"/>
        <v>457.561240875912</v>
      </c>
    </row>
    <row r="94" s="91" customFormat="1" spans="1:22">
      <c r="A94" s="129"/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</row>
    <row r="95" s="91" customFormat="1" spans="1:22">
      <c r="A95" s="129" t="s">
        <v>136</v>
      </c>
      <c r="B95" s="129"/>
      <c r="C95" s="129"/>
      <c r="D95" s="129"/>
      <c r="E95" s="129"/>
      <c r="F95" s="129"/>
      <c r="G95" s="129"/>
      <c r="H95" s="129"/>
      <c r="I95" s="129"/>
      <c r="J95" s="129"/>
      <c r="K95" s="129" t="s">
        <v>139</v>
      </c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</row>
    <row r="96" s="91" customFormat="1" spans="1:29">
      <c r="A96" s="132" t="s">
        <v>128</v>
      </c>
      <c r="B96" s="133">
        <v>17.68</v>
      </c>
      <c r="C96" s="133">
        <v>31.58</v>
      </c>
      <c r="D96" s="133">
        <v>54.25</v>
      </c>
      <c r="E96" s="133">
        <v>82.31</v>
      </c>
      <c r="F96" s="133">
        <v>106.26</v>
      </c>
      <c r="G96" s="133">
        <v>125.73</v>
      </c>
      <c r="H96" s="133">
        <v>142.56</v>
      </c>
      <c r="I96" s="133">
        <v>150.78</v>
      </c>
      <c r="J96" s="133"/>
      <c r="K96" s="132" t="str">
        <f t="shared" ref="K96:K116" si="82">A96</f>
        <v>R/Z[cm]</v>
      </c>
      <c r="L96" s="141">
        <v>0</v>
      </c>
      <c r="M96" s="141">
        <f t="shared" ref="M96:V96" si="83">SQRT(L96*L96+150*150/10)</f>
        <v>47.4341649025257</v>
      </c>
      <c r="N96" s="141">
        <f t="shared" si="83"/>
        <v>67.0820393249937</v>
      </c>
      <c r="O96" s="141">
        <f t="shared" si="83"/>
        <v>82.1583836257749</v>
      </c>
      <c r="P96" s="141">
        <f t="shared" si="83"/>
        <v>94.8683298050514</v>
      </c>
      <c r="Q96" s="141">
        <f t="shared" si="83"/>
        <v>106.066017177982</v>
      </c>
      <c r="R96" s="141">
        <f t="shared" si="83"/>
        <v>116.189500386223</v>
      </c>
      <c r="S96" s="141">
        <f t="shared" si="83"/>
        <v>125.499003980111</v>
      </c>
      <c r="T96" s="141">
        <f t="shared" si="83"/>
        <v>134.164078649987</v>
      </c>
      <c r="U96" s="141">
        <f t="shared" si="83"/>
        <v>142.302494707577</v>
      </c>
      <c r="V96" s="141">
        <f t="shared" si="83"/>
        <v>150</v>
      </c>
      <c r="X96" s="373" t="s">
        <v>315</v>
      </c>
      <c r="AC96" s="91" t="s">
        <v>316</v>
      </c>
    </row>
    <row r="97" s="91" customFormat="1" spans="1:29">
      <c r="A97" s="132">
        <v>27.5</v>
      </c>
      <c r="B97" s="133">
        <v>979.65</v>
      </c>
      <c r="C97" s="133">
        <v>972.29</v>
      </c>
      <c r="D97" s="133">
        <v>952.61</v>
      </c>
      <c r="E97" s="133">
        <v>908.68</v>
      </c>
      <c r="F97" s="133">
        <v>861.04</v>
      </c>
      <c r="G97" s="133">
        <v>828.64</v>
      </c>
      <c r="H97" s="133">
        <v>772.24</v>
      </c>
      <c r="I97" s="133">
        <v>713.03</v>
      </c>
      <c r="J97" s="133"/>
      <c r="K97" s="132">
        <f t="shared" si="82"/>
        <v>27.5</v>
      </c>
      <c r="L97" s="133">
        <f t="shared" ref="L97:L116" si="84">TREND(B97:C97,B$4:C$4,L$4)</f>
        <v>989.011496402878</v>
      </c>
      <c r="M97" s="133">
        <f t="shared" ref="M97:M116" si="85">TREND(C97:D97,C$4:D$4,M$4)</f>
        <v>958.526878461327</v>
      </c>
      <c r="N97" s="133">
        <f t="shared" ref="N97:N116" si="86">TREND(D97:E97,D$4:E$4,N$4)</f>
        <v>932.520495810871</v>
      </c>
      <c r="O97" s="133">
        <f t="shared" ref="O97:O116" si="87">TREND(D97:E97,D$4:E$4,O$4)</f>
        <v>908.917366618664</v>
      </c>
      <c r="P97" s="133">
        <f t="shared" ref="P97:P116" si="88">TREND(E97:F97,E$4:F$4,P$4)</f>
        <v>883.699672989033</v>
      </c>
      <c r="Q97" s="133">
        <f t="shared" ref="Q97:Q116" si="89">TREND(E97:F97,E$4:F$4,Q$4)</f>
        <v>861.425859776239</v>
      </c>
      <c r="R97" s="133">
        <f t="shared" ref="R97:R116" si="90">TREND(F97:G97,F$4:G$4,R$4)</f>
        <v>844.51633217701</v>
      </c>
      <c r="S97" s="133">
        <f t="shared" ref="S97:S116" si="91">TREND(F97:G97,F$4:G$4,S$4)</f>
        <v>829.024400156363</v>
      </c>
      <c r="T97" s="133">
        <f t="shared" ref="T97:T116" si="92">TREND(G97:H97,G$4:H$4,T$4)</f>
        <v>800.376064417155</v>
      </c>
      <c r="U97" s="133">
        <f t="shared" ref="U97:U116" si="93">TREND(G97:H97,G$4:H$4,U$4)</f>
        <v>773.102941086907</v>
      </c>
      <c r="V97" s="133">
        <f t="shared" ref="V97:V116" si="94">TREND(H97:I97,H$4:I$4,V$4)</f>
        <v>718.648467153285</v>
      </c>
      <c r="X97" s="91">
        <v>28</v>
      </c>
      <c r="Y97" s="126">
        <v>87904</v>
      </c>
      <c r="Z97" s="91">
        <f>X97*3600</f>
        <v>100800</v>
      </c>
      <c r="AA97" s="154">
        <f>Y97/752034</f>
        <v>0.116888332176471</v>
      </c>
      <c r="AC97" s="813">
        <f>1/7.9</f>
        <v>0.126582278481013</v>
      </c>
    </row>
    <row r="98" s="91" customFormat="1" spans="1:22">
      <c r="A98" s="132">
        <v>82.5</v>
      </c>
      <c r="B98" s="133">
        <v>986.87</v>
      </c>
      <c r="C98" s="133">
        <v>981.98</v>
      </c>
      <c r="D98" s="133">
        <v>969.17</v>
      </c>
      <c r="E98" s="133">
        <v>941.38</v>
      </c>
      <c r="F98" s="133">
        <v>897.77</v>
      </c>
      <c r="G98" s="133">
        <v>836.98</v>
      </c>
      <c r="H98" s="133">
        <v>760.13</v>
      </c>
      <c r="I98" s="133">
        <v>705.33</v>
      </c>
      <c r="J98" s="133"/>
      <c r="K98" s="132">
        <f t="shared" si="82"/>
        <v>82.5</v>
      </c>
      <c r="L98" s="133">
        <f t="shared" si="84"/>
        <v>993.089798561151</v>
      </c>
      <c r="M98" s="133">
        <f t="shared" si="85"/>
        <v>973.021382778943</v>
      </c>
      <c r="N98" s="133">
        <f t="shared" si="86"/>
        <v>956.461433612203</v>
      </c>
      <c r="O98" s="133">
        <f t="shared" si="87"/>
        <v>941.530157485378</v>
      </c>
      <c r="P98" s="133">
        <f t="shared" si="88"/>
        <v>918.512828275645</v>
      </c>
      <c r="Q98" s="133">
        <f t="shared" si="89"/>
        <v>898.123218825394</v>
      </c>
      <c r="R98" s="133">
        <f t="shared" si="90"/>
        <v>866.767723241989</v>
      </c>
      <c r="S98" s="133">
        <f t="shared" si="91"/>
        <v>837.701224861275</v>
      </c>
      <c r="T98" s="133">
        <f t="shared" si="92"/>
        <v>798.467882100325</v>
      </c>
      <c r="U98" s="133">
        <f t="shared" si="93"/>
        <v>761.305833732781</v>
      </c>
      <c r="V98" s="133">
        <f t="shared" si="94"/>
        <v>710.53</v>
      </c>
    </row>
    <row r="99" s="91" customFormat="1" spans="1:29">
      <c r="A99" s="132">
        <v>137.5</v>
      </c>
      <c r="B99" s="133">
        <v>977.53</v>
      </c>
      <c r="C99" s="133">
        <v>973.2</v>
      </c>
      <c r="D99" s="133">
        <v>961.52</v>
      </c>
      <c r="E99" s="133">
        <v>935.3</v>
      </c>
      <c r="F99" s="133">
        <v>892.77</v>
      </c>
      <c r="G99" s="133">
        <v>829.28</v>
      </c>
      <c r="H99" s="133">
        <v>746.81</v>
      </c>
      <c r="I99" s="133">
        <v>693.49</v>
      </c>
      <c r="J99" s="133"/>
      <c r="K99" s="132">
        <f t="shared" si="82"/>
        <v>137.5</v>
      </c>
      <c r="L99" s="133">
        <f t="shared" si="84"/>
        <v>983.037510791367</v>
      </c>
      <c r="M99" s="133">
        <f t="shared" si="85"/>
        <v>965.031643314446</v>
      </c>
      <c r="N99" s="133">
        <f t="shared" si="86"/>
        <v>949.529405876645</v>
      </c>
      <c r="O99" s="133">
        <f t="shared" si="87"/>
        <v>935.441674316899</v>
      </c>
      <c r="P99" s="133">
        <f t="shared" si="88"/>
        <v>912.999132918211</v>
      </c>
      <c r="Q99" s="133">
        <f t="shared" si="89"/>
        <v>893.114471374548</v>
      </c>
      <c r="R99" s="133">
        <f t="shared" si="90"/>
        <v>860.390750923407</v>
      </c>
      <c r="S99" s="133">
        <f t="shared" si="91"/>
        <v>830.033258207639</v>
      </c>
      <c r="T99" s="133">
        <f t="shared" si="92"/>
        <v>787.951511214233</v>
      </c>
      <c r="U99" s="133">
        <f t="shared" si="93"/>
        <v>748.071821833994</v>
      </c>
      <c r="V99" s="133">
        <f t="shared" si="94"/>
        <v>698.549562043796</v>
      </c>
      <c r="AC99" s="814">
        <f>1/19</f>
        <v>0.0526315789473684</v>
      </c>
    </row>
    <row r="100" s="91" customFormat="1" spans="1:22">
      <c r="A100" s="132">
        <v>192.5</v>
      </c>
      <c r="B100" s="133">
        <v>964.43</v>
      </c>
      <c r="C100" s="133">
        <v>960.52</v>
      </c>
      <c r="D100" s="133">
        <v>949.76</v>
      </c>
      <c r="E100" s="133">
        <v>924.89</v>
      </c>
      <c r="F100" s="133">
        <v>883.57</v>
      </c>
      <c r="G100" s="133">
        <v>820.08</v>
      </c>
      <c r="H100" s="133">
        <v>737.02</v>
      </c>
      <c r="I100" s="133">
        <v>685.2</v>
      </c>
      <c r="J100" s="133"/>
      <c r="K100" s="132">
        <f t="shared" si="82"/>
        <v>192.5</v>
      </c>
      <c r="L100" s="133">
        <f t="shared" si="84"/>
        <v>969.403294964029</v>
      </c>
      <c r="M100" s="133">
        <f t="shared" si="85"/>
        <v>952.995041272555</v>
      </c>
      <c r="N100" s="133">
        <f t="shared" si="86"/>
        <v>938.38677056263</v>
      </c>
      <c r="O100" s="133">
        <f t="shared" si="87"/>
        <v>925.024379872665</v>
      </c>
      <c r="P100" s="133">
        <f t="shared" si="88"/>
        <v>903.223603860346</v>
      </c>
      <c r="Q100" s="133">
        <f t="shared" si="89"/>
        <v>883.904670989803</v>
      </c>
      <c r="R100" s="133">
        <f t="shared" si="90"/>
        <v>851.190750923407</v>
      </c>
      <c r="S100" s="133">
        <f t="shared" si="91"/>
        <v>820.833258207639</v>
      </c>
      <c r="T100" s="133">
        <f t="shared" si="92"/>
        <v>778.455842384554</v>
      </c>
      <c r="U100" s="133">
        <f t="shared" si="93"/>
        <v>738.290849054584</v>
      </c>
      <c r="V100" s="133">
        <f t="shared" si="94"/>
        <v>690.117226277372</v>
      </c>
    </row>
    <row r="101" s="91" customFormat="1" spans="1:22">
      <c r="A101" s="132">
        <v>241.5</v>
      </c>
      <c r="B101" s="133">
        <v>950.37</v>
      </c>
      <c r="C101" s="133">
        <v>946.89</v>
      </c>
      <c r="D101" s="133">
        <v>937.08</v>
      </c>
      <c r="E101" s="133">
        <v>913.62</v>
      </c>
      <c r="F101" s="133">
        <v>873.57</v>
      </c>
      <c r="G101" s="133">
        <v>811.17</v>
      </c>
      <c r="H101" s="133">
        <v>729.94</v>
      </c>
      <c r="I101" s="133">
        <v>680.39</v>
      </c>
      <c r="J101" s="133"/>
      <c r="K101" s="132">
        <f t="shared" si="82"/>
        <v>241.5</v>
      </c>
      <c r="L101" s="133">
        <f t="shared" si="84"/>
        <v>954.79635971223</v>
      </c>
      <c r="M101" s="133">
        <f t="shared" si="85"/>
        <v>940.029419598863</v>
      </c>
      <c r="N101" s="133">
        <f t="shared" si="86"/>
        <v>926.351573679104</v>
      </c>
      <c r="O101" s="133">
        <f t="shared" si="87"/>
        <v>913.74676123091</v>
      </c>
      <c r="P101" s="133">
        <f t="shared" si="88"/>
        <v>892.619536171511</v>
      </c>
      <c r="Q101" s="133">
        <f t="shared" si="89"/>
        <v>873.894384635566</v>
      </c>
      <c r="R101" s="133">
        <f t="shared" si="90"/>
        <v>841.746639748316</v>
      </c>
      <c r="S101" s="133">
        <f t="shared" si="91"/>
        <v>811.91032622707</v>
      </c>
      <c r="T101" s="133">
        <f t="shared" si="92"/>
        <v>770.462916890168</v>
      </c>
      <c r="U101" s="133">
        <f t="shared" si="93"/>
        <v>731.182849370381</v>
      </c>
      <c r="V101" s="133">
        <f t="shared" si="94"/>
        <v>685.091824817518</v>
      </c>
    </row>
    <row r="102" s="91" customFormat="1" spans="1:22">
      <c r="A102" s="132">
        <v>296.5</v>
      </c>
      <c r="B102" s="133">
        <v>931.89</v>
      </c>
      <c r="C102" s="133">
        <v>929</v>
      </c>
      <c r="D102" s="133">
        <v>920.47</v>
      </c>
      <c r="E102" s="133">
        <v>899.11</v>
      </c>
      <c r="F102" s="133">
        <v>861.22</v>
      </c>
      <c r="G102" s="133">
        <v>801.4</v>
      </c>
      <c r="H102" s="133">
        <v>726.12</v>
      </c>
      <c r="I102" s="133">
        <v>682.72</v>
      </c>
      <c r="J102" s="133"/>
      <c r="K102" s="132">
        <f t="shared" si="82"/>
        <v>296.5</v>
      </c>
      <c r="L102" s="133">
        <f t="shared" si="84"/>
        <v>935.565913669065</v>
      </c>
      <c r="M102" s="133">
        <f t="shared" si="85"/>
        <v>923.034581975362</v>
      </c>
      <c r="N102" s="133">
        <f t="shared" si="86"/>
        <v>910.701918746192</v>
      </c>
      <c r="O102" s="133">
        <f t="shared" si="87"/>
        <v>899.225414317657</v>
      </c>
      <c r="P102" s="133">
        <f t="shared" si="88"/>
        <v>879.242145456643</v>
      </c>
      <c r="Q102" s="133">
        <f t="shared" si="89"/>
        <v>861.526889733873</v>
      </c>
      <c r="R102" s="133">
        <f t="shared" si="90"/>
        <v>830.712413297184</v>
      </c>
      <c r="S102" s="133">
        <f t="shared" si="91"/>
        <v>802.109716584989</v>
      </c>
      <c r="T102" s="133">
        <f t="shared" si="92"/>
        <v>763.674661867436</v>
      </c>
      <c r="U102" s="133">
        <f t="shared" si="93"/>
        <v>727.271812145787</v>
      </c>
      <c r="V102" s="133">
        <f t="shared" si="94"/>
        <v>686.838248175182</v>
      </c>
    </row>
    <row r="103" s="91" customFormat="1" spans="1:22">
      <c r="A103" s="132">
        <v>357.5</v>
      </c>
      <c r="B103" s="133">
        <v>907.59</v>
      </c>
      <c r="C103" s="133">
        <v>905.27</v>
      </c>
      <c r="D103" s="133">
        <v>898.28</v>
      </c>
      <c r="E103" s="133">
        <v>880.21</v>
      </c>
      <c r="F103" s="133">
        <v>846.87</v>
      </c>
      <c r="G103" s="133">
        <v>792.41</v>
      </c>
      <c r="H103" s="133">
        <v>721.42</v>
      </c>
      <c r="I103" s="133">
        <v>678.89</v>
      </c>
      <c r="J103" s="133"/>
      <c r="K103" s="132">
        <f t="shared" si="82"/>
        <v>357.5</v>
      </c>
      <c r="L103" s="133">
        <f t="shared" si="84"/>
        <v>910.54090647482</v>
      </c>
      <c r="M103" s="133">
        <f t="shared" si="85"/>
        <v>900.381574209587</v>
      </c>
      <c r="N103" s="133">
        <f t="shared" si="86"/>
        <v>890.016459351296</v>
      </c>
      <c r="O103" s="133">
        <f t="shared" si="87"/>
        <v>880.307637486894</v>
      </c>
      <c r="P103" s="133">
        <f t="shared" si="88"/>
        <v>862.727965941528</v>
      </c>
      <c r="Q103" s="133">
        <f t="shared" si="89"/>
        <v>847.140037047435</v>
      </c>
      <c r="R103" s="133">
        <f t="shared" si="90"/>
        <v>819.095958344444</v>
      </c>
      <c r="S103" s="133">
        <f t="shared" si="91"/>
        <v>793.056124460356</v>
      </c>
      <c r="T103" s="133">
        <f t="shared" si="92"/>
        <v>756.834525052727</v>
      </c>
      <c r="U103" s="133">
        <f t="shared" si="93"/>
        <v>722.506173541836</v>
      </c>
      <c r="V103" s="133">
        <f t="shared" si="94"/>
        <v>682.925693430657</v>
      </c>
    </row>
    <row r="104" s="91" customFormat="1" spans="1:22">
      <c r="A104" s="132">
        <v>412.5</v>
      </c>
      <c r="B104" s="133">
        <v>883.03</v>
      </c>
      <c r="C104" s="133">
        <v>881.2</v>
      </c>
      <c r="D104" s="133">
        <v>875.58</v>
      </c>
      <c r="E104" s="133">
        <v>860.61</v>
      </c>
      <c r="F104" s="133">
        <v>832.21</v>
      </c>
      <c r="G104" s="133">
        <v>783.39</v>
      </c>
      <c r="H104" s="133">
        <v>715.93</v>
      </c>
      <c r="I104" s="133">
        <v>674.2</v>
      </c>
      <c r="J104" s="133"/>
      <c r="K104" s="132">
        <f t="shared" si="82"/>
        <v>412.5</v>
      </c>
      <c r="L104" s="133">
        <f t="shared" si="84"/>
        <v>885.357654676259</v>
      </c>
      <c r="M104" s="133">
        <f t="shared" si="85"/>
        <v>877.269677690684</v>
      </c>
      <c r="N104" s="133">
        <f t="shared" si="86"/>
        <v>868.734111593188</v>
      </c>
      <c r="O104" s="133">
        <f t="shared" si="87"/>
        <v>860.690887281616</v>
      </c>
      <c r="P104" s="133">
        <f t="shared" si="88"/>
        <v>845.718285325117</v>
      </c>
      <c r="Q104" s="133">
        <f t="shared" si="89"/>
        <v>832.440025559303</v>
      </c>
      <c r="R104" s="133">
        <f t="shared" si="90"/>
        <v>807.312300521039</v>
      </c>
      <c r="S104" s="133">
        <f t="shared" si="91"/>
        <v>783.969210359063</v>
      </c>
      <c r="T104" s="133">
        <f t="shared" si="92"/>
        <v>749.583526694703</v>
      </c>
      <c r="U104" s="133">
        <f t="shared" si="93"/>
        <v>716.962163222035</v>
      </c>
      <c r="V104" s="133">
        <f t="shared" si="94"/>
        <v>678.159781021898</v>
      </c>
    </row>
    <row r="105" s="91" customFormat="1" spans="1:22">
      <c r="A105" s="132">
        <v>467.5</v>
      </c>
      <c r="B105" s="133">
        <v>856.17</v>
      </c>
      <c r="C105" s="133">
        <v>854.8</v>
      </c>
      <c r="D105" s="133">
        <v>850.44</v>
      </c>
      <c r="E105" s="133">
        <v>838.5</v>
      </c>
      <c r="F105" s="133">
        <v>815.17</v>
      </c>
      <c r="G105" s="133">
        <v>772.31</v>
      </c>
      <c r="H105" s="133">
        <v>708.8</v>
      </c>
      <c r="I105" s="133">
        <v>668.3</v>
      </c>
      <c r="J105" s="133"/>
      <c r="K105" s="132">
        <f t="shared" si="82"/>
        <v>467.5</v>
      </c>
      <c r="L105" s="133">
        <f t="shared" si="84"/>
        <v>857.912561151079</v>
      </c>
      <c r="M105" s="133">
        <f t="shared" si="85"/>
        <v>851.75085315505</v>
      </c>
      <c r="N105" s="133">
        <f t="shared" si="86"/>
        <v>844.979752332843</v>
      </c>
      <c r="O105" s="133">
        <f t="shared" si="87"/>
        <v>838.56451530678</v>
      </c>
      <c r="P105" s="133">
        <f t="shared" si="88"/>
        <v>826.266771008274</v>
      </c>
      <c r="Q105" s="133">
        <f t="shared" si="89"/>
        <v>815.358961137273</v>
      </c>
      <c r="R105" s="133">
        <f t="shared" si="90"/>
        <v>793.311839416872</v>
      </c>
      <c r="S105" s="133">
        <f t="shared" si="91"/>
        <v>772.818499713016</v>
      </c>
      <c r="T105" s="133">
        <f t="shared" si="92"/>
        <v>740.483004452722</v>
      </c>
      <c r="U105" s="133">
        <f t="shared" si="93"/>
        <v>709.771726745204</v>
      </c>
      <c r="V105" s="133">
        <f t="shared" si="94"/>
        <v>672.143065693431</v>
      </c>
    </row>
    <row r="106" s="91" customFormat="1" spans="1:22">
      <c r="A106" s="132">
        <v>522.5</v>
      </c>
      <c r="B106" s="133">
        <v>827.33</v>
      </c>
      <c r="C106" s="133">
        <v>826.34</v>
      </c>
      <c r="D106" s="133">
        <v>823.13</v>
      </c>
      <c r="E106" s="133">
        <v>814.06</v>
      </c>
      <c r="F106" s="133">
        <v>795.78</v>
      </c>
      <c r="G106" s="133">
        <v>759</v>
      </c>
      <c r="H106" s="133">
        <v>699.72</v>
      </c>
      <c r="I106" s="133">
        <v>660.67</v>
      </c>
      <c r="J106" s="133"/>
      <c r="K106" s="132">
        <f t="shared" si="82"/>
        <v>522.5</v>
      </c>
      <c r="L106" s="133">
        <f t="shared" si="84"/>
        <v>828.589223021583</v>
      </c>
      <c r="M106" s="133">
        <f t="shared" si="85"/>
        <v>824.095100602686</v>
      </c>
      <c r="N106" s="133">
        <f t="shared" si="86"/>
        <v>818.98222392453</v>
      </c>
      <c r="O106" s="133">
        <f t="shared" si="87"/>
        <v>814.109007858668</v>
      </c>
      <c r="P106" s="133">
        <f t="shared" si="88"/>
        <v>804.47476956842</v>
      </c>
      <c r="Q106" s="133">
        <f t="shared" si="89"/>
        <v>795.928058705073</v>
      </c>
      <c r="R106" s="133">
        <f t="shared" si="90"/>
        <v>777.022577082421</v>
      </c>
      <c r="S106" s="133">
        <f t="shared" si="91"/>
        <v>759.436365362687</v>
      </c>
      <c r="T106" s="133">
        <f t="shared" si="92"/>
        <v>729.292799621435</v>
      </c>
      <c r="U106" s="133">
        <f t="shared" si="93"/>
        <v>700.627006163686</v>
      </c>
      <c r="V106" s="133">
        <f t="shared" si="94"/>
        <v>664.375474452555</v>
      </c>
    </row>
    <row r="107" s="91" customFormat="1" spans="1:22">
      <c r="A107" s="132">
        <v>577.5</v>
      </c>
      <c r="B107" s="133">
        <v>796.72</v>
      </c>
      <c r="C107" s="133">
        <v>796.02</v>
      </c>
      <c r="D107" s="133">
        <v>793.71</v>
      </c>
      <c r="E107" s="133">
        <v>787.15</v>
      </c>
      <c r="F107" s="133">
        <v>773.59</v>
      </c>
      <c r="G107" s="133">
        <v>743.58</v>
      </c>
      <c r="H107" s="133">
        <v>683.3</v>
      </c>
      <c r="I107" s="133">
        <v>637.07</v>
      </c>
      <c r="J107" s="133"/>
      <c r="K107" s="132">
        <f t="shared" si="82"/>
        <v>577.5</v>
      </c>
      <c r="L107" s="133">
        <f t="shared" si="84"/>
        <v>797.61035971223</v>
      </c>
      <c r="M107" s="133">
        <f t="shared" si="85"/>
        <v>794.404511648662</v>
      </c>
      <c r="N107" s="133">
        <f t="shared" si="86"/>
        <v>790.710064933287</v>
      </c>
      <c r="O107" s="133">
        <f t="shared" si="87"/>
        <v>787.185445595685</v>
      </c>
      <c r="P107" s="133">
        <f t="shared" si="88"/>
        <v>780.039730598894</v>
      </c>
      <c r="Q107" s="133">
        <f t="shared" si="89"/>
        <v>773.699829105076</v>
      </c>
      <c r="R107" s="133">
        <f t="shared" si="90"/>
        <v>758.28520767383</v>
      </c>
      <c r="S107" s="133">
        <f t="shared" si="91"/>
        <v>743.93604471273</v>
      </c>
      <c r="T107" s="133">
        <f t="shared" si="92"/>
        <v>713.37166601181</v>
      </c>
      <c r="U107" s="133">
        <f t="shared" si="93"/>
        <v>684.222306537567</v>
      </c>
      <c r="V107" s="133">
        <f t="shared" si="94"/>
        <v>641.456788321168</v>
      </c>
    </row>
    <row r="108" s="91" customFormat="1" spans="1:22">
      <c r="A108" s="132">
        <v>632.5</v>
      </c>
      <c r="B108" s="133">
        <v>764.86</v>
      </c>
      <c r="C108" s="133">
        <v>764.34</v>
      </c>
      <c r="D108" s="133">
        <v>762.6</v>
      </c>
      <c r="E108" s="133">
        <v>757.73</v>
      </c>
      <c r="F108" s="133">
        <v>747.67</v>
      </c>
      <c r="G108" s="133">
        <v>720.74</v>
      </c>
      <c r="H108" s="133">
        <v>665.07</v>
      </c>
      <c r="I108" s="133">
        <v>623.27</v>
      </c>
      <c r="J108" s="133"/>
      <c r="K108" s="132">
        <f t="shared" si="82"/>
        <v>632.5</v>
      </c>
      <c r="L108" s="133">
        <f t="shared" si="84"/>
        <v>765.521410071942</v>
      </c>
      <c r="M108" s="133">
        <f t="shared" si="85"/>
        <v>763.123138644447</v>
      </c>
      <c r="N108" s="133">
        <f t="shared" si="86"/>
        <v>760.372914058706</v>
      </c>
      <c r="O108" s="133">
        <f t="shared" si="87"/>
        <v>757.756314032162</v>
      </c>
      <c r="P108" s="133">
        <f t="shared" si="88"/>
        <v>752.454977125728</v>
      </c>
      <c r="Q108" s="133">
        <f t="shared" si="89"/>
        <v>747.751480884739</v>
      </c>
      <c r="R108" s="133">
        <f t="shared" si="90"/>
        <v>733.935976096509</v>
      </c>
      <c r="S108" s="133">
        <f t="shared" si="91"/>
        <v>721.059502969471</v>
      </c>
      <c r="T108" s="133">
        <f t="shared" si="92"/>
        <v>692.841891952181</v>
      </c>
      <c r="U108" s="133">
        <f t="shared" si="93"/>
        <v>665.921771813974</v>
      </c>
      <c r="V108" s="133">
        <f t="shared" si="94"/>
        <v>627.236423357664</v>
      </c>
    </row>
    <row r="109" s="91" customFormat="1" ht="13.5" customHeight="1" spans="1:22">
      <c r="A109" s="132">
        <v>687.5</v>
      </c>
      <c r="B109" s="133">
        <v>732.62</v>
      </c>
      <c r="C109" s="133">
        <v>732.26</v>
      </c>
      <c r="D109" s="133">
        <v>731.02</v>
      </c>
      <c r="E109" s="133">
        <v>727.39</v>
      </c>
      <c r="F109" s="133">
        <v>719.4</v>
      </c>
      <c r="G109" s="133">
        <v>696.44</v>
      </c>
      <c r="H109" s="133">
        <v>646.62</v>
      </c>
      <c r="I109" s="133">
        <v>608</v>
      </c>
      <c r="J109" s="133"/>
      <c r="K109" s="132">
        <f t="shared" si="82"/>
        <v>687.5</v>
      </c>
      <c r="L109" s="133">
        <f t="shared" si="84"/>
        <v>733.077899280576</v>
      </c>
      <c r="M109" s="133">
        <f t="shared" si="85"/>
        <v>731.392811447767</v>
      </c>
      <c r="N109" s="133">
        <f t="shared" si="86"/>
        <v>729.359974955462</v>
      </c>
      <c r="O109" s="133">
        <f t="shared" si="87"/>
        <v>727.409613950051</v>
      </c>
      <c r="P109" s="133">
        <f t="shared" si="88"/>
        <v>723.200394357313</v>
      </c>
      <c r="Q109" s="133">
        <f t="shared" si="89"/>
        <v>719.464714937283</v>
      </c>
      <c r="R109" s="133">
        <f t="shared" si="90"/>
        <v>707.690635394573</v>
      </c>
      <c r="S109" s="133">
        <f t="shared" si="91"/>
        <v>696.712402086114</v>
      </c>
      <c r="T109" s="133">
        <f t="shared" si="92"/>
        <v>671.473523568487</v>
      </c>
      <c r="U109" s="133">
        <f t="shared" si="93"/>
        <v>647.382264626768</v>
      </c>
      <c r="V109" s="133">
        <f t="shared" si="94"/>
        <v>611.664671532847</v>
      </c>
    </row>
    <row r="110" s="91" customFormat="1" ht="13.5" customHeight="1" spans="1:22">
      <c r="A110" s="132">
        <v>742.5</v>
      </c>
      <c r="B110" s="133">
        <v>699.82</v>
      </c>
      <c r="C110" s="133">
        <v>699.58</v>
      </c>
      <c r="D110" s="133">
        <v>698.7</v>
      </c>
      <c r="E110" s="133">
        <v>696.11</v>
      </c>
      <c r="F110" s="133">
        <v>690.39</v>
      </c>
      <c r="G110" s="133">
        <v>671.36</v>
      </c>
      <c r="H110" s="133">
        <v>627.24</v>
      </c>
      <c r="I110" s="133">
        <v>591.17</v>
      </c>
      <c r="J110" s="133"/>
      <c r="K110" s="132">
        <f t="shared" si="82"/>
        <v>742.5</v>
      </c>
      <c r="L110" s="133">
        <f t="shared" si="84"/>
        <v>700.12526618705</v>
      </c>
      <c r="M110" s="133">
        <f t="shared" si="85"/>
        <v>698.964575866157</v>
      </c>
      <c r="N110" s="133">
        <f t="shared" si="86"/>
        <v>697.515574417258</v>
      </c>
      <c r="O110" s="133">
        <f t="shared" si="87"/>
        <v>696.123994526345</v>
      </c>
      <c r="P110" s="133">
        <f t="shared" si="88"/>
        <v>693.110682819002</v>
      </c>
      <c r="Q110" s="133">
        <f t="shared" si="89"/>
        <v>690.436329091522</v>
      </c>
      <c r="R110" s="133">
        <f t="shared" si="90"/>
        <v>680.684895102732</v>
      </c>
      <c r="S110" s="133">
        <f t="shared" si="91"/>
        <v>671.585775770852</v>
      </c>
      <c r="T110" s="133">
        <f t="shared" si="92"/>
        <v>649.249985143349</v>
      </c>
      <c r="U110" s="133">
        <f t="shared" si="93"/>
        <v>627.915052495645</v>
      </c>
      <c r="V110" s="133">
        <f t="shared" si="94"/>
        <v>594.592700729927</v>
      </c>
    </row>
    <row r="111" s="91" customFormat="1" spans="1:27">
      <c r="A111" s="132">
        <v>797.5</v>
      </c>
      <c r="B111" s="133">
        <v>666.68</v>
      </c>
      <c r="C111" s="133">
        <v>666.52</v>
      </c>
      <c r="D111" s="133">
        <v>665.92</v>
      </c>
      <c r="E111" s="133">
        <v>664.12</v>
      </c>
      <c r="F111" s="133">
        <v>660.16</v>
      </c>
      <c r="G111" s="133">
        <v>645.44</v>
      </c>
      <c r="H111" s="133">
        <v>606.65</v>
      </c>
      <c r="I111" s="133">
        <v>572.43</v>
      </c>
      <c r="J111" s="133"/>
      <c r="K111" s="132">
        <f t="shared" si="82"/>
        <v>797.5</v>
      </c>
      <c r="L111" s="133">
        <f t="shared" si="84"/>
        <v>666.883510791367</v>
      </c>
      <c r="M111" s="133">
        <f t="shared" si="85"/>
        <v>666.100392636016</v>
      </c>
      <c r="N111" s="133">
        <f t="shared" si="86"/>
        <v>665.096847085353</v>
      </c>
      <c r="O111" s="133">
        <f t="shared" si="87"/>
        <v>664.129725925645</v>
      </c>
      <c r="P111" s="133">
        <f t="shared" si="88"/>
        <v>662.043549643925</v>
      </c>
      <c r="Q111" s="133">
        <f t="shared" si="89"/>
        <v>660.192073986438</v>
      </c>
      <c r="R111" s="133">
        <f t="shared" si="90"/>
        <v>652.652950914987</v>
      </c>
      <c r="S111" s="133">
        <f t="shared" si="91"/>
        <v>645.614641058693</v>
      </c>
      <c r="T111" s="133">
        <f t="shared" si="92"/>
        <v>626.001027282649</v>
      </c>
      <c r="U111" s="133">
        <f t="shared" si="93"/>
        <v>607.243501502857</v>
      </c>
      <c r="V111" s="133">
        <f t="shared" si="94"/>
        <v>575.677153284672</v>
      </c>
      <c r="X111" s="373" t="s">
        <v>146</v>
      </c>
      <c r="Y111" s="126">
        <f>Y108*4/1000</f>
        <v>0</v>
      </c>
      <c r="AA111" s="154"/>
    </row>
    <row r="112" s="91" customFormat="1" spans="1:27">
      <c r="A112" s="132">
        <v>852.5</v>
      </c>
      <c r="B112" s="133">
        <v>633.42</v>
      </c>
      <c r="C112" s="133">
        <v>633.28</v>
      </c>
      <c r="D112" s="133">
        <v>632.86</v>
      </c>
      <c r="E112" s="133">
        <v>631.66</v>
      </c>
      <c r="F112" s="133">
        <v>629.14</v>
      </c>
      <c r="G112" s="133">
        <v>618.14</v>
      </c>
      <c r="H112" s="133">
        <v>584.36</v>
      </c>
      <c r="I112" s="133">
        <v>551.72</v>
      </c>
      <c r="J112" s="133"/>
      <c r="K112" s="132">
        <f t="shared" si="82"/>
        <v>852.5</v>
      </c>
      <c r="L112" s="133">
        <f t="shared" si="84"/>
        <v>633.598071942446</v>
      </c>
      <c r="M112" s="133">
        <f t="shared" si="85"/>
        <v>632.986274845211</v>
      </c>
      <c r="N112" s="133">
        <f t="shared" si="86"/>
        <v>632.311231390235</v>
      </c>
      <c r="O112" s="133">
        <f t="shared" si="87"/>
        <v>631.66648395043</v>
      </c>
      <c r="P112" s="133">
        <f t="shared" si="88"/>
        <v>630.338622500679</v>
      </c>
      <c r="Q112" s="133">
        <f t="shared" si="89"/>
        <v>629.160410718642</v>
      </c>
      <c r="R112" s="133">
        <f t="shared" si="90"/>
        <v>623.530112776146</v>
      </c>
      <c r="S112" s="133">
        <f t="shared" si="91"/>
        <v>618.270506225926</v>
      </c>
      <c r="T112" s="133">
        <f t="shared" si="92"/>
        <v>601.21170666687</v>
      </c>
      <c r="U112" s="133">
        <f t="shared" si="93"/>
        <v>584.876846629712</v>
      </c>
      <c r="V112" s="133">
        <f t="shared" si="94"/>
        <v>554.817226277372</v>
      </c>
      <c r="X112" s="373" t="s">
        <v>147</v>
      </c>
      <c r="Y112" s="91">
        <v>250</v>
      </c>
      <c r="Z112" s="373" t="s">
        <v>148</v>
      </c>
      <c r="AA112" s="815" t="s">
        <v>149</v>
      </c>
    </row>
    <row r="113" s="91" customFormat="1" spans="1:28">
      <c r="A113" s="132">
        <v>907.5</v>
      </c>
      <c r="B113" s="133">
        <v>600.55</v>
      </c>
      <c r="C113" s="133">
        <v>600.7</v>
      </c>
      <c r="D113" s="133">
        <v>600.5</v>
      </c>
      <c r="E113" s="133">
        <v>599.58</v>
      </c>
      <c r="F113" s="133">
        <v>597.59</v>
      </c>
      <c r="G113" s="133">
        <v>588.93</v>
      </c>
      <c r="H113" s="133">
        <v>559.29</v>
      </c>
      <c r="I113" s="133">
        <v>528.11</v>
      </c>
      <c r="J113" s="133"/>
      <c r="K113" s="132">
        <f t="shared" si="82"/>
        <v>907.5</v>
      </c>
      <c r="L113" s="133">
        <f t="shared" si="84"/>
        <v>600.359208633093</v>
      </c>
      <c r="M113" s="133">
        <f t="shared" si="85"/>
        <v>600.560130878672</v>
      </c>
      <c r="N113" s="133">
        <f t="shared" si="86"/>
        <v>600.079277399181</v>
      </c>
      <c r="O113" s="133">
        <f t="shared" si="87"/>
        <v>599.584971028663</v>
      </c>
      <c r="P113" s="133">
        <f t="shared" si="88"/>
        <v>598.536531260457</v>
      </c>
      <c r="Q113" s="133">
        <f t="shared" si="89"/>
        <v>597.606117988134</v>
      </c>
      <c r="R113" s="133">
        <f t="shared" si="90"/>
        <v>593.173488785584</v>
      </c>
      <c r="S113" s="133">
        <f t="shared" si="91"/>
        <v>589.032743992411</v>
      </c>
      <c r="T113" s="133">
        <f t="shared" si="92"/>
        <v>574.076399810717</v>
      </c>
      <c r="U113" s="133">
        <f t="shared" si="93"/>
        <v>559.743503081843</v>
      </c>
      <c r="V113" s="133">
        <f t="shared" si="94"/>
        <v>531.068686131387</v>
      </c>
      <c r="X113" s="91" t="s">
        <v>151</v>
      </c>
      <c r="Y113" s="91">
        <v>6.9</v>
      </c>
      <c r="Z113" s="91">
        <v>150</v>
      </c>
      <c r="AA113" s="816">
        <f t="shared" ref="AA113:AA117" si="95">0.101+(Z113+273)/(Y$112+273)*Y$114/Y$115*Y$113</f>
        <v>0.109027457331013</v>
      </c>
      <c r="AB113" s="369">
        <f t="shared" ref="AB113:AB117" si="96">AA113/0.101-1</f>
        <v>0.079479775554582</v>
      </c>
    </row>
    <row r="114" s="91" customFormat="1" spans="1:28">
      <c r="A114" s="132">
        <v>962.5</v>
      </c>
      <c r="B114" s="133">
        <v>568.65</v>
      </c>
      <c r="C114" s="133">
        <v>567.36</v>
      </c>
      <c r="D114" s="133">
        <v>566.19</v>
      </c>
      <c r="E114" s="133">
        <v>565.64</v>
      </c>
      <c r="F114" s="133">
        <v>564.57</v>
      </c>
      <c r="G114" s="133">
        <v>558.07</v>
      </c>
      <c r="H114" s="133">
        <v>532.7</v>
      </c>
      <c r="I114" s="133">
        <v>503.03</v>
      </c>
      <c r="J114" s="133"/>
      <c r="K114" s="132">
        <f t="shared" si="82"/>
        <v>962.5</v>
      </c>
      <c r="L114" s="133">
        <f t="shared" si="84"/>
        <v>570.290805755396</v>
      </c>
      <c r="M114" s="133">
        <f t="shared" si="85"/>
        <v>566.541765640231</v>
      </c>
      <c r="N114" s="133">
        <f t="shared" si="86"/>
        <v>565.938481053858</v>
      </c>
      <c r="O114" s="133">
        <f t="shared" si="87"/>
        <v>565.642971810614</v>
      </c>
      <c r="P114" s="133">
        <f t="shared" si="88"/>
        <v>565.078938918939</v>
      </c>
      <c r="Q114" s="133">
        <f t="shared" si="89"/>
        <v>564.578666455932</v>
      </c>
      <c r="R114" s="133">
        <f t="shared" si="90"/>
        <v>561.25506664045</v>
      </c>
      <c r="S114" s="133">
        <f t="shared" si="91"/>
        <v>558.14711731532</v>
      </c>
      <c r="T114" s="133">
        <f t="shared" si="92"/>
        <v>545.356240323816</v>
      </c>
      <c r="U114" s="133">
        <f t="shared" si="93"/>
        <v>533.08817048537</v>
      </c>
      <c r="V114" s="133">
        <f t="shared" si="94"/>
        <v>505.845401459854</v>
      </c>
      <c r="X114" s="91" t="s">
        <v>152</v>
      </c>
      <c r="Y114" s="91">
        <f>500/7.9</f>
        <v>63.2911392405063</v>
      </c>
      <c r="Z114" s="91">
        <v>100</v>
      </c>
      <c r="AA114" s="816">
        <f t="shared" si="95"/>
        <v>0.10807858530607</v>
      </c>
      <c r="AB114" s="369">
        <f t="shared" si="96"/>
        <v>0.0700850030303997</v>
      </c>
    </row>
    <row r="115" s="91" customFormat="1" spans="1:28">
      <c r="A115" s="132">
        <v>1017.5</v>
      </c>
      <c r="B115" s="133">
        <v>528.11</v>
      </c>
      <c r="C115" s="133">
        <v>529.88</v>
      </c>
      <c r="D115" s="133">
        <v>530.7</v>
      </c>
      <c r="E115" s="133">
        <v>530.92</v>
      </c>
      <c r="F115" s="133">
        <v>532.6</v>
      </c>
      <c r="G115" s="133">
        <v>524.92</v>
      </c>
      <c r="H115" s="133">
        <v>502.92</v>
      </c>
      <c r="I115" s="133">
        <v>476.27</v>
      </c>
      <c r="J115" s="133"/>
      <c r="K115" s="132">
        <f t="shared" si="82"/>
        <v>1017.5</v>
      </c>
      <c r="L115" s="133">
        <f t="shared" si="84"/>
        <v>525.858661870504</v>
      </c>
      <c r="M115" s="133">
        <f t="shared" si="85"/>
        <v>530.453463397445</v>
      </c>
      <c r="N115" s="133">
        <f t="shared" si="86"/>
        <v>530.800607578457</v>
      </c>
      <c r="O115" s="133">
        <f t="shared" si="87"/>
        <v>530.918811275754</v>
      </c>
      <c r="P115" s="133">
        <f t="shared" si="88"/>
        <v>531.80091833288</v>
      </c>
      <c r="Q115" s="133">
        <f t="shared" si="89"/>
        <v>532.586392854238</v>
      </c>
      <c r="R115" s="133">
        <f t="shared" si="90"/>
        <v>528.683278738254</v>
      </c>
      <c r="S115" s="133">
        <f t="shared" si="91"/>
        <v>525.011117074101</v>
      </c>
      <c r="T115" s="133">
        <f t="shared" si="92"/>
        <v>513.895060588252</v>
      </c>
      <c r="U115" s="133">
        <f t="shared" si="93"/>
        <v>503.256608225389</v>
      </c>
      <c r="V115" s="133">
        <f t="shared" si="94"/>
        <v>478.798832116788</v>
      </c>
      <c r="X115" s="91" t="s">
        <v>153</v>
      </c>
      <c r="Y115" s="91">
        <v>44000</v>
      </c>
      <c r="Z115" s="91">
        <v>50</v>
      </c>
      <c r="AA115" s="816">
        <f t="shared" si="95"/>
        <v>0.107129713281128</v>
      </c>
      <c r="AB115" s="369">
        <f t="shared" si="96"/>
        <v>0.0606902305062174</v>
      </c>
    </row>
    <row r="116" s="91" customFormat="1" spans="1:28">
      <c r="A116" s="132">
        <v>1072.5</v>
      </c>
      <c r="B116" s="133">
        <v>507.68</v>
      </c>
      <c r="C116" s="133">
        <v>502.31</v>
      </c>
      <c r="D116" s="133">
        <v>493.82</v>
      </c>
      <c r="E116" s="133">
        <v>494.62</v>
      </c>
      <c r="F116" s="133">
        <v>491.26</v>
      </c>
      <c r="G116" s="133">
        <v>484.05</v>
      </c>
      <c r="H116" s="133">
        <v>467.3</v>
      </c>
      <c r="I116" s="133">
        <v>447.1</v>
      </c>
      <c r="J116" s="133"/>
      <c r="K116" s="132">
        <f t="shared" si="82"/>
        <v>1072.5</v>
      </c>
      <c r="L116" s="133">
        <f t="shared" si="84"/>
        <v>514.510330935252</v>
      </c>
      <c r="M116" s="133">
        <f t="shared" si="85"/>
        <v>496.372555799628</v>
      </c>
      <c r="N116" s="133">
        <f t="shared" si="86"/>
        <v>494.185845739843</v>
      </c>
      <c r="O116" s="133">
        <f t="shared" si="87"/>
        <v>494.61567736638</v>
      </c>
      <c r="P116" s="133">
        <f t="shared" si="88"/>
        <v>492.858163334239</v>
      </c>
      <c r="Q116" s="133">
        <f t="shared" si="89"/>
        <v>491.287214291523</v>
      </c>
      <c r="R116" s="133">
        <f t="shared" si="90"/>
        <v>487.582973919637</v>
      </c>
      <c r="S116" s="133">
        <f t="shared" si="91"/>
        <v>484.135540898993</v>
      </c>
      <c r="T116" s="133">
        <f t="shared" si="92"/>
        <v>475.656012038783</v>
      </c>
      <c r="U116" s="133">
        <f t="shared" si="93"/>
        <v>467.556281262512</v>
      </c>
      <c r="V116" s="133">
        <f t="shared" si="94"/>
        <v>449.016788321168</v>
      </c>
      <c r="Z116" s="91">
        <v>30</v>
      </c>
      <c r="AA116" s="816">
        <f t="shared" si="95"/>
        <v>0.106750164471151</v>
      </c>
      <c r="AB116" s="369">
        <f t="shared" si="96"/>
        <v>0.0569323214965445</v>
      </c>
    </row>
    <row r="117" s="91" customFormat="1" spans="1:28">
      <c r="A117" s="129"/>
      <c r="B117" s="129"/>
      <c r="C117" s="129"/>
      <c r="D117" s="129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Z117" s="91">
        <v>25</v>
      </c>
      <c r="AA117" s="816">
        <f t="shared" si="95"/>
        <v>0.106655277268657</v>
      </c>
      <c r="AB117" s="369">
        <f t="shared" si="96"/>
        <v>0.0559928442441262</v>
      </c>
    </row>
    <row r="118" s="91" customFormat="1" spans="1:22">
      <c r="A118" s="129" t="s">
        <v>138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 t="s">
        <v>140</v>
      </c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</row>
    <row r="119" s="91" customFormat="1" spans="1:22">
      <c r="A119" s="132" t="s">
        <v>128</v>
      </c>
      <c r="B119" s="133">
        <v>17.68</v>
      </c>
      <c r="C119" s="133">
        <v>31.58</v>
      </c>
      <c r="D119" s="133">
        <v>54.25</v>
      </c>
      <c r="E119" s="133">
        <v>82.31</v>
      </c>
      <c r="F119" s="133">
        <v>106.26</v>
      </c>
      <c r="G119" s="133">
        <v>125.73</v>
      </c>
      <c r="H119" s="133">
        <v>142.56</v>
      </c>
      <c r="I119" s="133">
        <v>150.78</v>
      </c>
      <c r="J119" s="133"/>
      <c r="K119" s="132" t="str">
        <f t="shared" ref="K119:K139" si="97">A119</f>
        <v>R/Z[cm]</v>
      </c>
      <c r="L119" s="141">
        <v>0</v>
      </c>
      <c r="M119" s="141">
        <f t="shared" ref="M119:V119" si="98">SQRT(L119*L119+150*150/10)</f>
        <v>47.4341649025257</v>
      </c>
      <c r="N119" s="141">
        <f t="shared" si="98"/>
        <v>67.0820393249937</v>
      </c>
      <c r="O119" s="141">
        <f t="shared" si="98"/>
        <v>82.1583836257749</v>
      </c>
      <c r="P119" s="141">
        <f t="shared" si="98"/>
        <v>94.8683298050514</v>
      </c>
      <c r="Q119" s="141">
        <f t="shared" si="98"/>
        <v>106.066017177982</v>
      </c>
      <c r="R119" s="141">
        <f t="shared" si="98"/>
        <v>116.189500386223</v>
      </c>
      <c r="S119" s="141">
        <f t="shared" si="98"/>
        <v>125.499003980111</v>
      </c>
      <c r="T119" s="141">
        <f t="shared" si="98"/>
        <v>134.164078649987</v>
      </c>
      <c r="U119" s="141">
        <f t="shared" si="98"/>
        <v>142.302494707577</v>
      </c>
      <c r="V119" s="141">
        <f t="shared" si="98"/>
        <v>150</v>
      </c>
    </row>
    <row r="120" s="91" customFormat="1" spans="1:22">
      <c r="A120" s="132">
        <v>27.5</v>
      </c>
      <c r="B120" s="133">
        <v>950.77</v>
      </c>
      <c r="C120" s="133">
        <v>945.46</v>
      </c>
      <c r="D120" s="133">
        <v>931.34</v>
      </c>
      <c r="E120" s="133">
        <v>901.28</v>
      </c>
      <c r="F120" s="133">
        <v>865.27</v>
      </c>
      <c r="G120" s="133">
        <v>834.97</v>
      </c>
      <c r="H120" s="133">
        <v>797.23</v>
      </c>
      <c r="I120" s="133">
        <v>759.34</v>
      </c>
      <c r="J120" s="133"/>
      <c r="K120" s="132">
        <f t="shared" si="97"/>
        <v>27.5</v>
      </c>
      <c r="L120" s="133">
        <f t="shared" ref="L120:L139" si="99">TREND(B120:C120,B$4:C$4,L$4)</f>
        <v>957.524014388489</v>
      </c>
      <c r="M120" s="133">
        <f t="shared" ref="M120:M139" si="100">TREND(C120:D120,C$4:D$4,M$4)</f>
        <v>935.585240034245</v>
      </c>
      <c r="N120" s="133">
        <f t="shared" ref="N120:N139" si="101">TREND(D120:E120,D$4:E$4,N$4)</f>
        <v>917.593346325399</v>
      </c>
      <c r="O120" s="133">
        <f t="shared" ref="O120:O139" si="102">TREND(D120:E120,D$4:E$4,O$4)</f>
        <v>901.442422958275</v>
      </c>
      <c r="P120" s="133">
        <f t="shared" ref="P120:P139" si="103">TREND(E120:F120,E$4:F$4,P$4)</f>
        <v>882.397935019628</v>
      </c>
      <c r="Q120" s="133">
        <f t="shared" ref="Q120:Q139" si="104">TREND(E120:F120,E$4:F$4,Q$4)</f>
        <v>865.561662689806</v>
      </c>
      <c r="R120" s="133">
        <f t="shared" ref="R120:R139" si="105">TREND(F120:G120,F$4:G$4,R$4)</f>
        <v>849.817310647019</v>
      </c>
      <c r="S120" s="133">
        <f t="shared" ref="S120:S139" si="106">TREND(F120:G120,F$4:G$4,S$4)</f>
        <v>835.329485331414</v>
      </c>
      <c r="T120" s="133">
        <f t="shared" ref="T120:T139" si="107">TREND(G120:H120,G$4:H$4,T$4)</f>
        <v>816.057217572756</v>
      </c>
      <c r="U120" s="133">
        <f t="shared" ref="U120:U139" si="108">TREND(G120:H120,G$4:H$4,U$4)</f>
        <v>797.807436110282</v>
      </c>
      <c r="V120" s="133">
        <f t="shared" ref="V120:V139" si="109">TREND(H120:I120,H$4:I$4,V$4)</f>
        <v>762.935401459854</v>
      </c>
    </row>
    <row r="121" s="91" customFormat="1" spans="1:27">
      <c r="A121" s="132">
        <v>82.5</v>
      </c>
      <c r="B121" s="133">
        <v>957.96</v>
      </c>
      <c r="C121" s="133">
        <v>954.09</v>
      </c>
      <c r="D121" s="133">
        <v>943.71</v>
      </c>
      <c r="E121" s="133">
        <v>920.75</v>
      </c>
      <c r="F121" s="133">
        <v>884.57</v>
      </c>
      <c r="G121" s="133">
        <v>838.76</v>
      </c>
      <c r="H121" s="133">
        <v>786.21</v>
      </c>
      <c r="I121" s="133">
        <v>750.25</v>
      </c>
      <c r="J121" s="133"/>
      <c r="K121" s="132">
        <f t="shared" si="97"/>
        <v>82.5</v>
      </c>
      <c r="L121" s="133">
        <f t="shared" si="99"/>
        <v>962.882417266187</v>
      </c>
      <c r="M121" s="133">
        <f t="shared" si="100"/>
        <v>946.830792603078</v>
      </c>
      <c r="N121" s="133">
        <f t="shared" si="101"/>
        <v>933.210227266506</v>
      </c>
      <c r="O121" s="133">
        <f t="shared" si="102"/>
        <v>920.874059584897</v>
      </c>
      <c r="P121" s="133">
        <f t="shared" si="103"/>
        <v>901.778794474039</v>
      </c>
      <c r="Q121" s="133">
        <f t="shared" si="104"/>
        <v>884.863039603366</v>
      </c>
      <c r="R121" s="133">
        <f t="shared" si="105"/>
        <v>861.207369661384</v>
      </c>
      <c r="S121" s="133">
        <f t="shared" si="106"/>
        <v>839.303499109969</v>
      </c>
      <c r="T121" s="133">
        <f t="shared" si="107"/>
        <v>812.425428814211</v>
      </c>
      <c r="U121" s="133">
        <f t="shared" si="108"/>
        <v>787.014034647464</v>
      </c>
      <c r="V121" s="133">
        <f t="shared" si="109"/>
        <v>753.662262773723</v>
      </c>
      <c r="X121" s="373" t="s">
        <v>146</v>
      </c>
      <c r="Y121" s="126">
        <f>Y116*4/1000</f>
        <v>0</v>
      </c>
      <c r="AA121" s="154"/>
    </row>
    <row r="122" s="91" customFormat="1" spans="1:27">
      <c r="A122" s="132">
        <v>137.5</v>
      </c>
      <c r="B122" s="133">
        <v>952.93</v>
      </c>
      <c r="C122" s="133">
        <v>949.47</v>
      </c>
      <c r="D122" s="133">
        <v>939.92</v>
      </c>
      <c r="E122" s="133">
        <v>918.09</v>
      </c>
      <c r="F122" s="133">
        <v>882.52</v>
      </c>
      <c r="G122" s="133">
        <v>834.49</v>
      </c>
      <c r="H122" s="133">
        <v>778.29</v>
      </c>
      <c r="I122" s="133">
        <v>743.33</v>
      </c>
      <c r="J122" s="133"/>
      <c r="K122" s="132">
        <f t="shared" si="97"/>
        <v>137.5</v>
      </c>
      <c r="L122" s="133">
        <f t="shared" si="99"/>
        <v>957.330920863309</v>
      </c>
      <c r="M122" s="133">
        <f t="shared" si="100"/>
        <v>942.791249456589</v>
      </c>
      <c r="N122" s="133">
        <f t="shared" si="101"/>
        <v>929.936984374034</v>
      </c>
      <c r="O122" s="133">
        <f t="shared" si="102"/>
        <v>918.207953864909</v>
      </c>
      <c r="P122" s="133">
        <f t="shared" si="103"/>
        <v>899.438651725859</v>
      </c>
      <c r="Q122" s="133">
        <f t="shared" si="104"/>
        <v>882.808098913535</v>
      </c>
      <c r="R122" s="133">
        <f t="shared" si="105"/>
        <v>858.025192421661</v>
      </c>
      <c r="S122" s="133">
        <f t="shared" si="106"/>
        <v>835.059837639202</v>
      </c>
      <c r="T122" s="133">
        <f t="shared" si="107"/>
        <v>806.32629113908</v>
      </c>
      <c r="U122" s="133">
        <f t="shared" si="108"/>
        <v>779.149881012131</v>
      </c>
      <c r="V122" s="133">
        <f t="shared" si="109"/>
        <v>746.647372262774</v>
      </c>
      <c r="X122" s="373" t="s">
        <v>147</v>
      </c>
      <c r="Y122" s="91">
        <v>250</v>
      </c>
      <c r="Z122" s="373" t="s">
        <v>148</v>
      </c>
      <c r="AA122" s="815" t="s">
        <v>149</v>
      </c>
    </row>
    <row r="123" s="91" customFormat="1" spans="1:28">
      <c r="A123" s="132">
        <v>192.5</v>
      </c>
      <c r="B123" s="133">
        <v>944.82</v>
      </c>
      <c r="C123" s="133">
        <v>941.72</v>
      </c>
      <c r="D123" s="133">
        <v>932.95</v>
      </c>
      <c r="E123" s="133">
        <v>912.25</v>
      </c>
      <c r="F123" s="133">
        <v>877.53</v>
      </c>
      <c r="G123" s="133">
        <v>829.28</v>
      </c>
      <c r="H123" s="133">
        <v>772.65</v>
      </c>
      <c r="I123" s="133">
        <v>738.56</v>
      </c>
      <c r="J123" s="133"/>
      <c r="K123" s="132">
        <f t="shared" si="97"/>
        <v>192.5</v>
      </c>
      <c r="L123" s="133">
        <f t="shared" si="99"/>
        <v>948.763021582734</v>
      </c>
      <c r="M123" s="133">
        <f t="shared" si="100"/>
        <v>935.586739029768</v>
      </c>
      <c r="N123" s="133">
        <f t="shared" si="101"/>
        <v>923.483741481562</v>
      </c>
      <c r="O123" s="133">
        <f t="shared" si="102"/>
        <v>912.36184814492</v>
      </c>
      <c r="P123" s="133">
        <f t="shared" si="103"/>
        <v>894.044354453804</v>
      </c>
      <c r="Q123" s="133">
        <f t="shared" si="104"/>
        <v>877.811214345739</v>
      </c>
      <c r="R123" s="133">
        <f t="shared" si="105"/>
        <v>852.922994677184</v>
      </c>
      <c r="S123" s="133">
        <f t="shared" si="106"/>
        <v>829.85244776372</v>
      </c>
      <c r="T123" s="133">
        <f t="shared" si="107"/>
        <v>800.900803686941</v>
      </c>
      <c r="U123" s="133">
        <f t="shared" si="108"/>
        <v>773.5164601729</v>
      </c>
      <c r="V123" s="133">
        <f t="shared" si="109"/>
        <v>741.794817518248</v>
      </c>
      <c r="X123" s="91" t="s">
        <v>151</v>
      </c>
      <c r="Y123" s="91">
        <v>8.4</v>
      </c>
      <c r="Z123" s="91">
        <v>150</v>
      </c>
      <c r="AA123" s="816">
        <f>0.101+(Z123+273)/(Y$122+273)*Y$124/Y$125*Y$123</f>
        <v>0.177284112636885</v>
      </c>
      <c r="AB123" s="369">
        <f t="shared" ref="AB123:AB127" si="110">AA123/0.101-1</f>
        <v>0.755288243929555</v>
      </c>
    </row>
    <row r="124" s="91" customFormat="1" spans="1:28">
      <c r="A124" s="132">
        <v>241.5</v>
      </c>
      <c r="B124" s="133">
        <v>935.46</v>
      </c>
      <c r="C124" s="133">
        <v>932.74</v>
      </c>
      <c r="D124" s="133">
        <v>924.81</v>
      </c>
      <c r="E124" s="133">
        <v>905.39</v>
      </c>
      <c r="F124" s="133">
        <v>871.92</v>
      </c>
      <c r="G124" s="133">
        <v>824.58</v>
      </c>
      <c r="H124" s="133">
        <v>768.96</v>
      </c>
      <c r="I124" s="133">
        <v>735.93</v>
      </c>
      <c r="J124" s="133"/>
      <c r="K124" s="132">
        <f t="shared" si="97"/>
        <v>241.5</v>
      </c>
      <c r="L124" s="133">
        <f t="shared" si="99"/>
        <v>938.919683453237</v>
      </c>
      <c r="M124" s="133">
        <f t="shared" si="100"/>
        <v>927.194189339346</v>
      </c>
      <c r="N124" s="133">
        <f t="shared" si="101"/>
        <v>915.929094665311</v>
      </c>
      <c r="O124" s="133">
        <f t="shared" si="102"/>
        <v>905.494931931128</v>
      </c>
      <c r="P124" s="133">
        <f t="shared" si="103"/>
        <v>887.83979964196</v>
      </c>
      <c r="Q124" s="133">
        <f t="shared" si="104"/>
        <v>872.191089981334</v>
      </c>
      <c r="R124" s="133">
        <f t="shared" si="105"/>
        <v>847.777085347521</v>
      </c>
      <c r="S124" s="133">
        <f t="shared" si="106"/>
        <v>825.141651339575</v>
      </c>
      <c r="T124" s="133">
        <f t="shared" si="107"/>
        <v>796.706948632662</v>
      </c>
      <c r="U124" s="133">
        <f t="shared" si="108"/>
        <v>769.81100679528</v>
      </c>
      <c r="V124" s="133">
        <f t="shared" si="109"/>
        <v>739.064233576642</v>
      </c>
      <c r="X124" s="91" t="s">
        <v>152</v>
      </c>
      <c r="Y124" s="91">
        <f>500*(8.4-0.1)/8.4</f>
        <v>494.047619047619</v>
      </c>
      <c r="Z124" s="91">
        <v>100</v>
      </c>
      <c r="AA124" s="816">
        <f>0.101+(Z124+273)/(Y$122+273)*Y$124/Y$125*Y$123</f>
        <v>0.168267078046237</v>
      </c>
      <c r="AB124" s="369">
        <f t="shared" si="110"/>
        <v>0.666010673725116</v>
      </c>
    </row>
    <row r="125" s="91" customFormat="1" spans="1:28">
      <c r="A125" s="132">
        <v>296.5</v>
      </c>
      <c r="B125" s="133">
        <v>922.42</v>
      </c>
      <c r="C125" s="133">
        <v>920.23</v>
      </c>
      <c r="D125" s="133">
        <v>913.46</v>
      </c>
      <c r="E125" s="133">
        <v>895.97</v>
      </c>
      <c r="F125" s="133">
        <v>864.73</v>
      </c>
      <c r="G125" s="133">
        <v>819.77</v>
      </c>
      <c r="H125" s="133">
        <v>767.67</v>
      </c>
      <c r="I125" s="133">
        <v>738.12</v>
      </c>
      <c r="J125" s="133"/>
      <c r="K125" s="132">
        <f t="shared" si="97"/>
        <v>296.5</v>
      </c>
      <c r="L125" s="133">
        <f t="shared" si="99"/>
        <v>925.205553956834</v>
      </c>
      <c r="M125" s="133">
        <f t="shared" si="100"/>
        <v>915.495430243048</v>
      </c>
      <c r="N125" s="133">
        <f t="shared" si="101"/>
        <v>905.461697512682</v>
      </c>
      <c r="O125" s="133">
        <f t="shared" si="102"/>
        <v>896.06450357752</v>
      </c>
      <c r="P125" s="133">
        <f t="shared" si="103"/>
        <v>879.589113857628</v>
      </c>
      <c r="Q125" s="133">
        <f t="shared" si="104"/>
        <v>864.983028115233</v>
      </c>
      <c r="R125" s="133">
        <f t="shared" si="105"/>
        <v>841.800860946864</v>
      </c>
      <c r="S125" s="133">
        <f t="shared" si="106"/>
        <v>820.303414537966</v>
      </c>
      <c r="T125" s="133">
        <f t="shared" si="107"/>
        <v>793.660938938542</v>
      </c>
      <c r="U125" s="133">
        <f t="shared" si="108"/>
        <v>768.467149479218</v>
      </c>
      <c r="V125" s="133">
        <f t="shared" si="109"/>
        <v>740.92401459854</v>
      </c>
      <c r="X125" s="91" t="s">
        <v>153</v>
      </c>
      <c r="Y125" s="91">
        <v>44000</v>
      </c>
      <c r="Z125" s="91">
        <v>50</v>
      </c>
      <c r="AA125" s="816">
        <f>0.101+(Z125+273)/(Y$122+273)*Y$124/Y$125*Y$123</f>
        <v>0.159250043455588</v>
      </c>
      <c r="AB125" s="369">
        <f t="shared" si="110"/>
        <v>0.576733103520677</v>
      </c>
    </row>
    <row r="126" s="91" customFormat="1" spans="1:28">
      <c r="A126" s="132">
        <v>357.5</v>
      </c>
      <c r="B126" s="133">
        <v>904.39</v>
      </c>
      <c r="C126" s="133">
        <v>902.7</v>
      </c>
      <c r="D126" s="133">
        <v>897.34</v>
      </c>
      <c r="E126" s="133">
        <v>882.94</v>
      </c>
      <c r="F126" s="133">
        <v>856.04</v>
      </c>
      <c r="G126" s="133">
        <v>815.3</v>
      </c>
      <c r="H126" s="133">
        <v>765.66</v>
      </c>
      <c r="I126" s="133">
        <v>736.34</v>
      </c>
      <c r="J126" s="133"/>
      <c r="K126" s="132">
        <f t="shared" si="97"/>
        <v>357.5</v>
      </c>
      <c r="L126" s="133">
        <f t="shared" si="99"/>
        <v>906.539582733813</v>
      </c>
      <c r="M126" s="133">
        <f t="shared" si="100"/>
        <v>898.95150754841</v>
      </c>
      <c r="N126" s="133">
        <f t="shared" si="101"/>
        <v>890.754776682826</v>
      </c>
      <c r="O126" s="133">
        <f t="shared" si="102"/>
        <v>883.017807405162</v>
      </c>
      <c r="P126" s="133">
        <f t="shared" si="103"/>
        <v>868.834819550903</v>
      </c>
      <c r="Q126" s="133">
        <f t="shared" si="104"/>
        <v>856.257876322016</v>
      </c>
      <c r="R126" s="133">
        <f t="shared" si="105"/>
        <v>835.263017681833</v>
      </c>
      <c r="S126" s="133">
        <f t="shared" si="106"/>
        <v>815.78334760402</v>
      </c>
      <c r="T126" s="133">
        <f t="shared" si="107"/>
        <v>790.423727618219</v>
      </c>
      <c r="U126" s="133">
        <f t="shared" si="108"/>
        <v>766.41951055947</v>
      </c>
      <c r="V126" s="133">
        <f t="shared" si="109"/>
        <v>739.122189781022</v>
      </c>
      <c r="Z126" s="91">
        <v>30</v>
      </c>
      <c r="AA126" s="816">
        <f>0.101+(Z126+273)/(Y$122+273)*Y$124/Y$125*Y$123</f>
        <v>0.155643229619329</v>
      </c>
      <c r="AB126" s="369">
        <f t="shared" si="110"/>
        <v>0.541022075438901</v>
      </c>
    </row>
    <row r="127" s="91" customFormat="1" spans="1:28">
      <c r="A127" s="132">
        <v>412.5</v>
      </c>
      <c r="B127" s="133">
        <v>885.32</v>
      </c>
      <c r="C127" s="133">
        <v>884.07</v>
      </c>
      <c r="D127" s="133">
        <v>879.94</v>
      </c>
      <c r="E127" s="133">
        <v>868.4</v>
      </c>
      <c r="F127" s="133">
        <v>846.13</v>
      </c>
      <c r="G127" s="133">
        <v>810.14</v>
      </c>
      <c r="H127" s="133">
        <v>762.7</v>
      </c>
      <c r="I127" s="133">
        <v>733.56</v>
      </c>
      <c r="J127" s="133"/>
      <c r="K127" s="132">
        <f t="shared" si="97"/>
        <v>412.5</v>
      </c>
      <c r="L127" s="133">
        <f t="shared" si="99"/>
        <v>886.909928057554</v>
      </c>
      <c r="M127" s="133">
        <f t="shared" si="100"/>
        <v>881.181702644577</v>
      </c>
      <c r="N127" s="133">
        <f t="shared" si="101"/>
        <v>874.662675202765</v>
      </c>
      <c r="O127" s="133">
        <f t="shared" si="102"/>
        <v>868.46235398997</v>
      </c>
      <c r="P127" s="133">
        <f t="shared" si="103"/>
        <v>856.722588527829</v>
      </c>
      <c r="Q127" s="133">
        <f t="shared" si="104"/>
        <v>846.310375676256</v>
      </c>
      <c r="R127" s="133">
        <f t="shared" si="105"/>
        <v>827.775468983043</v>
      </c>
      <c r="S127" s="133">
        <f t="shared" si="106"/>
        <v>810.566992642824</v>
      </c>
      <c r="T127" s="133">
        <f t="shared" si="107"/>
        <v>786.366221559394</v>
      </c>
      <c r="U127" s="133">
        <f t="shared" si="108"/>
        <v>763.425849736931</v>
      </c>
      <c r="V127" s="133">
        <f t="shared" si="109"/>
        <v>736.325109489051</v>
      </c>
      <c r="Z127" s="91">
        <v>25</v>
      </c>
      <c r="AA127" s="816">
        <f>0.101+(Z127+273)/(Y$122+273)*Y$124/Y$125*Y$123</f>
        <v>0.154741526160264</v>
      </c>
      <c r="AB127" s="369">
        <f t="shared" si="110"/>
        <v>0.532094318418457</v>
      </c>
    </row>
    <row r="128" s="91" customFormat="1" spans="1:22">
      <c r="A128" s="132">
        <v>467.5</v>
      </c>
      <c r="B128" s="133">
        <v>863.6</v>
      </c>
      <c r="C128" s="133">
        <v>862.73</v>
      </c>
      <c r="D128" s="133">
        <v>859.72</v>
      </c>
      <c r="E128" s="133">
        <v>850.96</v>
      </c>
      <c r="F128" s="133">
        <v>833.4</v>
      </c>
      <c r="G128" s="133">
        <v>802.63</v>
      </c>
      <c r="H128" s="133">
        <v>757.9</v>
      </c>
      <c r="I128" s="133">
        <v>729.23</v>
      </c>
      <c r="J128" s="133"/>
      <c r="K128" s="132">
        <f t="shared" si="97"/>
        <v>467.5</v>
      </c>
      <c r="L128" s="133">
        <f t="shared" si="99"/>
        <v>864.706589928058</v>
      </c>
      <c r="M128" s="133">
        <f t="shared" si="100"/>
        <v>860.624969724014</v>
      </c>
      <c r="N128" s="133">
        <f t="shared" si="101"/>
        <v>855.713989148719</v>
      </c>
      <c r="O128" s="133">
        <f t="shared" si="102"/>
        <v>851.00733283814</v>
      </c>
      <c r="P128" s="133">
        <f t="shared" si="103"/>
        <v>841.752305996797</v>
      </c>
      <c r="Q128" s="133">
        <f t="shared" si="104"/>
        <v>833.542227071175</v>
      </c>
      <c r="R128" s="133">
        <f t="shared" si="105"/>
        <v>817.707615465636</v>
      </c>
      <c r="S128" s="133">
        <f t="shared" si="106"/>
        <v>802.995061506522</v>
      </c>
      <c r="T128" s="133">
        <f t="shared" si="107"/>
        <v>780.214293641477</v>
      </c>
      <c r="U128" s="133">
        <f t="shared" si="108"/>
        <v>758.584385723712</v>
      </c>
      <c r="V128" s="133">
        <f t="shared" si="109"/>
        <v>731.950510948905</v>
      </c>
    </row>
    <row r="129" s="91" customFormat="1" spans="1:22">
      <c r="A129" s="132">
        <v>522.5</v>
      </c>
      <c r="B129" s="133">
        <v>839.14</v>
      </c>
      <c r="C129" s="133">
        <v>838.6</v>
      </c>
      <c r="D129" s="133">
        <v>836.6</v>
      </c>
      <c r="E129" s="133">
        <v>830.44</v>
      </c>
      <c r="F129" s="133">
        <v>817.42</v>
      </c>
      <c r="G129" s="133">
        <v>792.17</v>
      </c>
      <c r="H129" s="133">
        <v>750.65</v>
      </c>
      <c r="I129" s="133">
        <v>722.51</v>
      </c>
      <c r="J129" s="133"/>
      <c r="K129" s="132">
        <f t="shared" si="97"/>
        <v>522.5</v>
      </c>
      <c r="L129" s="133">
        <f t="shared" si="99"/>
        <v>839.826848920863</v>
      </c>
      <c r="M129" s="133">
        <f t="shared" si="100"/>
        <v>837.20130878672</v>
      </c>
      <c r="N129" s="133">
        <f t="shared" si="101"/>
        <v>833.782987803209</v>
      </c>
      <c r="O129" s="133">
        <f t="shared" si="102"/>
        <v>830.473284278875</v>
      </c>
      <c r="P129" s="133">
        <f t="shared" si="103"/>
        <v>823.612882920177</v>
      </c>
      <c r="Q129" s="133">
        <f t="shared" si="104"/>
        <v>817.525455379652</v>
      </c>
      <c r="R129" s="133">
        <f t="shared" si="105"/>
        <v>804.542758872516</v>
      </c>
      <c r="S129" s="133">
        <f t="shared" si="106"/>
        <v>792.469571109512</v>
      </c>
      <c r="T129" s="133">
        <f t="shared" si="107"/>
        <v>771.362932528373</v>
      </c>
      <c r="U129" s="133">
        <f t="shared" si="108"/>
        <v>751.285271523553</v>
      </c>
      <c r="V129" s="133">
        <f t="shared" si="109"/>
        <v>725.180218978102</v>
      </c>
    </row>
    <row r="130" s="91" customFormat="1" spans="1:22">
      <c r="A130" s="132">
        <v>577.5</v>
      </c>
      <c r="B130" s="133">
        <v>811.57</v>
      </c>
      <c r="C130" s="133">
        <v>811.25</v>
      </c>
      <c r="D130" s="133">
        <v>810.02</v>
      </c>
      <c r="E130" s="133">
        <v>806.09</v>
      </c>
      <c r="F130" s="133">
        <v>797.23</v>
      </c>
      <c r="G130" s="133">
        <v>777.38</v>
      </c>
      <c r="H130" s="133">
        <v>735.25</v>
      </c>
      <c r="I130" s="133">
        <v>701.51</v>
      </c>
      <c r="J130" s="133"/>
      <c r="K130" s="132">
        <f t="shared" si="97"/>
        <v>577.5</v>
      </c>
      <c r="L130" s="133">
        <f t="shared" si="99"/>
        <v>811.977021582734</v>
      </c>
      <c r="M130" s="133">
        <f t="shared" si="100"/>
        <v>810.389804903833</v>
      </c>
      <c r="N130" s="133">
        <f t="shared" si="101"/>
        <v>808.222782803021</v>
      </c>
      <c r="O130" s="133">
        <f t="shared" si="102"/>
        <v>806.111234937659</v>
      </c>
      <c r="P130" s="133">
        <f t="shared" si="103"/>
        <v>801.444204506357</v>
      </c>
      <c r="Q130" s="133">
        <f t="shared" si="104"/>
        <v>797.301761494909</v>
      </c>
      <c r="R130" s="133">
        <f t="shared" si="105"/>
        <v>787.106703509681</v>
      </c>
      <c r="S130" s="133">
        <f t="shared" si="106"/>
        <v>777.615504416784</v>
      </c>
      <c r="T130" s="133">
        <f t="shared" si="107"/>
        <v>756.267241026502</v>
      </c>
      <c r="U130" s="133">
        <f t="shared" si="108"/>
        <v>735.894604751621</v>
      </c>
      <c r="V130" s="133">
        <f t="shared" si="109"/>
        <v>704.711605839416</v>
      </c>
    </row>
    <row r="131" s="91" customFormat="1" spans="1:22">
      <c r="A131" s="132">
        <v>632.5</v>
      </c>
      <c r="B131" s="133">
        <v>781.09</v>
      </c>
      <c r="C131" s="133">
        <v>780.86</v>
      </c>
      <c r="D131" s="133">
        <v>780.02</v>
      </c>
      <c r="E131" s="133">
        <v>777.45</v>
      </c>
      <c r="F131" s="133">
        <v>771.45</v>
      </c>
      <c r="G131" s="133">
        <v>753.99</v>
      </c>
      <c r="H131" s="133">
        <v>716.2</v>
      </c>
      <c r="I131" s="133">
        <v>685.38</v>
      </c>
      <c r="J131" s="133"/>
      <c r="K131" s="132">
        <f t="shared" si="97"/>
        <v>632.5</v>
      </c>
      <c r="L131" s="133">
        <f t="shared" si="99"/>
        <v>781.38254676259</v>
      </c>
      <c r="M131" s="133">
        <f t="shared" si="100"/>
        <v>780.272549690422</v>
      </c>
      <c r="N131" s="133">
        <f t="shared" si="101"/>
        <v>778.844720560754</v>
      </c>
      <c r="O131" s="133">
        <f t="shared" si="102"/>
        <v>777.463886460505</v>
      </c>
      <c r="P131" s="133">
        <f t="shared" si="103"/>
        <v>774.303863096856</v>
      </c>
      <c r="Q131" s="133">
        <f t="shared" si="104"/>
        <v>771.498596949149</v>
      </c>
      <c r="R131" s="133">
        <f t="shared" si="105"/>
        <v>762.5455790065</v>
      </c>
      <c r="S131" s="133">
        <f t="shared" si="106"/>
        <v>754.197148973151</v>
      </c>
      <c r="T131" s="133">
        <f t="shared" si="107"/>
        <v>735.052160892274</v>
      </c>
      <c r="U131" s="133">
        <f t="shared" si="108"/>
        <v>716.778201128976</v>
      </c>
      <c r="V131" s="133">
        <f t="shared" si="109"/>
        <v>688.304525547445</v>
      </c>
    </row>
    <row r="132" s="91" customFormat="1" ht="13.5" customHeight="1" spans="1:22">
      <c r="A132" s="132">
        <v>687.5</v>
      </c>
      <c r="B132" s="133">
        <v>749.1</v>
      </c>
      <c r="C132" s="133">
        <v>748.94</v>
      </c>
      <c r="D132" s="133">
        <v>748.36</v>
      </c>
      <c r="E132" s="133">
        <v>746.58</v>
      </c>
      <c r="F132" s="133">
        <v>742.36</v>
      </c>
      <c r="G132" s="133">
        <v>728.51</v>
      </c>
      <c r="H132" s="133">
        <v>695.15</v>
      </c>
      <c r="I132" s="133">
        <v>666</v>
      </c>
      <c r="J132" s="133"/>
      <c r="K132" s="132">
        <f t="shared" si="97"/>
        <v>687.5</v>
      </c>
      <c r="L132" s="133">
        <f t="shared" si="99"/>
        <v>749.303510791367</v>
      </c>
      <c r="M132" s="133">
        <f t="shared" si="100"/>
        <v>748.534379548149</v>
      </c>
      <c r="N132" s="133">
        <f t="shared" si="101"/>
        <v>747.545993228849</v>
      </c>
      <c r="O132" s="133">
        <f t="shared" si="102"/>
        <v>746.589617859805</v>
      </c>
      <c r="P132" s="133">
        <f t="shared" si="103"/>
        <v>744.367217044789</v>
      </c>
      <c r="Q132" s="133">
        <f t="shared" si="104"/>
        <v>742.394179854234</v>
      </c>
      <c r="R132" s="133">
        <f t="shared" si="105"/>
        <v>735.29664199542</v>
      </c>
      <c r="S132" s="133">
        <f t="shared" si="106"/>
        <v>728.674319202643</v>
      </c>
      <c r="T132" s="133">
        <f t="shared" si="107"/>
        <v>711.792182782913</v>
      </c>
      <c r="U132" s="133">
        <f t="shared" si="108"/>
        <v>695.660420472681</v>
      </c>
      <c r="V132" s="133">
        <f t="shared" si="109"/>
        <v>668.766058394161</v>
      </c>
    </row>
    <row r="133" s="91" customFormat="1" ht="13.5" customHeight="1" spans="1:22">
      <c r="A133" s="132">
        <v>742.5</v>
      </c>
      <c r="B133" s="133">
        <v>715.88</v>
      </c>
      <c r="C133" s="133">
        <v>715.77</v>
      </c>
      <c r="D133" s="133">
        <v>715.38</v>
      </c>
      <c r="E133" s="133">
        <v>714.2</v>
      </c>
      <c r="F133" s="133">
        <v>711.39</v>
      </c>
      <c r="G133" s="133">
        <v>700.96</v>
      </c>
      <c r="H133" s="133">
        <v>671.63</v>
      </c>
      <c r="I133" s="133">
        <v>643.52</v>
      </c>
      <c r="J133" s="133"/>
      <c r="K133" s="132">
        <f t="shared" si="97"/>
        <v>742.5</v>
      </c>
      <c r="L133" s="133">
        <f t="shared" si="99"/>
        <v>716.019913669065</v>
      </c>
      <c r="M133" s="133">
        <f t="shared" si="100"/>
        <v>715.49725521341</v>
      </c>
      <c r="N133" s="133">
        <f t="shared" si="101"/>
        <v>714.840377533731</v>
      </c>
      <c r="O133" s="133">
        <f t="shared" si="102"/>
        <v>714.20637588459</v>
      </c>
      <c r="P133" s="133">
        <f t="shared" si="103"/>
        <v>712.726559217027</v>
      </c>
      <c r="Q133" s="133">
        <f t="shared" si="104"/>
        <v>711.412759571185</v>
      </c>
      <c r="R133" s="133">
        <f t="shared" si="105"/>
        <v>706.070806932291</v>
      </c>
      <c r="S133" s="133">
        <f t="shared" si="106"/>
        <v>701.083743630582</v>
      </c>
      <c r="T133" s="133">
        <f t="shared" si="107"/>
        <v>686.261751229701</v>
      </c>
      <c r="U133" s="133">
        <f t="shared" si="108"/>
        <v>672.07875996594</v>
      </c>
      <c r="V133" s="133">
        <f t="shared" si="109"/>
        <v>646.187372262774</v>
      </c>
    </row>
    <row r="134" s="91" customFormat="1" spans="1:22">
      <c r="A134" s="132">
        <v>797.5</v>
      </c>
      <c r="B134" s="133">
        <v>681.3</v>
      </c>
      <c r="C134" s="133">
        <v>681.22</v>
      </c>
      <c r="D134" s="133">
        <v>680.95</v>
      </c>
      <c r="E134" s="133">
        <v>680.13</v>
      </c>
      <c r="F134" s="133">
        <v>678.37</v>
      </c>
      <c r="G134" s="133">
        <v>670.57</v>
      </c>
      <c r="H134" s="133">
        <v>644.92</v>
      </c>
      <c r="I134" s="133">
        <v>617.81</v>
      </c>
      <c r="J134" s="133"/>
      <c r="K134" s="132">
        <f t="shared" si="97"/>
        <v>797.5</v>
      </c>
      <c r="L134" s="133">
        <f t="shared" si="99"/>
        <v>681.401755395683</v>
      </c>
      <c r="M134" s="133">
        <f t="shared" si="100"/>
        <v>681.031176686207</v>
      </c>
      <c r="N134" s="133">
        <f t="shared" si="101"/>
        <v>680.575008116661</v>
      </c>
      <c r="O134" s="133">
        <f t="shared" si="102"/>
        <v>680.134430699461</v>
      </c>
      <c r="P134" s="133">
        <f t="shared" si="103"/>
        <v>679.207133175078</v>
      </c>
      <c r="Q134" s="133">
        <f t="shared" si="104"/>
        <v>678.384255105084</v>
      </c>
      <c r="R134" s="133">
        <f t="shared" si="105"/>
        <v>674.39207996854</v>
      </c>
      <c r="S134" s="133">
        <f t="shared" si="106"/>
        <v>670.662540778384</v>
      </c>
      <c r="T134" s="133">
        <f t="shared" si="107"/>
        <v>657.715922913121</v>
      </c>
      <c r="U134" s="133">
        <f t="shared" si="108"/>
        <v>645.312454590056</v>
      </c>
      <c r="V134" s="133">
        <f t="shared" si="109"/>
        <v>620.382481751825</v>
      </c>
    </row>
    <row r="135" s="91" customFormat="1" spans="1:22">
      <c r="A135" s="132">
        <v>852.5</v>
      </c>
      <c r="B135" s="133">
        <v>645.68</v>
      </c>
      <c r="C135" s="133">
        <v>645.55</v>
      </c>
      <c r="D135" s="133">
        <v>644.92</v>
      </c>
      <c r="E135" s="133">
        <v>643.9</v>
      </c>
      <c r="F135" s="133">
        <v>643.15</v>
      </c>
      <c r="G135" s="133">
        <v>637.06</v>
      </c>
      <c r="H135" s="133">
        <v>614.6</v>
      </c>
      <c r="I135" s="133">
        <v>588.76</v>
      </c>
      <c r="J135" s="133"/>
      <c r="K135" s="132">
        <f t="shared" si="97"/>
        <v>852.5</v>
      </c>
      <c r="L135" s="133">
        <f t="shared" si="99"/>
        <v>645.845352517986</v>
      </c>
      <c r="M135" s="133">
        <f t="shared" si="100"/>
        <v>645.109412267817</v>
      </c>
      <c r="N135" s="133">
        <f t="shared" si="101"/>
        <v>644.4535466817</v>
      </c>
      <c r="O135" s="133">
        <f t="shared" si="102"/>
        <v>643.905511357866</v>
      </c>
      <c r="P135" s="133">
        <f t="shared" si="103"/>
        <v>643.506732887107</v>
      </c>
      <c r="Q135" s="133">
        <f t="shared" si="104"/>
        <v>643.156074618644</v>
      </c>
      <c r="R135" s="133">
        <f t="shared" si="105"/>
        <v>640.044162436975</v>
      </c>
      <c r="S135" s="133">
        <f t="shared" si="106"/>
        <v>637.132252992353</v>
      </c>
      <c r="T135" s="133">
        <f t="shared" si="107"/>
        <v>625.804539127824</v>
      </c>
      <c r="U135" s="133">
        <f t="shared" si="108"/>
        <v>614.943646397375</v>
      </c>
      <c r="V135" s="133">
        <f t="shared" si="109"/>
        <v>591.21197080292</v>
      </c>
    </row>
    <row r="136" s="91" customFormat="1" spans="1:22">
      <c r="A136" s="132">
        <v>907.5</v>
      </c>
      <c r="B136" s="133">
        <v>606.41</v>
      </c>
      <c r="C136" s="133">
        <v>606.58</v>
      </c>
      <c r="D136" s="133">
        <v>606.62</v>
      </c>
      <c r="E136" s="133">
        <v>607.65</v>
      </c>
      <c r="F136" s="133">
        <v>607.23</v>
      </c>
      <c r="G136" s="133">
        <v>599.57</v>
      </c>
      <c r="H136" s="133">
        <v>579.34</v>
      </c>
      <c r="I136" s="133">
        <v>555.43</v>
      </c>
      <c r="J136" s="133"/>
      <c r="K136" s="132">
        <f t="shared" si="97"/>
        <v>907.5</v>
      </c>
      <c r="L136" s="133">
        <f t="shared" si="99"/>
        <v>606.193769784173</v>
      </c>
      <c r="M136" s="133">
        <f t="shared" si="100"/>
        <v>606.607973824266</v>
      </c>
      <c r="N136" s="133">
        <f t="shared" si="101"/>
        <v>607.091026390048</v>
      </c>
      <c r="O136" s="133">
        <f t="shared" si="102"/>
        <v>607.644434609214</v>
      </c>
      <c r="P136" s="133">
        <f t="shared" si="103"/>
        <v>607.42977041678</v>
      </c>
      <c r="Q136" s="133">
        <f t="shared" si="104"/>
        <v>607.23340178644</v>
      </c>
      <c r="R136" s="133">
        <f t="shared" si="105"/>
        <v>603.323478533207</v>
      </c>
      <c r="S136" s="133">
        <f t="shared" si="106"/>
        <v>599.660879790054</v>
      </c>
      <c r="T136" s="133">
        <f t="shared" si="107"/>
        <v>589.432067077288</v>
      </c>
      <c r="U136" s="133">
        <f t="shared" si="108"/>
        <v>579.64952656362</v>
      </c>
      <c r="V136" s="133">
        <f t="shared" si="109"/>
        <v>557.698832116788</v>
      </c>
    </row>
    <row r="137" s="91" customFormat="1" spans="1:22">
      <c r="A137" s="132">
        <v>962.5</v>
      </c>
      <c r="B137" s="133">
        <v>566.02</v>
      </c>
      <c r="C137" s="133">
        <v>566.96</v>
      </c>
      <c r="D137" s="133">
        <v>566.81</v>
      </c>
      <c r="E137" s="133">
        <v>565.62</v>
      </c>
      <c r="F137" s="133">
        <v>562.89</v>
      </c>
      <c r="G137" s="133">
        <v>557.84</v>
      </c>
      <c r="H137" s="133">
        <v>540.74</v>
      </c>
      <c r="I137" s="133">
        <v>519.33</v>
      </c>
      <c r="J137" s="133"/>
      <c r="K137" s="132">
        <f t="shared" si="97"/>
        <v>962.5</v>
      </c>
      <c r="L137" s="133">
        <f t="shared" si="99"/>
        <v>564.824374100719</v>
      </c>
      <c r="M137" s="133">
        <f t="shared" si="100"/>
        <v>566.855098159004</v>
      </c>
      <c r="N137" s="133">
        <f t="shared" si="101"/>
        <v>566.265804461983</v>
      </c>
      <c r="O137" s="133">
        <f t="shared" si="102"/>
        <v>565.62642991751</v>
      </c>
      <c r="P137" s="133">
        <f t="shared" si="103"/>
        <v>564.188507709069</v>
      </c>
      <c r="Q137" s="133">
        <f t="shared" si="104"/>
        <v>562.912111611863</v>
      </c>
      <c r="R137" s="133">
        <f t="shared" si="105"/>
        <v>560.314551774503</v>
      </c>
      <c r="S137" s="133">
        <f t="shared" si="106"/>
        <v>557.899914221902</v>
      </c>
      <c r="T137" s="133">
        <f t="shared" si="107"/>
        <v>549.270615275414</v>
      </c>
      <c r="U137" s="133">
        <f t="shared" si="108"/>
        <v>541.001636393371</v>
      </c>
      <c r="V137" s="133">
        <f t="shared" si="109"/>
        <v>521.361605839416</v>
      </c>
    </row>
    <row r="138" s="91" customFormat="1" spans="1:22">
      <c r="A138" s="132">
        <v>1017.5</v>
      </c>
      <c r="B138" s="133">
        <v>517.36</v>
      </c>
      <c r="C138" s="133">
        <v>518.02</v>
      </c>
      <c r="D138" s="133">
        <v>517.6</v>
      </c>
      <c r="E138" s="133">
        <v>516.2</v>
      </c>
      <c r="F138" s="133">
        <v>514.39</v>
      </c>
      <c r="G138" s="133">
        <v>512.49</v>
      </c>
      <c r="H138" s="133">
        <v>499.41</v>
      </c>
      <c r="I138" s="133">
        <v>482.17</v>
      </c>
      <c r="J138" s="133"/>
      <c r="K138" s="132">
        <f t="shared" si="97"/>
        <v>1017.5</v>
      </c>
      <c r="L138" s="133">
        <f t="shared" si="99"/>
        <v>516.520517985612</v>
      </c>
      <c r="M138" s="133">
        <f t="shared" si="100"/>
        <v>517.726274845211</v>
      </c>
      <c r="N138" s="133">
        <f t="shared" si="101"/>
        <v>516.959769955275</v>
      </c>
      <c r="O138" s="133">
        <f t="shared" si="102"/>
        <v>516.207564608835</v>
      </c>
      <c r="P138" s="133">
        <f t="shared" si="103"/>
        <v>515.250915367551</v>
      </c>
      <c r="Q138" s="133">
        <f t="shared" si="104"/>
        <v>514.40466007966</v>
      </c>
      <c r="R138" s="133">
        <f t="shared" si="105"/>
        <v>513.421019479516</v>
      </c>
      <c r="S138" s="133">
        <f t="shared" si="106"/>
        <v>512.512541984478</v>
      </c>
      <c r="T138" s="133">
        <f t="shared" si="107"/>
        <v>505.935172386106</v>
      </c>
      <c r="U138" s="133">
        <f t="shared" si="108"/>
        <v>499.610128890368</v>
      </c>
      <c r="V138" s="133">
        <f t="shared" si="109"/>
        <v>483.805912408759</v>
      </c>
    </row>
    <row r="139" s="91" customFormat="1" spans="1:22">
      <c r="A139" s="132">
        <v>1072.5</v>
      </c>
      <c r="B139" s="133">
        <v>480.49</v>
      </c>
      <c r="C139" s="133">
        <v>476.08</v>
      </c>
      <c r="D139" s="133">
        <v>467.89</v>
      </c>
      <c r="E139" s="133">
        <v>464.67</v>
      </c>
      <c r="F139" s="133">
        <v>464.44</v>
      </c>
      <c r="G139" s="133">
        <v>462.23</v>
      </c>
      <c r="H139" s="133">
        <v>453.51</v>
      </c>
      <c r="I139" s="133">
        <v>443.43</v>
      </c>
      <c r="J139" s="133"/>
      <c r="K139" s="132">
        <f t="shared" si="97"/>
        <v>1072.5</v>
      </c>
      <c r="L139" s="133">
        <f t="shared" si="99"/>
        <v>486.09926618705</v>
      </c>
      <c r="M139" s="133">
        <f t="shared" si="100"/>
        <v>470.352359481619</v>
      </c>
      <c r="N139" s="133">
        <f t="shared" si="101"/>
        <v>466.417470897132</v>
      </c>
      <c r="O139" s="133">
        <f t="shared" si="102"/>
        <v>464.687398600321</v>
      </c>
      <c r="P139" s="133">
        <f t="shared" si="103"/>
        <v>464.549398085379</v>
      </c>
      <c r="Q139" s="133">
        <f t="shared" si="104"/>
        <v>464.441862883051</v>
      </c>
      <c r="R139" s="133">
        <f t="shared" si="105"/>
        <v>463.312922657753</v>
      </c>
      <c r="S139" s="133">
        <f t="shared" si="106"/>
        <v>462.256219887209</v>
      </c>
      <c r="T139" s="133">
        <f t="shared" si="107"/>
        <v>457.860114924071</v>
      </c>
      <c r="U139" s="133">
        <f t="shared" si="108"/>
        <v>453.643419260245</v>
      </c>
      <c r="V139" s="133">
        <f t="shared" si="109"/>
        <v>444.386496350365</v>
      </c>
    </row>
    <row r="159" s="91" customFormat="1" ht="13.5" customHeight="1"/>
  </sheetData>
  <conditionalFormatting sqref="J5:J24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8:J47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:I2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U2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I4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8:U4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1:J70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1:U7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4:J93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74:U9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7:J11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97:U1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0:J139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0:U13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S77"/>
  <sheetViews>
    <sheetView zoomScale="115" zoomScaleNormal="115" topLeftCell="A6" workbookViewId="0">
      <selection activeCell="K28" sqref="K28"/>
    </sheetView>
  </sheetViews>
  <sheetFormatPr defaultColWidth="9" defaultRowHeight="12.75"/>
  <cols>
    <col min="1" max="1" width="9.025" style="391" customWidth="1"/>
    <col min="2" max="2" width="19.0166666666667" style="390" customWidth="1"/>
    <col min="3" max="3" width="7.825" style="390" customWidth="1"/>
    <col min="4" max="4" width="5.65" style="390" customWidth="1"/>
    <col min="5" max="5" width="6.625" style="390" customWidth="1"/>
    <col min="6" max="6" width="3.58333333333333" style="390" customWidth="1"/>
    <col min="7" max="7" width="9.00833333333333" style="392" customWidth="1"/>
    <col min="8" max="12" width="9.00833333333333" style="390" customWidth="1"/>
    <col min="13" max="13" width="9.55833333333333" style="390" customWidth="1"/>
    <col min="14" max="14" width="9.00833333333333" style="390" customWidth="1"/>
    <col min="15" max="15" width="9.00833333333333" style="390" hidden="1" customWidth="1"/>
    <col min="16" max="16" width="1.84166666666667" style="390" customWidth="1"/>
    <col min="17" max="17" width="9.00833333333333" style="392" hidden="1" customWidth="1"/>
    <col min="18" max="22" width="9.00833333333333" style="390" customWidth="1"/>
    <col min="23" max="23" width="9.55833333333333" style="390" customWidth="1"/>
    <col min="24" max="24" width="9.00833333333333" style="390" customWidth="1"/>
    <col min="25" max="25" width="3.475" style="393" customWidth="1"/>
    <col min="26" max="26" width="7.5" style="394" customWidth="1"/>
    <col min="27" max="35" width="8.81666666666667" style="390" customWidth="1"/>
    <col min="36" max="36" width="7.93333333333333" style="390" customWidth="1"/>
    <col min="37" max="37" width="7.39166666666667" style="390" customWidth="1"/>
    <col min="38" max="39" width="8.81666666666667" style="390" customWidth="1"/>
    <col min="40" max="40" width="7.60833333333333" style="390" customWidth="1"/>
    <col min="41" max="42" width="8.81666666666667" style="390" customWidth="1"/>
    <col min="43" max="46" width="9.35" style="390" customWidth="1"/>
    <col min="47" max="47" width="7.93333333333333" style="390" customWidth="1"/>
    <col min="48" max="54" width="8.15833333333333" style="394" customWidth="1"/>
    <col min="55" max="55" width="9.11666666666667" style="394" customWidth="1"/>
    <col min="56" max="173" width="8.15833333333333" style="394" customWidth="1"/>
    <col min="174" max="174" width="8.15833333333333" style="393" customWidth="1"/>
    <col min="175" max="176" width="10.375" style="390"/>
    <col min="177" max="179" width="9.375" style="390"/>
    <col min="180" max="184" width="9" style="390"/>
    <col min="185" max="185" width="11.125" style="390"/>
    <col min="186" max="186" width="9" style="390"/>
    <col min="187" max="188" width="10.375" style="390"/>
    <col min="189" max="193" width="9.375" style="390"/>
    <col min="194" max="194" width="8.125" style="390" customWidth="1"/>
    <col min="195" max="196" width="5.625" style="390" customWidth="1"/>
    <col min="197" max="197" width="4.875" style="390" customWidth="1"/>
    <col min="198" max="198" width="5.75" style="390" customWidth="1"/>
    <col min="199" max="199" width="8.125" style="390" customWidth="1"/>
    <col min="200" max="200" width="11.125" style="390"/>
    <col min="201" max="201" width="12.625" style="390"/>
    <col min="202" max="16384" width="9" style="390"/>
  </cols>
  <sheetData>
    <row r="1" ht="13.5" spans="1:194">
      <c r="A1" s="395" t="s">
        <v>154</v>
      </c>
      <c r="B1" s="396" t="s">
        <v>257</v>
      </c>
      <c r="G1" s="397"/>
      <c r="H1" s="398" t="s">
        <v>156</v>
      </c>
      <c r="I1" s="398" t="s">
        <v>157</v>
      </c>
      <c r="J1" s="388"/>
      <c r="K1" s="388"/>
      <c r="L1" s="388"/>
      <c r="M1" s="388"/>
      <c r="N1" s="388"/>
      <c r="O1" s="388"/>
      <c r="Q1" s="397"/>
      <c r="R1" s="398" t="s">
        <v>158</v>
      </c>
      <c r="S1" s="388"/>
      <c r="T1" s="388"/>
      <c r="U1" s="388"/>
      <c r="V1" s="388"/>
      <c r="W1" s="388"/>
      <c r="X1" s="388"/>
      <c r="Y1" s="478"/>
      <c r="AA1" s="479" t="s">
        <v>159</v>
      </c>
      <c r="AB1" s="480"/>
      <c r="AC1" s="480"/>
      <c r="AD1" s="480"/>
      <c r="AE1" s="480"/>
      <c r="AF1" s="481" t="s">
        <v>156</v>
      </c>
      <c r="AG1" s="480"/>
      <c r="AH1" s="507"/>
      <c r="AI1" s="508"/>
      <c r="AJ1" s="480"/>
      <c r="AK1" s="508"/>
      <c r="AL1" s="508"/>
      <c r="AM1" s="508"/>
      <c r="AN1" s="508"/>
      <c r="AO1" s="508"/>
      <c r="AP1" s="534" t="s">
        <v>160</v>
      </c>
      <c r="AQ1" s="535"/>
      <c r="AR1" s="536"/>
      <c r="AS1" s="537"/>
      <c r="AT1" s="538"/>
      <c r="AU1" s="539"/>
      <c r="AV1" s="536" t="s">
        <v>161</v>
      </c>
      <c r="AW1" s="538"/>
      <c r="AX1" s="538"/>
      <c r="AY1" s="538"/>
      <c r="AZ1" s="538"/>
      <c r="BA1" s="538"/>
      <c r="BB1" s="538"/>
      <c r="BC1" s="538"/>
      <c r="BD1" s="538"/>
      <c r="BE1" s="538"/>
      <c r="BF1" s="538"/>
      <c r="BG1" s="538"/>
      <c r="BH1" s="538"/>
      <c r="BI1" s="538"/>
      <c r="BJ1" s="538"/>
      <c r="BK1" s="538"/>
      <c r="BL1" s="538"/>
      <c r="BM1" s="538"/>
      <c r="BN1" s="538"/>
      <c r="BO1" s="538"/>
      <c r="BP1" s="538"/>
      <c r="BQ1" s="538"/>
      <c r="BR1" s="538"/>
      <c r="BS1" s="538"/>
      <c r="BT1" s="538"/>
      <c r="BU1" s="538"/>
      <c r="BV1" s="538"/>
      <c r="BW1" s="538"/>
      <c r="BX1" s="538"/>
      <c r="BY1" s="538"/>
      <c r="BZ1" s="538"/>
      <c r="CA1" s="538"/>
      <c r="CB1" s="538"/>
      <c r="CC1" s="538"/>
      <c r="CD1" s="538"/>
      <c r="CE1" s="538"/>
      <c r="CF1" s="538"/>
      <c r="CG1" s="538"/>
      <c r="CH1" s="538"/>
      <c r="CI1" s="538"/>
      <c r="CJ1" s="538"/>
      <c r="CK1" s="538"/>
      <c r="CL1" s="538"/>
      <c r="CM1" s="538"/>
      <c r="CN1" s="538"/>
      <c r="CO1" s="538"/>
      <c r="CP1" s="538"/>
      <c r="CQ1" s="538"/>
      <c r="CR1" s="538"/>
      <c r="CS1" s="538"/>
      <c r="CT1" s="538"/>
      <c r="CU1" s="538"/>
      <c r="CV1" s="538"/>
      <c r="CW1" s="538"/>
      <c r="CX1" s="538"/>
      <c r="CY1" s="538"/>
      <c r="CZ1" s="538"/>
      <c r="DA1" s="538"/>
      <c r="DB1" s="538"/>
      <c r="DC1" s="538"/>
      <c r="DD1" s="538"/>
      <c r="DE1" s="538"/>
      <c r="DF1" s="538"/>
      <c r="DG1" s="538"/>
      <c r="DH1" s="538"/>
      <c r="DI1" s="538"/>
      <c r="DJ1" s="538"/>
      <c r="DK1" s="538"/>
      <c r="DL1" s="538"/>
      <c r="DM1" s="538"/>
      <c r="DN1" s="538"/>
      <c r="DO1" s="538"/>
      <c r="DP1" s="538"/>
      <c r="DQ1" s="538"/>
      <c r="DR1" s="538"/>
      <c r="DS1" s="538"/>
      <c r="DT1" s="538"/>
      <c r="DU1" s="538"/>
      <c r="DV1" s="538"/>
      <c r="DW1" s="538"/>
      <c r="DX1" s="538"/>
      <c r="DY1" s="538"/>
      <c r="DZ1" s="538"/>
      <c r="EA1" s="538"/>
      <c r="EB1" s="538"/>
      <c r="EC1" s="538"/>
      <c r="ED1" s="538"/>
      <c r="EE1" s="538"/>
      <c r="EF1" s="538"/>
      <c r="EG1" s="538"/>
      <c r="EH1" s="538"/>
      <c r="EI1" s="538"/>
      <c r="EJ1" s="538"/>
      <c r="EK1" s="538"/>
      <c r="EL1" s="538"/>
      <c r="EM1" s="538"/>
      <c r="EN1" s="538"/>
      <c r="EO1" s="538"/>
      <c r="EP1" s="538"/>
      <c r="EQ1" s="538"/>
      <c r="ER1" s="538"/>
      <c r="ES1" s="538"/>
      <c r="ET1" s="538"/>
      <c r="EU1" s="538"/>
      <c r="EV1" s="538"/>
      <c r="EW1" s="538"/>
      <c r="EX1" s="538"/>
      <c r="EY1" s="538"/>
      <c r="EZ1" s="538"/>
      <c r="FA1" s="538"/>
      <c r="FB1" s="538"/>
      <c r="FC1" s="538"/>
      <c r="FD1" s="538"/>
      <c r="FE1" s="538"/>
      <c r="FF1" s="538"/>
      <c r="FG1" s="538"/>
      <c r="FH1" s="538"/>
      <c r="FI1" s="538"/>
      <c r="FJ1" s="538"/>
      <c r="FK1" s="538"/>
      <c r="FL1" s="538"/>
      <c r="FM1" s="538"/>
      <c r="FN1" s="538"/>
      <c r="FO1" s="538"/>
      <c r="FP1" s="538"/>
      <c r="FQ1" s="538"/>
      <c r="FR1" s="604"/>
      <c r="FS1" s="390" t="s">
        <v>162</v>
      </c>
      <c r="FX1" s="611" t="s">
        <v>163</v>
      </c>
      <c r="GE1" s="390" t="s">
        <v>164</v>
      </c>
      <c r="GL1" s="611" t="s">
        <v>163</v>
      </c>
    </row>
    <row r="2" spans="1:174">
      <c r="A2" s="399" t="s">
        <v>165</v>
      </c>
      <c r="B2" s="633" t="s">
        <v>317</v>
      </c>
      <c r="G2" s="401"/>
      <c r="H2" s="388"/>
      <c r="I2" s="388"/>
      <c r="J2" s="388"/>
      <c r="K2" s="388"/>
      <c r="L2" s="388"/>
      <c r="M2" s="388"/>
      <c r="N2" s="388"/>
      <c r="O2" s="388"/>
      <c r="Q2" s="401"/>
      <c r="R2" s="388"/>
      <c r="S2" s="388"/>
      <c r="T2" s="388"/>
      <c r="U2" s="388"/>
      <c r="V2" s="388"/>
      <c r="W2" s="388"/>
      <c r="X2" s="388"/>
      <c r="Y2" s="478"/>
      <c r="AA2" s="482"/>
      <c r="AB2" s="388"/>
      <c r="AC2" s="388"/>
      <c r="AD2" s="388"/>
      <c r="AE2" s="483"/>
      <c r="AF2" s="484"/>
      <c r="AG2" s="388"/>
      <c r="AH2" s="509"/>
      <c r="AJ2" s="388"/>
      <c r="AO2" s="540"/>
      <c r="AP2" s="541"/>
      <c r="AQ2" s="542"/>
      <c r="AR2" s="543" t="s">
        <v>167</v>
      </c>
      <c r="AS2" s="544"/>
      <c r="AT2" s="545" t="s">
        <v>168</v>
      </c>
      <c r="AU2" s="546"/>
      <c r="AV2" s="547" t="s">
        <v>169</v>
      </c>
      <c r="AW2" s="573" t="s">
        <v>170</v>
      </c>
      <c r="AX2" s="573" t="s">
        <v>171</v>
      </c>
      <c r="AY2" s="538"/>
      <c r="AZ2" s="538"/>
      <c r="BA2" s="574" t="s">
        <v>172</v>
      </c>
      <c r="BB2" s="574" t="s">
        <v>173</v>
      </c>
      <c r="BC2" s="574" t="s">
        <v>174</v>
      </c>
      <c r="BD2" s="538"/>
      <c r="BE2" s="538"/>
      <c r="BF2" s="538"/>
      <c r="BG2" s="538"/>
      <c r="BH2" s="538"/>
      <c r="BI2" s="538"/>
      <c r="BJ2" s="538"/>
      <c r="BK2" s="538"/>
      <c r="BL2" s="538"/>
      <c r="BM2" s="538"/>
      <c r="BN2" s="538"/>
      <c r="BO2" s="538"/>
      <c r="BP2" s="588"/>
      <c r="BQ2" s="589" t="s">
        <v>175</v>
      </c>
      <c r="BR2" s="573" t="s">
        <v>170</v>
      </c>
      <c r="BS2" s="573" t="s">
        <v>171</v>
      </c>
      <c r="BT2" s="573"/>
      <c r="BU2" s="538"/>
      <c r="BV2" s="574" t="s">
        <v>172</v>
      </c>
      <c r="BW2" s="574" t="s">
        <v>173</v>
      </c>
      <c r="BX2" s="574" t="s">
        <v>174</v>
      </c>
      <c r="BY2" s="538"/>
      <c r="BZ2" s="538"/>
      <c r="CA2" s="538"/>
      <c r="CB2" s="538"/>
      <c r="CC2" s="538"/>
      <c r="CD2" s="538"/>
      <c r="CE2" s="538"/>
      <c r="CF2" s="538"/>
      <c r="CG2" s="538"/>
      <c r="CH2" s="538"/>
      <c r="CI2" s="538"/>
      <c r="CJ2" s="538"/>
      <c r="CK2" s="588"/>
      <c r="CL2" s="589" t="s">
        <v>176</v>
      </c>
      <c r="CM2" s="573" t="s">
        <v>170</v>
      </c>
      <c r="CN2" s="573" t="s">
        <v>171</v>
      </c>
      <c r="CO2" s="538"/>
      <c r="CP2" s="538"/>
      <c r="CQ2" s="574" t="s">
        <v>172</v>
      </c>
      <c r="CR2" s="574" t="s">
        <v>173</v>
      </c>
      <c r="CS2" s="574" t="s">
        <v>174</v>
      </c>
      <c r="CT2" s="538"/>
      <c r="CU2" s="538"/>
      <c r="CV2" s="538"/>
      <c r="CW2" s="538"/>
      <c r="CX2" s="538"/>
      <c r="CY2" s="538"/>
      <c r="CZ2" s="538"/>
      <c r="DA2" s="538"/>
      <c r="DB2" s="538"/>
      <c r="DC2" s="538"/>
      <c r="DD2" s="538"/>
      <c r="DE2" s="538"/>
      <c r="DF2" s="588"/>
      <c r="DG2" s="589" t="s">
        <v>177</v>
      </c>
      <c r="DH2" s="573" t="s">
        <v>170</v>
      </c>
      <c r="DI2" s="573" t="s">
        <v>171</v>
      </c>
      <c r="DJ2" s="538"/>
      <c r="DK2" s="538"/>
      <c r="DL2" s="574" t="s">
        <v>172</v>
      </c>
      <c r="DM2" s="574" t="s">
        <v>173</v>
      </c>
      <c r="DN2" s="574" t="s">
        <v>174</v>
      </c>
      <c r="DO2" s="538"/>
      <c r="DP2" s="538"/>
      <c r="DQ2" s="538"/>
      <c r="DR2" s="538"/>
      <c r="DS2" s="538"/>
      <c r="DT2" s="538"/>
      <c r="DU2" s="538"/>
      <c r="DV2" s="538"/>
      <c r="DW2" s="538"/>
      <c r="DX2" s="538"/>
      <c r="DY2" s="538"/>
      <c r="DZ2" s="538"/>
      <c r="EA2" s="588"/>
      <c r="EB2" s="589" t="s">
        <v>178</v>
      </c>
      <c r="EC2" s="573" t="s">
        <v>170</v>
      </c>
      <c r="ED2" s="573" t="s">
        <v>171</v>
      </c>
      <c r="EE2" s="538"/>
      <c r="EF2" s="538"/>
      <c r="EG2" s="574" t="s">
        <v>172</v>
      </c>
      <c r="EH2" s="574" t="s">
        <v>173</v>
      </c>
      <c r="EI2" s="574" t="s">
        <v>174</v>
      </c>
      <c r="EJ2" s="538"/>
      <c r="EK2" s="538"/>
      <c r="EL2" s="538"/>
      <c r="EM2" s="538"/>
      <c r="EN2" s="538"/>
      <c r="EO2" s="538"/>
      <c r="EP2" s="538"/>
      <c r="EQ2" s="538"/>
      <c r="ER2" s="538"/>
      <c r="ES2" s="538"/>
      <c r="ET2" s="538"/>
      <c r="EU2" s="538"/>
      <c r="EV2" s="588"/>
      <c r="EW2" s="589" t="s">
        <v>179</v>
      </c>
      <c r="EX2" s="573" t="s">
        <v>170</v>
      </c>
      <c r="EY2" s="573" t="s">
        <v>171</v>
      </c>
      <c r="EZ2" s="538"/>
      <c r="FA2" s="538"/>
      <c r="FB2" s="574" t="s">
        <v>172</v>
      </c>
      <c r="FC2" s="574" t="s">
        <v>173</v>
      </c>
      <c r="FD2" s="574" t="s">
        <v>174</v>
      </c>
      <c r="FE2" s="538"/>
      <c r="FF2" s="538"/>
      <c r="FG2" s="538"/>
      <c r="FH2" s="538"/>
      <c r="FI2" s="538"/>
      <c r="FJ2" s="538"/>
      <c r="FK2" s="538"/>
      <c r="FL2" s="538"/>
      <c r="FM2" s="538"/>
      <c r="FN2" s="538"/>
      <c r="FO2" s="538"/>
      <c r="FP2" s="538"/>
      <c r="FQ2" s="588"/>
      <c r="FR2" s="604"/>
    </row>
    <row r="3" spans="7:174">
      <c r="G3" s="401"/>
      <c r="H3" s="388"/>
      <c r="I3" s="388"/>
      <c r="J3" s="388"/>
      <c r="K3" s="388"/>
      <c r="L3" s="388"/>
      <c r="M3" s="388"/>
      <c r="N3" s="388"/>
      <c r="O3" s="388"/>
      <c r="Q3" s="401"/>
      <c r="R3" s="388"/>
      <c r="S3" s="388"/>
      <c r="T3" s="388"/>
      <c r="U3" s="388"/>
      <c r="V3" s="388"/>
      <c r="W3" s="388"/>
      <c r="X3" s="388"/>
      <c r="Y3" s="478"/>
      <c r="Z3" s="485"/>
      <c r="AA3" s="486"/>
      <c r="AB3" s="388"/>
      <c r="AC3" s="388"/>
      <c r="AD3" s="388"/>
      <c r="AE3" s="483"/>
      <c r="AF3" s="487" t="s">
        <v>180</v>
      </c>
      <c r="AG3" s="510"/>
      <c r="AH3" s="511" t="s">
        <v>181</v>
      </c>
      <c r="AI3" s="512"/>
      <c r="AJ3" s="513"/>
      <c r="AK3" s="512"/>
      <c r="AL3" s="512"/>
      <c r="AM3" s="512"/>
      <c r="AN3" s="512"/>
      <c r="AO3" s="548"/>
      <c r="AP3" s="549"/>
      <c r="AQ3" s="510"/>
      <c r="AR3" s="550">
        <f>C14</f>
        <v>0.126582278481013</v>
      </c>
      <c r="AS3" s="513"/>
      <c r="AT3" s="551">
        <f>C15</f>
        <v>0</v>
      </c>
      <c r="AU3" s="552"/>
      <c r="AV3" s="553">
        <f>AX3-AW3</f>
        <v>2</v>
      </c>
      <c r="AW3" s="553">
        <v>0</v>
      </c>
      <c r="AX3" s="553">
        <v>2</v>
      </c>
      <c r="AY3" s="575"/>
      <c r="AZ3" s="575"/>
      <c r="BA3" s="553">
        <f>$C$17</f>
        <v>0</v>
      </c>
      <c r="BB3" s="576">
        <f>$C$18</f>
        <v>1e-15</v>
      </c>
      <c r="BC3" s="577">
        <f>$C$19</f>
        <v>1e+20</v>
      </c>
      <c r="BD3" s="578"/>
      <c r="BE3" s="578"/>
      <c r="BF3" s="578"/>
      <c r="BG3" s="578"/>
      <c r="BH3" s="578"/>
      <c r="BI3" s="578"/>
      <c r="BJ3" s="578"/>
      <c r="BK3" s="578"/>
      <c r="BL3" s="578"/>
      <c r="BM3" s="578"/>
      <c r="BN3" s="575"/>
      <c r="BO3" s="575"/>
      <c r="BP3" s="590"/>
      <c r="BQ3" s="591">
        <f>BS3-BR3</f>
        <v>6</v>
      </c>
      <c r="BR3" s="553">
        <v>2</v>
      </c>
      <c r="BS3" s="553">
        <v>8</v>
      </c>
      <c r="BT3" s="553"/>
      <c r="BU3" s="575"/>
      <c r="BV3" s="553">
        <f>$C$20</f>
        <v>0</v>
      </c>
      <c r="BW3" s="576">
        <f ca="1">$C$21</f>
        <v>1e-15</v>
      </c>
      <c r="BX3" s="577">
        <f>$C$22</f>
        <v>1e+20</v>
      </c>
      <c r="BY3" s="578"/>
      <c r="BZ3" s="578"/>
      <c r="CA3" s="578"/>
      <c r="CB3" s="578"/>
      <c r="CC3" s="578"/>
      <c r="CD3" s="578"/>
      <c r="CE3" s="578"/>
      <c r="CF3" s="578"/>
      <c r="CG3" s="578"/>
      <c r="CH3" s="578"/>
      <c r="CI3" s="575"/>
      <c r="CJ3" s="575"/>
      <c r="CK3" s="590"/>
      <c r="CL3" s="591">
        <f>CN3-CM3</f>
        <v>16</v>
      </c>
      <c r="CM3" s="553">
        <v>8</v>
      </c>
      <c r="CN3" s="553">
        <v>24</v>
      </c>
      <c r="CO3" s="575"/>
      <c r="CP3" s="575"/>
      <c r="CQ3" s="553">
        <f>$C$23</f>
        <v>0</v>
      </c>
      <c r="CR3" s="576">
        <f ca="1">$C$24</f>
        <v>1e-15</v>
      </c>
      <c r="CS3" s="577">
        <f>$C$25</f>
        <v>1e+20</v>
      </c>
      <c r="CT3" s="578"/>
      <c r="CU3" s="578"/>
      <c r="CV3" s="578"/>
      <c r="CW3" s="578"/>
      <c r="CX3" s="578"/>
      <c r="CY3" s="578"/>
      <c r="CZ3" s="578"/>
      <c r="DA3" s="578"/>
      <c r="DB3" s="578"/>
      <c r="DC3" s="578"/>
      <c r="DD3" s="575"/>
      <c r="DE3" s="575"/>
      <c r="DF3" s="590"/>
      <c r="DG3" s="591">
        <f>DI3-DH3</f>
        <v>24</v>
      </c>
      <c r="DH3" s="553">
        <v>24</v>
      </c>
      <c r="DI3" s="553">
        <v>48</v>
      </c>
      <c r="DJ3" s="575"/>
      <c r="DK3" s="575"/>
      <c r="DL3" s="553">
        <f>$C$26</f>
        <v>0</v>
      </c>
      <c r="DM3" s="576">
        <f ca="1">$C$27</f>
        <v>1e-15</v>
      </c>
      <c r="DN3" s="577">
        <f>$C$28</f>
        <v>1e+20</v>
      </c>
      <c r="DO3" s="578"/>
      <c r="DP3" s="578"/>
      <c r="DQ3" s="578"/>
      <c r="DR3" s="578"/>
      <c r="DS3" s="578"/>
      <c r="DT3" s="578"/>
      <c r="DU3" s="578"/>
      <c r="DV3" s="578"/>
      <c r="DW3" s="578"/>
      <c r="DX3" s="578"/>
      <c r="DY3" s="575"/>
      <c r="DZ3" s="575"/>
      <c r="EA3" s="590"/>
      <c r="EB3" s="591">
        <f>ED3-EC3</f>
        <v>48</v>
      </c>
      <c r="EC3" s="553">
        <v>48</v>
      </c>
      <c r="ED3" s="553">
        <v>96</v>
      </c>
      <c r="EE3" s="575"/>
      <c r="EF3" s="575"/>
      <c r="EG3" s="553">
        <f>$C$29</f>
        <v>0</v>
      </c>
      <c r="EH3" s="576">
        <f ca="1">$C$30</f>
        <v>1e-15</v>
      </c>
      <c r="EI3" s="577">
        <f>$C$31</f>
        <v>1e+20</v>
      </c>
      <c r="EJ3" s="578"/>
      <c r="EK3" s="578"/>
      <c r="EL3" s="578"/>
      <c r="EM3" s="578"/>
      <c r="EN3" s="578"/>
      <c r="EO3" s="578"/>
      <c r="EP3" s="578"/>
      <c r="EQ3" s="578"/>
      <c r="ER3" s="578"/>
      <c r="ES3" s="578"/>
      <c r="ET3" s="575"/>
      <c r="EU3" s="575"/>
      <c r="EV3" s="590"/>
      <c r="EW3" s="591">
        <f>EY3-EX3</f>
        <v>624</v>
      </c>
      <c r="EX3" s="553">
        <v>96</v>
      </c>
      <c r="EY3" s="553">
        <f>30*24</f>
        <v>720</v>
      </c>
      <c r="EZ3" s="575"/>
      <c r="FA3" s="575"/>
      <c r="FB3" s="553">
        <f>$C$32</f>
        <v>0</v>
      </c>
      <c r="FC3" s="576">
        <f ca="1">$C$33</f>
        <v>1e-15</v>
      </c>
      <c r="FD3" s="577">
        <f>$C$34</f>
        <v>1e+20</v>
      </c>
      <c r="FE3" s="578"/>
      <c r="FF3" s="578"/>
      <c r="FG3" s="578"/>
      <c r="FH3" s="578"/>
      <c r="FI3" s="578"/>
      <c r="FJ3" s="578"/>
      <c r="FK3" s="578"/>
      <c r="FL3" s="578"/>
      <c r="FM3" s="578"/>
      <c r="FN3" s="578"/>
      <c r="FO3" s="575"/>
      <c r="FP3" s="575"/>
      <c r="FQ3" s="590"/>
      <c r="FR3" s="604"/>
    </row>
    <row r="4" s="387" customFormat="1" ht="60" spans="1:201">
      <c r="A4" s="402" t="s">
        <v>182</v>
      </c>
      <c r="B4" s="403" t="s">
        <v>183</v>
      </c>
      <c r="C4" s="403" t="s">
        <v>184</v>
      </c>
      <c r="D4" s="403" t="s">
        <v>185</v>
      </c>
      <c r="E4" s="403" t="s">
        <v>186</v>
      </c>
      <c r="G4" s="404" t="s">
        <v>35</v>
      </c>
      <c r="H4" s="405" t="s">
        <v>160</v>
      </c>
      <c r="I4" s="448" t="s">
        <v>187</v>
      </c>
      <c r="J4" s="448" t="s">
        <v>188</v>
      </c>
      <c r="K4" s="448" t="s">
        <v>189</v>
      </c>
      <c r="L4" s="448" t="s">
        <v>190</v>
      </c>
      <c r="M4" s="448" t="s">
        <v>191</v>
      </c>
      <c r="N4" s="405" t="s">
        <v>192</v>
      </c>
      <c r="O4" s="449" t="s">
        <v>193</v>
      </c>
      <c r="Q4" s="476" t="str">
        <f t="shared" ref="Q4:Q27" si="0">G4</f>
        <v>核素</v>
      </c>
      <c r="R4" s="405" t="s">
        <v>160</v>
      </c>
      <c r="S4" s="448" t="s">
        <v>187</v>
      </c>
      <c r="T4" s="448" t="s">
        <v>188</v>
      </c>
      <c r="U4" s="448" t="s">
        <v>189</v>
      </c>
      <c r="V4" s="448" t="s">
        <v>190</v>
      </c>
      <c r="W4" s="448" t="s">
        <v>191</v>
      </c>
      <c r="X4" s="405" t="s">
        <v>192</v>
      </c>
      <c r="Y4" s="488"/>
      <c r="Z4" s="489" t="s">
        <v>194</v>
      </c>
      <c r="AA4" s="490" t="s">
        <v>195</v>
      </c>
      <c r="AB4" s="491" t="s">
        <v>40</v>
      </c>
      <c r="AC4" s="491" t="s">
        <v>196</v>
      </c>
      <c r="AD4" s="491" t="s">
        <v>42</v>
      </c>
      <c r="AE4" s="491" t="s">
        <v>43</v>
      </c>
      <c r="AF4" s="492" t="s">
        <v>197</v>
      </c>
      <c r="AG4" s="514" t="s">
        <v>198</v>
      </c>
      <c r="AH4" s="515" t="s">
        <v>199</v>
      </c>
      <c r="AI4" s="514" t="s">
        <v>200</v>
      </c>
      <c r="AJ4" s="516" t="s">
        <v>201</v>
      </c>
      <c r="AK4" s="514" t="s">
        <v>202</v>
      </c>
      <c r="AL4" s="514" t="s">
        <v>203</v>
      </c>
      <c r="AM4" s="517" t="s">
        <v>204</v>
      </c>
      <c r="AN4" s="514" t="s">
        <v>205</v>
      </c>
      <c r="AO4" s="514" t="s">
        <v>206</v>
      </c>
      <c r="AP4" s="554" t="s">
        <v>207</v>
      </c>
      <c r="AQ4" s="555" t="s">
        <v>208</v>
      </c>
      <c r="AR4" s="556" t="s">
        <v>209</v>
      </c>
      <c r="AS4" s="557" t="s">
        <v>210</v>
      </c>
      <c r="AT4" s="556" t="s">
        <v>211</v>
      </c>
      <c r="AU4" s="558" t="s">
        <v>212</v>
      </c>
      <c r="AV4" s="559" t="s">
        <v>213</v>
      </c>
      <c r="AW4" s="559" t="s">
        <v>214</v>
      </c>
      <c r="AX4" s="559" t="s">
        <v>215</v>
      </c>
      <c r="AY4" s="579" t="s">
        <v>216</v>
      </c>
      <c r="AZ4" s="559" t="s">
        <v>217</v>
      </c>
      <c r="BA4" s="559" t="s">
        <v>218</v>
      </c>
      <c r="BB4" s="559" t="s">
        <v>219</v>
      </c>
      <c r="BC4" s="559" t="s">
        <v>220</v>
      </c>
      <c r="BD4" s="559" t="s">
        <v>221</v>
      </c>
      <c r="BE4" s="559" t="s">
        <v>222</v>
      </c>
      <c r="BF4" s="559" t="s">
        <v>223</v>
      </c>
      <c r="BG4" s="559" t="s">
        <v>224</v>
      </c>
      <c r="BH4" s="559" t="s">
        <v>225</v>
      </c>
      <c r="BI4" s="559" t="s">
        <v>226</v>
      </c>
      <c r="BJ4" s="559" t="s">
        <v>227</v>
      </c>
      <c r="BK4" s="559" t="s">
        <v>228</v>
      </c>
      <c r="BL4" s="579" t="s">
        <v>229</v>
      </c>
      <c r="BM4" s="559" t="s">
        <v>230</v>
      </c>
      <c r="BN4" s="559" t="s">
        <v>231</v>
      </c>
      <c r="BO4" s="559" t="s">
        <v>232</v>
      </c>
      <c r="BP4" s="592" t="s">
        <v>233</v>
      </c>
      <c r="BQ4" s="593" t="s">
        <v>213</v>
      </c>
      <c r="BR4" s="559" t="s">
        <v>214</v>
      </c>
      <c r="BS4" s="559" t="s">
        <v>215</v>
      </c>
      <c r="BT4" s="579" t="s">
        <v>216</v>
      </c>
      <c r="BU4" s="559" t="s">
        <v>217</v>
      </c>
      <c r="BV4" s="559" t="s">
        <v>218</v>
      </c>
      <c r="BW4" s="559" t="s">
        <v>219</v>
      </c>
      <c r="BX4" s="559" t="s">
        <v>220</v>
      </c>
      <c r="BY4" s="559" t="s">
        <v>221</v>
      </c>
      <c r="BZ4" s="559" t="s">
        <v>222</v>
      </c>
      <c r="CA4" s="559" t="s">
        <v>223</v>
      </c>
      <c r="CB4" s="559" t="s">
        <v>224</v>
      </c>
      <c r="CC4" s="559" t="s">
        <v>225</v>
      </c>
      <c r="CD4" s="559" t="s">
        <v>226</v>
      </c>
      <c r="CE4" s="559" t="s">
        <v>227</v>
      </c>
      <c r="CF4" s="559" t="s">
        <v>228</v>
      </c>
      <c r="CG4" s="579" t="s">
        <v>229</v>
      </c>
      <c r="CH4" s="559" t="s">
        <v>230</v>
      </c>
      <c r="CI4" s="559" t="s">
        <v>231</v>
      </c>
      <c r="CJ4" s="559" t="s">
        <v>232</v>
      </c>
      <c r="CK4" s="592" t="s">
        <v>233</v>
      </c>
      <c r="CL4" s="593" t="s">
        <v>213</v>
      </c>
      <c r="CM4" s="559" t="s">
        <v>214</v>
      </c>
      <c r="CN4" s="559" t="s">
        <v>215</v>
      </c>
      <c r="CO4" s="579" t="s">
        <v>216</v>
      </c>
      <c r="CP4" s="559" t="s">
        <v>217</v>
      </c>
      <c r="CQ4" s="559" t="s">
        <v>218</v>
      </c>
      <c r="CR4" s="559" t="s">
        <v>219</v>
      </c>
      <c r="CS4" s="559" t="s">
        <v>220</v>
      </c>
      <c r="CT4" s="559" t="s">
        <v>221</v>
      </c>
      <c r="CU4" s="559" t="s">
        <v>222</v>
      </c>
      <c r="CV4" s="559" t="s">
        <v>223</v>
      </c>
      <c r="CW4" s="559" t="s">
        <v>224</v>
      </c>
      <c r="CX4" s="559" t="s">
        <v>225</v>
      </c>
      <c r="CY4" s="559" t="s">
        <v>226</v>
      </c>
      <c r="CZ4" s="559" t="s">
        <v>227</v>
      </c>
      <c r="DA4" s="559" t="s">
        <v>228</v>
      </c>
      <c r="DB4" s="579" t="s">
        <v>229</v>
      </c>
      <c r="DC4" s="559" t="s">
        <v>230</v>
      </c>
      <c r="DD4" s="559" t="s">
        <v>231</v>
      </c>
      <c r="DE4" s="559" t="s">
        <v>232</v>
      </c>
      <c r="DF4" s="592" t="s">
        <v>233</v>
      </c>
      <c r="DG4" s="593" t="s">
        <v>213</v>
      </c>
      <c r="DH4" s="559" t="s">
        <v>214</v>
      </c>
      <c r="DI4" s="559" t="s">
        <v>215</v>
      </c>
      <c r="DJ4" s="579" t="s">
        <v>216</v>
      </c>
      <c r="DK4" s="559" t="s">
        <v>217</v>
      </c>
      <c r="DL4" s="559" t="s">
        <v>218</v>
      </c>
      <c r="DM4" s="559" t="s">
        <v>219</v>
      </c>
      <c r="DN4" s="559" t="s">
        <v>220</v>
      </c>
      <c r="DO4" s="559" t="s">
        <v>221</v>
      </c>
      <c r="DP4" s="559" t="s">
        <v>222</v>
      </c>
      <c r="DQ4" s="559" t="s">
        <v>223</v>
      </c>
      <c r="DR4" s="559" t="s">
        <v>224</v>
      </c>
      <c r="DS4" s="559" t="s">
        <v>225</v>
      </c>
      <c r="DT4" s="559" t="s">
        <v>226</v>
      </c>
      <c r="DU4" s="559" t="s">
        <v>227</v>
      </c>
      <c r="DV4" s="559" t="s">
        <v>228</v>
      </c>
      <c r="DW4" s="579" t="s">
        <v>229</v>
      </c>
      <c r="DX4" s="559" t="s">
        <v>230</v>
      </c>
      <c r="DY4" s="559" t="s">
        <v>231</v>
      </c>
      <c r="DZ4" s="559" t="s">
        <v>232</v>
      </c>
      <c r="EA4" s="592" t="s">
        <v>233</v>
      </c>
      <c r="EB4" s="593" t="s">
        <v>213</v>
      </c>
      <c r="EC4" s="559" t="s">
        <v>214</v>
      </c>
      <c r="ED4" s="559" t="s">
        <v>215</v>
      </c>
      <c r="EE4" s="579" t="s">
        <v>216</v>
      </c>
      <c r="EF4" s="559" t="s">
        <v>217</v>
      </c>
      <c r="EG4" s="559" t="s">
        <v>218</v>
      </c>
      <c r="EH4" s="559" t="s">
        <v>219</v>
      </c>
      <c r="EI4" s="559" t="s">
        <v>220</v>
      </c>
      <c r="EJ4" s="559" t="s">
        <v>221</v>
      </c>
      <c r="EK4" s="559" t="s">
        <v>222</v>
      </c>
      <c r="EL4" s="559" t="s">
        <v>223</v>
      </c>
      <c r="EM4" s="559" t="s">
        <v>224</v>
      </c>
      <c r="EN4" s="559" t="s">
        <v>225</v>
      </c>
      <c r="EO4" s="559" t="s">
        <v>226</v>
      </c>
      <c r="EP4" s="559" t="s">
        <v>227</v>
      </c>
      <c r="EQ4" s="559" t="s">
        <v>228</v>
      </c>
      <c r="ER4" s="579" t="s">
        <v>229</v>
      </c>
      <c r="ES4" s="559" t="s">
        <v>230</v>
      </c>
      <c r="ET4" s="559" t="s">
        <v>231</v>
      </c>
      <c r="EU4" s="559" t="s">
        <v>232</v>
      </c>
      <c r="EV4" s="592" t="s">
        <v>233</v>
      </c>
      <c r="EW4" s="593" t="s">
        <v>213</v>
      </c>
      <c r="EX4" s="559" t="s">
        <v>214</v>
      </c>
      <c r="EY4" s="559" t="s">
        <v>215</v>
      </c>
      <c r="EZ4" s="579" t="s">
        <v>216</v>
      </c>
      <c r="FA4" s="559" t="s">
        <v>217</v>
      </c>
      <c r="FB4" s="559" t="s">
        <v>218</v>
      </c>
      <c r="FC4" s="559" t="s">
        <v>219</v>
      </c>
      <c r="FD4" s="559" t="s">
        <v>220</v>
      </c>
      <c r="FE4" s="559" t="s">
        <v>221</v>
      </c>
      <c r="FF4" s="559" t="s">
        <v>222</v>
      </c>
      <c r="FG4" s="559" t="s">
        <v>223</v>
      </c>
      <c r="FH4" s="559" t="s">
        <v>224</v>
      </c>
      <c r="FI4" s="559" t="s">
        <v>225</v>
      </c>
      <c r="FJ4" s="559" t="s">
        <v>226</v>
      </c>
      <c r="FK4" s="559" t="s">
        <v>227</v>
      </c>
      <c r="FL4" s="559" t="s">
        <v>228</v>
      </c>
      <c r="FM4" s="579" t="s">
        <v>229</v>
      </c>
      <c r="FN4" s="559" t="s">
        <v>230</v>
      </c>
      <c r="FO4" s="559" t="s">
        <v>231</v>
      </c>
      <c r="FP4" s="559" t="s">
        <v>232</v>
      </c>
      <c r="FQ4" s="592" t="s">
        <v>233</v>
      </c>
      <c r="FR4" s="605"/>
      <c r="FS4" s="606" t="s">
        <v>160</v>
      </c>
      <c r="FT4" s="607" t="s">
        <v>234</v>
      </c>
      <c r="FU4" s="607" t="s">
        <v>235</v>
      </c>
      <c r="FV4" s="607" t="s">
        <v>236</v>
      </c>
      <c r="FW4" s="612" t="s">
        <v>237</v>
      </c>
      <c r="FX4" s="606" t="s">
        <v>160</v>
      </c>
      <c r="FY4" s="607" t="s">
        <v>234</v>
      </c>
      <c r="FZ4" s="607" t="s">
        <v>235</v>
      </c>
      <c r="GA4" s="607" t="s">
        <v>236</v>
      </c>
      <c r="GB4" s="613" t="s">
        <v>238</v>
      </c>
      <c r="GC4" s="616" t="s">
        <v>192</v>
      </c>
      <c r="GE4" s="606" t="s">
        <v>239</v>
      </c>
      <c r="GF4" s="607" t="s">
        <v>234</v>
      </c>
      <c r="GG4" s="607" t="s">
        <v>235</v>
      </c>
      <c r="GH4" s="607" t="s">
        <v>240</v>
      </c>
      <c r="GI4" s="607" t="s">
        <v>241</v>
      </c>
      <c r="GJ4" s="607" t="s">
        <v>242</v>
      </c>
      <c r="GK4" s="612" t="s">
        <v>243</v>
      </c>
      <c r="GL4" s="606" t="s">
        <v>239</v>
      </c>
      <c r="GM4" s="607" t="s">
        <v>234</v>
      </c>
      <c r="GN4" s="607" t="s">
        <v>235</v>
      </c>
      <c r="GO4" s="607" t="s">
        <v>244</v>
      </c>
      <c r="GP4" s="607" t="s">
        <v>242</v>
      </c>
      <c r="GQ4" s="612" t="s">
        <v>243</v>
      </c>
      <c r="GR4" s="387" t="s">
        <v>245</v>
      </c>
      <c r="GS4" s="387" t="s">
        <v>246</v>
      </c>
    </row>
    <row r="5" spans="1:201">
      <c r="A5" s="406" t="s">
        <v>247</v>
      </c>
      <c r="B5" s="407" t="s">
        <v>248</v>
      </c>
      <c r="C5" s="408">
        <v>1</v>
      </c>
      <c r="D5" s="409" t="s">
        <v>249</v>
      </c>
      <c r="E5" s="410"/>
      <c r="G5" s="411" t="s">
        <v>46</v>
      </c>
      <c r="H5" s="412">
        <f ca="1" t="shared" ref="H5:H27" si="1">AU5</f>
        <v>0</v>
      </c>
      <c r="I5" s="412">
        <f ca="1" t="shared" ref="I5:I27" si="2">BP5</f>
        <v>2617573.69946516</v>
      </c>
      <c r="J5" s="412">
        <f ca="1" t="shared" ref="J5:J27" si="3">CK5</f>
        <v>3.70718998606588e-9</v>
      </c>
      <c r="K5" s="412">
        <f ca="1" t="shared" ref="K5:K27" si="4">DF5</f>
        <v>1.8625190327556e-10</v>
      </c>
      <c r="L5" s="412">
        <f ca="1" t="shared" ref="L5:L27" si="5">EA5+EV5</f>
        <v>3.91238078676272e-13</v>
      </c>
      <c r="M5" s="412">
        <f ca="1" t="shared" ref="M5:M27" si="6">FQ5</f>
        <v>4.49987891375388e-26</v>
      </c>
      <c r="N5" s="412">
        <f ca="1" t="shared" ref="N5:N27" si="7">SUM(H5:M5)</f>
        <v>2617573.69946517</v>
      </c>
      <c r="O5" s="450">
        <f ca="1" t="shared" ref="O5:O27" si="8">AS5</f>
        <v>2617573.69946515</v>
      </c>
      <c r="P5" s="451"/>
      <c r="Q5" s="477" t="str">
        <f t="shared" si="0"/>
        <v>Kr-83m</v>
      </c>
      <c r="R5" s="412">
        <f ca="1" t="shared" ref="R5:R27" si="9">H5</f>
        <v>0</v>
      </c>
      <c r="S5" s="412">
        <f ca="1">I5*(1-过滤效率!$B2)</f>
        <v>2617573.69946516</v>
      </c>
      <c r="T5" s="412">
        <f ca="1">J5*(1-过滤效率!$B2)</f>
        <v>3.70718998606588e-9</v>
      </c>
      <c r="U5" s="412">
        <f ca="1">K5*(1-过滤效率!$B2)</f>
        <v>1.8625190327556e-10</v>
      </c>
      <c r="V5" s="412">
        <f ca="1">L5*(1-过滤效率!$B2)</f>
        <v>3.91238078676272e-13</v>
      </c>
      <c r="W5" s="412">
        <f ca="1">M5*(1-过滤效率!$B2)</f>
        <v>4.49987891375388e-26</v>
      </c>
      <c r="X5" s="412">
        <f ca="1" t="shared" ref="X5:X27" si="10">SUM(R5:W5)</f>
        <v>2617573.69946517</v>
      </c>
      <c r="Y5" s="493"/>
      <c r="Z5" s="494">
        <f>VLOOKUP(G5,衰变常数!$A$1:$H$3800,7,FALSE)</f>
        <v>0.000105213597534903</v>
      </c>
      <c r="AA5" s="495">
        <f>正常源项!C2</f>
        <v>2.35e+16</v>
      </c>
      <c r="AB5" s="496">
        <f>正常源项!F2</f>
        <v>0</v>
      </c>
      <c r="AC5" s="496">
        <f>正常源项!I2</f>
        <v>4250000000</v>
      </c>
      <c r="AD5" s="496">
        <f>正常源项!L2</f>
        <v>179000000</v>
      </c>
      <c r="AE5" s="497"/>
      <c r="AF5" s="498"/>
      <c r="AG5" s="483"/>
      <c r="AH5" s="518"/>
      <c r="AI5" s="483"/>
      <c r="AK5" s="519"/>
      <c r="AL5" s="519">
        <f t="shared" ref="AL5:AL18" si="11">AA5*0.0000007*0.000209</f>
        <v>3438050</v>
      </c>
      <c r="AM5" s="520">
        <f t="shared" ref="AM5:AM18" si="12">(0.00016*2%+0.00026*2%)/2*AA5</f>
        <v>98700000000</v>
      </c>
      <c r="AN5" s="519">
        <f ca="1">MAX(INDIRECT("'"&amp;$B$2&amp;"-事故进程'!Y"&amp;(ROW()+22)),INDIRECT("'"&amp;$B$2&amp;"-事故进程'!Z"&amp;(ROW()+22)),INDIRECT("'"&amp;$B$2&amp;"-事故进程'!AA"&amp;(ROW()+22)))</f>
        <v>7.79847968143463e-11</v>
      </c>
      <c r="AO5" s="519">
        <f ca="1" t="shared" ref="AO5:AO23" si="13">AA5*(EXP(-Z5*$C$12*3600)-EXP(-(Z5+AN5)*$C$12*3600))</f>
        <v>12731722.3169195</v>
      </c>
      <c r="AP5" s="560">
        <f t="shared" ref="AP5:AP27" si="14">AA5*EXP(-Z5*$C$12*3600)</f>
        <v>1813995592525.99</v>
      </c>
      <c r="AQ5" s="561">
        <f ca="1">(AC5*$C$5+AD5*$C$8+AF5+AG5+AI5+(AL5+AM5)*$C$10)*EXP(-Z5*$C$12*3600)+AO5*$C$11</f>
        <v>20678832.2257747</v>
      </c>
      <c r="AR5" s="562">
        <f ca="1">AQ5*(1-AR$3)</f>
        <v>18061258.5263096</v>
      </c>
      <c r="AS5" s="563">
        <f ca="1" t="shared" ref="AS5:AS27" si="15">(AQ5-AR5)+AB5*EXP(-Z5*$C$12*3600)</f>
        <v>2617573.69946515</v>
      </c>
      <c r="AT5" s="562">
        <f ca="1">AS5*(1-AT$3)</f>
        <v>2617573.69946515</v>
      </c>
      <c r="AU5" s="564">
        <f ca="1" t="shared" ref="AU5:AU27" si="16">AS5-AT5</f>
        <v>0</v>
      </c>
      <c r="AV5" s="565">
        <f>AV$3*3600</f>
        <v>7200</v>
      </c>
      <c r="AW5" s="580">
        <f>AP5*EXP(-Z5*AW$3*3600)</f>
        <v>1813995592525.99</v>
      </c>
      <c r="AX5" s="580">
        <f ca="1" t="shared" ref="AX5:AX27" si="17">AR5</f>
        <v>18061258.5263096</v>
      </c>
      <c r="AY5" s="581">
        <f ca="1" t="shared" ref="AY5:AY27" si="18">AT5</f>
        <v>2617573.69946515</v>
      </c>
      <c r="AZ5" s="580">
        <v>0</v>
      </c>
      <c r="BA5" s="580">
        <f ca="1">MAX(INDIRECT("'"&amp;$B$2&amp;"-事故进程'!Y"&amp;(ROW()+22)),INDIRECT("'"&amp;$B$2&amp;"-事故进程'!Z"&amp;(ROW()+22)))</f>
        <v>7.62920106460944e-11</v>
      </c>
      <c r="BB5" s="580">
        <f>SUM(BA$3,-LN(1-BB$3)/AV5)</f>
        <v>1.38777878078145e-19</v>
      </c>
      <c r="BC5" s="580">
        <f>BC$3/24/3600</f>
        <v>1157407407407410</v>
      </c>
      <c r="BD5" s="582">
        <f ca="1" t="shared" ref="BD5:BD27" si="19">EXP(-AV5*($Z5+BA5))</f>
        <v>0.468819028586987</v>
      </c>
      <c r="BE5" s="582">
        <f t="shared" ref="BE5:BE27" si="20">EXP(-AV5*($Z5+BB5))</f>
        <v>0.468819286110511</v>
      </c>
      <c r="BF5" s="582">
        <f t="shared" ref="BF5:BF27" si="21">EXP(-AV5*($Z5+BC5))</f>
        <v>0</v>
      </c>
      <c r="BG5" s="582">
        <f ca="1" t="shared" ref="BG5:BG27" si="22">AW5*BA5+AX5*(BA5-BB5)</f>
        <v>138.394748986687</v>
      </c>
      <c r="BH5" s="582">
        <f ca="1" t="shared" ref="BH5:BH27" si="23">(AW5*BB5*BA5/(BA5-BC5)+AX5*BB5)/(BB5-BC5)+AY5</f>
        <v>2617573.69946515</v>
      </c>
      <c r="BI5" s="582">
        <f ca="1" t="shared" ref="BI5:BI27" si="24">IF(BB5=0,0,BB5/(BB5-BA5))</f>
        <v>-1.81903553406599e-9</v>
      </c>
      <c r="BJ5" s="580">
        <f ca="1" t="shared" ref="BJ5:BJ27" si="25">AW5*BD5</f>
        <v>850435651549.113</v>
      </c>
      <c r="BK5" s="580">
        <f ca="1" t="shared" ref="BK5:BK27" si="26">BA5/(BB5-BA5)*BJ5+(AX5-AW5*BA5/(BB5-BA5))*BE5</f>
        <v>8934612.86657715</v>
      </c>
      <c r="BL5" s="586">
        <f ca="1" t="shared" ref="BL5:BL27" si="27">BF5*BH5+BI5*(BE5*BG5/(BB5-BC5)-BJ5*BA5/(BA5-BC5))</f>
        <v>1.07129659540176e-27</v>
      </c>
      <c r="BM5" s="594">
        <f ca="1" t="shared" ref="BM5:BM27" si="28">(AW5+AX5+AY5+AZ5)*EXP(-$Z5*AV5)-BJ5-BK5-BL5</f>
        <v>1227169.03308105</v>
      </c>
      <c r="BN5" s="580">
        <f ca="1" t="shared" ref="BN5:BN27" si="29">AW5*BA5/($Z5+BA5)*(1-BD5)</f>
        <v>698691.744155729</v>
      </c>
      <c r="BO5" s="580">
        <f ca="1" t="shared" ref="BO5:BO27" si="30">BI5*(BN5-(1-BE5)*BG5/($Z5+BB5))</f>
        <v>1.29597267679797e-8</v>
      </c>
      <c r="BP5" s="595">
        <f ca="1" t="shared" ref="BP5:BP27" si="31">BC5*(1-BF5)*BH5/($Z5+BC5)+BC5*BI5*((1-BE5)*BG5/($Z5+BB5)/(BB5-BC5)-BN5/(BA5-BC5))</f>
        <v>2617573.69946516</v>
      </c>
      <c r="BQ5" s="596">
        <f>BQ$3*3600</f>
        <v>21600</v>
      </c>
      <c r="BR5" s="580">
        <f ca="1" t="shared" ref="BR5:BU5" si="32">BJ5</f>
        <v>850435651549.113</v>
      </c>
      <c r="BS5" s="580">
        <f ca="1" t="shared" si="32"/>
        <v>8934612.86657715</v>
      </c>
      <c r="BT5" s="581">
        <f ca="1" t="shared" si="32"/>
        <v>1.07129659540176e-27</v>
      </c>
      <c r="BU5" s="580">
        <f ca="1" t="shared" si="32"/>
        <v>1227169.03308105</v>
      </c>
      <c r="BV5" s="580">
        <f ca="1">MAX(INDIRECT("'"&amp;$B$2&amp;"-事故进程'!Z"&amp;(ROW()+22)),INDIRECT("'"&amp;$B$2&amp;"-事故进程'!AA"&amp;(ROW()+22)))</f>
        <v>7.79847968143463e-11</v>
      </c>
      <c r="BW5" s="580">
        <f ca="1">SUM(BV$3,-LN(1-BW$3)/BQ5)</f>
        <v>4.62592926927149e-20</v>
      </c>
      <c r="BX5" s="580">
        <f>BX$3/24/3600</f>
        <v>1157407407407410</v>
      </c>
      <c r="BY5" s="582">
        <f ca="1" t="shared" ref="BY5:BY27" si="33">EXP(-BQ5*($Z5+BV5))</f>
        <v>0.103042331347649</v>
      </c>
      <c r="BZ5" s="582">
        <f ca="1" t="shared" ref="BZ5:BZ27" si="34">EXP(-BQ5*($Z5+BW5))</f>
        <v>0.103042504919677</v>
      </c>
      <c r="CA5" s="582">
        <f t="shared" ref="CA5:CA27" si="35">EXP(-BQ5*($Z5+BX5))</f>
        <v>0</v>
      </c>
      <c r="CB5" s="582">
        <f ca="1" t="shared" ref="CB5:CB27" si="36">BR5*BV5+BS5*(BV5-BW5)</f>
        <v>66.3217482537024</v>
      </c>
      <c r="CC5" s="582">
        <f ca="1" t="shared" ref="CC5:CC27" si="37">(BR5*BW5*BV5/(BV5-BX5)+BS5*BW5)/(BW5-BX5)+BT5</f>
        <v>7.14197730260657e-28</v>
      </c>
      <c r="CD5" s="582">
        <f ca="1" t="shared" ref="CD5:CD27" si="38">IF(BW5=0,0,BW5/(BW5-BV5))</f>
        <v>-5.93183474341567e-10</v>
      </c>
      <c r="CE5" s="580">
        <f ca="1" t="shared" ref="CE5:CE27" si="39">BR5*BY5</f>
        <v>87630872196.7777</v>
      </c>
      <c r="CF5" s="580">
        <f ca="1" t="shared" ref="CF5:CF27" si="40">BV5/(BW5-BV5)*CE5+(BS5-BR5*BV5/(BW5-BV5))*BZ5</f>
        <v>1068256.73110962</v>
      </c>
      <c r="CG5" s="586">
        <f ca="1" t="shared" ref="CG5:CG27" si="41">CA5*CC5+CD5*(BZ5*CB5/(BW5-BX5)-CE5*BV5/(BV5-BX5))</f>
        <v>4.26961158873686e-29</v>
      </c>
      <c r="CH5" s="594">
        <f ca="1" t="shared" ref="CH5:CH27" si="42">(BR5+BS5+BT5+BU5)*EXP(-$Z5*BQ5)-CE5-CF5-CG5</f>
        <v>126450.571075439</v>
      </c>
      <c r="CI5" s="580">
        <f ca="1" t="shared" ref="CI5:CI27" si="43">BR5*BV5/($Z5+BV5)*(1-BY5)</f>
        <v>565393.95124226</v>
      </c>
      <c r="CJ5" s="580">
        <f ca="1" t="shared" ref="CJ5:CJ27" si="44">CD5*(CI5-(1-BZ5)*CB5/($Z5+BW5))</f>
        <v>3.70718998606483e-9</v>
      </c>
      <c r="CK5" s="595">
        <f ca="1" t="shared" ref="CK5:CK27" si="45">BX5*(1-CA5)*CC5/($Z5+BX5)+BX5*CD5*((1-BZ5)*CB5/($Z5+BW5)/(BW5-BX5)-CI5/(BV5-BX5))</f>
        <v>3.70718998606588e-9</v>
      </c>
      <c r="CL5" s="596">
        <f>CL$3*3600</f>
        <v>57600</v>
      </c>
      <c r="CM5" s="580">
        <f ca="1" t="shared" ref="CM5:CP5" si="46">CE5</f>
        <v>87630872196.7777</v>
      </c>
      <c r="CN5" s="580">
        <f ca="1" t="shared" si="46"/>
        <v>1068256.73110962</v>
      </c>
      <c r="CO5" s="581">
        <f ca="1" t="shared" si="46"/>
        <v>4.26961158873686e-29</v>
      </c>
      <c r="CP5" s="580">
        <f ca="1" t="shared" si="46"/>
        <v>126450.571075439</v>
      </c>
      <c r="CQ5" s="580">
        <f ca="1">MAX(INDIRECT("'"&amp;$B$2&amp;"-事故进程'!AA"&amp;(ROW()+22)),INDIRECT("'"&amp;$B$2&amp;"-事故进程'!AB"&amp;(ROW()+22)))</f>
        <v>7.79847968143463e-11</v>
      </c>
      <c r="CR5" s="580">
        <f ca="1">SUM(CQ$3,-LN(1-CR$3)/CL5)</f>
        <v>1.73472347597681e-20</v>
      </c>
      <c r="CS5" s="580">
        <f>CS$3/24/3600</f>
        <v>1157407407407410</v>
      </c>
      <c r="CT5" s="582">
        <f ca="1" t="shared" ref="CT5:CT27" si="47">EXP(-CL5*($Z5+CQ5))</f>
        <v>0.00233368267968996</v>
      </c>
      <c r="CU5" s="582">
        <f ca="1" t="shared" ref="CU5:CU27" si="48">EXP(-CL5*($Z5+CR5))</f>
        <v>0.00233369316243943</v>
      </c>
      <c r="CV5" s="582">
        <f t="shared" ref="CV5:CV27" si="49">EXP(-CL5*($Z5+CS5))</f>
        <v>0</v>
      </c>
      <c r="CW5" s="582">
        <f ca="1" t="shared" ref="CW5:CW27" si="50">CM5*CQ5+CN5*(CQ5-CR5)</f>
        <v>6.83395907071376</v>
      </c>
      <c r="CX5" s="582">
        <f ca="1" t="shared" ref="CX5:CX27" si="51">(CM5*CR5*CQ5/(CQ5-CS5)+CN5*CR5)/(CR5-CS5)+CO5</f>
        <v>2.66850724296711e-29</v>
      </c>
      <c r="CY5" s="582">
        <f ca="1" t="shared" ref="CY5:CY27" si="52">IF(CR5=0,0,CR5/(CR5-CQ5))</f>
        <v>-2.22443802795619e-10</v>
      </c>
      <c r="CZ5" s="580">
        <f ca="1" t="shared" ref="CZ5:CZ27" si="53">CM5*CT5</f>
        <v>204502648.651744</v>
      </c>
      <c r="DA5" s="580">
        <f ca="1" t="shared" ref="DA5:DA27" si="54">CQ5/(CR5-CQ5)*CZ5+(CN5-CM5*CQ5/(CR5-CQ5))*CU5</f>
        <v>3411.5959084928</v>
      </c>
      <c r="DB5" s="586">
        <f ca="1" t="shared" ref="DB5:DB27" si="55">CV5*CX5+CY5*(CU5*CW5/(CR5-CS5)-CZ5*CQ5/(CQ5-CS5))</f>
        <v>5.1133036432134e-32</v>
      </c>
      <c r="DC5" s="594">
        <f ca="1" t="shared" ref="DC5:DC27" si="56">(CM5+CN5+CO5+CP5)*EXP(-$Z5*CL5)-CZ5-DA5-DB5</f>
        <v>295.096833080053</v>
      </c>
      <c r="DD5" s="580">
        <f ca="1" t="shared" ref="DD5:DD27" si="57">CM5*CQ5/($Z5+CQ5)*(1-CT5)</f>
        <v>64800.7745357208</v>
      </c>
      <c r="DE5" s="580">
        <f ca="1" t="shared" ref="DE5:DE27" si="58">CY5*(DD5-(1-CU5)*CW5/($Z5+CR5))</f>
        <v>1.86251903276034e-10</v>
      </c>
      <c r="DF5" s="595">
        <f ca="1" t="shared" ref="DF5:DF27" si="59">CS5*(1-CV5)*CX5/($Z5+CS5)+CS5*CY5*((1-CU5)*CW5/($Z5+CR5)/(CR5-CS5)-DD5/(CQ5-CS5))</f>
        <v>1.8625190327556e-10</v>
      </c>
      <c r="DG5" s="596">
        <f>DG$3*3600</f>
        <v>86400</v>
      </c>
      <c r="DH5" s="580">
        <f ca="1" t="shared" ref="DH5:DK5" si="60">CZ5</f>
        <v>204502648.651744</v>
      </c>
      <c r="DI5" s="580">
        <f ca="1" t="shared" si="60"/>
        <v>3411.5959084928</v>
      </c>
      <c r="DJ5" s="581">
        <f ca="1" t="shared" si="60"/>
        <v>5.1133036432134e-32</v>
      </c>
      <c r="DK5" s="580">
        <f ca="1" t="shared" si="60"/>
        <v>295.096833080053</v>
      </c>
      <c r="DL5" s="580">
        <f ca="1">MAX(INDIRECT("'"&amp;$B$2&amp;"-事故进程'!AB"&amp;(ROW()+22)),INDIRECT("'"&amp;$B$2&amp;"-事故进程'!AC"&amp;(ROW()+22)))</f>
        <v>7.61735516318152e-11</v>
      </c>
      <c r="DM5" s="580">
        <f ca="1">SUM(DL$3,-LN(1-DM$3)/DG5)</f>
        <v>1.15648231731787e-20</v>
      </c>
      <c r="DN5" s="580">
        <f>DN$3/24/3600</f>
        <v>1157407407407410</v>
      </c>
      <c r="DO5" s="582">
        <f ca="1" t="shared" ref="DO5:DO27" si="61">EXP(-DG5*($Z5+DL5))</f>
        <v>0.000112736039163926</v>
      </c>
      <c r="DP5" s="582">
        <f ca="1" t="shared" ref="DP5:DP27" si="62">EXP(-DG5*($Z5+DM5))</f>
        <v>0.000112736781126756</v>
      </c>
      <c r="DQ5" s="582">
        <f t="shared" ref="DQ5:DQ27" si="63">EXP(-DG5*($Z5+DN5))</f>
        <v>0</v>
      </c>
      <c r="DR5" s="582">
        <f ca="1" t="shared" ref="DR5:DR27" si="64">DH5*DL5+DI5*(DL5-DM5)</f>
        <v>0.0155779529392937</v>
      </c>
      <c r="DS5" s="582">
        <f ca="1" t="shared" ref="DS5:DS27" si="65">(DH5*DM5*DL5/(DL5-DN5)+DI5*DM5)/(DM5-DN5)+DJ5</f>
        <v>1.70443454772028e-32</v>
      </c>
      <c r="DT5" s="582">
        <f ca="1" t="shared" ref="DT5:DT27" si="66">IF(DM5=0,0,DM5/(DM5-DL5))</f>
        <v>-1.51822029132015e-10</v>
      </c>
      <c r="DU5" s="580">
        <f ca="1" t="shared" ref="DU5:DU27" si="67">DH5*DO5</f>
        <v>23054.8186075296</v>
      </c>
      <c r="DV5" s="580">
        <f ca="1" t="shared" ref="DV5:DV27" si="68">DL5/(DM5-DL5)*DU5+(DI5-DH5*DL5/(DM5-DL5))*DP5</f>
        <v>0.536345705244457</v>
      </c>
      <c r="DW5" s="586">
        <f ca="1" t="shared" ref="DW5:DW27" si="69">DQ5*DS5+DT5*(DP5*DR5/(DM5-DN5)-DU5*DL5/(DL5-DN5))</f>
        <v>5.35917016010473e-36</v>
      </c>
      <c r="DX5" s="594">
        <f ca="1" t="shared" ref="DX5:DX27" si="70">(DH5+DI5+DJ5+DK5)*EXP(-$Z5*DG5)-DU5-DV5-DW5</f>
        <v>0.0332682670632494</v>
      </c>
      <c r="DY5" s="580">
        <f ca="1" t="shared" ref="DY5:DY27" si="71">DH5*DL5/($Z5+DL5)*(1-DO5)</f>
        <v>148.040994573212</v>
      </c>
      <c r="DZ5" s="580">
        <f ca="1" t="shared" ref="DZ5:DZ27" si="72">DT5*(DY5-(1-DP5)*DR5/($Z5+DM5))</f>
        <v>3.91207691459355e-13</v>
      </c>
      <c r="EA5" s="595">
        <f ca="1" t="shared" ref="EA5:EA27" si="73">DN5*(1-DQ5)*DS5/($Z5+DN5)+DN5*DT5*((1-DP5)*DR5/($Z5+DM5)/(DM5-DN5)-DY5/(DL5-DN5))</f>
        <v>3.91207691460806e-13</v>
      </c>
      <c r="EB5" s="596">
        <f>EB$3*3600</f>
        <v>172800</v>
      </c>
      <c r="EC5" s="580">
        <f ca="1" t="shared" ref="EC5:EF5" si="74">DU5</f>
        <v>23054.8186075296</v>
      </c>
      <c r="ED5" s="580">
        <f ca="1" t="shared" si="74"/>
        <v>0.536345705244457</v>
      </c>
      <c r="EE5" s="581">
        <f ca="1" t="shared" si="74"/>
        <v>5.35917016010473e-36</v>
      </c>
      <c r="EF5" s="580">
        <f ca="1" t="shared" si="74"/>
        <v>0.0332682670632494</v>
      </c>
      <c r="EG5" s="580">
        <f ca="1">MAX(INDIRECT("'"&amp;$B$2&amp;"-事故进程'!AC"&amp;(ROW()+22)),INDIRECT("'"&amp;$B$2&amp;"-事故进程'!AD"&amp;(ROW()+22)),INDIRECT("'"&amp;$B$2&amp;"-事故进程'!AE"&amp;(ROW()+22)))</f>
        <v>7.55894775521089e-11</v>
      </c>
      <c r="EH5" s="580">
        <f ca="1">SUM(EG$3,-LN(1-EH$3)/EB5)</f>
        <v>5.78241158658936e-21</v>
      </c>
      <c r="EI5" s="580">
        <f>EI$3/24/3600</f>
        <v>1157407407407410</v>
      </c>
      <c r="EJ5" s="582">
        <f ca="1" t="shared" ref="EJ5:EJ27" si="75">EXP(-EB5*($Z5+EG5))</f>
        <v>1.27094158091061e-8</v>
      </c>
      <c r="EK5" s="582">
        <f ca="1" t="shared" ref="EK5:EK27" si="76">EXP(-EB5*($Z5+EH5))</f>
        <v>1.27095818188221e-8</v>
      </c>
      <c r="EL5" s="582">
        <f t="shared" ref="EL5:EL27" si="77">EXP(-EB5*($Z5+EI5))</f>
        <v>0</v>
      </c>
      <c r="EM5" s="582">
        <f ca="1" t="shared" ref="EM5:EM27" si="78">EC5*EG5+ED5*(EG5-EH5)</f>
        <v>1.74274223569345e-6</v>
      </c>
      <c r="EN5" s="582">
        <f ca="1" t="shared" ref="EN5:EN27" si="79">(EC5*EH5*EG5/(EG5-EI5)+ED5*EH5)/(EH5-EI5)+EE5</f>
        <v>2.67958508005926e-36</v>
      </c>
      <c r="EO5" s="582">
        <f ca="1" t="shared" ref="EO5:EO27" si="80">IF(EH5=0,0,EH5/(EH5-EG5))</f>
        <v>-7.64975731317298e-11</v>
      </c>
      <c r="EP5" s="580">
        <f ca="1" t="shared" ref="EP5:EP27" si="81">EC5*EJ5</f>
        <v>0.00029301327608661</v>
      </c>
      <c r="EQ5" s="580">
        <f ca="1" t="shared" ref="EQ5:EQ27" si="82">EG5/(EH5-EG5)*EP5+(ED5-EC5*EG5/(EH5-EG5))*EK5</f>
        <v>1.06440535141286e-8</v>
      </c>
      <c r="ER5" s="586">
        <f ca="1" t="shared" ref="ER5:ER27" si="83">EL5*EN5+EO5*(EK5*EM5/(EH5-EI5)-EP5*EG5/(EG5-EI5))</f>
        <v>5.31777297902494e-44</v>
      </c>
      <c r="ES5" s="594">
        <f ca="1" t="shared" ref="ES5:ES27" si="84">(EC5+ED5+EE5+EF5)*EXP(-$Z5*EB5)-EP5-EQ5-ER5</f>
        <v>4.22825761924907e-10</v>
      </c>
      <c r="ET5" s="580">
        <f ca="1" t="shared" ref="ET5:ET27" si="85">EC5*EG5/($Z5+EG5)*(1-EJ5)</f>
        <v>0.0165634524458899</v>
      </c>
      <c r="EU5" s="580">
        <f ca="1" t="shared" ref="EU5:EU27" si="86">EO5*(ET5-(1-EK5)*EM5/($Z5+EH5))</f>
        <v>3.03872154655732e-17</v>
      </c>
      <c r="EV5" s="595">
        <f ca="1" t="shared" ref="EV5:EV27" si="87">EI5*(1-EL5)*EN5/($Z5+EI5)+EI5*EO5*((1-EK5)*EM5/($Z5+EH5)/(EH5-EI5)-ET5/(EG5-EI5))</f>
        <v>3.03872154654822e-17</v>
      </c>
      <c r="EW5" s="596">
        <f>EW$3*3600</f>
        <v>2246400</v>
      </c>
      <c r="EX5" s="580">
        <f ca="1" t="shared" ref="EX5:FA5" si="88">EP5</f>
        <v>0.00029301327608661</v>
      </c>
      <c r="EY5" s="580">
        <f ca="1" t="shared" si="88"/>
        <v>1.06440535141286e-8</v>
      </c>
      <c r="EZ5" s="581">
        <f ca="1" t="shared" si="88"/>
        <v>5.31777297902494e-44</v>
      </c>
      <c r="FA5" s="580">
        <f ca="1" t="shared" si="88"/>
        <v>4.22825761924907e-10</v>
      </c>
      <c r="FB5" s="580">
        <f ca="1">INDIRECT("'"&amp;$B$2&amp;"-事故进程'!AE"&amp;(ROW()+22))</f>
        <v>0</v>
      </c>
      <c r="FC5" s="580">
        <f ca="1">SUM(FB$3,-LN(1-FC$3)/EW5)</f>
        <v>4.44800891276105e-22</v>
      </c>
      <c r="FD5" s="580">
        <f>FD$3/24/3600</f>
        <v>1157407407407410</v>
      </c>
      <c r="FE5" s="582">
        <f ca="1" t="shared" ref="FE5:FE27" si="89">EXP(-EW5*($Z5+FB5))</f>
        <v>2.25790880179336e-103</v>
      </c>
      <c r="FF5" s="582">
        <f ca="1" t="shared" ref="FF5:FF27" si="90">EXP(-EW5*($Z5+FC5))</f>
        <v>2.25790880179336e-103</v>
      </c>
      <c r="FG5" s="582">
        <f t="shared" ref="FG5:FG27" si="91">EXP(-EW5*($Z5+FD5))</f>
        <v>0</v>
      </c>
      <c r="FH5" s="582">
        <f ca="1" t="shared" ref="FH5:FH27" si="92">EX5*FB5+EY5*(FB5-FC5)</f>
        <v>-4.73448448987498e-30</v>
      </c>
      <c r="FI5" s="582">
        <f ca="1" t="shared" ref="FI5:FI27" si="93">(EX5*FC5*FB5/(FB5-FD5)+EY5*FC5)/(FC5-FD5)+EZ5</f>
        <v>4.90871351909974e-44</v>
      </c>
      <c r="FJ5" s="582">
        <f ca="1" t="shared" ref="FJ5:FJ27" si="94">IF(FC5=0,0,FC5/(FC5-FB5))</f>
        <v>1</v>
      </c>
      <c r="FK5" s="580">
        <f ca="1" t="shared" ref="FK5:FK27" si="95">EX5*FE5</f>
        <v>6.61597255118264e-107</v>
      </c>
      <c r="FL5" s="580">
        <f ca="1" t="shared" ref="FL5:FL27" si="96">FB5/(FC5-FB5)*FK5+(EY5-EX5*FB5/(FC5-FB5))*FF5</f>
        <v>2.40333021163106e-111</v>
      </c>
      <c r="FM5" s="586">
        <f ca="1" t="shared" ref="FM5:FM27" si="97">FG5*FI5+FJ5*(FF5*FH5/(FC5-FD5)-FK5*FB5/(FB5-FD5))</f>
        <v>9.23618955021942e-148</v>
      </c>
      <c r="FN5" s="594">
        <f ca="1" t="shared" ref="FN5:FN27" si="98">(EX5+EY5+EZ5+FA5)*EXP(-$Z5*EW5)-FK5-FL5-FM5</f>
        <v>9.54702009496279e-113</v>
      </c>
      <c r="FO5" s="580">
        <f ca="1" t="shared" ref="FO5:FO27" si="99">EX5*FB5/($Z5+FB5)*(1-FE5)</f>
        <v>0</v>
      </c>
      <c r="FP5" s="580">
        <f ca="1" t="shared" ref="FP5:FP27" si="100">FJ5*(FO5-(1-FF5)*FH5/($Z5+FC5))</f>
        <v>4.49987891375388e-26</v>
      </c>
      <c r="FQ5" s="595">
        <f ca="1" t="shared" ref="FQ5:FQ27" si="101">FD5*(1-FG5)*FI5/($Z5+FD5)+FD5*FJ5*((1-FF5)*FH5/($Z5+FC5)/(FC5-FD5)-FO5/(FB5-FD5))</f>
        <v>4.49987891375388e-26</v>
      </c>
      <c r="FR5" s="608" t="str">
        <f t="shared" ref="FR5:FR27" si="102">G5</f>
        <v>Kr-83m</v>
      </c>
      <c r="FS5" s="609">
        <v>5560000000</v>
      </c>
      <c r="FT5" s="610">
        <v>3000000000</v>
      </c>
      <c r="FU5" s="610">
        <v>217000000</v>
      </c>
      <c r="FV5" s="610">
        <v>395000</v>
      </c>
      <c r="FW5" s="610">
        <v>8780000000</v>
      </c>
      <c r="FX5" s="614">
        <f ca="1" t="shared" ref="FX5:FX26" si="103">H5/FS5</f>
        <v>0</v>
      </c>
      <c r="FY5" s="614">
        <f ca="1" t="shared" ref="FY5:FY23" si="104">(I5+J5)/FT5</f>
        <v>0.00087252456648839</v>
      </c>
      <c r="FZ5" s="614">
        <f ca="1" t="shared" ref="FZ5:FZ23" si="105">K5/FU5</f>
        <v>8.58303701730692e-19</v>
      </c>
      <c r="GA5" s="614">
        <f ca="1" t="shared" ref="GA5:GA23" si="106">L5/FV5</f>
        <v>9.90476148547524e-19</v>
      </c>
      <c r="GB5" s="614">
        <f ca="1" t="shared" ref="GB5:GB26" si="107">SUM(H5:L5)/FW5</f>
        <v>0.000298129122945919</v>
      </c>
      <c r="GC5" s="455">
        <f ca="1" t="shared" ref="GC5:GC26" si="108">N5/FW5</f>
        <v>0.000298129122945919</v>
      </c>
      <c r="GE5" s="609">
        <v>1129063323.15744</v>
      </c>
      <c r="GF5" s="610">
        <v>140440921.932809</v>
      </c>
      <c r="GG5" s="610">
        <v>12115600.5687868</v>
      </c>
      <c r="GH5" s="610">
        <v>33581.6637031985</v>
      </c>
      <c r="GI5" s="610">
        <v>57.1973546594997</v>
      </c>
      <c r="GJ5" s="610">
        <v>4.31110717077839e-8</v>
      </c>
      <c r="GK5" s="617">
        <v>1281653484.52009</v>
      </c>
      <c r="GL5" s="614">
        <f ca="1" t="shared" ref="GL5:GL27" si="109">H5/GE5</f>
        <v>0</v>
      </c>
      <c r="GM5" s="614">
        <f ca="1" t="shared" ref="GM5:GM27" si="110">(I5+J5)/GF5</f>
        <v>0.0186382548864033</v>
      </c>
      <c r="GN5" s="614">
        <f ca="1" t="shared" ref="GN5:GN27" si="111">K5/GG5</f>
        <v>1.53728989510761e-17</v>
      </c>
      <c r="GO5" s="614">
        <f ca="1" t="shared" ref="GO5:GO27" si="112">L5/(GH5+GI5)</f>
        <v>1.16305387986636e-17</v>
      </c>
      <c r="GP5" s="614">
        <f ca="1" t="shared" ref="GP5:GP27" si="113">M5/GJ5</f>
        <v>1.0437872999899e-18</v>
      </c>
      <c r="GQ5" s="614">
        <f ca="1" t="shared" ref="GQ5:GQ27" si="114">N5/GK5</f>
        <v>0.00204234118744296</v>
      </c>
      <c r="GR5" s="451">
        <f t="shared" ref="GR5:GR27" si="115">Z5</f>
        <v>0.000105213597534903</v>
      </c>
      <c r="GS5" s="390">
        <f t="shared" ref="GS5:GS27" si="116">LN(2)/GR5</f>
        <v>6588.00000000004</v>
      </c>
    </row>
    <row r="6" spans="1:201">
      <c r="A6" s="413"/>
      <c r="B6" s="407" t="s">
        <v>250</v>
      </c>
      <c r="C6" s="414">
        <v>0</v>
      </c>
      <c r="D6" s="409" t="s">
        <v>251</v>
      </c>
      <c r="E6" s="410"/>
      <c r="G6" s="411" t="s">
        <v>47</v>
      </c>
      <c r="H6" s="412">
        <f ca="1" t="shared" si="1"/>
        <v>0</v>
      </c>
      <c r="I6" s="412">
        <f ca="1" t="shared" si="2"/>
        <v>11081688399.9472</v>
      </c>
      <c r="J6" s="412">
        <f ca="1" t="shared" si="3"/>
        <v>7.64167660771857e-5</v>
      </c>
      <c r="K6" s="412">
        <f ca="1" t="shared" si="4"/>
        <v>7.64514044142589e-5</v>
      </c>
      <c r="L6" s="412">
        <f ca="1" t="shared" si="5"/>
        <v>0.000153070835491379</v>
      </c>
      <c r="M6" s="412">
        <f ca="1" t="shared" si="6"/>
        <v>7.64301181213464e-5</v>
      </c>
      <c r="N6" s="412">
        <f ca="1" t="shared" si="7"/>
        <v>11081688399.9476</v>
      </c>
      <c r="O6" s="450">
        <f ca="1" t="shared" si="8"/>
        <v>11081688399.9471</v>
      </c>
      <c r="P6" s="451"/>
      <c r="Q6" s="477" t="str">
        <f t="shared" si="0"/>
        <v>Kr-85</v>
      </c>
      <c r="R6" s="412">
        <f ca="1" t="shared" si="9"/>
        <v>0</v>
      </c>
      <c r="S6" s="412">
        <f ca="1">I6*(1-过滤效率!$B3)</f>
        <v>11081688399.9472</v>
      </c>
      <c r="T6" s="412">
        <f ca="1">J6*(1-过滤效率!$B3)</f>
        <v>7.64167660771857e-5</v>
      </c>
      <c r="U6" s="412">
        <f ca="1">K6*(1-过滤效率!$B3)</f>
        <v>7.64514044142589e-5</v>
      </c>
      <c r="V6" s="412">
        <f ca="1">L6*(1-过滤效率!$B3)</f>
        <v>0.000153070835491379</v>
      </c>
      <c r="W6" s="412">
        <f ca="1">M6*(1-过滤效率!$B3)</f>
        <v>7.64301181213464e-5</v>
      </c>
      <c r="X6" s="412">
        <f ca="1" t="shared" si="10"/>
        <v>11081688399.9476</v>
      </c>
      <c r="Y6" s="493"/>
      <c r="Z6" s="494">
        <f>VLOOKUP(G6,衰变常数!$A$1:$H$3800,7,FALSE)</f>
        <v>2.04207062814938e-9</v>
      </c>
      <c r="AA6" s="495">
        <f>正常源项!C3</f>
        <v>1860000000000000</v>
      </c>
      <c r="AB6" s="496">
        <f>正常源项!F3</f>
        <v>0</v>
      </c>
      <c r="AC6" s="496">
        <f>正常源项!I3</f>
        <v>46200000</v>
      </c>
      <c r="AD6" s="496">
        <f>正常源项!L3</f>
        <v>1030000000</v>
      </c>
      <c r="AE6" s="496"/>
      <c r="AF6" s="498"/>
      <c r="AG6" s="519"/>
      <c r="AH6" s="518"/>
      <c r="AI6" s="519"/>
      <c r="AJ6" s="521">
        <v>0.00066</v>
      </c>
      <c r="AK6" s="521">
        <v>5.457e-5</v>
      </c>
      <c r="AL6" s="522">
        <f>AA6*(AJ6-AK6)*0.00000209</f>
        <v>2353548.582</v>
      </c>
      <c r="AM6" s="522">
        <f>(0.00016*10%+0.00026*30%)/2*AA6</f>
        <v>87420000000</v>
      </c>
      <c r="AN6" s="519">
        <f ca="1">MAX(INDIRECT("'"&amp;$B$2&amp;"-事故进程'!Y"&amp;(ROW()+22)),INDIRECT("'"&amp;$B$2&amp;"-事故进程'!Z"&amp;(ROW()+22)),INDIRECT("'"&amp;$B$2&amp;"-事故进程'!AA"&amp;(ROW()+22)))</f>
        <v>5.548144e-13</v>
      </c>
      <c r="AO6" s="519">
        <f ca="1" t="shared" si="13"/>
        <v>92858860.6274872</v>
      </c>
      <c r="AP6" s="560">
        <f t="shared" si="14"/>
        <v>1859658188787930</v>
      </c>
      <c r="AQ6" s="561">
        <f ca="1">(AC6*$C$5+AD6*$C$8+AF6+AG6+AI6+(AL6+AM6)*$C$10)*EXP(-Z6*$C$12*3600)+AO6*$C$11</f>
        <v>87545338359.5823</v>
      </c>
      <c r="AR6" s="562">
        <f ca="1">AQ6*(1-AR$3)</f>
        <v>76463649959.6352</v>
      </c>
      <c r="AS6" s="563">
        <f ca="1" t="shared" si="15"/>
        <v>11081688399.9471</v>
      </c>
      <c r="AT6" s="562">
        <f ca="1">AS6*(1-AT$3)</f>
        <v>11081688399.9471</v>
      </c>
      <c r="AU6" s="564">
        <f ca="1" t="shared" si="16"/>
        <v>0</v>
      </c>
      <c r="AV6" s="565">
        <f>AV$3*3600</f>
        <v>7200</v>
      </c>
      <c r="AW6" s="580">
        <f>AP6*EXP(-Z6*AW$3*3600)</f>
        <v>1859658188787930</v>
      </c>
      <c r="AX6" s="580">
        <f ca="1" t="shared" si="17"/>
        <v>76463649959.6352</v>
      </c>
      <c r="AY6" s="581">
        <f ca="1" t="shared" si="18"/>
        <v>11081688399.9471</v>
      </c>
      <c r="AZ6" s="580">
        <v>0</v>
      </c>
      <c r="BA6" s="580">
        <f ca="1">MAX(INDIRECT("'"&amp;$B$2&amp;"-事故进程'!Y"&amp;(ROW()+22)),INDIRECT("'"&amp;$B$2&amp;"-事故进程'!Z"&amp;(ROW()+22)))</f>
        <v>4.413424e-13</v>
      </c>
      <c r="BB6" s="580">
        <f>SUM(BA$3,-LN(1-BB$3)/AV6)</f>
        <v>1.38777878078145e-19</v>
      </c>
      <c r="BC6" s="580">
        <f>BC$3/24/3600</f>
        <v>1157407407407410</v>
      </c>
      <c r="BD6" s="582">
        <f ca="1" t="shared" si="19"/>
        <v>0.999985294021946</v>
      </c>
      <c r="BE6" s="582">
        <f t="shared" si="20"/>
        <v>0.999985297199564</v>
      </c>
      <c r="BF6" s="582">
        <f t="shared" si="21"/>
        <v>0</v>
      </c>
      <c r="BG6" s="582">
        <f ca="1" t="shared" si="22"/>
        <v>820.779754859492</v>
      </c>
      <c r="BH6" s="582">
        <f ca="1" t="shared" si="23"/>
        <v>11081688399.9471</v>
      </c>
      <c r="BI6" s="582">
        <f ca="1" t="shared" si="24"/>
        <v>-3.14445024353332e-7</v>
      </c>
      <c r="BJ6" s="580">
        <f ca="1" t="shared" si="25"/>
        <v>1859630840695420</v>
      </c>
      <c r="BK6" s="580">
        <f ca="1" t="shared" si="26"/>
        <v>76468435014.25</v>
      </c>
      <c r="BL6" s="586">
        <f ca="1" t="shared" si="27"/>
        <v>9.16887785869343e-24</v>
      </c>
      <c r="BM6" s="594">
        <f ca="1" t="shared" si="28"/>
        <v>11081525468.25</v>
      </c>
      <c r="BN6" s="580">
        <f ca="1" t="shared" si="29"/>
        <v>5909327.80752042</v>
      </c>
      <c r="BO6" s="580">
        <f ca="1" t="shared" si="30"/>
        <v>7.64049315504238e-5</v>
      </c>
      <c r="BP6" s="595">
        <f ca="1" t="shared" si="31"/>
        <v>11081688399.9472</v>
      </c>
      <c r="BQ6" s="596">
        <f>BQ$3*3600</f>
        <v>21600</v>
      </c>
      <c r="BR6" s="580">
        <f ca="1" t="shared" ref="BR6:BU6" si="117">BJ6</f>
        <v>1859630840695420</v>
      </c>
      <c r="BS6" s="580">
        <f ca="1" t="shared" si="117"/>
        <v>76468435014.25</v>
      </c>
      <c r="BT6" s="581">
        <f ca="1" t="shared" si="117"/>
        <v>9.16887785869343e-24</v>
      </c>
      <c r="BU6" s="580">
        <f ca="1" t="shared" si="117"/>
        <v>11081525468.25</v>
      </c>
      <c r="BV6" s="580">
        <f ca="1">MAX(INDIRECT("'"&amp;$B$2&amp;"-事故进程'!Z"&amp;(ROW()+22)),INDIRECT("'"&amp;$B$2&amp;"-事故进程'!AA"&amp;(ROW()+22)))</f>
        <v>5.548144e-13</v>
      </c>
      <c r="BW6" s="580">
        <f ca="1">SUM(BV$3,-LN(1-BW$3)/BQ6)</f>
        <v>4.62592926927149e-20</v>
      </c>
      <c r="BX6" s="580">
        <f>BX$3/24/3600</f>
        <v>1157407407407410</v>
      </c>
      <c r="BY6" s="582">
        <f ca="1" t="shared" si="33"/>
        <v>0.999955880263745</v>
      </c>
      <c r="BZ6" s="582">
        <f ca="1" t="shared" si="34"/>
        <v>0.999955892247206</v>
      </c>
      <c r="CA6" s="582">
        <f t="shared" si="35"/>
        <v>0</v>
      </c>
      <c r="CB6" s="582">
        <f ca="1" t="shared" si="36"/>
        <v>1031.79239488728</v>
      </c>
      <c r="CC6" s="582">
        <f ca="1" t="shared" si="37"/>
        <v>6.112585239138e-24</v>
      </c>
      <c r="CD6" s="582">
        <f ca="1" t="shared" si="38"/>
        <v>-8.33779666672686e-8</v>
      </c>
      <c r="CE6" s="580">
        <f ca="1" t="shared" si="39"/>
        <v>1859548794273190</v>
      </c>
      <c r="CF6" s="580">
        <f ca="1" t="shared" si="40"/>
        <v>76487346979.25</v>
      </c>
      <c r="CG6" s="586">
        <f ca="1" t="shared" si="41"/>
        <v>3.05704849353159e-24</v>
      </c>
      <c r="CH6" s="594">
        <f ca="1" t="shared" si="42"/>
        <v>11081036687.25</v>
      </c>
      <c r="CI6" s="580">
        <f ca="1" t="shared" si="43"/>
        <v>22285307.7071764</v>
      </c>
      <c r="CJ6" s="580">
        <f ca="1" t="shared" si="44"/>
        <v>7.64167660772168e-5</v>
      </c>
      <c r="CK6" s="595">
        <f ca="1" t="shared" si="45"/>
        <v>7.64167660771857e-5</v>
      </c>
      <c r="CL6" s="596">
        <f>CL$3*3600</f>
        <v>57600</v>
      </c>
      <c r="CM6" s="580">
        <f ca="1" t="shared" ref="CM6:CP6" si="118">CE6</f>
        <v>1859548794273190</v>
      </c>
      <c r="CN6" s="580">
        <f ca="1" t="shared" si="118"/>
        <v>76487346979.25</v>
      </c>
      <c r="CO6" s="581">
        <f ca="1" t="shared" si="118"/>
        <v>3.05704849353159e-24</v>
      </c>
      <c r="CP6" s="580">
        <f ca="1" t="shared" si="118"/>
        <v>11081036687.25</v>
      </c>
      <c r="CQ6" s="580">
        <f ca="1">MAX(INDIRECT("'"&amp;$B$2&amp;"-事故进程'!AA"&amp;(ROW()+22)),INDIRECT("'"&amp;$B$2&amp;"-事故进程'!AB"&amp;(ROW()+22)))</f>
        <v>5.548144e-13</v>
      </c>
      <c r="CR6" s="580">
        <f ca="1">SUM(CQ$3,-LN(1-CR$3)/CL6)</f>
        <v>1.73472347597681e-20</v>
      </c>
      <c r="CS6" s="580">
        <f>CS$3/24/3600</f>
        <v>1157407407407410</v>
      </c>
      <c r="CT6" s="582">
        <f ca="1" t="shared" si="47"/>
        <v>0.999882351695614</v>
      </c>
      <c r="CU6" s="582">
        <f ca="1" t="shared" si="48"/>
        <v>0.999882383649163</v>
      </c>
      <c r="CV6" s="582">
        <f t="shared" si="49"/>
        <v>0</v>
      </c>
      <c r="CW6" s="582">
        <f ca="1" t="shared" si="50"/>
        <v>1031.7468848456</v>
      </c>
      <c r="CX6" s="582">
        <f ca="1" t="shared" si="51"/>
        <v>1.91065530846202e-24</v>
      </c>
      <c r="CY6" s="582">
        <f ca="1" t="shared" si="52"/>
        <v>-3.12667358708777e-8</v>
      </c>
      <c r="CZ6" s="580">
        <f ca="1" t="shared" si="53"/>
        <v>1859330021510620</v>
      </c>
      <c r="DA6" s="580">
        <f ca="1" t="shared" si="54"/>
        <v>76537770002.5</v>
      </c>
      <c r="DB6" s="586">
        <f ca="1" t="shared" si="55"/>
        <v>1.14714892588763e-24</v>
      </c>
      <c r="DC6" s="594">
        <f ca="1" t="shared" si="56"/>
        <v>11079733376.25</v>
      </c>
      <c r="DD6" s="580">
        <f ca="1" t="shared" si="57"/>
        <v>59422680.474369</v>
      </c>
      <c r="DE6" s="580">
        <f ca="1" t="shared" si="58"/>
        <v>7.64514044142976e-5</v>
      </c>
      <c r="DF6" s="595">
        <f ca="1" t="shared" si="59"/>
        <v>7.64514044142589e-5</v>
      </c>
      <c r="DG6" s="596">
        <f>DG$3*3600</f>
        <v>86400</v>
      </c>
      <c r="DH6" s="580">
        <f ca="1" t="shared" ref="DH6:DK6" si="119">CZ6</f>
        <v>1859330021510620</v>
      </c>
      <c r="DI6" s="580">
        <f ca="1" t="shared" si="119"/>
        <v>76537770002.5</v>
      </c>
      <c r="DJ6" s="581">
        <f ca="1" t="shared" si="119"/>
        <v>1.14714892588763e-24</v>
      </c>
      <c r="DK6" s="580">
        <f ca="1" t="shared" si="119"/>
        <v>11079733376.25</v>
      </c>
      <c r="DL6" s="580">
        <f ca="1">MAX(INDIRECT("'"&amp;$B$2&amp;"-事故进程'!AB"&amp;(ROW()+22)),INDIRECT("'"&amp;$B$2&amp;"-事故进程'!AC"&amp;(ROW()+22)))</f>
        <v>4.152914e-13</v>
      </c>
      <c r="DM6" s="580">
        <f ca="1">SUM(DL$3,-LN(1-DM$3)/DG6)</f>
        <v>1.15648231731787e-20</v>
      </c>
      <c r="DN6" s="580">
        <f>DN$3/24/3600</f>
        <v>1157407407407410</v>
      </c>
      <c r="DO6" s="582">
        <f ca="1" t="shared" si="61"/>
        <v>0.999823544786604</v>
      </c>
      <c r="DP6" s="582">
        <f ca="1" t="shared" si="62"/>
        <v>0.999823580661449</v>
      </c>
      <c r="DQ6" s="582">
        <f t="shared" si="63"/>
        <v>0</v>
      </c>
      <c r="DR6" s="582">
        <f ca="1" t="shared" si="64"/>
        <v>772.195553171949</v>
      </c>
      <c r="DS6" s="582">
        <f ca="1" t="shared" si="65"/>
        <v>3.82382975295464e-25</v>
      </c>
      <c r="DT6" s="582">
        <f ca="1" t="shared" si="66"/>
        <v>-2.78474909310186e-8</v>
      </c>
      <c r="DU6" s="580">
        <f ca="1" t="shared" si="67"/>
        <v>1859001933034900</v>
      </c>
      <c r="DV6" s="580">
        <f ca="1" t="shared" si="68"/>
        <v>76590970438.25</v>
      </c>
      <c r="DW6" s="586">
        <f ca="1" t="shared" si="69"/>
        <v>7.65297529730545e-25</v>
      </c>
      <c r="DX6" s="594">
        <f ca="1" t="shared" si="70"/>
        <v>11077778697</v>
      </c>
      <c r="DY6" s="580">
        <f ca="1" t="shared" si="71"/>
        <v>66709063.2554161</v>
      </c>
      <c r="DZ6" s="580">
        <f ca="1" t="shared" si="72"/>
        <v>7.65031755489263e-5</v>
      </c>
      <c r="EA6" s="595">
        <f ca="1" t="shared" si="73"/>
        <v>7.65031755489713e-5</v>
      </c>
      <c r="EB6" s="596">
        <f>EB$3*3600</f>
        <v>172800</v>
      </c>
      <c r="EC6" s="580">
        <f ca="1" t="shared" ref="EC6:EF6" si="120">DU6</f>
        <v>1859001933034900</v>
      </c>
      <c r="ED6" s="580">
        <f ca="1" t="shared" si="120"/>
        <v>76590970438.25</v>
      </c>
      <c r="EE6" s="581">
        <f ca="1" t="shared" si="120"/>
        <v>7.65297529730545e-25</v>
      </c>
      <c r="EF6" s="580">
        <f ca="1" t="shared" si="120"/>
        <v>11077778697</v>
      </c>
      <c r="EG6" s="580">
        <f ca="1">MAX(INDIRECT("'"&amp;$B$2&amp;"-事故进程'!AC"&amp;(ROW()+22)),INDIRECT("'"&amp;$B$2&amp;"-事故进程'!AD"&amp;(ROW()+22)),INDIRECT("'"&amp;$B$2&amp;"-事故进程'!AE"&amp;(ROW()+22)))</f>
        <v>3.203949e-13</v>
      </c>
      <c r="EH6" s="580">
        <f ca="1">SUM(EG$3,-LN(1-EH$3)/EB6)</f>
        <v>5.78241158658936e-21</v>
      </c>
      <c r="EI6" s="580">
        <f>EI$3/24/3600</f>
        <v>1157407407407410</v>
      </c>
      <c r="EJ6" s="582">
        <f ca="1" t="shared" si="75"/>
        <v>0.999647137101979</v>
      </c>
      <c r="EK6" s="582">
        <f ca="1" t="shared" si="76"/>
        <v>0.999647192446682</v>
      </c>
      <c r="EL6" s="582">
        <f t="shared" si="77"/>
        <v>0</v>
      </c>
      <c r="EM6" s="582">
        <f ca="1" t="shared" si="78"/>
        <v>595.639277790396</v>
      </c>
      <c r="EN6" s="582">
        <f ca="1" t="shared" si="79"/>
        <v>3.82648764865361e-25</v>
      </c>
      <c r="EO6" s="582">
        <f ca="1" t="shared" si="80"/>
        <v>-1.80477644648806e-8</v>
      </c>
      <c r="EP6" s="580">
        <f ca="1" t="shared" si="81"/>
        <v>1858345960225390</v>
      </c>
      <c r="EQ6" s="580">
        <f ca="1" t="shared" si="82"/>
        <v>76666834477.5</v>
      </c>
      <c r="ER6" s="586">
        <f ca="1" t="shared" si="83"/>
        <v>3.83027781881039e-25</v>
      </c>
      <c r="ES6" s="594">
        <f ca="1" t="shared" si="84"/>
        <v>11073870373</v>
      </c>
      <c r="ET6" s="580">
        <f ca="1" t="shared" si="85"/>
        <v>102904067.015759</v>
      </c>
      <c r="EU6" s="580">
        <f ca="1" t="shared" si="86"/>
        <v>7.65676599424332e-5</v>
      </c>
      <c r="EV6" s="595">
        <f ca="1" t="shared" si="87"/>
        <v>7.65676599424079e-5</v>
      </c>
      <c r="EW6" s="596">
        <f>EW$3*3600</f>
        <v>2246400</v>
      </c>
      <c r="EX6" s="580">
        <f ca="1" t="shared" ref="EX6:FA6" si="121">EP6</f>
        <v>1858345960225390</v>
      </c>
      <c r="EY6" s="580">
        <f ca="1" t="shared" si="121"/>
        <v>76666834477.5</v>
      </c>
      <c r="EZ6" s="581">
        <f ca="1" t="shared" si="121"/>
        <v>3.83027781881039e-25</v>
      </c>
      <c r="FA6" s="580">
        <f ca="1" t="shared" si="121"/>
        <v>11073870373</v>
      </c>
      <c r="FB6" s="580">
        <f ca="1">INDIRECT("'"&amp;$B$2&amp;"-事故进程'!AE"&amp;(ROW()+22))</f>
        <v>0</v>
      </c>
      <c r="FC6" s="580">
        <f ca="1">SUM(FB$3,-LN(1-FC$3)/EW6)</f>
        <v>4.44800891276105e-22</v>
      </c>
      <c r="FD6" s="580">
        <f>FD$3/24/3600</f>
        <v>1157407407407410</v>
      </c>
      <c r="FE6" s="582">
        <f ca="1" t="shared" si="89"/>
        <v>0.995423198165472</v>
      </c>
      <c r="FF6" s="582">
        <f ca="1" t="shared" si="90"/>
        <v>0.995423198165471</v>
      </c>
      <c r="FG6" s="582">
        <f t="shared" si="91"/>
        <v>0</v>
      </c>
      <c r="FH6" s="582">
        <f ca="1" t="shared" si="92"/>
        <v>-3.41014763069096e-11</v>
      </c>
      <c r="FI6" s="582">
        <f ca="1" t="shared" si="93"/>
        <v>3.53564106351869e-25</v>
      </c>
      <c r="FJ6" s="582">
        <f ca="1" t="shared" si="94"/>
        <v>1</v>
      </c>
      <c r="FK6" s="580">
        <f ca="1" t="shared" si="95"/>
        <v>1849840679025440</v>
      </c>
      <c r="FL6" s="580">
        <f ca="1" t="shared" si="96"/>
        <v>76315945568.8158</v>
      </c>
      <c r="FM6" s="586">
        <f ca="1" t="shared" si="97"/>
        <v>2.9328826124956e-26</v>
      </c>
      <c r="FN6" s="594">
        <f ca="1" t="shared" si="98"/>
        <v>11023187462.9342</v>
      </c>
      <c r="FO6" s="580">
        <f ca="1" t="shared" si="99"/>
        <v>0</v>
      </c>
      <c r="FP6" s="580">
        <f ca="1" t="shared" si="100"/>
        <v>7.64301181213464e-5</v>
      </c>
      <c r="FQ6" s="595">
        <f ca="1" t="shared" si="101"/>
        <v>7.64301181213464e-5</v>
      </c>
      <c r="FR6" s="608" t="str">
        <f t="shared" si="102"/>
        <v>Kr-85</v>
      </c>
      <c r="FS6" s="609">
        <v>1710000000</v>
      </c>
      <c r="FT6" s="610">
        <v>34200000</v>
      </c>
      <c r="FU6" s="610">
        <v>98400000</v>
      </c>
      <c r="FV6" s="610">
        <v>246000000</v>
      </c>
      <c r="FW6" s="610">
        <v>2090000000</v>
      </c>
      <c r="FX6" s="614">
        <f ca="1" t="shared" si="103"/>
        <v>0</v>
      </c>
      <c r="FY6" s="614">
        <f ca="1" t="shared" si="104"/>
        <v>324.025976606646</v>
      </c>
      <c r="FZ6" s="614">
        <f ca="1" t="shared" si="105"/>
        <v>7.76945166811575e-13</v>
      </c>
      <c r="GA6" s="614">
        <f ca="1" t="shared" si="106"/>
        <v>6.22239168664143e-13</v>
      </c>
      <c r="GB6" s="614">
        <f ca="1" t="shared" si="107"/>
        <v>5.3022432535634</v>
      </c>
      <c r="GC6" s="455">
        <f ca="1" t="shared" si="108"/>
        <v>5.30224325356344</v>
      </c>
      <c r="GE6" s="609">
        <v>344912399.137776</v>
      </c>
      <c r="GF6" s="610">
        <v>48589529.562346</v>
      </c>
      <c r="GG6" s="610">
        <v>104276496.307748</v>
      </c>
      <c r="GH6" s="610">
        <v>150434983.759559</v>
      </c>
      <c r="GI6" s="610">
        <v>286420913.446382</v>
      </c>
      <c r="GJ6" s="610">
        <v>1510069381.54833</v>
      </c>
      <c r="GK6" s="617">
        <v>2444703703.76214</v>
      </c>
      <c r="GL6" s="614">
        <f ca="1" t="shared" si="109"/>
        <v>0</v>
      </c>
      <c r="GM6" s="614">
        <f ca="1" t="shared" si="110"/>
        <v>228.067414929963</v>
      </c>
      <c r="GN6" s="614">
        <f ca="1" t="shared" si="111"/>
        <v>7.33160463971001e-13</v>
      </c>
      <c r="GO6" s="614">
        <f ca="1" t="shared" si="112"/>
        <v>3.50392054840956e-13</v>
      </c>
      <c r="GP6" s="614">
        <f ca="1" t="shared" si="113"/>
        <v>5.06136466676649e-14</v>
      </c>
      <c r="GQ6" s="614">
        <f ca="1" t="shared" si="114"/>
        <v>4.53293721562005</v>
      </c>
      <c r="GR6" s="451">
        <f t="shared" si="115"/>
        <v>2.04207062814938e-9</v>
      </c>
      <c r="GS6" s="390">
        <f t="shared" si="116"/>
        <v>339433500.000001</v>
      </c>
    </row>
    <row r="7" spans="1:201">
      <c r="A7" s="413"/>
      <c r="B7" s="407" t="s">
        <v>252</v>
      </c>
      <c r="C7" s="415">
        <v>0</v>
      </c>
      <c r="D7" s="409" t="s">
        <v>253</v>
      </c>
      <c r="E7" s="410" t="s">
        <v>254</v>
      </c>
      <c r="G7" s="411" t="s">
        <v>48</v>
      </c>
      <c r="H7" s="412">
        <f ca="1" t="shared" si="1"/>
        <v>0</v>
      </c>
      <c r="I7" s="412">
        <f ca="1" t="shared" si="2"/>
        <v>1565554378.46937</v>
      </c>
      <c r="J7" s="412">
        <f ca="1" t="shared" si="3"/>
        <v>5.69417137194757e-6</v>
      </c>
      <c r="K7" s="412">
        <f ca="1" t="shared" si="4"/>
        <v>1.50306095383635e-6</v>
      </c>
      <c r="L7" s="412">
        <f ca="1" t="shared" si="5"/>
        <v>1.18334771821812e-7</v>
      </c>
      <c r="M7" s="412">
        <f ca="1" t="shared" si="6"/>
        <v>1.25145168142636e-13</v>
      </c>
      <c r="N7" s="412">
        <f ca="1" t="shared" si="7"/>
        <v>1565554378.46938</v>
      </c>
      <c r="O7" s="450">
        <f ca="1" t="shared" si="8"/>
        <v>1565554378.46936</v>
      </c>
      <c r="P7" s="451"/>
      <c r="Q7" s="477" t="str">
        <f t="shared" si="0"/>
        <v>Kr-85m</v>
      </c>
      <c r="R7" s="412">
        <f ca="1" t="shared" si="9"/>
        <v>0</v>
      </c>
      <c r="S7" s="412">
        <f ca="1">I7*(1-过滤效率!$B4)</f>
        <v>1565554378.46937</v>
      </c>
      <c r="T7" s="412">
        <f ca="1">J7*(1-过滤效率!$B4)</f>
        <v>5.69417137194757e-6</v>
      </c>
      <c r="U7" s="412">
        <f ca="1">K7*(1-过滤效率!$B4)</f>
        <v>1.50306095383635e-6</v>
      </c>
      <c r="V7" s="412">
        <f ca="1">L7*(1-过滤效率!$B4)</f>
        <v>1.18334771821812e-7</v>
      </c>
      <c r="W7" s="412">
        <f ca="1">M7*(1-过滤效率!$B4)</f>
        <v>1.25145168142636e-13</v>
      </c>
      <c r="X7" s="412">
        <f ca="1" t="shared" si="10"/>
        <v>1565554378.46938</v>
      </c>
      <c r="Y7" s="493"/>
      <c r="Z7" s="494">
        <f>VLOOKUP(G7,衰变常数!$A$1:$H$3800,7,FALSE)</f>
        <v>4.29778757787664e-5</v>
      </c>
      <c r="AA7" s="495">
        <f>正常源项!C4</f>
        <v>6.59e+16</v>
      </c>
      <c r="AB7" s="496">
        <f>正常源项!F4</f>
        <v>0</v>
      </c>
      <c r="AC7" s="496">
        <f>正常源项!I4</f>
        <v>17900000000</v>
      </c>
      <c r="AD7" s="496">
        <f>正常源项!L4</f>
        <v>1580000000</v>
      </c>
      <c r="AE7" s="497"/>
      <c r="AF7" s="498"/>
      <c r="AG7" s="483"/>
      <c r="AH7" s="518"/>
      <c r="AI7" s="483"/>
      <c r="AJ7" s="521"/>
      <c r="AK7" s="521"/>
      <c r="AL7" s="519">
        <f t="shared" si="11"/>
        <v>9641170</v>
      </c>
      <c r="AM7" s="520">
        <f t="shared" si="12"/>
        <v>276780000000</v>
      </c>
      <c r="AN7" s="519">
        <f ca="1">MAX(INDIRECT("'"&amp;$B$2&amp;"-事故进程'!Y"&amp;(ROW()+22)),INDIRECT("'"&amp;$B$2&amp;"-事故进程'!Z"&amp;(ROW()+22)),INDIRECT("'"&amp;$B$2&amp;"-事故进程'!AA"&amp;(ROW()+22)))</f>
        <v>5.00888888725562e-11</v>
      </c>
      <c r="AO7" s="519">
        <f ca="1" t="shared" si="13"/>
        <v>6208882719.24691</v>
      </c>
      <c r="AP7" s="560">
        <f t="shared" si="14"/>
        <v>1377306281161140</v>
      </c>
      <c r="AQ7" s="561">
        <f ca="1">(AC7*$C$5+AD7*$C$8+AF7+AG7+AI7+(AL7+AM7)*$C$10)*EXP(-Z7*$C$12*3600)+AO7*$C$11</f>
        <v>12367879589.9079</v>
      </c>
      <c r="AR7" s="562">
        <f ca="1">AQ7*(1-AR$3)</f>
        <v>10802325211.4386</v>
      </c>
      <c r="AS7" s="563">
        <f ca="1" t="shared" si="15"/>
        <v>1565554378.46936</v>
      </c>
      <c r="AT7" s="562">
        <f ca="1">AS7*(1-AT$3)</f>
        <v>1565554378.46936</v>
      </c>
      <c r="AU7" s="564">
        <f ca="1" t="shared" si="16"/>
        <v>0</v>
      </c>
      <c r="AV7" s="565">
        <f>AV$3*3600</f>
        <v>7200</v>
      </c>
      <c r="AW7" s="580">
        <f>AP7*EXP(-Z7*AW$3*3600)</f>
        <v>1377306281161140</v>
      </c>
      <c r="AX7" s="580">
        <f ca="1" t="shared" si="17"/>
        <v>10802325211.4386</v>
      </c>
      <c r="AY7" s="581">
        <f ca="1" t="shared" si="18"/>
        <v>1565554378.46936</v>
      </c>
      <c r="AZ7" s="580">
        <v>0</v>
      </c>
      <c r="BA7" s="580">
        <f ca="1">MAX(INDIRECT("'"&amp;$B$2&amp;"-事故进程'!Y"&amp;(ROW()+22)),INDIRECT("'"&amp;$B$2&amp;"-事故进程'!Z"&amp;(ROW()+22)))</f>
        <v>4.90034336111046e-11</v>
      </c>
      <c r="BB7" s="580">
        <f>SUM(BA$3,-LN(1-BB$3)/AV7)</f>
        <v>1.38777878078145e-19</v>
      </c>
      <c r="BC7" s="580">
        <f>BC$3/24/3600</f>
        <v>1157407407407410</v>
      </c>
      <c r="BD7" s="582">
        <f ca="1" t="shared" si="19"/>
        <v>0.733857024807676</v>
      </c>
      <c r="BE7" s="582">
        <f t="shared" si="20"/>
        <v>0.733857283730622</v>
      </c>
      <c r="BF7" s="582">
        <f t="shared" si="21"/>
        <v>0</v>
      </c>
      <c r="BG7" s="582">
        <f ca="1" t="shared" si="22"/>
        <v>67493.266262062</v>
      </c>
      <c r="BH7" s="582">
        <f ca="1" t="shared" si="23"/>
        <v>1565554378.46936</v>
      </c>
      <c r="BI7" s="582">
        <f ca="1" t="shared" si="24"/>
        <v>-2.83200315252431e-9</v>
      </c>
      <c r="BJ7" s="580">
        <f ca="1" t="shared" si="25"/>
        <v>1010745889741840</v>
      </c>
      <c r="BK7" s="580">
        <f ca="1" t="shared" si="26"/>
        <v>8283981238.25</v>
      </c>
      <c r="BL7" s="586">
        <f ca="1" t="shared" si="27"/>
        <v>9.93283204283644e-25</v>
      </c>
      <c r="BM7" s="594">
        <f ca="1" t="shared" si="28"/>
        <v>1148893483.75</v>
      </c>
      <c r="BN7" s="580">
        <f ca="1" t="shared" si="29"/>
        <v>417952190.488633</v>
      </c>
      <c r="BO7" s="580">
        <f ca="1" t="shared" si="30"/>
        <v>9.48145862560511e-6</v>
      </c>
      <c r="BP7" s="595">
        <f ca="1" t="shared" si="31"/>
        <v>1565554378.46937</v>
      </c>
      <c r="BQ7" s="596">
        <f>BQ$3*3600</f>
        <v>21600</v>
      </c>
      <c r="BR7" s="580">
        <f ca="1" t="shared" ref="BR7:BU7" si="122">BJ7</f>
        <v>1010745889741840</v>
      </c>
      <c r="BS7" s="580">
        <f ca="1" t="shared" si="122"/>
        <v>8283981238.25</v>
      </c>
      <c r="BT7" s="581">
        <f ca="1" t="shared" si="122"/>
        <v>9.93283204283644e-25</v>
      </c>
      <c r="BU7" s="580">
        <f ca="1" t="shared" si="122"/>
        <v>1148893483.75</v>
      </c>
      <c r="BV7" s="580">
        <f ca="1">MAX(INDIRECT("'"&amp;$B$2&amp;"-事故进程'!Z"&amp;(ROW()+22)),INDIRECT("'"&amp;$B$2&amp;"-事故进程'!AA"&amp;(ROW()+22)))</f>
        <v>5.00888888725562e-11</v>
      </c>
      <c r="BW7" s="580">
        <f ca="1">SUM(BV$3,-LN(1-BW$3)/BQ7)</f>
        <v>4.62592926927149e-20</v>
      </c>
      <c r="BX7" s="580">
        <f>BX$3/24/3600</f>
        <v>1157407407407410</v>
      </c>
      <c r="BY7" s="582">
        <f ca="1" t="shared" si="33"/>
        <v>0.395215853515841</v>
      </c>
      <c r="BZ7" s="582">
        <f ca="1" t="shared" si="34"/>
        <v>0.395216281108008</v>
      </c>
      <c r="CA7" s="582">
        <f t="shared" si="35"/>
        <v>0</v>
      </c>
      <c r="CB7" s="582">
        <f ca="1" t="shared" si="36"/>
        <v>50627.553485087</v>
      </c>
      <c r="CC7" s="582">
        <f ca="1" t="shared" si="37"/>
        <v>6.62188802857997e-25</v>
      </c>
      <c r="CD7" s="582">
        <f ca="1" t="shared" si="38"/>
        <v>-9.23543999012182e-10</v>
      </c>
      <c r="CE7" s="580">
        <f ca="1" t="shared" si="39"/>
        <v>399462799501947</v>
      </c>
      <c r="CF7" s="580">
        <f ca="1" t="shared" si="40"/>
        <v>3706151283.4375</v>
      </c>
      <c r="CG7" s="586">
        <f ca="1" t="shared" si="41"/>
        <v>1.4812756155323e-25</v>
      </c>
      <c r="CH7" s="594">
        <f ca="1" t="shared" si="42"/>
        <v>454061410.0625</v>
      </c>
      <c r="CI7" s="580">
        <f ca="1" t="shared" si="43"/>
        <v>712423649.084044</v>
      </c>
      <c r="CJ7" s="580">
        <f ca="1" t="shared" si="44"/>
        <v>5.69417137190633e-6</v>
      </c>
      <c r="CK7" s="595">
        <f ca="1" t="shared" si="45"/>
        <v>5.69417137194757e-6</v>
      </c>
      <c r="CL7" s="596">
        <f>CL$3*3600</f>
        <v>57600</v>
      </c>
      <c r="CM7" s="580">
        <f ca="1" t="shared" ref="CM7:CP7" si="123">CE7</f>
        <v>399462799501947</v>
      </c>
      <c r="CN7" s="580">
        <f ca="1" t="shared" si="123"/>
        <v>3706151283.4375</v>
      </c>
      <c r="CO7" s="581">
        <f ca="1" t="shared" si="123"/>
        <v>1.4812756155323e-25</v>
      </c>
      <c r="CP7" s="580">
        <f ca="1" t="shared" si="123"/>
        <v>454061410.0625</v>
      </c>
      <c r="CQ7" s="580">
        <f ca="1">MAX(INDIRECT("'"&amp;$B$2&amp;"-事故进程'!AA"&amp;(ROW()+22)),INDIRECT("'"&amp;$B$2&amp;"-事故进程'!AB"&amp;(ROW()+22)))</f>
        <v>5.00888888725562e-11</v>
      </c>
      <c r="CR7" s="580">
        <f ca="1">SUM(CQ$3,-LN(1-CR$3)/CL7)</f>
        <v>1.73472347597681e-20</v>
      </c>
      <c r="CS7" s="580">
        <f>CS$3/24/3600</f>
        <v>1157407407407410</v>
      </c>
      <c r="CT7" s="582">
        <f ca="1" t="shared" si="47"/>
        <v>0.0841185193471499</v>
      </c>
      <c r="CU7" s="582">
        <f ca="1" t="shared" si="48"/>
        <v>0.0841187620395224</v>
      </c>
      <c r="CV7" s="582">
        <f t="shared" si="49"/>
        <v>0</v>
      </c>
      <c r="CW7" s="582">
        <f ca="1" t="shared" si="50"/>
        <v>20008.833409973</v>
      </c>
      <c r="CX7" s="582">
        <f ca="1" t="shared" si="51"/>
        <v>9.25797259704088e-26</v>
      </c>
      <c r="CY7" s="582">
        <f ca="1" t="shared" si="52"/>
        <v>-3.46328999429662e-10</v>
      </c>
      <c r="CZ7" s="580">
        <f ca="1" t="shared" si="53"/>
        <v>33602219228371.2</v>
      </c>
      <c r="DA7" s="580">
        <f ca="1" t="shared" si="54"/>
        <v>408703432.457031</v>
      </c>
      <c r="DB7" s="586">
        <f ca="1" t="shared" si="55"/>
        <v>6.12565147277951e-27</v>
      </c>
      <c r="DC7" s="594">
        <f ca="1" t="shared" si="56"/>
        <v>38195083.7070312</v>
      </c>
      <c r="DD7" s="580">
        <f ca="1" t="shared" si="57"/>
        <v>426394470.608078</v>
      </c>
      <c r="DE7" s="580">
        <f ca="1" t="shared" si="58"/>
        <v>1.50306095382359e-6</v>
      </c>
      <c r="DF7" s="595">
        <f ca="1" t="shared" si="59"/>
        <v>1.50306095383635e-6</v>
      </c>
      <c r="DG7" s="596">
        <f>DG$3*3600</f>
        <v>86400</v>
      </c>
      <c r="DH7" s="580">
        <f ca="1" t="shared" ref="DH7:DK7" si="124">CZ7</f>
        <v>33602219228371.2</v>
      </c>
      <c r="DI7" s="580">
        <f ca="1" t="shared" si="124"/>
        <v>408703432.457031</v>
      </c>
      <c r="DJ7" s="581">
        <f ca="1" t="shared" si="124"/>
        <v>6.12565147277951e-27</v>
      </c>
      <c r="DK7" s="580">
        <f ca="1" t="shared" si="124"/>
        <v>38195083.7070312</v>
      </c>
      <c r="DL7" s="580">
        <f ca="1">MAX(INDIRECT("'"&amp;$B$2&amp;"-事故进程'!AB"&amp;(ROW()+22)),INDIRECT("'"&amp;$B$2&amp;"-事故进程'!AC"&amp;(ROW()+22)))</f>
        <v>4.89278123041495e-11</v>
      </c>
      <c r="DM7" s="580">
        <f ca="1">SUM(DL$3,-LN(1-DM$3)/DG7)</f>
        <v>1.15648231731787e-20</v>
      </c>
      <c r="DN7" s="580">
        <f>DN$3/24/3600</f>
        <v>1157407407407410</v>
      </c>
      <c r="DO7" s="582">
        <f ca="1" t="shared" si="61"/>
        <v>0.0243970588069248</v>
      </c>
      <c r="DP7" s="582">
        <f ca="1" t="shared" si="62"/>
        <v>0.024397161942366</v>
      </c>
      <c r="DQ7" s="582">
        <f t="shared" si="63"/>
        <v>0</v>
      </c>
      <c r="DR7" s="582">
        <f ca="1" t="shared" si="64"/>
        <v>1644.10307237346</v>
      </c>
      <c r="DS7" s="582">
        <f ca="1" t="shared" si="65"/>
        <v>2.04188382416536e-27</v>
      </c>
      <c r="DT7" s="582">
        <f ca="1" t="shared" si="66"/>
        <v>-2.36365016772504e-10</v>
      </c>
      <c r="DU7" s="580">
        <f ca="1" t="shared" si="67"/>
        <v>819795318557.751</v>
      </c>
      <c r="DV7" s="580">
        <f ca="1" t="shared" si="68"/>
        <v>13436783.5360107</v>
      </c>
      <c r="DW7" s="586">
        <f ca="1" t="shared" si="69"/>
        <v>1.34260438129003e-28</v>
      </c>
      <c r="DX7" s="594">
        <f ca="1" t="shared" si="70"/>
        <v>931851.642822266</v>
      </c>
      <c r="DY7" s="580">
        <f ca="1" t="shared" si="71"/>
        <v>37320840.7545303</v>
      </c>
      <c r="DZ7" s="580">
        <f ca="1" t="shared" si="72"/>
        <v>1.16404027289181e-7</v>
      </c>
      <c r="EA7" s="595">
        <f ca="1" t="shared" si="73"/>
        <v>1.16404027288998e-7</v>
      </c>
      <c r="EB7" s="596">
        <f>EB$3*3600</f>
        <v>172800</v>
      </c>
      <c r="EC7" s="580">
        <f ca="1" t="shared" ref="EC7:EF7" si="125">DU7</f>
        <v>819795318557.751</v>
      </c>
      <c r="ED7" s="580">
        <f ca="1" t="shared" si="125"/>
        <v>13436783.5360107</v>
      </c>
      <c r="EE7" s="581">
        <f ca="1" t="shared" si="125"/>
        <v>1.34260438129003e-28</v>
      </c>
      <c r="EF7" s="580">
        <f ca="1" t="shared" si="125"/>
        <v>931851.642822266</v>
      </c>
      <c r="EG7" s="580">
        <f ca="1">MAX(INDIRECT("'"&amp;$B$2&amp;"-事故进程'!AC"&amp;(ROW()+22)),INDIRECT("'"&amp;$B$2&amp;"-事故进程'!AD"&amp;(ROW()+22)),INDIRECT("'"&amp;$B$2&amp;"-事故进程'!AE"&amp;(ROW()+22)))</f>
        <v>4.85537079961087e-11</v>
      </c>
      <c r="EH7" s="580">
        <f ca="1">SUM(EG$3,-LN(1-EH$3)/EB7)</f>
        <v>5.78241158658936e-21</v>
      </c>
      <c r="EI7" s="580">
        <f>EI$3/24/3600</f>
        <v>1157407407407410</v>
      </c>
      <c r="EJ7" s="582">
        <f ca="1" t="shared" si="75"/>
        <v>0.000595216516906449</v>
      </c>
      <c r="EK7" s="582">
        <f ca="1" t="shared" si="76"/>
        <v>0.000595221510842034</v>
      </c>
      <c r="EL7" s="582">
        <f t="shared" si="77"/>
        <v>0</v>
      </c>
      <c r="EM7" s="582">
        <f ca="1" t="shared" si="78"/>
        <v>39.8047549194941</v>
      </c>
      <c r="EN7" s="582">
        <f ca="1" t="shared" si="79"/>
        <v>6.71302190653774e-29</v>
      </c>
      <c r="EO7" s="582">
        <f ca="1" t="shared" si="80"/>
        <v>-1.1909309970191e-10</v>
      </c>
      <c r="EP7" s="580">
        <f ca="1" t="shared" si="81"/>
        <v>487955714.088157</v>
      </c>
      <c r="EQ7" s="580">
        <f ca="1" t="shared" si="82"/>
        <v>12091.8676114082</v>
      </c>
      <c r="ER7" s="586">
        <f ca="1" t="shared" si="83"/>
        <v>6.04110142481204e-32</v>
      </c>
      <c r="ES7" s="594">
        <f ca="1" t="shared" si="84"/>
        <v>554.65814268589</v>
      </c>
      <c r="ET7" s="580">
        <f ca="1" t="shared" si="85"/>
        <v>925601.016625057</v>
      </c>
      <c r="EU7" s="580">
        <f ca="1" t="shared" si="86"/>
        <v>1.93074453282006e-9</v>
      </c>
      <c r="EV7" s="595">
        <f ca="1" t="shared" si="87"/>
        <v>1.93074453281373e-9</v>
      </c>
      <c r="EW7" s="596">
        <f>EW$3*3600</f>
        <v>2246400</v>
      </c>
      <c r="EX7" s="580">
        <f ca="1" t="shared" ref="EX7:FA7" si="126">EP7</f>
        <v>487955714.088157</v>
      </c>
      <c r="EY7" s="580">
        <f ca="1" t="shared" si="126"/>
        <v>12091.8676114082</v>
      </c>
      <c r="EZ7" s="581">
        <f ca="1" t="shared" si="126"/>
        <v>6.04110142481204e-32</v>
      </c>
      <c r="FA7" s="580">
        <f ca="1" t="shared" si="126"/>
        <v>554.65814268589</v>
      </c>
      <c r="FB7" s="580">
        <f ca="1">INDIRECT("'"&amp;$B$2&amp;"-事故进程'!AE"&amp;(ROW()+22))</f>
        <v>0</v>
      </c>
      <c r="FC7" s="580">
        <f ca="1">SUM(FB$3,-LN(1-FC$3)/EW7)</f>
        <v>4.44800891276105e-22</v>
      </c>
      <c r="FD7" s="580">
        <f>FD$3/24/3600</f>
        <v>1157407407407410</v>
      </c>
      <c r="FE7" s="582">
        <f ca="1" t="shared" si="89"/>
        <v>1.1771235067955e-42</v>
      </c>
      <c r="FF7" s="582">
        <f ca="1" t="shared" si="90"/>
        <v>1.1771235067955e-42</v>
      </c>
      <c r="FG7" s="582">
        <f t="shared" si="91"/>
        <v>0</v>
      </c>
      <c r="FH7" s="582">
        <f ca="1" t="shared" si="92"/>
        <v>-5.37847349074704e-18</v>
      </c>
      <c r="FI7" s="582">
        <f ca="1" t="shared" si="93"/>
        <v>5.5764013152115e-32</v>
      </c>
      <c r="FJ7" s="582">
        <f ca="1" t="shared" si="94"/>
        <v>1</v>
      </c>
      <c r="FK7" s="580">
        <f ca="1" t="shared" si="95"/>
        <v>5.74384141328353e-34</v>
      </c>
      <c r="FL7" s="580">
        <f ca="1" t="shared" si="96"/>
        <v>1.42336216064478e-38</v>
      </c>
      <c r="FM7" s="586">
        <f ca="1" t="shared" si="97"/>
        <v>5.47009422621246e-75</v>
      </c>
      <c r="FN7" s="594">
        <f ca="1" t="shared" si="98"/>
        <v>6.52901137966376e-40</v>
      </c>
      <c r="FO7" s="580">
        <f ca="1" t="shared" si="99"/>
        <v>0</v>
      </c>
      <c r="FP7" s="580">
        <f ca="1" t="shared" si="100"/>
        <v>1.25145168142636e-13</v>
      </c>
      <c r="FQ7" s="595">
        <f ca="1" t="shared" si="101"/>
        <v>1.25145168142636e-13</v>
      </c>
      <c r="FR7" s="608" t="str">
        <f t="shared" si="102"/>
        <v>Kr-85m</v>
      </c>
      <c r="FS7" s="609">
        <v>25800000000</v>
      </c>
      <c r="FT7" s="610">
        <v>10200000000</v>
      </c>
      <c r="FU7" s="610">
        <v>5430000000</v>
      </c>
      <c r="FV7" s="610">
        <v>383000000</v>
      </c>
      <c r="FW7" s="610">
        <v>41900000000</v>
      </c>
      <c r="FX7" s="614">
        <f ca="1" t="shared" si="103"/>
        <v>0</v>
      </c>
      <c r="FY7" s="614">
        <f ca="1" t="shared" si="104"/>
        <v>0.153485723379351</v>
      </c>
      <c r="FZ7" s="614">
        <f ca="1" t="shared" si="105"/>
        <v>2.76806805494724e-16</v>
      </c>
      <c r="GA7" s="614">
        <f ca="1" t="shared" si="106"/>
        <v>3.08968072641806e-16</v>
      </c>
      <c r="GB7" s="614">
        <f ca="1" t="shared" si="107"/>
        <v>0.0373640663119183</v>
      </c>
      <c r="GC7" s="455">
        <f ca="1" t="shared" si="108"/>
        <v>0.0373640663119183</v>
      </c>
      <c r="GE7" s="609">
        <v>5259743761.79492</v>
      </c>
      <c r="GF7" s="610">
        <v>976546118.342223</v>
      </c>
      <c r="GG7" s="610">
        <v>622523452.601644</v>
      </c>
      <c r="GH7" s="610">
        <v>64174600.6380256</v>
      </c>
      <c r="GI7" s="610">
        <v>3576578.05754994</v>
      </c>
      <c r="GJ7" s="610">
        <v>836.702638547422</v>
      </c>
      <c r="GK7" s="617">
        <v>6926565348.137</v>
      </c>
      <c r="GL7" s="614">
        <f ca="1" t="shared" si="109"/>
        <v>0</v>
      </c>
      <c r="GM7" s="614">
        <f ca="1" t="shared" si="110"/>
        <v>1.60315457617818</v>
      </c>
      <c r="GN7" s="614">
        <f ca="1" t="shared" si="111"/>
        <v>2.41446478450695e-15</v>
      </c>
      <c r="GO7" s="614">
        <f ca="1" t="shared" si="112"/>
        <v>1.7466083114734e-15</v>
      </c>
      <c r="GP7" s="614">
        <f ca="1" t="shared" si="113"/>
        <v>1.49569467546914e-16</v>
      </c>
      <c r="GQ7" s="614">
        <f ca="1" t="shared" si="114"/>
        <v>0.226021743791164</v>
      </c>
      <c r="GR7" s="451">
        <f t="shared" si="115"/>
        <v>4.29778757787664e-5</v>
      </c>
      <c r="GS7" s="390">
        <f t="shared" si="116"/>
        <v>16128</v>
      </c>
    </row>
    <row r="8" spans="1:201">
      <c r="A8" s="413"/>
      <c r="B8" s="407" t="s">
        <v>255</v>
      </c>
      <c r="C8" s="416">
        <v>0</v>
      </c>
      <c r="D8" s="409" t="s">
        <v>249</v>
      </c>
      <c r="E8" s="410"/>
      <c r="G8" s="411" t="s">
        <v>49</v>
      </c>
      <c r="H8" s="412">
        <f ca="1" t="shared" si="1"/>
        <v>0</v>
      </c>
      <c r="I8" s="412">
        <f ca="1" t="shared" si="2"/>
        <v>251171.463821401</v>
      </c>
      <c r="J8" s="412">
        <f ca="1" t="shared" si="3"/>
        <v>1.89592550932316e-10</v>
      </c>
      <c r="K8" s="412">
        <f ca="1" t="shared" si="4"/>
        <v>3.28385764933658e-12</v>
      </c>
      <c r="L8" s="412">
        <f ca="1" t="shared" si="5"/>
        <v>4.89832441395327e-16</v>
      </c>
      <c r="M8" s="412">
        <f ca="1" t="shared" si="6"/>
        <v>3.67337442319249e-34</v>
      </c>
      <c r="N8" s="412">
        <f ca="1" t="shared" si="7"/>
        <v>251171.463821402</v>
      </c>
      <c r="O8" s="450">
        <f ca="1" t="shared" si="8"/>
        <v>251171.4638214</v>
      </c>
      <c r="P8" s="451"/>
      <c r="Q8" s="477" t="str">
        <f t="shared" si="0"/>
        <v>Kr-87</v>
      </c>
      <c r="R8" s="412">
        <f ca="1" t="shared" si="9"/>
        <v>0</v>
      </c>
      <c r="S8" s="412">
        <f ca="1">I8*(1-过滤效率!$B5)</f>
        <v>251171.463821401</v>
      </c>
      <c r="T8" s="412">
        <f ca="1">J8*(1-过滤效率!$B5)</f>
        <v>1.89592550932316e-10</v>
      </c>
      <c r="U8" s="412">
        <f ca="1">K8*(1-过滤效率!$B5)</f>
        <v>3.28385764933658e-12</v>
      </c>
      <c r="V8" s="412">
        <f ca="1">L8*(1-过滤效率!$B5)</f>
        <v>4.89832441395327e-16</v>
      </c>
      <c r="W8" s="412">
        <f ca="1">M8*(1-过滤效率!$B5)</f>
        <v>3.67337442319249e-34</v>
      </c>
      <c r="X8" s="412">
        <f ca="1" t="shared" si="10"/>
        <v>251171.463821402</v>
      </c>
      <c r="Y8" s="493"/>
      <c r="Z8" s="494">
        <f>VLOOKUP(G8,衰变常数!$A$1:$H$3800,7,FALSE)</f>
        <v>0.000151408296321525</v>
      </c>
      <c r="AA8" s="495">
        <f>正常源项!C5</f>
        <v>1.29e+17</v>
      </c>
      <c r="AB8" s="496">
        <f>正常源项!F5</f>
        <v>0</v>
      </c>
      <c r="AC8" s="496">
        <f>正常源项!I5</f>
        <v>19400000000</v>
      </c>
      <c r="AD8" s="496">
        <f>正常源项!L5</f>
        <v>567000000</v>
      </c>
      <c r="AE8" s="497"/>
      <c r="AF8" s="498"/>
      <c r="AG8" s="483"/>
      <c r="AH8" s="518"/>
      <c r="AI8" s="483"/>
      <c r="AJ8" s="521"/>
      <c r="AK8" s="521"/>
      <c r="AL8" s="519">
        <f t="shared" si="11"/>
        <v>18872700</v>
      </c>
      <c r="AM8" s="520">
        <f t="shared" si="12"/>
        <v>541800000000</v>
      </c>
      <c r="AN8" s="519">
        <f ca="1">MAX(INDIRECT("'"&amp;$B$2&amp;"-事故进程'!Y"&amp;(ROW()+22)),INDIRECT("'"&amp;$B$2&amp;"-事故进程'!Z"&amp;(ROW()+22)),INDIRECT("'"&amp;$B$2&amp;"-事故进程'!AA"&amp;(ROW()+22)))</f>
        <v>9.31707738154924e-11</v>
      </c>
      <c r="AO8" s="519">
        <f ca="1" t="shared" si="13"/>
        <v>1306439.24119163</v>
      </c>
      <c r="AP8" s="560">
        <f t="shared" si="14"/>
        <v>155800492321.307</v>
      </c>
      <c r="AQ8" s="561">
        <f ca="1">(AC8*$C$5+AD8*$C$8+AF8+AG8+AI8+(AL8+AM8)*$C$10)*EXP(-Z8*$C$12*3600)+AO8*$C$11</f>
        <v>1984254.56418906</v>
      </c>
      <c r="AR8" s="562">
        <f ca="1">AQ8*(1-AR$3)</f>
        <v>1733083.10036766</v>
      </c>
      <c r="AS8" s="563">
        <f ca="1" t="shared" si="15"/>
        <v>251171.4638214</v>
      </c>
      <c r="AT8" s="562">
        <f ca="1">AS8*(1-AT$3)</f>
        <v>251171.4638214</v>
      </c>
      <c r="AU8" s="564">
        <f ca="1" t="shared" si="16"/>
        <v>0</v>
      </c>
      <c r="AV8" s="565">
        <f>AV$3*3600</f>
        <v>7200</v>
      </c>
      <c r="AW8" s="580">
        <f>AP8*EXP(-Z8*AW$3*3600)</f>
        <v>155800492321.307</v>
      </c>
      <c r="AX8" s="580">
        <f ca="1" t="shared" si="17"/>
        <v>1733083.10036766</v>
      </c>
      <c r="AY8" s="581">
        <f ca="1" t="shared" si="18"/>
        <v>251171.4638214</v>
      </c>
      <c r="AZ8" s="580">
        <v>0</v>
      </c>
      <c r="BA8" s="580">
        <f ca="1">MAX(INDIRECT("'"&amp;$B$2&amp;"-事故进程'!Y"&amp;(ROW()+22)),INDIRECT("'"&amp;$B$2&amp;"-事故进程'!Z"&amp;(ROW()+22)))</f>
        <v>9.11473632576864e-11</v>
      </c>
      <c r="BB8" s="580">
        <f>SUM(BA$3,-LN(1-BB$3)/AV8)</f>
        <v>1.38777878078145e-19</v>
      </c>
      <c r="BC8" s="580">
        <f>BC$3/24/3600</f>
        <v>1157407407407410</v>
      </c>
      <c r="BD8" s="582">
        <f ca="1" t="shared" si="19"/>
        <v>0.336169295661635</v>
      </c>
      <c r="BE8" s="582">
        <f t="shared" si="20"/>
        <v>0.33616951627651</v>
      </c>
      <c r="BF8" s="582">
        <f t="shared" si="21"/>
        <v>0</v>
      </c>
      <c r="BG8" s="582">
        <f ca="1" t="shared" si="22"/>
        <v>14.2009620352912</v>
      </c>
      <c r="BH8" s="582">
        <f ca="1" t="shared" si="23"/>
        <v>251171.4638214</v>
      </c>
      <c r="BI8" s="582">
        <f ca="1" t="shared" si="24"/>
        <v>-1.52256602198243e-9</v>
      </c>
      <c r="BJ8" s="580">
        <f ca="1" t="shared" si="25"/>
        <v>52375341767.3898</v>
      </c>
      <c r="BK8" s="580">
        <f ca="1" t="shared" si="26"/>
        <v>616981.613777161</v>
      </c>
      <c r="BL8" s="586">
        <f ca="1" t="shared" si="27"/>
        <v>7.39786168858867e-29</v>
      </c>
      <c r="BM8" s="594">
        <f ca="1" t="shared" si="28"/>
        <v>84436.1894760132</v>
      </c>
      <c r="BN8" s="580">
        <f ca="1" t="shared" si="29"/>
        <v>62261.6086539847</v>
      </c>
      <c r="BO8" s="580">
        <f ca="1" t="shared" si="30"/>
        <v>1.08006452709109e-9</v>
      </c>
      <c r="BP8" s="595">
        <f ca="1" t="shared" si="31"/>
        <v>251171.463821401</v>
      </c>
      <c r="BQ8" s="596">
        <f>BQ$3*3600</f>
        <v>21600</v>
      </c>
      <c r="BR8" s="580">
        <f ca="1" t="shared" ref="BR8:BU8" si="127">BJ8</f>
        <v>52375341767.3898</v>
      </c>
      <c r="BS8" s="580">
        <f ca="1" t="shared" si="127"/>
        <v>616981.613777161</v>
      </c>
      <c r="BT8" s="581">
        <f ca="1" t="shared" si="127"/>
        <v>7.39786168858867e-29</v>
      </c>
      <c r="BU8" s="580">
        <f ca="1" t="shared" si="127"/>
        <v>84436.1894760132</v>
      </c>
      <c r="BV8" s="580">
        <f ca="1">MAX(INDIRECT("'"&amp;$B$2&amp;"-事故进程'!Z"&amp;(ROW()+22)),INDIRECT("'"&amp;$B$2&amp;"-事故进程'!AA"&amp;(ROW()+22)))</f>
        <v>9.31707738154924e-11</v>
      </c>
      <c r="BW8" s="580">
        <f ca="1">SUM(BV$3,-LN(1-BW$3)/BQ8)</f>
        <v>4.62592926927149e-20</v>
      </c>
      <c r="BX8" s="580">
        <f>BX$3/24/3600</f>
        <v>1157407407407410</v>
      </c>
      <c r="BY8" s="582">
        <f ca="1" t="shared" si="33"/>
        <v>0.0379904216438124</v>
      </c>
      <c r="BZ8" s="582">
        <f ca="1" t="shared" si="34"/>
        <v>0.0379904980991841</v>
      </c>
      <c r="CA8" s="582">
        <f t="shared" si="35"/>
        <v>0</v>
      </c>
      <c r="CB8" s="582">
        <f ca="1" t="shared" si="36"/>
        <v>4.87990860597294</v>
      </c>
      <c r="CC8" s="582">
        <f ca="1" t="shared" si="37"/>
        <v>4.93190779239983e-29</v>
      </c>
      <c r="CD8" s="582">
        <f ca="1" t="shared" si="38"/>
        <v>-4.96500037740275e-10</v>
      </c>
      <c r="CE8" s="580">
        <f ca="1" t="shared" si="39"/>
        <v>1989761317.48192</v>
      </c>
      <c r="CF8" s="580">
        <f ca="1" t="shared" si="40"/>
        <v>27443.8150498867</v>
      </c>
      <c r="CG8" s="586">
        <f ca="1" t="shared" si="41"/>
        <v>1.09687519266525e-30</v>
      </c>
      <c r="CH8" s="594">
        <f ca="1" t="shared" si="42"/>
        <v>3207.77289557457</v>
      </c>
      <c r="CI8" s="580">
        <f ca="1" t="shared" si="43"/>
        <v>31005.3064787367</v>
      </c>
      <c r="CJ8" s="580">
        <f ca="1" t="shared" si="44"/>
        <v>1.89592550930836e-10</v>
      </c>
      <c r="CK8" s="595">
        <f ca="1" t="shared" si="45"/>
        <v>1.89592550932316e-10</v>
      </c>
      <c r="CL8" s="596">
        <f>CL$3*3600</f>
        <v>57600</v>
      </c>
      <c r="CM8" s="580">
        <f ca="1" t="shared" ref="CM8:CP8" si="128">CE8</f>
        <v>1989761317.48192</v>
      </c>
      <c r="CN8" s="580">
        <f ca="1" t="shared" si="128"/>
        <v>27443.8150498867</v>
      </c>
      <c r="CO8" s="581">
        <f ca="1" t="shared" si="128"/>
        <v>1.09687519266525e-30</v>
      </c>
      <c r="CP8" s="580">
        <f ca="1" t="shared" si="128"/>
        <v>3207.77289557457</v>
      </c>
      <c r="CQ8" s="580">
        <f ca="1">MAX(INDIRECT("'"&amp;$B$2&amp;"-事故进程'!AA"&amp;(ROW()+22)),INDIRECT("'"&amp;$B$2&amp;"-事故进程'!AB"&amp;(ROW()+22)))</f>
        <v>9.31707738154924e-11</v>
      </c>
      <c r="CR8" s="580">
        <f ca="1">SUM(CQ$3,-LN(1-CR$3)/CL8)</f>
        <v>1.73472347597681e-20</v>
      </c>
      <c r="CS8" s="580">
        <f>CS$3/24/3600</f>
        <v>1157407407407410</v>
      </c>
      <c r="CT8" s="582">
        <f ca="1" t="shared" si="47"/>
        <v>0.00016310388404129</v>
      </c>
      <c r="CU8" s="582">
        <f ca="1" t="shared" si="48"/>
        <v>0.000163104759362908</v>
      </c>
      <c r="CV8" s="582">
        <f t="shared" si="49"/>
        <v>0</v>
      </c>
      <c r="CW8" s="582">
        <f ca="1" t="shared" si="50"/>
        <v>0.185390158619408</v>
      </c>
      <c r="CX8" s="582">
        <f ca="1" t="shared" si="51"/>
        <v>6.8554699541408e-31</v>
      </c>
      <c r="CY8" s="582">
        <f ca="1" t="shared" si="52"/>
        <v>-1.86187514094827e-10</v>
      </c>
      <c r="CZ8" s="580">
        <f ca="1" t="shared" si="53"/>
        <v>324537.799196416</v>
      </c>
      <c r="DA8" s="580">
        <f ca="1" t="shared" si="54"/>
        <v>6.21789794438519</v>
      </c>
      <c r="DB8" s="586">
        <f ca="1" t="shared" si="55"/>
        <v>9.31939217454613e-35</v>
      </c>
      <c r="DC8" s="594">
        <f ca="1" t="shared" si="56"/>
        <v>0.523203026503325</v>
      </c>
      <c r="DD8" s="580">
        <f ca="1" t="shared" si="57"/>
        <v>1224.22122606005</v>
      </c>
      <c r="DE8" s="580">
        <f ca="1" t="shared" si="58"/>
        <v>3.28385764931193e-12</v>
      </c>
      <c r="DF8" s="595">
        <f ca="1" t="shared" si="59"/>
        <v>3.28385764933658e-12</v>
      </c>
      <c r="DG8" s="596">
        <f>DG$3*3600</f>
        <v>86400</v>
      </c>
      <c r="DH8" s="580">
        <f ca="1" t="shared" ref="DH8:DK8" si="129">CZ8</f>
        <v>324537.799196416</v>
      </c>
      <c r="DI8" s="580">
        <f ca="1" t="shared" si="129"/>
        <v>6.21789794438519</v>
      </c>
      <c r="DJ8" s="581">
        <f ca="1" t="shared" si="129"/>
        <v>9.31939217454613e-35</v>
      </c>
      <c r="DK8" s="580">
        <f ca="1" t="shared" si="129"/>
        <v>0.523203026503325</v>
      </c>
      <c r="DL8" s="580">
        <f ca="1">MAX(INDIRECT("'"&amp;$B$2&amp;"-事故进程'!AB"&amp;(ROW()+22)),INDIRECT("'"&amp;$B$2&amp;"-事故进程'!AC"&amp;(ROW()+22)))</f>
        <v>9.10055828266189e-11</v>
      </c>
      <c r="DM8" s="580">
        <f ca="1">SUM(DL$3,-LN(1-DM$3)/DG8)</f>
        <v>1.15648231731787e-20</v>
      </c>
      <c r="DN8" s="580">
        <f>DN$3/24/3600</f>
        <v>1157407407407410</v>
      </c>
      <c r="DO8" s="582">
        <f ca="1" t="shared" si="61"/>
        <v>2.08303485017992e-6</v>
      </c>
      <c r="DP8" s="582">
        <f ca="1" t="shared" si="62"/>
        <v>2.08305122890227e-6</v>
      </c>
      <c r="DQ8" s="582">
        <f t="shared" si="63"/>
        <v>0</v>
      </c>
      <c r="DR8" s="582">
        <f ca="1" t="shared" si="64"/>
        <v>2.95353174285643e-5</v>
      </c>
      <c r="DS8" s="582">
        <f ca="1" t="shared" si="65"/>
        <v>3.10646405818285e-35</v>
      </c>
      <c r="DT8" s="582">
        <f ca="1" t="shared" si="66"/>
        <v>-1.27078172738933e-10</v>
      </c>
      <c r="DU8" s="580">
        <f ca="1" t="shared" si="67"/>
        <v>0.676023545926825</v>
      </c>
      <c r="DV8" s="580">
        <f ca="1" t="shared" si="68"/>
        <v>1.82677144626719e-5</v>
      </c>
      <c r="DW8" s="586">
        <f ca="1" t="shared" si="69"/>
        <v>1.82531134834667e-40</v>
      </c>
      <c r="DX8" s="594">
        <f ca="1" t="shared" si="70"/>
        <v>1.08985870672651e-6</v>
      </c>
      <c r="DY8" s="580">
        <f ca="1" t="shared" si="71"/>
        <v>0.195066406588252</v>
      </c>
      <c r="DZ8" s="580">
        <f ca="1" t="shared" si="72"/>
        <v>4.89831728337845e-16</v>
      </c>
      <c r="EA8" s="595">
        <f ca="1" t="shared" si="73"/>
        <v>4.89831728336739e-16</v>
      </c>
      <c r="EB8" s="596">
        <f>EB$3*3600</f>
        <v>172800</v>
      </c>
      <c r="EC8" s="580">
        <f ca="1" t="shared" ref="EC8:EF8" si="130">DU8</f>
        <v>0.676023545926825</v>
      </c>
      <c r="ED8" s="580">
        <f ca="1" t="shared" si="130"/>
        <v>1.82677144626719e-5</v>
      </c>
      <c r="EE8" s="581">
        <f ca="1" t="shared" si="130"/>
        <v>1.82531134834667e-40</v>
      </c>
      <c r="EF8" s="580">
        <f ca="1" t="shared" si="130"/>
        <v>1.08985870672651e-6</v>
      </c>
      <c r="EG8" s="580">
        <f ca="1">MAX(INDIRECT("'"&amp;$B$2&amp;"-事故进程'!AC"&amp;(ROW()+22)),INDIRECT("'"&amp;$B$2&amp;"-事故进程'!AD"&amp;(ROW()+22)),INDIRECT("'"&amp;$B$2&amp;"-事故进程'!AE"&amp;(ROW()+22)))</f>
        <v>9.03072021921737e-11</v>
      </c>
      <c r="EH8" s="580">
        <f ca="1">SUM(EG$3,-LN(1-EH$3)/EB8)</f>
        <v>5.78241158658936e-21</v>
      </c>
      <c r="EI8" s="580">
        <f>EI$3/24/3600</f>
        <v>1157407407407410</v>
      </c>
      <c r="EJ8" s="582">
        <f ca="1" t="shared" si="75"/>
        <v>4.33903471069948e-12</v>
      </c>
      <c r="EK8" s="582">
        <f ca="1" t="shared" si="76"/>
        <v>4.33910242223128e-12</v>
      </c>
      <c r="EL8" s="582">
        <f t="shared" si="77"/>
        <v>0</v>
      </c>
      <c r="EM8" s="582">
        <f ca="1" t="shared" si="78"/>
        <v>6.10514447548675e-11</v>
      </c>
      <c r="EN8" s="582">
        <f ca="1" t="shared" si="79"/>
        <v>9.12655674178537e-41</v>
      </c>
      <c r="EO8" s="582">
        <f ca="1" t="shared" si="80"/>
        <v>-6.40304587739817e-11</v>
      </c>
      <c r="EP8" s="580">
        <f ca="1" t="shared" si="81"/>
        <v>2.93328963102664e-12</v>
      </c>
      <c r="EQ8" s="580">
        <f ca="1" t="shared" si="82"/>
        <v>1.25040073901605e-16</v>
      </c>
      <c r="ER8" s="586">
        <f ca="1" t="shared" si="83"/>
        <v>6.24700660707544e-52</v>
      </c>
      <c r="ES8" s="594">
        <f ca="1" t="shared" si="84"/>
        <v>4.72900855147996e-18</v>
      </c>
      <c r="ET8" s="580">
        <f ca="1" t="shared" si="85"/>
        <v>4.03212770492833e-7</v>
      </c>
      <c r="EU8" s="580">
        <f ca="1" t="shared" si="86"/>
        <v>7.13058587861212e-22</v>
      </c>
      <c r="EV8" s="595">
        <f ca="1" t="shared" si="87"/>
        <v>7.13058587860225e-22</v>
      </c>
      <c r="EW8" s="596">
        <f>EW$3*3600</f>
        <v>2246400</v>
      </c>
      <c r="EX8" s="580">
        <f ca="1" t="shared" ref="EX8:FA8" si="131">EP8</f>
        <v>2.93328963102664e-12</v>
      </c>
      <c r="EY8" s="580">
        <f ca="1" t="shared" si="131"/>
        <v>1.25040073901605e-16</v>
      </c>
      <c r="EZ8" s="581">
        <f ca="1" t="shared" si="131"/>
        <v>6.24700660707544e-52</v>
      </c>
      <c r="FA8" s="580">
        <f ca="1" t="shared" si="131"/>
        <v>4.72900855147996e-18</v>
      </c>
      <c r="FB8" s="580">
        <f ca="1">INDIRECT("'"&amp;$B$2&amp;"-事故进程'!AE"&amp;(ROW()+22))</f>
        <v>0</v>
      </c>
      <c r="FC8" s="580">
        <f ca="1">SUM(FB$3,-LN(1-FC$3)/EW8)</f>
        <v>4.44800891276105e-22</v>
      </c>
      <c r="FD8" s="580">
        <f>FD$3/24/3600</f>
        <v>1157407407407410</v>
      </c>
      <c r="FE8" s="582">
        <f ca="1" t="shared" si="89"/>
        <v>1.93285252974654e-148</v>
      </c>
      <c r="FF8" s="582">
        <f ca="1" t="shared" si="90"/>
        <v>1.93285252974654e-148</v>
      </c>
      <c r="FG8" s="582">
        <f t="shared" si="91"/>
        <v>0</v>
      </c>
      <c r="FH8" s="582">
        <f ca="1" t="shared" si="92"/>
        <v>-5.5617936316664e-38</v>
      </c>
      <c r="FI8" s="582">
        <f ca="1" t="shared" si="93"/>
        <v>5.76646763729946e-52</v>
      </c>
      <c r="FJ8" s="582">
        <f ca="1" t="shared" si="94"/>
        <v>1</v>
      </c>
      <c r="FK8" s="580">
        <f ca="1" t="shared" si="95"/>
        <v>5.66961628380913e-160</v>
      </c>
      <c r="FL8" s="580">
        <f ca="1" t="shared" si="96"/>
        <v>2.41684023160411e-164</v>
      </c>
      <c r="FM8" s="586">
        <f ca="1" t="shared" si="97"/>
        <v>9.28810963373291e-201</v>
      </c>
      <c r="FN8" s="594">
        <f ca="1" t="shared" si="98"/>
        <v>9.14047614184996e-166</v>
      </c>
      <c r="FO8" s="580">
        <f ca="1" t="shared" si="99"/>
        <v>0</v>
      </c>
      <c r="FP8" s="580">
        <f ca="1" t="shared" si="100"/>
        <v>3.67337442319249e-34</v>
      </c>
      <c r="FQ8" s="595">
        <f ca="1" t="shared" si="101"/>
        <v>3.67337442319249e-34</v>
      </c>
      <c r="FR8" s="608" t="str">
        <f t="shared" si="102"/>
        <v>Kr-87</v>
      </c>
      <c r="FS8" s="609">
        <v>27500000000</v>
      </c>
      <c r="FT8" s="610">
        <v>14800000000</v>
      </c>
      <c r="FU8" s="610">
        <v>275000000</v>
      </c>
      <c r="FV8" s="610">
        <v>35400</v>
      </c>
      <c r="FW8" s="610">
        <v>42600000000</v>
      </c>
      <c r="FX8" s="614">
        <f ca="1" t="shared" si="103"/>
        <v>0</v>
      </c>
      <c r="FY8" s="614">
        <f ca="1" t="shared" si="104"/>
        <v>1.69710448527974e-5</v>
      </c>
      <c r="FZ8" s="614">
        <f ca="1" t="shared" si="105"/>
        <v>1.19413005430421e-20</v>
      </c>
      <c r="GA8" s="614">
        <f ca="1" t="shared" si="106"/>
        <v>1.38370746156872e-20</v>
      </c>
      <c r="GB8" s="614">
        <f ca="1" t="shared" si="107"/>
        <v>5.8960437516761e-6</v>
      </c>
      <c r="GC8" s="455">
        <f ca="1" t="shared" si="108"/>
        <v>5.8960437516761e-6</v>
      </c>
      <c r="GE8" s="609">
        <v>5569472797.165</v>
      </c>
      <c r="GF8" s="610">
        <v>501084525.35194</v>
      </c>
      <c r="GG8" s="610">
        <v>11010571.8988812</v>
      </c>
      <c r="GH8" s="610">
        <v>2147.88383110428</v>
      </c>
      <c r="GI8" s="610">
        <v>0.343857374846796</v>
      </c>
      <c r="GJ8" s="610">
        <v>1.82273555504902e-14</v>
      </c>
      <c r="GK8" s="617">
        <v>6081570042.64351</v>
      </c>
      <c r="GL8" s="614">
        <f ca="1" t="shared" si="109"/>
        <v>0</v>
      </c>
      <c r="GM8" s="614">
        <f ca="1" t="shared" si="110"/>
        <v>0.000501255678660182</v>
      </c>
      <c r="GN8" s="614">
        <f ca="1" t="shared" si="111"/>
        <v>2.98245874918655e-19</v>
      </c>
      <c r="GO8" s="614">
        <f ca="1" t="shared" si="112"/>
        <v>2.28017003980668e-19</v>
      </c>
      <c r="GP8" s="614">
        <f ca="1" t="shared" si="113"/>
        <v>2.01530848126442e-20</v>
      </c>
      <c r="GQ8" s="614">
        <f ca="1" t="shared" si="114"/>
        <v>4.13004309841384e-5</v>
      </c>
      <c r="GR8" s="451">
        <f t="shared" si="115"/>
        <v>0.000151408296321525</v>
      </c>
      <c r="GS8" s="390">
        <f t="shared" si="116"/>
        <v>4578.00000000003</v>
      </c>
    </row>
    <row r="9" spans="1:201">
      <c r="A9" s="413"/>
      <c r="B9" s="407" t="s">
        <v>256</v>
      </c>
      <c r="C9" s="417">
        <f>1/19</f>
        <v>0.0526315789473684</v>
      </c>
      <c r="D9" s="409" t="s">
        <v>249</v>
      </c>
      <c r="E9" s="409" t="s">
        <v>257</v>
      </c>
      <c r="G9" s="411" t="s">
        <v>50</v>
      </c>
      <c r="H9" s="412">
        <f ca="1" t="shared" si="1"/>
        <v>0</v>
      </c>
      <c r="I9" s="412">
        <f ca="1" t="shared" si="2"/>
        <v>536733138.930768</v>
      </c>
      <c r="J9" s="412">
        <f ca="1" t="shared" si="3"/>
        <v>1.32257233414896e-6</v>
      </c>
      <c r="K9" s="412">
        <f ca="1" t="shared" si="4"/>
        <v>1.71474829188627e-7</v>
      </c>
      <c r="L9" s="412">
        <f ca="1" t="shared" si="5"/>
        <v>3.09686638211819e-9</v>
      </c>
      <c r="M9" s="412">
        <f ca="1" t="shared" si="6"/>
        <v>5.53497794392806e-18</v>
      </c>
      <c r="N9" s="412">
        <f ca="1" t="shared" si="7"/>
        <v>536733138.930769</v>
      </c>
      <c r="O9" s="450">
        <f ca="1" t="shared" si="8"/>
        <v>536733138.930765</v>
      </c>
      <c r="P9" s="451"/>
      <c r="Q9" s="477" t="str">
        <f t="shared" si="0"/>
        <v>Kr-88</v>
      </c>
      <c r="R9" s="412">
        <f ca="1" t="shared" si="9"/>
        <v>0</v>
      </c>
      <c r="S9" s="412">
        <f ca="1">I9*(1-过滤效率!$B6)</f>
        <v>536733138.930768</v>
      </c>
      <c r="T9" s="412">
        <f ca="1">J9*(1-过滤效率!$B6)</f>
        <v>1.32257233414896e-6</v>
      </c>
      <c r="U9" s="412">
        <f ca="1">K9*(1-过滤效率!$B6)</f>
        <v>1.71474829188627e-7</v>
      </c>
      <c r="V9" s="412">
        <f ca="1">L9*(1-过滤效率!$B6)</f>
        <v>3.09686638211819e-9</v>
      </c>
      <c r="W9" s="412">
        <f ca="1">M9*(1-过滤效率!$B6)</f>
        <v>5.53497794392806e-18</v>
      </c>
      <c r="X9" s="412">
        <f ca="1" t="shared" si="10"/>
        <v>536733138.930769</v>
      </c>
      <c r="Y9" s="493"/>
      <c r="Z9" s="494">
        <f>VLOOKUP(G9,衰变常数!$A$1:$H$3800,7,FALSE)</f>
        <v>6.77960857355189e-5</v>
      </c>
      <c r="AA9" s="495">
        <f>正常源项!C6</f>
        <v>1.88e+17</v>
      </c>
      <c r="AB9" s="496">
        <f>正常源项!F6</f>
        <v>0</v>
      </c>
      <c r="AC9" s="496">
        <f>正常源项!I6</f>
        <v>41500000000</v>
      </c>
      <c r="AD9" s="496">
        <f>正常源项!L6</f>
        <v>2390000000</v>
      </c>
      <c r="AE9" s="497"/>
      <c r="AF9" s="498"/>
      <c r="AG9" s="483"/>
      <c r="AH9" s="518"/>
      <c r="AI9" s="483"/>
      <c r="AJ9" s="521"/>
      <c r="AK9" s="521"/>
      <c r="AL9" s="519">
        <f t="shared" si="11"/>
        <v>27504400</v>
      </c>
      <c r="AM9" s="520">
        <f t="shared" si="12"/>
        <v>789600000000</v>
      </c>
      <c r="AN9" s="519">
        <f ca="1">MAX(INDIRECT("'"&amp;$B$2&amp;"-事故进程'!Y"&amp;(ROW()+22)),INDIRECT("'"&amp;$B$2&amp;"-事故进程'!Z"&amp;(ROW()+22)),INDIRECT("'"&amp;$B$2&amp;"-事故进程'!AA"&amp;(ROW()+22)))</f>
        <v>6.27964284698863e-11</v>
      </c>
      <c r="AO9" s="519">
        <f ca="1" t="shared" si="13"/>
        <v>2379151740.72269</v>
      </c>
      <c r="AP9" s="560">
        <f t="shared" si="14"/>
        <v>420964928764673</v>
      </c>
      <c r="AQ9" s="561">
        <f ca="1">(AC9*$C$5+AD9*$C$8+AF9+AG9+AI9+(AL9+AM9)*$C$10)*EXP(-Z9*$C$12*3600)+AO9*$C$11</f>
        <v>4240191797.55304</v>
      </c>
      <c r="AR9" s="562">
        <f ca="1">AQ9*(1-AR$3)</f>
        <v>3703458658.62228</v>
      </c>
      <c r="AS9" s="563">
        <f ca="1" t="shared" si="15"/>
        <v>536733138.930765</v>
      </c>
      <c r="AT9" s="562">
        <f ca="1">AS9*(1-AT$3)</f>
        <v>536733138.930765</v>
      </c>
      <c r="AU9" s="564">
        <f ca="1" t="shared" si="16"/>
        <v>0</v>
      </c>
      <c r="AV9" s="565">
        <f>AV$3*3600</f>
        <v>7200</v>
      </c>
      <c r="AW9" s="580">
        <f>AP9*EXP(-Z9*AW$3*3600)</f>
        <v>420964928764673</v>
      </c>
      <c r="AX9" s="580">
        <f ca="1" t="shared" si="17"/>
        <v>3703458658.62228</v>
      </c>
      <c r="AY9" s="581">
        <f ca="1" t="shared" si="18"/>
        <v>536733138.930765</v>
      </c>
      <c r="AZ9" s="580">
        <v>0</v>
      </c>
      <c r="BA9" s="580">
        <f ca="1">MAX(INDIRECT("'"&amp;$B$2&amp;"-事故进程'!Y"&amp;(ROW()+22)),INDIRECT("'"&amp;$B$2&amp;"-事故进程'!Z"&amp;(ROW()+22)))</f>
        <v>6.14343148397861e-11</v>
      </c>
      <c r="BB9" s="580">
        <f>SUM(BA$3,-LN(1-BB$3)/AV9)</f>
        <v>1.38777878078145e-19</v>
      </c>
      <c r="BC9" s="580">
        <f>BC$3/24/3600</f>
        <v>1157407407407410</v>
      </c>
      <c r="BD9" s="582">
        <f ca="1" t="shared" si="19"/>
        <v>0.613771690462079</v>
      </c>
      <c r="BE9" s="582">
        <f t="shared" si="20"/>
        <v>0.61377196194997</v>
      </c>
      <c r="BF9" s="582">
        <f t="shared" si="21"/>
        <v>0</v>
      </c>
      <c r="BG9" s="582">
        <f ca="1" t="shared" si="22"/>
        <v>25861.9194896818</v>
      </c>
      <c r="BH9" s="582">
        <f ca="1" t="shared" si="23"/>
        <v>536733138.930765</v>
      </c>
      <c r="BI9" s="582">
        <f ca="1" t="shared" si="24"/>
        <v>-2.25896355731412e-9</v>
      </c>
      <c r="BJ9" s="580">
        <f ca="1" t="shared" si="25"/>
        <v>258376355953142</v>
      </c>
      <c r="BK9" s="580">
        <f ca="1" t="shared" si="26"/>
        <v>2387365967.90625</v>
      </c>
      <c r="BL9" s="586">
        <f ca="1" t="shared" si="27"/>
        <v>2.86254935901165e-25</v>
      </c>
      <c r="BM9" s="594">
        <f ca="1" t="shared" si="28"/>
        <v>329431751.6875</v>
      </c>
      <c r="BN9" s="580">
        <f ca="1" t="shared" si="29"/>
        <v>147331640.342824</v>
      </c>
      <c r="BO9" s="580">
        <f ca="1" t="shared" si="30"/>
        <v>2.99561429242359e-6</v>
      </c>
      <c r="BP9" s="595">
        <f ca="1" t="shared" si="31"/>
        <v>536733138.930768</v>
      </c>
      <c r="BQ9" s="596">
        <f>BQ$3*3600</f>
        <v>21600</v>
      </c>
      <c r="BR9" s="580">
        <f ca="1" t="shared" ref="BR9:BU9" si="132">BJ9</f>
        <v>258376355953142</v>
      </c>
      <c r="BS9" s="580">
        <f ca="1" t="shared" si="132"/>
        <v>2387365967.90625</v>
      </c>
      <c r="BT9" s="581">
        <f ca="1" t="shared" si="132"/>
        <v>2.86254935901165e-25</v>
      </c>
      <c r="BU9" s="580">
        <f ca="1" t="shared" si="132"/>
        <v>329431751.6875</v>
      </c>
      <c r="BV9" s="580">
        <f ca="1">MAX(INDIRECT("'"&amp;$B$2&amp;"-事故进程'!Z"&amp;(ROW()+22)),INDIRECT("'"&amp;$B$2&amp;"-事故进程'!AA"&amp;(ROW()+22)))</f>
        <v>6.27964284698863e-11</v>
      </c>
      <c r="BW9" s="580">
        <f ca="1">SUM(BV$3,-LN(1-BW$3)/BQ9)</f>
        <v>4.62592926927149e-20</v>
      </c>
      <c r="BX9" s="580">
        <f>BX$3/24/3600</f>
        <v>1157407407407410</v>
      </c>
      <c r="BY9" s="582">
        <f ca="1" t="shared" si="33"/>
        <v>0.231217417852327</v>
      </c>
      <c r="BZ9" s="582">
        <f ca="1" t="shared" si="34"/>
        <v>0.231217731476506</v>
      </c>
      <c r="CA9" s="582">
        <f t="shared" si="35"/>
        <v>0</v>
      </c>
      <c r="CB9" s="582">
        <f ca="1" t="shared" si="36"/>
        <v>16225.2622729775</v>
      </c>
      <c r="CC9" s="582">
        <f ca="1" t="shared" si="37"/>
        <v>1.90836623933228e-25</v>
      </c>
      <c r="CD9" s="582">
        <f ca="1" t="shared" si="38"/>
        <v>-7.36654836173931e-10</v>
      </c>
      <c r="CE9" s="580">
        <f ca="1" t="shared" si="39"/>
        <v>59741113857579.4</v>
      </c>
      <c r="CF9" s="580">
        <f ca="1" t="shared" si="40"/>
        <v>633034415.679687</v>
      </c>
      <c r="CG9" s="586">
        <f ca="1" t="shared" si="41"/>
        <v>2.53011378116793e-26</v>
      </c>
      <c r="CH9" s="594">
        <f ca="1" t="shared" si="42"/>
        <v>76170462.2890625</v>
      </c>
      <c r="CI9" s="580">
        <f ca="1" t="shared" si="43"/>
        <v>183986613.427969</v>
      </c>
      <c r="CJ9" s="580">
        <f ca="1" t="shared" si="44"/>
        <v>1.32257233415054e-6</v>
      </c>
      <c r="CK9" s="595">
        <f ca="1" t="shared" si="45"/>
        <v>1.32257233414896e-6</v>
      </c>
      <c r="CL9" s="596">
        <f>CL$3*3600</f>
        <v>57600</v>
      </c>
      <c r="CM9" s="580">
        <f ca="1" t="shared" ref="CM9:CP9" si="133">CE9</f>
        <v>59741113857579.4</v>
      </c>
      <c r="CN9" s="580">
        <f ca="1" t="shared" si="133"/>
        <v>633034415.679687</v>
      </c>
      <c r="CO9" s="581">
        <f ca="1" t="shared" si="133"/>
        <v>2.53011378116793e-26</v>
      </c>
      <c r="CP9" s="580">
        <f ca="1" t="shared" si="133"/>
        <v>76170462.2890625</v>
      </c>
      <c r="CQ9" s="580">
        <f ca="1">MAX(INDIRECT("'"&amp;$B$2&amp;"-事故进程'!AA"&amp;(ROW()+22)),INDIRECT("'"&amp;$B$2&amp;"-事故进程'!AB"&amp;(ROW()+22)))</f>
        <v>6.27964284698863e-11</v>
      </c>
      <c r="CR9" s="580">
        <f ca="1">SUM(CQ$3,-LN(1-CR$3)/CL9)</f>
        <v>1.73472347597681e-20</v>
      </c>
      <c r="CS9" s="580">
        <f>CS$3/24/3600</f>
        <v>1157407407407410</v>
      </c>
      <c r="CT9" s="582">
        <f ca="1" t="shared" si="47"/>
        <v>0.0201397832192729</v>
      </c>
      <c r="CU9" s="582">
        <f ca="1" t="shared" si="48"/>
        <v>0.0201398560664966</v>
      </c>
      <c r="CV9" s="582">
        <f t="shared" si="49"/>
        <v>0</v>
      </c>
      <c r="CW9" s="582">
        <f ca="1" t="shared" si="50"/>
        <v>3751.56833536921</v>
      </c>
      <c r="CX9" s="582">
        <f ca="1" t="shared" si="51"/>
        <v>1.58132111321651e-26</v>
      </c>
      <c r="CY9" s="582">
        <f ca="1" t="shared" si="52"/>
        <v>-2.76245563438038e-10</v>
      </c>
      <c r="CZ9" s="580">
        <f ca="1" t="shared" si="53"/>
        <v>1203173082369.55</v>
      </c>
      <c r="DA9" s="580">
        <f ca="1" t="shared" si="54"/>
        <v>17101196.2983398</v>
      </c>
      <c r="DB9" s="586">
        <f ca="1" t="shared" si="55"/>
        <v>2.56312915367644e-28</v>
      </c>
      <c r="DC9" s="594">
        <f ca="1" t="shared" si="56"/>
        <v>1534062.14648438</v>
      </c>
      <c r="DD9" s="580">
        <f ca="1" t="shared" si="57"/>
        <v>54220979.9562977</v>
      </c>
      <c r="DE9" s="580">
        <f ca="1" t="shared" si="58"/>
        <v>1.71474829189428e-7</v>
      </c>
      <c r="DF9" s="595">
        <f ca="1" t="shared" si="59"/>
        <v>1.71474829188627e-7</v>
      </c>
      <c r="DG9" s="596">
        <f>DG$3*3600</f>
        <v>86400</v>
      </c>
      <c r="DH9" s="580">
        <f ca="1" t="shared" ref="DH9:DK9" si="134">CZ9</f>
        <v>1203173082369.55</v>
      </c>
      <c r="DI9" s="580">
        <f ca="1" t="shared" si="134"/>
        <v>17101196.2983398</v>
      </c>
      <c r="DJ9" s="581">
        <f ca="1" t="shared" si="134"/>
        <v>2.56312915367644e-28</v>
      </c>
      <c r="DK9" s="580">
        <f ca="1" t="shared" si="134"/>
        <v>1534062.14648438</v>
      </c>
      <c r="DL9" s="580">
        <f ca="1">MAX(INDIRECT("'"&amp;$B$2&amp;"-事故进程'!AB"&amp;(ROW()+22)),INDIRECT("'"&amp;$B$2&amp;"-事故进程'!AC"&amp;(ROW()+22)))</f>
        <v>6.13391799088511e-11</v>
      </c>
      <c r="DM9" s="580">
        <f ca="1">SUM(DL$3,-LN(1-DM$3)/DG9)</f>
        <v>1.15648231731787e-20</v>
      </c>
      <c r="DN9" s="580">
        <f>DN$3/24/3600</f>
        <v>1157407407407410</v>
      </c>
      <c r="DO9" s="582">
        <f ca="1" t="shared" si="61"/>
        <v>0.00285813173460209</v>
      </c>
      <c r="DP9" s="582">
        <f ca="1" t="shared" si="62"/>
        <v>0.00285814688189768</v>
      </c>
      <c r="DQ9" s="582">
        <f t="shared" si="63"/>
        <v>0</v>
      </c>
      <c r="DR9" s="582">
        <f ca="1" t="shared" si="64"/>
        <v>73.802699134309</v>
      </c>
      <c r="DS9" s="582">
        <f ca="1" t="shared" si="65"/>
        <v>8.54376384561812e-29</v>
      </c>
      <c r="DT9" s="582">
        <f ca="1" t="shared" si="66"/>
        <v>-1.8853892720027e-10</v>
      </c>
      <c r="DU9" s="580">
        <f ca="1" t="shared" si="67"/>
        <v>3438827168.93943</v>
      </c>
      <c r="DV9" s="580">
        <f ca="1" t="shared" si="68"/>
        <v>67102.5492067337</v>
      </c>
      <c r="DW9" s="586">
        <f ca="1" t="shared" si="69"/>
        <v>6.70489156270353e-31</v>
      </c>
      <c r="DX9" s="594">
        <f ca="1" t="shared" si="70"/>
        <v>4384.57494306564</v>
      </c>
      <c r="DY9" s="580">
        <f ca="1" t="shared" si="71"/>
        <v>1085470.46547466</v>
      </c>
      <c r="DZ9" s="580">
        <f ca="1" t="shared" si="72"/>
        <v>3.09087986197233e-9</v>
      </c>
      <c r="EA9" s="595">
        <f ca="1" t="shared" si="73"/>
        <v>3.09087986200552e-9</v>
      </c>
      <c r="EB9" s="596">
        <f>EB$3*3600</f>
        <v>172800</v>
      </c>
      <c r="EC9" s="580">
        <f ca="1" t="shared" ref="EC9:EF9" si="135">DU9</f>
        <v>3438827168.93943</v>
      </c>
      <c r="ED9" s="580">
        <f ca="1" t="shared" si="135"/>
        <v>67102.5492067337</v>
      </c>
      <c r="EE9" s="581">
        <f ca="1" t="shared" si="135"/>
        <v>6.70489156270353e-31</v>
      </c>
      <c r="EF9" s="580">
        <f ca="1" t="shared" si="135"/>
        <v>4384.57494306564</v>
      </c>
      <c r="EG9" s="580">
        <f ca="1">MAX(INDIRECT("'"&amp;$B$2&amp;"-事故进程'!AC"&amp;(ROW()+22)),INDIRECT("'"&amp;$B$2&amp;"-事故进程'!AD"&amp;(ROW()+22)),INDIRECT("'"&amp;$B$2&amp;"-事故进程'!AE"&amp;(ROW()+22)))</f>
        <v>6.08694281262695e-11</v>
      </c>
      <c r="EH9" s="580">
        <f ca="1">SUM(EG$3,-LN(1-EH$3)/EB9)</f>
        <v>5.78241158658936e-21</v>
      </c>
      <c r="EI9" s="580">
        <f>EI$3/24/3600</f>
        <v>1157407407407410</v>
      </c>
      <c r="EJ9" s="582">
        <f ca="1" t="shared" si="75"/>
        <v>8.16891767543597e-6</v>
      </c>
      <c r="EK9" s="582">
        <f ca="1" t="shared" si="76"/>
        <v>8.16900359850146e-6</v>
      </c>
      <c r="EL9" s="582">
        <f t="shared" si="77"/>
        <v>0</v>
      </c>
      <c r="EM9" s="582">
        <f ca="1" t="shared" si="78"/>
        <v>0.209323527692217</v>
      </c>
      <c r="EN9" s="582">
        <f ca="1" t="shared" si="79"/>
        <v>3.3524457813874e-31</v>
      </c>
      <c r="EO9" s="582">
        <f ca="1" t="shared" si="80"/>
        <v>-9.49969757419678e-11</v>
      </c>
      <c r="EP9" s="580">
        <f ca="1" t="shared" si="81"/>
        <v>28091.4960431187</v>
      </c>
      <c r="EQ9" s="580">
        <f ca="1" t="shared" si="82"/>
        <v>0.843635538036324</v>
      </c>
      <c r="ER9" s="586">
        <f ca="1" t="shared" si="83"/>
        <v>4.21480619423913e-36</v>
      </c>
      <c r="ES9" s="594">
        <f ca="1" t="shared" si="84"/>
        <v>0.0358176084628212</v>
      </c>
      <c r="ET9" s="580">
        <f ca="1" t="shared" si="85"/>
        <v>3087.45767668524</v>
      </c>
      <c r="EU9" s="580">
        <f ca="1" t="shared" si="86"/>
        <v>5.98652011267542e-12</v>
      </c>
      <c r="EV9" s="595">
        <f ca="1" t="shared" si="87"/>
        <v>5.98652011266744e-12</v>
      </c>
      <c r="EW9" s="596">
        <f>EW$3*3600</f>
        <v>2246400</v>
      </c>
      <c r="EX9" s="580">
        <f ca="1" t="shared" ref="EX9:FA9" si="136">EP9</f>
        <v>28091.4960431187</v>
      </c>
      <c r="EY9" s="580">
        <f ca="1" t="shared" si="136"/>
        <v>0.843635538036324</v>
      </c>
      <c r="EZ9" s="581">
        <f ca="1" t="shared" si="136"/>
        <v>4.21480619423913e-36</v>
      </c>
      <c r="FA9" s="580">
        <f ca="1" t="shared" si="136"/>
        <v>0.0358176084628212</v>
      </c>
      <c r="FB9" s="580">
        <f ca="1">INDIRECT("'"&amp;$B$2&amp;"-事故进程'!AE"&amp;(ROW()+22))</f>
        <v>0</v>
      </c>
      <c r="FC9" s="580">
        <f ca="1">SUM(FB$3,-LN(1-FC$3)/EW9)</f>
        <v>4.44800891276105e-22</v>
      </c>
      <c r="FD9" s="580">
        <f>FD$3/24/3600</f>
        <v>1157407407407410</v>
      </c>
      <c r="FE9" s="582">
        <f ca="1" t="shared" si="89"/>
        <v>7.21436541170054e-67</v>
      </c>
      <c r="FF9" s="582">
        <f ca="1" t="shared" si="90"/>
        <v>7.21436541170054e-67</v>
      </c>
      <c r="FG9" s="582">
        <f t="shared" si="91"/>
        <v>0</v>
      </c>
      <c r="FH9" s="582">
        <f ca="1" t="shared" si="92"/>
        <v>-3.75249839230753e-22</v>
      </c>
      <c r="FI9" s="582">
        <f ca="1" t="shared" si="93"/>
        <v>3.89059033314376e-36</v>
      </c>
      <c r="FJ9" s="582">
        <f ca="1" t="shared" si="94"/>
        <v>1</v>
      </c>
      <c r="FK9" s="580">
        <f ca="1" t="shared" si="95"/>
        <v>2.02662317416398e-62</v>
      </c>
      <c r="FL9" s="580">
        <f ca="1" t="shared" si="96"/>
        <v>6.08629504569063e-67</v>
      </c>
      <c r="FM9" s="586">
        <f ca="1" t="shared" si="97"/>
        <v>2.33901169421115e-103</v>
      </c>
      <c r="FN9" s="594">
        <f ca="1" t="shared" si="98"/>
        <v>2.58401315597929e-68</v>
      </c>
      <c r="FO9" s="580">
        <f ca="1" t="shared" si="99"/>
        <v>0</v>
      </c>
      <c r="FP9" s="580">
        <f ca="1" t="shared" si="100"/>
        <v>5.53497794392806e-18</v>
      </c>
      <c r="FQ9" s="595">
        <f ca="1" t="shared" si="101"/>
        <v>5.53497794392806e-18</v>
      </c>
      <c r="FR9" s="608" t="str">
        <f t="shared" si="102"/>
        <v>Kr-88</v>
      </c>
      <c r="FS9" s="609">
        <v>57600000000</v>
      </c>
      <c r="FT9" s="610">
        <v>27800000000</v>
      </c>
      <c r="FU9" s="610">
        <v>6190000000</v>
      </c>
      <c r="FV9" s="610">
        <v>92200000</v>
      </c>
      <c r="FW9" s="610">
        <v>91600000000</v>
      </c>
      <c r="FX9" s="614">
        <f ca="1" t="shared" si="103"/>
        <v>0</v>
      </c>
      <c r="FY9" s="614">
        <f ca="1" t="shared" si="104"/>
        <v>0.0193069474435528</v>
      </c>
      <c r="FZ9" s="614">
        <f ca="1" t="shared" si="105"/>
        <v>2.77019110159332e-17</v>
      </c>
      <c r="GA9" s="614">
        <f ca="1" t="shared" si="106"/>
        <v>3.35885724741669e-17</v>
      </c>
      <c r="GB9" s="614">
        <f ca="1" t="shared" si="107"/>
        <v>0.00585953208439704</v>
      </c>
      <c r="GC9" s="455">
        <f ca="1" t="shared" si="108"/>
        <v>0.00585953208439704</v>
      </c>
      <c r="GE9" s="609">
        <v>11687589379.7813</v>
      </c>
      <c r="GF9" s="610">
        <v>1864556818.92198</v>
      </c>
      <c r="GG9" s="610">
        <v>498018847.624415</v>
      </c>
      <c r="GH9" s="610">
        <v>11239698.519804</v>
      </c>
      <c r="GI9" s="610">
        <v>134450.937507936</v>
      </c>
      <c r="GJ9" s="610">
        <v>0.173930237819036</v>
      </c>
      <c r="GK9" s="617">
        <v>14061539195.9589</v>
      </c>
      <c r="GL9" s="614">
        <f ca="1" t="shared" si="109"/>
        <v>0</v>
      </c>
      <c r="GM9" s="614">
        <f ca="1" t="shared" si="110"/>
        <v>0.28786097236827</v>
      </c>
      <c r="GN9" s="614">
        <f ca="1" t="shared" si="111"/>
        <v>3.44313935118266e-16</v>
      </c>
      <c r="GO9" s="614">
        <f ca="1" t="shared" si="112"/>
        <v>2.72272348252585e-16</v>
      </c>
      <c r="GP9" s="614">
        <f ca="1" t="shared" si="113"/>
        <v>3.18229769207058e-17</v>
      </c>
      <c r="GQ9" s="614">
        <f ca="1" t="shared" si="114"/>
        <v>0.038170297820954</v>
      </c>
      <c r="GR9" s="451">
        <f t="shared" si="115"/>
        <v>6.77960857355189e-5</v>
      </c>
      <c r="GS9" s="390">
        <f t="shared" si="116"/>
        <v>10224</v>
      </c>
    </row>
    <row r="10" spans="1:201">
      <c r="A10" s="413"/>
      <c r="B10" s="407" t="s">
        <v>258</v>
      </c>
      <c r="C10" s="418">
        <v>1</v>
      </c>
      <c r="D10" s="410" t="s">
        <v>259</v>
      </c>
      <c r="E10" s="409" t="s">
        <v>257</v>
      </c>
      <c r="G10" s="411" t="s">
        <v>51</v>
      </c>
      <c r="H10" s="412">
        <f ca="1" t="shared" si="1"/>
        <v>0</v>
      </c>
      <c r="I10" s="412">
        <f ca="1" t="shared" si="2"/>
        <v>1527740792.96039</v>
      </c>
      <c r="J10" s="412">
        <f ca="1" t="shared" si="3"/>
        <v>1.06607929282279e-5</v>
      </c>
      <c r="K10" s="412">
        <f ca="1" t="shared" si="4"/>
        <v>1.0929330585949e-5</v>
      </c>
      <c r="L10" s="412">
        <f ca="1" t="shared" si="5"/>
        <v>2.32723420682946e-5</v>
      </c>
      <c r="M10" s="412">
        <f ca="1" t="shared" si="6"/>
        <v>6.27546482722967e-6</v>
      </c>
      <c r="N10" s="412">
        <f ca="1" t="shared" si="7"/>
        <v>1527740792.96044</v>
      </c>
      <c r="O10" s="450">
        <f ca="1" t="shared" si="8"/>
        <v>1527740792.96038</v>
      </c>
      <c r="P10" s="451"/>
      <c r="Q10" s="477" t="str">
        <f t="shared" si="0"/>
        <v>Xe-131m</v>
      </c>
      <c r="R10" s="412">
        <f ca="1" t="shared" si="9"/>
        <v>0</v>
      </c>
      <c r="S10" s="412">
        <f ca="1">I10*(1-过滤效率!$B7)</f>
        <v>1527740792.96039</v>
      </c>
      <c r="T10" s="412">
        <f ca="1">J10*(1-过滤效率!$B7)</f>
        <v>1.06607929282279e-5</v>
      </c>
      <c r="U10" s="412">
        <f ca="1">K10*(1-过滤效率!$B7)</f>
        <v>1.0929330585949e-5</v>
      </c>
      <c r="V10" s="412">
        <f ca="1">L10*(1-过滤效率!$B7)</f>
        <v>2.32723420682946e-5</v>
      </c>
      <c r="W10" s="412">
        <f ca="1">M10*(1-过滤效率!$B7)</f>
        <v>6.27546482722967e-6</v>
      </c>
      <c r="X10" s="412">
        <f ca="1" t="shared" si="10"/>
        <v>1527740792.96044</v>
      </c>
      <c r="Y10" s="493"/>
      <c r="Z10" s="494">
        <f>VLOOKUP(G10,衰变常数!$A$1:$H$3800,7,FALSE)</f>
        <v>6.77579122638209e-7</v>
      </c>
      <c r="AA10" s="495">
        <f>正常源项!C7</f>
        <v>2500000000000000</v>
      </c>
      <c r="AB10" s="496">
        <f>正常源项!F7</f>
        <v>0</v>
      </c>
      <c r="AC10" s="496">
        <f>正常源项!I7</f>
        <v>939000000</v>
      </c>
      <c r="AD10" s="496">
        <f>正常源项!L7</f>
        <v>4820000000</v>
      </c>
      <c r="AE10" s="497"/>
      <c r="AF10" s="498"/>
      <c r="AG10" s="483"/>
      <c r="AH10" s="518"/>
      <c r="AI10" s="483"/>
      <c r="AJ10" s="521"/>
      <c r="AK10" s="521"/>
      <c r="AL10" s="519">
        <f t="shared" si="11"/>
        <v>365750</v>
      </c>
      <c r="AM10" s="520">
        <f t="shared" si="12"/>
        <v>10500000000</v>
      </c>
      <c r="AN10" s="519">
        <f ca="1">MAX(INDIRECT("'"&amp;$B$2&amp;"-事故进程'!Y"&amp;(ROW()+22)),INDIRECT("'"&amp;$B$2&amp;"-事故进程'!Z"&amp;(ROW()+22)),INDIRECT("'"&amp;$B$2&amp;"-事故进程'!AA"&amp;(ROW()+22)))</f>
        <v>6.17197385818139e-12</v>
      </c>
      <c r="AO10" s="519">
        <f ca="1" t="shared" si="13"/>
        <v>1306538695.84441</v>
      </c>
      <c r="AP10" s="560">
        <f t="shared" si="14"/>
        <v>2352100152174650</v>
      </c>
      <c r="AQ10" s="561">
        <f ca="1">(AC10*$C$5+AD10*$C$8+AF10+AG10+AI10+(AL10+AM10)*$C$10)*EXP(-Z10*$C$12*3600)+AO10*$C$11</f>
        <v>12069152264.387</v>
      </c>
      <c r="AR10" s="562">
        <f ca="1">AQ10*(1-AR$3)</f>
        <v>10541411471.4266</v>
      </c>
      <c r="AS10" s="563">
        <f ca="1" t="shared" si="15"/>
        <v>1527740792.96038</v>
      </c>
      <c r="AT10" s="562">
        <f ca="1">AS10*(1-AT$3)</f>
        <v>1527740792.96038</v>
      </c>
      <c r="AU10" s="564">
        <f ca="1" t="shared" si="16"/>
        <v>0</v>
      </c>
      <c r="AV10" s="565">
        <f>AV$3*3600</f>
        <v>7200</v>
      </c>
      <c r="AW10" s="580">
        <f>AP10*EXP(-Z10*AW$3*3600)</f>
        <v>2352100152174650</v>
      </c>
      <c r="AX10" s="580">
        <f ca="1" t="shared" si="17"/>
        <v>10541411471.4266</v>
      </c>
      <c r="AY10" s="581">
        <f ca="1" t="shared" si="18"/>
        <v>1527740792.96038</v>
      </c>
      <c r="AZ10" s="580">
        <v>0</v>
      </c>
      <c r="BA10" s="580">
        <f ca="1">MAX(INDIRECT("'"&amp;$B$2&amp;"-事故进程'!Y"&amp;(ROW()+22)),INDIRECT("'"&amp;$B$2&amp;"-事故进程'!Z"&amp;(ROW()+22)))</f>
        <v>6.04276271361969e-12</v>
      </c>
      <c r="BB10" s="580">
        <f>SUM(BA$3,-LN(1-BB$3)/AV10)</f>
        <v>1.38777878078145e-19</v>
      </c>
      <c r="BC10" s="580">
        <f>BC$3/24/3600</f>
        <v>1157407407407410</v>
      </c>
      <c r="BD10" s="582">
        <f ca="1" t="shared" si="19"/>
        <v>0.99513326791349</v>
      </c>
      <c r="BE10" s="582">
        <f t="shared" si="20"/>
        <v>0.99513331120964</v>
      </c>
      <c r="BF10" s="582">
        <f t="shared" si="21"/>
        <v>0</v>
      </c>
      <c r="BG10" s="582">
        <f ca="1" t="shared" si="22"/>
        <v>14213.2467975069</v>
      </c>
      <c r="BH10" s="582">
        <f ca="1" t="shared" si="23"/>
        <v>1527740792.96038</v>
      </c>
      <c r="BI10" s="582">
        <f ca="1" t="shared" si="24"/>
        <v>-2.29659657084537e-8</v>
      </c>
      <c r="BJ10" s="580">
        <f ca="1" t="shared" si="25"/>
        <v>2340653110893380</v>
      </c>
      <c r="BK10" s="580">
        <f ca="1" t="shared" si="26"/>
        <v>10591946585.5</v>
      </c>
      <c r="BL10" s="586">
        <f ca="1" t="shared" si="27"/>
        <v>1.27001768134427e-24</v>
      </c>
      <c r="BM10" s="594">
        <f ca="1" t="shared" si="28"/>
        <v>1520305754.5</v>
      </c>
      <c r="BN10" s="580">
        <f ca="1" t="shared" si="29"/>
        <v>102085697.514965</v>
      </c>
      <c r="BO10" s="580">
        <f ca="1" t="shared" si="30"/>
        <v>1.05582953206869e-5</v>
      </c>
      <c r="BP10" s="595">
        <f ca="1" t="shared" si="31"/>
        <v>1527740792.96039</v>
      </c>
      <c r="BQ10" s="596">
        <f>BQ$3*3600</f>
        <v>21600</v>
      </c>
      <c r="BR10" s="580">
        <f ca="1" t="shared" ref="BR10:BU10" si="137">BJ10</f>
        <v>2340653110893380</v>
      </c>
      <c r="BS10" s="580">
        <f ca="1" t="shared" si="137"/>
        <v>10591946585.5</v>
      </c>
      <c r="BT10" s="581">
        <f ca="1" t="shared" si="137"/>
        <v>1.27001768134427e-24</v>
      </c>
      <c r="BU10" s="580">
        <f ca="1" t="shared" si="137"/>
        <v>1520305754.5</v>
      </c>
      <c r="BV10" s="580">
        <f ca="1">MAX(INDIRECT("'"&amp;$B$2&amp;"-事故进程'!Z"&amp;(ROW()+22)),INDIRECT("'"&amp;$B$2&amp;"-事故进程'!AA"&amp;(ROW()+22)))</f>
        <v>6.17197385818139e-12</v>
      </c>
      <c r="BW10" s="580">
        <f ca="1">SUM(BV$3,-LN(1-BW$3)/BQ10)</f>
        <v>4.62592926927149e-20</v>
      </c>
      <c r="BX10" s="580">
        <f>BX$3/24/3600</f>
        <v>1157407407407410</v>
      </c>
      <c r="BY10" s="582">
        <f ca="1" t="shared" si="33"/>
        <v>0.98547074096472</v>
      </c>
      <c r="BZ10" s="582">
        <f ca="1" t="shared" si="34"/>
        <v>0.985470872342401</v>
      </c>
      <c r="CA10" s="582">
        <f t="shared" si="35"/>
        <v>0</v>
      </c>
      <c r="CB10" s="582">
        <f ca="1" t="shared" si="36"/>
        <v>14446.5151847218</v>
      </c>
      <c r="CC10" s="582">
        <f ca="1" t="shared" si="37"/>
        <v>8.46678454250685e-25</v>
      </c>
      <c r="CD10" s="582">
        <f ca="1" t="shared" si="38"/>
        <v>-7.49505654145163e-9</v>
      </c>
      <c r="CE10" s="580">
        <f ca="1" t="shared" si="39"/>
        <v>2306645155533480</v>
      </c>
      <c r="CF10" s="580">
        <f ca="1" t="shared" si="40"/>
        <v>10745564419.5</v>
      </c>
      <c r="CG10" s="586">
        <f ca="1" t="shared" si="41"/>
        <v>4.29479029122259e-25</v>
      </c>
      <c r="CH10" s="594">
        <f ca="1" t="shared" si="42"/>
        <v>1498217038.5</v>
      </c>
      <c r="CI10" s="580">
        <f ca="1" t="shared" si="43"/>
        <v>309770907.250416</v>
      </c>
      <c r="CJ10" s="580">
        <f ca="1" t="shared" si="44"/>
        <v>1.06607929278622e-5</v>
      </c>
      <c r="CK10" s="595">
        <f ca="1" t="shared" si="45"/>
        <v>1.06607929282279e-5</v>
      </c>
      <c r="CL10" s="596">
        <f>CL$3*3600</f>
        <v>57600</v>
      </c>
      <c r="CM10" s="580">
        <f ca="1" t="shared" ref="CM10:CP10" si="138">CE10</f>
        <v>2306645155533480</v>
      </c>
      <c r="CN10" s="580">
        <f ca="1" t="shared" si="138"/>
        <v>10745564419.5</v>
      </c>
      <c r="CO10" s="581">
        <f ca="1" t="shared" si="138"/>
        <v>4.29479029122259e-25</v>
      </c>
      <c r="CP10" s="580">
        <f ca="1" t="shared" si="138"/>
        <v>1498217038.5</v>
      </c>
      <c r="CQ10" s="580">
        <f ca="1">MAX(INDIRECT("'"&amp;$B$2&amp;"-事故进程'!AA"&amp;(ROW()+22)),INDIRECT("'"&amp;$B$2&amp;"-事故进程'!AB"&amp;(ROW()+22)))</f>
        <v>6.17197385818139e-12</v>
      </c>
      <c r="CR10" s="580">
        <f ca="1">SUM(CQ$3,-LN(1-CR$3)/CL10)</f>
        <v>1.73472347597681e-20</v>
      </c>
      <c r="CS10" s="580">
        <f>CS$3/24/3600</f>
        <v>1157407407407410</v>
      </c>
      <c r="CT10" s="582">
        <f ca="1" t="shared" si="47"/>
        <v>0.961722902479286</v>
      </c>
      <c r="CU10" s="582">
        <f ca="1" t="shared" si="48"/>
        <v>0.961723244377314</v>
      </c>
      <c r="CV10" s="582">
        <f t="shared" si="49"/>
        <v>0</v>
      </c>
      <c r="CW10" s="582">
        <f ca="1" t="shared" si="50"/>
        <v>14236.6199213959</v>
      </c>
      <c r="CX10" s="582">
        <f ca="1" t="shared" si="51"/>
        <v>2.68424393202115e-25</v>
      </c>
      <c r="CY10" s="582">
        <f ca="1" t="shared" si="52"/>
        <v>-2.81064618987814e-9</v>
      </c>
      <c r="CZ10" s="580">
        <f ca="1" t="shared" si="53"/>
        <v>2218353473969440</v>
      </c>
      <c r="DA10" s="580">
        <f ca="1" t="shared" si="54"/>
        <v>11122896507.5</v>
      </c>
      <c r="DB10" s="586">
        <f ca="1" t="shared" si="55"/>
        <v>1.66710093348732e-25</v>
      </c>
      <c r="DC10" s="594">
        <f ca="1" t="shared" si="56"/>
        <v>1440870151.75</v>
      </c>
      <c r="DD10" s="580">
        <f ca="1" t="shared" si="57"/>
        <v>804229304.9174</v>
      </c>
      <c r="DE10" s="580">
        <f ca="1" t="shared" si="58"/>
        <v>1.09293305858418e-5</v>
      </c>
      <c r="DF10" s="595">
        <f ca="1" t="shared" si="59"/>
        <v>1.0929330585949e-5</v>
      </c>
      <c r="DG10" s="596">
        <f>DG$3*3600</f>
        <v>86400</v>
      </c>
      <c r="DH10" s="580">
        <f ca="1" t="shared" ref="DH10:DK10" si="139">CZ10</f>
        <v>2218353473969440</v>
      </c>
      <c r="DI10" s="580">
        <f ca="1" t="shared" si="139"/>
        <v>11122896507.5</v>
      </c>
      <c r="DJ10" s="581">
        <f ca="1" t="shared" si="139"/>
        <v>1.66710093348732e-25</v>
      </c>
      <c r="DK10" s="580">
        <f ca="1" t="shared" si="139"/>
        <v>1440870151.75</v>
      </c>
      <c r="DL10" s="580">
        <f ca="1">MAX(INDIRECT("'"&amp;$B$2&amp;"-事故进程'!AB"&amp;(ROW()+22)),INDIRECT("'"&amp;$B$2&amp;"-事故进程'!AC"&amp;(ROW()+22)))</f>
        <v>6.03475369993438e-12</v>
      </c>
      <c r="DM10" s="580">
        <f ca="1">SUM(DL$3,-LN(1-DM$3)/DG10)</f>
        <v>1.15648231731787e-20</v>
      </c>
      <c r="DN10" s="580">
        <f>DN$3/24/3600</f>
        <v>1157407407407410</v>
      </c>
      <c r="DO10" s="582">
        <f ca="1" t="shared" si="61"/>
        <v>0.943137347342572</v>
      </c>
      <c r="DP10" s="582">
        <f ca="1" t="shared" si="62"/>
        <v>0.943137839097078</v>
      </c>
      <c r="DQ10" s="582">
        <f t="shared" si="63"/>
        <v>0</v>
      </c>
      <c r="DR10" s="582">
        <f ca="1" t="shared" si="64"/>
        <v>13387.2839587401</v>
      </c>
      <c r="DS10" s="582">
        <f ca="1" t="shared" si="65"/>
        <v>5.55700311203891e-26</v>
      </c>
      <c r="DT10" s="582">
        <f ca="1" t="shared" si="66"/>
        <v>-1.91637037240923e-9</v>
      </c>
      <c r="DU10" s="580">
        <f ca="1" t="shared" si="67"/>
        <v>2092212010907720</v>
      </c>
      <c r="DV10" s="580">
        <f ca="1" t="shared" si="68"/>
        <v>11581309893.25</v>
      </c>
      <c r="DW10" s="586">
        <f ca="1" t="shared" si="69"/>
        <v>1.15720532091296e-25</v>
      </c>
      <c r="DX10" s="594">
        <f ca="1" t="shared" si="70"/>
        <v>1358939161.75</v>
      </c>
      <c r="DY10" s="580">
        <f ca="1" t="shared" si="71"/>
        <v>1123449433.06745</v>
      </c>
      <c r="DZ10" s="580">
        <f ca="1" t="shared" si="72"/>
        <v>1.13507397613201e-5</v>
      </c>
      <c r="EA10" s="595">
        <f ca="1" t="shared" si="73"/>
        <v>1.13507397614193e-5</v>
      </c>
      <c r="EB10" s="596">
        <f>EB$3*3600</f>
        <v>172800</v>
      </c>
      <c r="EC10" s="580">
        <f ca="1" t="shared" ref="EC10:EF10" si="140">DU10</f>
        <v>2092212010907720</v>
      </c>
      <c r="ED10" s="580">
        <f ca="1" t="shared" si="140"/>
        <v>11581309893.25</v>
      </c>
      <c r="EE10" s="581">
        <f ca="1" t="shared" si="140"/>
        <v>1.15720532091296e-25</v>
      </c>
      <c r="EF10" s="580">
        <f ca="1" t="shared" si="140"/>
        <v>1358939161.75</v>
      </c>
      <c r="EG10" s="580">
        <f ca="1">MAX(INDIRECT("'"&amp;$B$2&amp;"-事故进程'!AC"&amp;(ROW()+22)),INDIRECT("'"&amp;$B$2&amp;"-事故进程'!AD"&amp;(ROW()+22)),INDIRECT("'"&amp;$B$2&amp;"-事故进程'!AE"&amp;(ROW()+22)))</f>
        <v>5.99151849636631e-12</v>
      </c>
      <c r="EH10" s="580">
        <f ca="1">SUM(EG$3,-LN(1-EH$3)/EB10)</f>
        <v>5.78241158658936e-21</v>
      </c>
      <c r="EI10" s="580">
        <f>EI$3/24/3600</f>
        <v>1157407407407410</v>
      </c>
      <c r="EJ10" s="582">
        <f ca="1" t="shared" si="75"/>
        <v>0.889508062597937</v>
      </c>
      <c r="EK10" s="582">
        <f ca="1" t="shared" si="76"/>
        <v>0.889508983536706</v>
      </c>
      <c r="EL10" s="582">
        <f t="shared" si="77"/>
        <v>0</v>
      </c>
      <c r="EM10" s="582">
        <f ca="1" t="shared" si="78"/>
        <v>12535.5963513057</v>
      </c>
      <c r="EN10" s="582">
        <f ca="1" t="shared" si="79"/>
        <v>5.78602660466718e-26</v>
      </c>
      <c r="EO10" s="582">
        <f ca="1" t="shared" si="80"/>
        <v>-9.65099514534893e-10</v>
      </c>
      <c r="EP10" s="580">
        <f ca="1" t="shared" si="81"/>
        <v>1861039452366660</v>
      </c>
      <c r="EQ10" s="580">
        <f ca="1" t="shared" si="82"/>
        <v>12228478346.25</v>
      </c>
      <c r="ER10" s="586">
        <f ca="1" t="shared" si="83"/>
        <v>6.10935219720093e-26</v>
      </c>
      <c r="ES10" s="594">
        <f ca="1" t="shared" si="84"/>
        <v>1208788592.5</v>
      </c>
      <c r="ET10" s="580">
        <f ca="1" t="shared" si="85"/>
        <v>2044133838.55826</v>
      </c>
      <c r="EU10" s="580">
        <f ca="1" t="shared" si="86"/>
        <v>1.19216023069126e-5</v>
      </c>
      <c r="EV10" s="595">
        <f ca="1" t="shared" si="87"/>
        <v>1.19216023068753e-5</v>
      </c>
      <c r="EW10" s="596">
        <f>EW$3*3600</f>
        <v>2246400</v>
      </c>
      <c r="EX10" s="580">
        <f ca="1" t="shared" ref="EX10:FA10" si="141">EP10</f>
        <v>1861039452366660</v>
      </c>
      <c r="EY10" s="580">
        <f ca="1" t="shared" si="141"/>
        <v>12228478346.25</v>
      </c>
      <c r="EZ10" s="581">
        <f ca="1" t="shared" si="141"/>
        <v>6.10935219720093e-26</v>
      </c>
      <c r="FA10" s="580">
        <f ca="1" t="shared" si="141"/>
        <v>1208788592.5</v>
      </c>
      <c r="FB10" s="580">
        <f ca="1">INDIRECT("'"&amp;$B$2&amp;"-事故进程'!AE"&amp;(ROW()+22))</f>
        <v>0</v>
      </c>
      <c r="FC10" s="580">
        <f ca="1">SUM(FB$3,-LN(1-FC$3)/EW10)</f>
        <v>4.44800891276105e-22</v>
      </c>
      <c r="FD10" s="580">
        <f>FD$3/24/3600</f>
        <v>1157407407407410</v>
      </c>
      <c r="FE10" s="582">
        <f ca="1" t="shared" si="89"/>
        <v>0.218250074896419</v>
      </c>
      <c r="FF10" s="582">
        <f ca="1" t="shared" si="90"/>
        <v>0.218250074896418</v>
      </c>
      <c r="FG10" s="582">
        <f t="shared" si="91"/>
        <v>0</v>
      </c>
      <c r="FH10" s="582">
        <f ca="1" t="shared" si="92"/>
        <v>-5.43923806736255e-12</v>
      </c>
      <c r="FI10" s="582">
        <f ca="1" t="shared" si="93"/>
        <v>5.63940202818081e-26</v>
      </c>
      <c r="FJ10" s="582">
        <f ca="1" t="shared" si="94"/>
        <v>1</v>
      </c>
      <c r="FK10" s="580">
        <f ca="1" t="shared" si="95"/>
        <v>406171999864213</v>
      </c>
      <c r="FL10" s="580">
        <f ca="1" t="shared" si="96"/>
        <v>2668866314.93829</v>
      </c>
      <c r="FM10" s="586">
        <f ca="1" t="shared" si="97"/>
        <v>1.02566659586227e-27</v>
      </c>
      <c r="FN10" s="594">
        <f ca="1" t="shared" si="98"/>
        <v>263818200.874207</v>
      </c>
      <c r="FO10" s="580">
        <f ca="1" t="shared" si="99"/>
        <v>0</v>
      </c>
      <c r="FP10" s="580">
        <f ca="1" t="shared" si="100"/>
        <v>6.27546482722967e-6</v>
      </c>
      <c r="FQ10" s="595">
        <f ca="1" t="shared" si="101"/>
        <v>6.27546482722967e-6</v>
      </c>
      <c r="FR10" s="608" t="str">
        <f t="shared" si="102"/>
        <v>Xe-131m</v>
      </c>
      <c r="FS10" s="609">
        <v>9800000000</v>
      </c>
      <c r="FT10" s="610">
        <v>104000000</v>
      </c>
      <c r="FU10" s="610">
        <v>286000000</v>
      </c>
      <c r="FV10" s="610">
        <v>610000000</v>
      </c>
      <c r="FW10" s="610">
        <v>10800000000</v>
      </c>
      <c r="FX10" s="614">
        <f ca="1" t="shared" si="103"/>
        <v>0</v>
      </c>
      <c r="FY10" s="614">
        <f ca="1" t="shared" si="104"/>
        <v>14.689815316927</v>
      </c>
      <c r="FZ10" s="614">
        <f ca="1" t="shared" si="105"/>
        <v>3.82144426082131e-14</v>
      </c>
      <c r="GA10" s="614">
        <f ca="1" t="shared" si="106"/>
        <v>3.81513804398272e-14</v>
      </c>
      <c r="GB10" s="614">
        <f ca="1" t="shared" si="107"/>
        <v>0.14145748082967</v>
      </c>
      <c r="GC10" s="455">
        <f ca="1" t="shared" si="108"/>
        <v>0.141457480829671</v>
      </c>
      <c r="GE10" s="609">
        <v>2024356782.18726</v>
      </c>
      <c r="GF10" s="610">
        <v>273034723.611479</v>
      </c>
      <c r="GG10" s="610">
        <v>538690477.382458</v>
      </c>
      <c r="GH10" s="610">
        <v>727048222.446165</v>
      </c>
      <c r="GI10" s="610">
        <v>1218894388.7323</v>
      </c>
      <c r="GJ10" s="610">
        <v>3483403943.35905</v>
      </c>
      <c r="GK10" s="617">
        <v>8265428537.71871</v>
      </c>
      <c r="GL10" s="614">
        <f ca="1" t="shared" si="109"/>
        <v>0</v>
      </c>
      <c r="GM10" s="614">
        <f ca="1" t="shared" si="110"/>
        <v>5.59540842553908</v>
      </c>
      <c r="GN10" s="614">
        <f ca="1" t="shared" si="111"/>
        <v>2.028870203731e-14</v>
      </c>
      <c r="GO10" s="614">
        <f ca="1" t="shared" si="112"/>
        <v>1.1959418502173e-14</v>
      </c>
      <c r="GP10" s="614">
        <f ca="1" t="shared" si="113"/>
        <v>1.80153233138337e-15</v>
      </c>
      <c r="GQ10" s="614">
        <f ca="1" t="shared" si="114"/>
        <v>0.184835037407765</v>
      </c>
      <c r="GR10" s="451">
        <f t="shared" si="115"/>
        <v>6.77579122638209e-7</v>
      </c>
      <c r="GS10" s="390">
        <f t="shared" si="116"/>
        <v>1022976</v>
      </c>
    </row>
    <row r="11" s="388" customFormat="1" spans="1:201">
      <c r="A11" s="419"/>
      <c r="B11" s="407" t="s">
        <v>260</v>
      </c>
      <c r="C11" s="420">
        <v>1</v>
      </c>
      <c r="D11" s="410" t="s">
        <v>259</v>
      </c>
      <c r="E11" s="410"/>
      <c r="G11" s="411" t="s">
        <v>52</v>
      </c>
      <c r="H11" s="412">
        <f ca="1" t="shared" si="1"/>
        <v>0</v>
      </c>
      <c r="I11" s="412">
        <f ca="1" t="shared" si="2"/>
        <v>278477337500.807</v>
      </c>
      <c r="J11" s="412">
        <f ca="1" t="shared" si="3"/>
        <v>0.00193235719563282</v>
      </c>
      <c r="K11" s="412">
        <f ca="1" t="shared" si="4"/>
        <v>0.00195314284314303</v>
      </c>
      <c r="L11" s="412">
        <f ca="1" t="shared" si="5"/>
        <v>0.00389123351745004</v>
      </c>
      <c r="M11" s="412">
        <f ca="1" t="shared" si="6"/>
        <v>0.000527752350906687</v>
      </c>
      <c r="N11" s="412">
        <f ca="1" t="shared" si="7"/>
        <v>278477337500.815</v>
      </c>
      <c r="O11" s="450">
        <f ca="1" t="shared" si="8"/>
        <v>278477337500.805</v>
      </c>
      <c r="P11" s="451"/>
      <c r="Q11" s="477" t="str">
        <f t="shared" si="0"/>
        <v>Xe-133</v>
      </c>
      <c r="R11" s="412">
        <f ca="1" t="shared" si="9"/>
        <v>0</v>
      </c>
      <c r="S11" s="412">
        <f ca="1">I11*(1-过滤效率!$B8)</f>
        <v>278477337500.807</v>
      </c>
      <c r="T11" s="412">
        <f ca="1">J11*(1-过滤效率!$B8)</f>
        <v>0.00193235719563282</v>
      </c>
      <c r="U11" s="412">
        <f ca="1">K11*(1-过滤效率!$B8)</f>
        <v>0.00195314284314303</v>
      </c>
      <c r="V11" s="412">
        <f ca="1">L11*(1-过滤效率!$B8)</f>
        <v>0.00389123351745004</v>
      </c>
      <c r="W11" s="412">
        <f ca="1">M11*(1-过滤效率!$B8)</f>
        <v>0.000527752350906687</v>
      </c>
      <c r="X11" s="412">
        <f ca="1" t="shared" si="10"/>
        <v>278477337500.815</v>
      </c>
      <c r="Y11" s="493"/>
      <c r="Z11" s="494">
        <f>VLOOKUP(G11,衰变常数!$A$1:$H$3800,7,FALSE)</f>
        <v>1.53014243983147e-6</v>
      </c>
      <c r="AA11" s="495">
        <f>正常源项!C8</f>
        <v>4.58e+17</v>
      </c>
      <c r="AB11" s="496">
        <f>正常源项!F8</f>
        <v>0</v>
      </c>
      <c r="AC11" s="496">
        <f>正常源项!I8</f>
        <v>216000000000</v>
      </c>
      <c r="AD11" s="496">
        <f>正常源项!L8</f>
        <v>492000000000</v>
      </c>
      <c r="AE11" s="497"/>
      <c r="AF11" s="498"/>
      <c r="AG11" s="483"/>
      <c r="AH11" s="518"/>
      <c r="AI11" s="483"/>
      <c r="AJ11" s="521"/>
      <c r="AK11" s="521"/>
      <c r="AL11" s="519">
        <f t="shared" si="11"/>
        <v>67005400</v>
      </c>
      <c r="AM11" s="520">
        <f t="shared" si="12"/>
        <v>1923600000000</v>
      </c>
      <c r="AN11" s="519">
        <f ca="1">MAX(INDIRECT("'"&amp;$B$2&amp;"-事故进程'!Y"&amp;(ROW()+22)),INDIRECT("'"&amp;$B$2&amp;"-事故进程'!Z"&amp;(ROW()+22)),INDIRECT("'"&amp;$B$2&amp;"-事故进程'!AA"&amp;(ROW()+22)))</f>
        <v>9.34305830532889e-12</v>
      </c>
      <c r="AO11" s="519">
        <f ca="1" t="shared" si="13"/>
        <v>335574495801.794</v>
      </c>
      <c r="AP11" s="560">
        <f t="shared" si="14"/>
        <v>3.99077791690563e+17</v>
      </c>
      <c r="AQ11" s="561">
        <f ca="1">(AC11*$C$5+AD11*$C$8+AF11+AG11+AI11+(AL11+AM11)*$C$10)*EXP(-Z11*$C$12*3600)+AO11*$C$11</f>
        <v>2199970966256.36</v>
      </c>
      <c r="AR11" s="562">
        <f ca="1">AQ11*(1-AR$3)</f>
        <v>1921493628755.56</v>
      </c>
      <c r="AS11" s="563">
        <f ca="1" t="shared" si="15"/>
        <v>278477337500.805</v>
      </c>
      <c r="AT11" s="562">
        <f ca="1">AS11*(1-AT$3)</f>
        <v>278477337500.805</v>
      </c>
      <c r="AU11" s="564">
        <f ca="1" t="shared" si="16"/>
        <v>0</v>
      </c>
      <c r="AV11" s="565">
        <f>AV$3*3600</f>
        <v>7200</v>
      </c>
      <c r="AW11" s="580">
        <f>AP11*EXP(-Z11*AW$3*3600)</f>
        <v>3.99077791690563e+17</v>
      </c>
      <c r="AX11" s="580">
        <f ca="1" t="shared" si="17"/>
        <v>1921493628755.56</v>
      </c>
      <c r="AY11" s="581">
        <f ca="1" t="shared" si="18"/>
        <v>278477337500.805</v>
      </c>
      <c r="AZ11" s="580">
        <v>0</v>
      </c>
      <c r="BA11" s="580">
        <f ca="1">MAX(INDIRECT("'"&amp;$B$2&amp;"-事故进程'!Y"&amp;(ROW()+22)),INDIRECT("'"&amp;$B$2&amp;"-事故进程'!Z"&amp;(ROW()+22)))</f>
        <v>9.14491405557229e-12</v>
      </c>
      <c r="BB11" s="580">
        <f>SUM(BA$3,-LN(1-BB$3)/AV11)</f>
        <v>1.38777878078145e-19</v>
      </c>
      <c r="BC11" s="580">
        <f>BC$3/24/3600</f>
        <v>1157407407407410</v>
      </c>
      <c r="BD11" s="582">
        <f ca="1" t="shared" si="19"/>
        <v>0.989043374484923</v>
      </c>
      <c r="BE11" s="582">
        <f t="shared" si="20"/>
        <v>0.989043439606884</v>
      </c>
      <c r="BF11" s="582">
        <f t="shared" si="21"/>
        <v>0</v>
      </c>
      <c r="BG11" s="582">
        <f ca="1" t="shared" si="22"/>
        <v>3649549.67839161</v>
      </c>
      <c r="BH11" s="582">
        <f ca="1" t="shared" si="23"/>
        <v>278477337500.805</v>
      </c>
      <c r="BI11" s="582">
        <f ca="1" t="shared" si="24"/>
        <v>-1.51754165584088e-8</v>
      </c>
      <c r="BJ11" s="580">
        <f ca="1" t="shared" si="25"/>
        <v>3.94705245775626e+17</v>
      </c>
      <c r="BK11" s="580">
        <f ca="1" t="shared" si="26"/>
        <v>1926429396608</v>
      </c>
      <c r="BL11" s="586">
        <f ca="1" t="shared" si="27"/>
        <v>2.3098675730927e-22</v>
      </c>
      <c r="BM11" s="594">
        <f ca="1" t="shared" si="28"/>
        <v>275426183616</v>
      </c>
      <c r="BN11" s="580">
        <f ca="1" t="shared" si="29"/>
        <v>26132415242.2431</v>
      </c>
      <c r="BO11" s="580">
        <f ca="1" t="shared" si="30"/>
        <v>0.00192245223478434</v>
      </c>
      <c r="BP11" s="595">
        <f ca="1" t="shared" si="31"/>
        <v>278477337500.807</v>
      </c>
      <c r="BQ11" s="596">
        <f>BQ$3*3600</f>
        <v>21600</v>
      </c>
      <c r="BR11" s="580">
        <f ca="1" t="shared" ref="BR11:BU11" si="142">BJ11</f>
        <v>3.94705245775626e+17</v>
      </c>
      <c r="BS11" s="580">
        <f ca="1" t="shared" si="142"/>
        <v>1926429396608</v>
      </c>
      <c r="BT11" s="581">
        <f ca="1" t="shared" si="142"/>
        <v>2.3098675730927e-22</v>
      </c>
      <c r="BU11" s="580">
        <f ca="1" t="shared" si="142"/>
        <v>275426183616</v>
      </c>
      <c r="BV11" s="580">
        <f ca="1">MAX(INDIRECT("'"&amp;$B$2&amp;"-事故进程'!Z"&amp;(ROW()+22)),INDIRECT("'"&amp;$B$2&amp;"-事故进程'!AA"&amp;(ROW()+22)))</f>
        <v>9.34305830532889e-12</v>
      </c>
      <c r="BW11" s="580">
        <f ca="1">SUM(BV$3,-LN(1-BW$3)/BQ11)</f>
        <v>4.62592926927149e-20</v>
      </c>
      <c r="BX11" s="580">
        <f>BX$3/24/3600</f>
        <v>1157407407407410</v>
      </c>
      <c r="BY11" s="582">
        <f ca="1" t="shared" si="33"/>
        <v>0.967488946924966</v>
      </c>
      <c r="BZ11" s="582">
        <f ca="1" t="shared" si="34"/>
        <v>0.967489142173986</v>
      </c>
      <c r="CA11" s="582">
        <f t="shared" si="35"/>
        <v>0</v>
      </c>
      <c r="CB11" s="582">
        <f ca="1" t="shared" si="36"/>
        <v>3687772.12344293</v>
      </c>
      <c r="CC11" s="582">
        <f ca="1" t="shared" si="37"/>
        <v>1.53991171537828e-22</v>
      </c>
      <c r="CD11" s="582">
        <f ca="1" t="shared" si="38"/>
        <v>-4.95119386072644e-9</v>
      </c>
      <c r="CE11" s="580">
        <f ca="1" t="shared" si="39"/>
        <v>3.8187296258122e+17</v>
      </c>
      <c r="CF11" s="580">
        <f ca="1" t="shared" si="40"/>
        <v>1940865337344</v>
      </c>
      <c r="CG11" s="586">
        <f ca="1" t="shared" si="41"/>
        <v>7.75725618696909e-23</v>
      </c>
      <c r="CH11" s="594">
        <f ca="1" t="shared" si="42"/>
        <v>266471842176</v>
      </c>
      <c r="CI11" s="580">
        <f ca="1" t="shared" si="43"/>
        <v>78353514609.7737</v>
      </c>
      <c r="CJ11" s="580">
        <f ca="1" t="shared" si="44"/>
        <v>0.00193235719562154</v>
      </c>
      <c r="CK11" s="595">
        <f ca="1" t="shared" si="45"/>
        <v>0.00193235719563282</v>
      </c>
      <c r="CL11" s="596">
        <f>CL$3*3600</f>
        <v>57600</v>
      </c>
      <c r="CM11" s="580">
        <f ca="1" t="shared" ref="CM11:CP11" si="143">CE11</f>
        <v>3.8187296258122e+17</v>
      </c>
      <c r="CN11" s="580">
        <f ca="1" t="shared" si="143"/>
        <v>1940865337344</v>
      </c>
      <c r="CO11" s="581">
        <f ca="1" t="shared" si="143"/>
        <v>7.75725618696909e-23</v>
      </c>
      <c r="CP11" s="580">
        <f ca="1" t="shared" si="143"/>
        <v>266471842176</v>
      </c>
      <c r="CQ11" s="580">
        <f ca="1">MAX(INDIRECT("'"&amp;$B$2&amp;"-事故进程'!AA"&amp;(ROW()+22)),INDIRECT("'"&amp;$B$2&amp;"-事故进程'!AB"&amp;(ROW()+22)))</f>
        <v>9.34305830532889e-12</v>
      </c>
      <c r="CR11" s="580">
        <f ca="1">SUM(CQ$3,-LN(1-CR$3)/CL11)</f>
        <v>1.73472347597681e-20</v>
      </c>
      <c r="CS11" s="580">
        <f>CS$3/24/3600</f>
        <v>1157407407407410</v>
      </c>
      <c r="CT11" s="582">
        <f ca="1" t="shared" si="47"/>
        <v>0.915635661674886</v>
      </c>
      <c r="CU11" s="582">
        <f ca="1" t="shared" si="48"/>
        <v>0.915636154433651</v>
      </c>
      <c r="CV11" s="582">
        <f t="shared" si="49"/>
        <v>0</v>
      </c>
      <c r="CW11" s="582">
        <f ca="1" t="shared" si="50"/>
        <v>3567879.48824299</v>
      </c>
      <c r="CX11" s="582">
        <f ca="1" t="shared" si="51"/>
        <v>4.84828511692725e-23</v>
      </c>
      <c r="CY11" s="582">
        <f ca="1" t="shared" si="52"/>
        <v>-1.85669769202687e-9</v>
      </c>
      <c r="CZ11" s="580">
        <f ca="1" t="shared" si="53"/>
        <v>3.49656502768804e+17</v>
      </c>
      <c r="DA11" s="580">
        <f ca="1" t="shared" si="54"/>
        <v>1965297723264</v>
      </c>
      <c r="DB11" s="586">
        <f ca="1" t="shared" si="55"/>
        <v>2.94559035654361e-23</v>
      </c>
      <c r="DC11" s="594">
        <f ca="1" t="shared" si="56"/>
        <v>243991252800</v>
      </c>
      <c r="DD11" s="580">
        <f ca="1" t="shared" si="57"/>
        <v>196712682875.308</v>
      </c>
      <c r="DE11" s="580">
        <f ca="1" t="shared" si="58"/>
        <v>0.00195314284313058</v>
      </c>
      <c r="DF11" s="595">
        <f ca="1" t="shared" si="59"/>
        <v>0.00195314284314303</v>
      </c>
      <c r="DG11" s="596">
        <f>DG$3*3600</f>
        <v>86400</v>
      </c>
      <c r="DH11" s="580">
        <f ca="1" t="shared" ref="DH11:DK11" si="144">CZ11</f>
        <v>3.49656502768804e+17</v>
      </c>
      <c r="DI11" s="580">
        <f ca="1" t="shared" si="144"/>
        <v>1965297723264</v>
      </c>
      <c r="DJ11" s="581">
        <f ca="1" t="shared" si="144"/>
        <v>2.94559035654361e-23</v>
      </c>
      <c r="DK11" s="580">
        <f ca="1" t="shared" si="144"/>
        <v>243991252800</v>
      </c>
      <c r="DL11" s="580">
        <f ca="1">MAX(INDIRECT("'"&amp;$B$2&amp;"-事故进程'!AB"&amp;(ROW()+22)),INDIRECT("'"&amp;$B$2&amp;"-事故进程'!AC"&amp;(ROW()+22)))</f>
        <v>9.1321710500346e-12</v>
      </c>
      <c r="DM11" s="580">
        <f ca="1">SUM(DL$3,-LN(1-DM$3)/DG11)</f>
        <v>1.15648231731787e-20</v>
      </c>
      <c r="DN11" s="580">
        <f>DN$3/24/3600</f>
        <v>1157407407407410</v>
      </c>
      <c r="DO11" s="582">
        <f ca="1" t="shared" si="61"/>
        <v>0.876161279633569</v>
      </c>
      <c r="DP11" s="582">
        <f ca="1" t="shared" si="62"/>
        <v>0.876161970942245</v>
      </c>
      <c r="DQ11" s="582">
        <f t="shared" si="63"/>
        <v>0</v>
      </c>
      <c r="DR11" s="582">
        <f ca="1" t="shared" si="64"/>
        <v>3193140.93947657</v>
      </c>
      <c r="DS11" s="582">
        <f ca="1" t="shared" si="65"/>
        <v>9.81863452193627e-24</v>
      </c>
      <c r="DT11" s="582">
        <f ca="1" t="shared" si="66"/>
        <v>-1.26638267334912e-9</v>
      </c>
      <c r="DU11" s="580">
        <f ca="1" t="shared" si="67"/>
        <v>3.06355488898114e+17</v>
      </c>
      <c r="DV11" s="580">
        <f ca="1" t="shared" si="68"/>
        <v>1963639700800</v>
      </c>
      <c r="DW11" s="586">
        <f ca="1" t="shared" si="69"/>
        <v>1.96207020710921e-23</v>
      </c>
      <c r="DX11" s="594">
        <f ca="1" t="shared" si="70"/>
        <v>213775857024</v>
      </c>
      <c r="DY11" s="580">
        <f ca="1" t="shared" si="71"/>
        <v>258426859497.035</v>
      </c>
      <c r="DZ11" s="580">
        <f ca="1" t="shared" si="72"/>
        <v>0.00196572266136155</v>
      </c>
      <c r="EA11" s="595">
        <f ca="1" t="shared" si="73"/>
        <v>0.00196572266138462</v>
      </c>
      <c r="EB11" s="596">
        <f>EB$3*3600</f>
        <v>172800</v>
      </c>
      <c r="EC11" s="580">
        <f ca="1" t="shared" ref="EC11:EF11" si="145">DU11</f>
        <v>3.06355488898114e+17</v>
      </c>
      <c r="ED11" s="580">
        <f ca="1" t="shared" si="145"/>
        <v>1963639700800</v>
      </c>
      <c r="EE11" s="581">
        <f ca="1" t="shared" si="145"/>
        <v>1.96207020710921e-23</v>
      </c>
      <c r="EF11" s="580">
        <f ca="1" t="shared" si="145"/>
        <v>213775857024</v>
      </c>
      <c r="EG11" s="580">
        <f ca="1">MAX(INDIRECT("'"&amp;$B$2&amp;"-事故进程'!AC"&amp;(ROW()+22)),INDIRECT("'"&amp;$B$2&amp;"-事故进程'!AD"&amp;(ROW()+22)),INDIRECT("'"&amp;$B$2&amp;"-事故进程'!AE"&amp;(ROW()+22)))</f>
        <v>9.06535149146176e-12</v>
      </c>
      <c r="EH11" s="580">
        <f ca="1">SUM(EG$3,-LN(1-EH$3)/EB11)</f>
        <v>5.78241158658936e-21</v>
      </c>
      <c r="EI11" s="580">
        <f>EI$3/24/3600</f>
        <v>1157407407407410</v>
      </c>
      <c r="EJ11" s="582">
        <f ca="1" t="shared" si="75"/>
        <v>0.767658596792842</v>
      </c>
      <c r="EK11" s="582">
        <f ca="1" t="shared" si="76"/>
        <v>0.7676597993254</v>
      </c>
      <c r="EL11" s="582">
        <f t="shared" si="77"/>
        <v>0</v>
      </c>
      <c r="EM11" s="582">
        <f ca="1" t="shared" si="78"/>
        <v>2777237.9892841</v>
      </c>
      <c r="EN11" s="582">
        <f ca="1" t="shared" si="79"/>
        <v>9.81035103555916e-24</v>
      </c>
      <c r="EO11" s="582">
        <f ca="1" t="shared" si="80"/>
        <v>-6.37858509482385e-10</v>
      </c>
      <c r="EP11" s="580">
        <f ca="1" t="shared" si="81"/>
        <v>2.35176424727312e+17</v>
      </c>
      <c r="EQ11" s="580">
        <f ca="1" t="shared" si="82"/>
        <v>1875809708672</v>
      </c>
      <c r="ER11" s="586">
        <f ca="1" t="shared" si="83"/>
        <v>9.37155207755918e-24</v>
      </c>
      <c r="ES11" s="594">
        <f ca="1" t="shared" si="84"/>
        <v>164107131488</v>
      </c>
      <c r="ET11" s="580">
        <f ca="1" t="shared" si="85"/>
        <v>421698918934.491</v>
      </c>
      <c r="EU11" s="580">
        <f ca="1" t="shared" si="86"/>
        <v>0.00192551085606156</v>
      </c>
      <c r="EV11" s="595">
        <f ca="1" t="shared" si="87"/>
        <v>0.00192551085606542</v>
      </c>
      <c r="EW11" s="596">
        <f>EW$3*3600</f>
        <v>2246400</v>
      </c>
      <c r="EX11" s="580">
        <f ca="1" t="shared" ref="EX11:FA11" si="146">EP11</f>
        <v>2.35176424727312e+17</v>
      </c>
      <c r="EY11" s="580">
        <f ca="1" t="shared" si="146"/>
        <v>1875809708672</v>
      </c>
      <c r="EZ11" s="581">
        <f ca="1" t="shared" si="146"/>
        <v>9.37155207755918e-24</v>
      </c>
      <c r="FA11" s="580">
        <f ca="1" t="shared" si="146"/>
        <v>164107131488</v>
      </c>
      <c r="FB11" s="580">
        <f ca="1">INDIRECT("'"&amp;$B$2&amp;"-事故进程'!AE"&amp;(ROW()+22))</f>
        <v>0</v>
      </c>
      <c r="FC11" s="580">
        <f ca="1">SUM(FB$3,-LN(1-FC$3)/EW11)</f>
        <v>4.44800891276105e-22</v>
      </c>
      <c r="FD11" s="580">
        <f>FD$3/24/3600</f>
        <v>1157407407407410</v>
      </c>
      <c r="FE11" s="582">
        <f ca="1" t="shared" si="89"/>
        <v>0.0321509918897747</v>
      </c>
      <c r="FF11" s="582">
        <f ca="1" t="shared" si="90"/>
        <v>0.0321509918897747</v>
      </c>
      <c r="FG11" s="582">
        <f t="shared" si="91"/>
        <v>0</v>
      </c>
      <c r="FH11" s="582">
        <f ca="1" t="shared" si="92"/>
        <v>-8.34361830281676e-10</v>
      </c>
      <c r="FI11" s="582">
        <f ca="1" t="shared" si="93"/>
        <v>8.65066345619582e-24</v>
      </c>
      <c r="FJ11" s="582">
        <f ca="1" t="shared" si="94"/>
        <v>1</v>
      </c>
      <c r="FK11" s="580">
        <f ca="1" t="shared" si="95"/>
        <v>7561155324074010</v>
      </c>
      <c r="FL11" s="580">
        <f ca="1" t="shared" si="96"/>
        <v>60309142730.2741</v>
      </c>
      <c r="FM11" s="586">
        <f ca="1" t="shared" si="97"/>
        <v>2.31772842188845e-26</v>
      </c>
      <c r="FN11" s="594">
        <f ca="1" t="shared" si="98"/>
        <v>5276207053.72588</v>
      </c>
      <c r="FO11" s="580">
        <f ca="1" t="shared" si="99"/>
        <v>0</v>
      </c>
      <c r="FP11" s="580">
        <f ca="1" t="shared" si="100"/>
        <v>0.000527752350906687</v>
      </c>
      <c r="FQ11" s="595">
        <f ca="1" t="shared" si="101"/>
        <v>0.000527752350906687</v>
      </c>
      <c r="FR11" s="608" t="str">
        <f t="shared" si="102"/>
        <v>Xe-133</v>
      </c>
      <c r="FS11" s="609">
        <v>1110000000000</v>
      </c>
      <c r="FT11" s="610">
        <v>28400000000</v>
      </c>
      <c r="FU11" s="610">
        <v>75500000000</v>
      </c>
      <c r="FV11" s="610">
        <v>147000000000</v>
      </c>
      <c r="FW11" s="610">
        <v>1360000000000</v>
      </c>
      <c r="FX11" s="614">
        <f ca="1" t="shared" si="103"/>
        <v>0</v>
      </c>
      <c r="FY11" s="614">
        <f ca="1" t="shared" si="104"/>
        <v>9.80554005284539</v>
      </c>
      <c r="FZ11" s="614">
        <f ca="1" t="shared" si="105"/>
        <v>2.58694416310335e-14</v>
      </c>
      <c r="GA11" s="614">
        <f ca="1" t="shared" si="106"/>
        <v>2.64709763091839e-14</v>
      </c>
      <c r="GB11" s="614">
        <f ca="1" t="shared" si="107"/>
        <v>0.204762748162364</v>
      </c>
      <c r="GC11" s="455">
        <f ca="1" t="shared" si="108"/>
        <v>0.204762748162364</v>
      </c>
      <c r="GE11" s="609">
        <v>231785832414.554</v>
      </c>
      <c r="GF11" s="610">
        <v>32478017879.142</v>
      </c>
      <c r="GG11" s="610">
        <v>66666694493.7492</v>
      </c>
      <c r="GH11" s="610">
        <v>87000966144.7478</v>
      </c>
      <c r="GI11" s="610">
        <v>138678552968.198</v>
      </c>
      <c r="GJ11" s="610">
        <v>255389809757.068</v>
      </c>
      <c r="GK11" s="617">
        <v>811999873657.459</v>
      </c>
      <c r="GL11" s="614">
        <f ca="1" t="shared" si="109"/>
        <v>0</v>
      </c>
      <c r="GM11" s="614">
        <f ca="1" t="shared" si="110"/>
        <v>8.57433290840241</v>
      </c>
      <c r="GN11" s="614">
        <f ca="1" t="shared" si="111"/>
        <v>2.92971304183404e-14</v>
      </c>
      <c r="GO11" s="614">
        <f ca="1" t="shared" si="112"/>
        <v>1.72422979840833e-14</v>
      </c>
      <c r="GP11" s="614">
        <f ca="1" t="shared" si="113"/>
        <v>2.06645813867317e-15</v>
      </c>
      <c r="GQ11" s="614">
        <f ca="1" t="shared" si="114"/>
        <v>0.34295243944618</v>
      </c>
      <c r="GR11" s="451">
        <f t="shared" si="115"/>
        <v>1.53014243983147e-6</v>
      </c>
      <c r="GS11" s="390">
        <f t="shared" si="116"/>
        <v>452995.2</v>
      </c>
    </row>
    <row r="12" spans="1:201">
      <c r="A12" s="421" t="s">
        <v>160</v>
      </c>
      <c r="B12" s="407" t="s">
        <v>261</v>
      </c>
      <c r="C12" s="422">
        <v>25</v>
      </c>
      <c r="D12" s="410" t="s">
        <v>262</v>
      </c>
      <c r="E12" s="410"/>
      <c r="G12" s="411" t="s">
        <v>53</v>
      </c>
      <c r="H12" s="412">
        <f ca="1" t="shared" si="1"/>
        <v>0</v>
      </c>
      <c r="I12" s="412">
        <f ca="1" t="shared" si="2"/>
        <v>7234311774.63135</v>
      </c>
      <c r="J12" s="412">
        <f ca="1" t="shared" si="3"/>
        <v>4.89907416630929e-5</v>
      </c>
      <c r="K12" s="412">
        <f ca="1" t="shared" si="4"/>
        <v>4.67726388707061e-5</v>
      </c>
      <c r="L12" s="412">
        <f ca="1" t="shared" si="5"/>
        <v>7.49628016215715e-5</v>
      </c>
      <c r="M12" s="412">
        <f ca="1" t="shared" si="6"/>
        <v>3.30514246925539e-6</v>
      </c>
      <c r="N12" s="412">
        <f ca="1" t="shared" si="7"/>
        <v>7234311774.63153</v>
      </c>
      <c r="O12" s="450">
        <f ca="1" t="shared" si="8"/>
        <v>7234311774.6313</v>
      </c>
      <c r="P12" s="451"/>
      <c r="Q12" s="477" t="str">
        <f t="shared" si="0"/>
        <v>Xe-133m</v>
      </c>
      <c r="R12" s="412">
        <f ca="1" t="shared" si="9"/>
        <v>0</v>
      </c>
      <c r="S12" s="412">
        <f ca="1">I12*(1-过滤效率!$B9)</f>
        <v>7234311774.63135</v>
      </c>
      <c r="T12" s="412">
        <f ca="1">J12*(1-过滤效率!$B9)</f>
        <v>4.89907416630929e-5</v>
      </c>
      <c r="U12" s="412">
        <f ca="1">K12*(1-过滤效率!$B9)</f>
        <v>4.67726388707061e-5</v>
      </c>
      <c r="V12" s="412">
        <f ca="1">L12*(1-过滤效率!$B9)</f>
        <v>7.49628016215715e-5</v>
      </c>
      <c r="W12" s="412">
        <f ca="1">M12*(1-过滤效率!$B9)</f>
        <v>3.30514246925539e-6</v>
      </c>
      <c r="X12" s="412">
        <f ca="1" t="shared" si="10"/>
        <v>7234311774.63153</v>
      </c>
      <c r="Y12" s="493"/>
      <c r="Z12" s="494">
        <f>VLOOKUP(G12,衰变常数!$A$1:$H$3800,7,FALSE)</f>
        <v>3.66325881828146e-6</v>
      </c>
      <c r="AA12" s="495">
        <f>正常源项!C9</f>
        <v>1.32e+16</v>
      </c>
      <c r="AB12" s="496">
        <f>正常源项!F9</f>
        <v>0</v>
      </c>
      <c r="AC12" s="496">
        <f>正常源项!I9</f>
        <v>6770000000</v>
      </c>
      <c r="AD12" s="496">
        <f>正常源项!L9</f>
        <v>6490000000</v>
      </c>
      <c r="AE12" s="497"/>
      <c r="AF12" s="498"/>
      <c r="AG12" s="483"/>
      <c r="AH12" s="518"/>
      <c r="AI12" s="483"/>
      <c r="AJ12" s="521"/>
      <c r="AK12" s="521"/>
      <c r="AL12" s="519">
        <f t="shared" si="11"/>
        <v>1931160</v>
      </c>
      <c r="AM12" s="520">
        <f t="shared" si="12"/>
        <v>55440000000</v>
      </c>
      <c r="AN12" s="519">
        <f ca="1">MAX(INDIRECT("'"&amp;$B$2&amp;"-事故进程'!Y"&amp;(ROW()+22)),INDIRECT("'"&amp;$B$2&amp;"-事故进程'!Z"&amp;(ROW()+22)),INDIRECT("'"&amp;$B$2&amp;"-事故进程'!AA"&amp;(ROW()+22)))</f>
        <v>1.4527785616369e-11</v>
      </c>
      <c r="AO12" s="519">
        <f ca="1" t="shared" si="13"/>
        <v>12411709466.0647</v>
      </c>
      <c r="AP12" s="560">
        <f t="shared" si="14"/>
        <v>9492704307597600</v>
      </c>
      <c r="AQ12" s="561">
        <f ca="1">(AC12*$C$5+AD12*$C$8+AF12+AG12+AI12+(AL12+AM12)*$C$10)*EXP(-Z12*$C$12*3600)+AO12*$C$11</f>
        <v>57151063019.5873</v>
      </c>
      <c r="AR12" s="562">
        <f ca="1">AQ12*(1-AR$3)</f>
        <v>49916751244.956</v>
      </c>
      <c r="AS12" s="563">
        <f ca="1" t="shared" si="15"/>
        <v>7234311774.6313</v>
      </c>
      <c r="AT12" s="562">
        <f ca="1">AS12*(1-AT$3)</f>
        <v>7234311774.6313</v>
      </c>
      <c r="AU12" s="564">
        <f ca="1" t="shared" si="16"/>
        <v>0</v>
      </c>
      <c r="AV12" s="565">
        <f>AV$3*3600</f>
        <v>7200</v>
      </c>
      <c r="AW12" s="580">
        <f>AP12*EXP(-Z12*AW$3*3600)</f>
        <v>9492704307597600</v>
      </c>
      <c r="AX12" s="580">
        <f ca="1" t="shared" si="17"/>
        <v>49916751244.956</v>
      </c>
      <c r="AY12" s="581">
        <f ca="1" t="shared" si="18"/>
        <v>7234311774.6313</v>
      </c>
      <c r="AZ12" s="580">
        <v>0</v>
      </c>
      <c r="BA12" s="580">
        <f ca="1">MAX(INDIRECT("'"&amp;$B$2&amp;"-事故进程'!Y"&amp;(ROW()+22)),INDIRECT("'"&amp;$B$2&amp;"-事故进程'!Z"&amp;(ROW()+22)))</f>
        <v>1.42169352087719e-11</v>
      </c>
      <c r="BB12" s="580">
        <f>SUM(BA$3,-LN(1-BB$3)/AV12)</f>
        <v>1.38777878078145e-19</v>
      </c>
      <c r="BC12" s="580">
        <f>BC$3/24/3600</f>
        <v>1157407407407410</v>
      </c>
      <c r="BD12" s="582">
        <f ca="1" t="shared" si="19"/>
        <v>0.973969231325407</v>
      </c>
      <c r="BE12" s="582">
        <f t="shared" si="20"/>
        <v>0.973969331022784</v>
      </c>
      <c r="BF12" s="582">
        <f t="shared" si="21"/>
        <v>0</v>
      </c>
      <c r="BG12" s="582">
        <f ca="1" t="shared" si="22"/>
        <v>134957.871760357</v>
      </c>
      <c r="BH12" s="582">
        <f ca="1" t="shared" si="23"/>
        <v>7234311774.6313</v>
      </c>
      <c r="BI12" s="582">
        <f ca="1" t="shared" si="24"/>
        <v>-9.76144839903264e-9</v>
      </c>
      <c r="BJ12" s="580">
        <f ca="1" t="shared" si="25"/>
        <v>9245601917670210</v>
      </c>
      <c r="BK12" s="580">
        <f ca="1" t="shared" si="26"/>
        <v>49563782554</v>
      </c>
      <c r="BL12" s="586">
        <f ca="1" t="shared" si="27"/>
        <v>5.94290007858488e-24</v>
      </c>
      <c r="BM12" s="594">
        <f ca="1" t="shared" si="28"/>
        <v>7045997798</v>
      </c>
      <c r="BN12" s="580">
        <f ca="1" t="shared" si="29"/>
        <v>958989033.511289</v>
      </c>
      <c r="BO12" s="580">
        <f ca="1" t="shared" si="30"/>
        <v>4.9701841501404e-5</v>
      </c>
      <c r="BP12" s="595">
        <f ca="1" t="shared" si="31"/>
        <v>7234311774.63135</v>
      </c>
      <c r="BQ12" s="596">
        <f>BQ$3*3600</f>
        <v>21600</v>
      </c>
      <c r="BR12" s="580">
        <f ca="1" t="shared" ref="BR12:BU12" si="147">BJ12</f>
        <v>9245601917670210</v>
      </c>
      <c r="BS12" s="580">
        <f ca="1" t="shared" si="147"/>
        <v>49563782554</v>
      </c>
      <c r="BT12" s="581">
        <f ca="1" t="shared" si="147"/>
        <v>5.94290007858488e-24</v>
      </c>
      <c r="BU12" s="580">
        <f ca="1" t="shared" si="147"/>
        <v>7045997798</v>
      </c>
      <c r="BV12" s="580">
        <f ca="1">MAX(INDIRECT("'"&amp;$B$2&amp;"-事故进程'!Z"&amp;(ROW()+22)),INDIRECT("'"&amp;$B$2&amp;"-事故进程'!AA"&amp;(ROW()+22)))</f>
        <v>1.4527785616369e-11</v>
      </c>
      <c r="BW12" s="580">
        <f ca="1">SUM(BV$3,-LN(1-BW$3)/BQ12)</f>
        <v>4.62592926927149e-20</v>
      </c>
      <c r="BX12" s="580">
        <f>BX$3/24/3600</f>
        <v>1157407407407410</v>
      </c>
      <c r="BY12" s="582">
        <f ca="1" t="shared" si="33"/>
        <v>0.923922852053287</v>
      </c>
      <c r="BZ12" s="582">
        <f ca="1" t="shared" si="34"/>
        <v>0.923923141980479</v>
      </c>
      <c r="CA12" s="582">
        <f t="shared" si="35"/>
        <v>0</v>
      </c>
      <c r="CB12" s="582">
        <f ca="1" t="shared" si="36"/>
        <v>134318.842606208</v>
      </c>
      <c r="CC12" s="582">
        <f ca="1" t="shared" si="37"/>
        <v>3.96193338574213e-24</v>
      </c>
      <c r="CD12" s="582">
        <f ca="1" t="shared" si="38"/>
        <v>-3.18419434740909e-9</v>
      </c>
      <c r="CE12" s="580">
        <f ca="1" t="shared" si="39"/>
        <v>8542222892723200</v>
      </c>
      <c r="CF12" s="580">
        <f ca="1" t="shared" si="40"/>
        <v>48473677116</v>
      </c>
      <c r="CG12" s="586">
        <f ca="1" t="shared" si="41"/>
        <v>1.93739732717582e-24</v>
      </c>
      <c r="CH12" s="594">
        <f ca="1" t="shared" si="42"/>
        <v>6509960424</v>
      </c>
      <c r="CI12" s="580">
        <f ca="1" t="shared" si="43"/>
        <v>2789455963.59922</v>
      </c>
      <c r="CJ12" s="580">
        <f ca="1" t="shared" si="44"/>
        <v>4.89907416626202e-5</v>
      </c>
      <c r="CK12" s="595">
        <f ca="1" t="shared" si="45"/>
        <v>4.89907416630929e-5</v>
      </c>
      <c r="CL12" s="596">
        <f>CL$3*3600</f>
        <v>57600</v>
      </c>
      <c r="CM12" s="580">
        <f ca="1" t="shared" ref="CM12:CP12" si="148">CE12</f>
        <v>8542222892723200</v>
      </c>
      <c r="CN12" s="580">
        <f ca="1" t="shared" si="148"/>
        <v>48473677116</v>
      </c>
      <c r="CO12" s="581">
        <f ca="1" t="shared" si="148"/>
        <v>1.93739732717582e-24</v>
      </c>
      <c r="CP12" s="580">
        <f ca="1" t="shared" si="148"/>
        <v>6509960424</v>
      </c>
      <c r="CQ12" s="580">
        <f ca="1">MAX(INDIRECT("'"&amp;$B$2&amp;"-事故进程'!AA"&amp;(ROW()+22)),INDIRECT("'"&amp;$B$2&amp;"-事故进程'!AB"&amp;(ROW()+22)))</f>
        <v>1.4527785616369e-11</v>
      </c>
      <c r="CR12" s="580">
        <f ca="1">SUM(CQ$3,-LN(1-CR$3)/CL12)</f>
        <v>1.73472347597681e-20</v>
      </c>
      <c r="CS12" s="580">
        <f>CS$3/24/3600</f>
        <v>1157407407407410</v>
      </c>
      <c r="CT12" s="582">
        <f ca="1" t="shared" si="47"/>
        <v>0.809770386682339</v>
      </c>
      <c r="CU12" s="582">
        <f ca="1" t="shared" si="48"/>
        <v>0.809771064298847</v>
      </c>
      <c r="CV12" s="582">
        <f t="shared" si="49"/>
        <v>0</v>
      </c>
      <c r="CW12" s="582">
        <f ca="1" t="shared" si="50"/>
        <v>124100.287087911</v>
      </c>
      <c r="CX12" s="582">
        <f ca="1" t="shared" si="51"/>
        <v>1.21087332947303e-24</v>
      </c>
      <c r="CY12" s="582">
        <f ca="1" t="shared" si="52"/>
        <v>-1.19407287790206e-9</v>
      </c>
      <c r="CZ12" s="580">
        <f ca="1" t="shared" si="53"/>
        <v>6917239134967200</v>
      </c>
      <c r="DA12" s="580">
        <f ca="1" t="shared" si="54"/>
        <v>45040932363</v>
      </c>
      <c r="DB12" s="586">
        <f ca="1" t="shared" si="55"/>
        <v>6.75073982130938e-25</v>
      </c>
      <c r="DC12" s="594">
        <f ca="1" t="shared" si="56"/>
        <v>5271577580</v>
      </c>
      <c r="DD12" s="580">
        <f ca="1" t="shared" si="57"/>
        <v>6444350020.48267</v>
      </c>
      <c r="DE12" s="580">
        <f ca="1" t="shared" si="58"/>
        <v>4.67726388708813e-5</v>
      </c>
      <c r="DF12" s="595">
        <f ca="1" t="shared" si="59"/>
        <v>4.67726388707061e-5</v>
      </c>
      <c r="DG12" s="596">
        <f>DG$3*3600</f>
        <v>86400</v>
      </c>
      <c r="DH12" s="580">
        <f ca="1" t="shared" ref="DH12:DK12" si="149">CZ12</f>
        <v>6917239134967200</v>
      </c>
      <c r="DI12" s="580">
        <f ca="1" t="shared" si="149"/>
        <v>45040932363</v>
      </c>
      <c r="DJ12" s="581">
        <f ca="1" t="shared" si="149"/>
        <v>6.75073982130938e-25</v>
      </c>
      <c r="DK12" s="580">
        <f ca="1" t="shared" si="149"/>
        <v>5271577580</v>
      </c>
      <c r="DL12" s="580">
        <f ca="1">MAX(INDIRECT("'"&amp;$B$2&amp;"-事故进程'!AB"&amp;(ROW()+22)),INDIRECT("'"&amp;$B$2&amp;"-事故进程'!AC"&amp;(ROW()+22)))</f>
        <v>1.41964520135616e-11</v>
      </c>
      <c r="DM12" s="580">
        <f ca="1">SUM(DL$3,-LN(1-DM$3)/DG12)</f>
        <v>1.15648231731787e-20</v>
      </c>
      <c r="DN12" s="580">
        <f>DN$3/24/3600</f>
        <v>1157407407407410</v>
      </c>
      <c r="DO12" s="582">
        <f ca="1" t="shared" si="61"/>
        <v>0.728690064850184</v>
      </c>
      <c r="DP12" s="582">
        <f ca="1" t="shared" si="62"/>
        <v>0.728690958642621</v>
      </c>
      <c r="DQ12" s="582">
        <f t="shared" si="63"/>
        <v>0</v>
      </c>
      <c r="DR12" s="582">
        <f ca="1" t="shared" si="64"/>
        <v>98200.8928673265</v>
      </c>
      <c r="DS12" s="582">
        <f ca="1" t="shared" si="65"/>
        <v>2.25024660691055e-25</v>
      </c>
      <c r="DT12" s="582">
        <f ca="1" t="shared" si="66"/>
        <v>-8.14627709201715e-10</v>
      </c>
      <c r="DU12" s="580">
        <f ca="1" t="shared" si="67"/>
        <v>5040523433843480</v>
      </c>
      <c r="DV12" s="580">
        <f ca="1" t="shared" si="68"/>
        <v>39003496211</v>
      </c>
      <c r="DW12" s="586">
        <f ca="1" t="shared" si="69"/>
        <v>3.8972321581255e-25</v>
      </c>
      <c r="DX12" s="594">
        <f ca="1" t="shared" si="70"/>
        <v>3841350921</v>
      </c>
      <c r="DY12" s="580">
        <f ca="1" t="shared" si="71"/>
        <v>7272923499.54401</v>
      </c>
      <c r="DZ12" s="580">
        <f ca="1" t="shared" si="72"/>
        <v>4.20204968773464e-5</v>
      </c>
      <c r="EA12" s="595">
        <f ca="1" t="shared" si="73"/>
        <v>4.20204968771098e-5</v>
      </c>
      <c r="EB12" s="596">
        <f>EB$3*3600</f>
        <v>172800</v>
      </c>
      <c r="EC12" s="580">
        <f ca="1" t="shared" ref="EC12:EF12" si="150">DU12</f>
        <v>5040523433843480</v>
      </c>
      <c r="ED12" s="580">
        <f ca="1" t="shared" si="150"/>
        <v>39003496211</v>
      </c>
      <c r="EE12" s="581">
        <f ca="1" t="shared" si="150"/>
        <v>3.8972321581255e-25</v>
      </c>
      <c r="EF12" s="580">
        <f ca="1" t="shared" si="150"/>
        <v>3841350921</v>
      </c>
      <c r="EG12" s="580">
        <f ca="1">MAX(INDIRECT("'"&amp;$B$2&amp;"-事故进程'!AC"&amp;(ROW()+22)),INDIRECT("'"&amp;$B$2&amp;"-事故进程'!AD"&amp;(ROW()+22)),INDIRECT("'"&amp;$B$2&amp;"-事故进程'!AE"&amp;(ROW()+22)))</f>
        <v>1.40910717668601e-11</v>
      </c>
      <c r="EH12" s="580">
        <f ca="1">SUM(EG$3,-LN(1-EH$3)/EB12)</f>
        <v>5.78241158658936e-21</v>
      </c>
      <c r="EI12" s="580">
        <f>EI$3/24/3600</f>
        <v>1157407407407410</v>
      </c>
      <c r="EJ12" s="582">
        <f ca="1" t="shared" si="75"/>
        <v>0.530989220280523</v>
      </c>
      <c r="EK12" s="582">
        <f ca="1" t="shared" si="76"/>
        <v>0.530990513207502</v>
      </c>
      <c r="EL12" s="582">
        <f t="shared" si="77"/>
        <v>0</v>
      </c>
      <c r="EM12" s="582">
        <f ca="1" t="shared" si="78"/>
        <v>71026.9270498924</v>
      </c>
      <c r="EN12" s="582">
        <f ca="1" t="shared" si="79"/>
        <v>1.94861607908055e-25</v>
      </c>
      <c r="EO12" s="582">
        <f ca="1" t="shared" si="80"/>
        <v>-4.10359955909212e-10</v>
      </c>
      <c r="EP12" s="580">
        <f ca="1" t="shared" si="81"/>
        <v>2676463607942250</v>
      </c>
      <c r="EQ12" s="580">
        <f ca="1" t="shared" si="82"/>
        <v>27227515210.5</v>
      </c>
      <c r="ER12" s="586">
        <f ca="1" t="shared" si="83"/>
        <v>1.36028764311848e-25</v>
      </c>
      <c r="ES12" s="594">
        <f ca="1" t="shared" si="84"/>
        <v>2039720897.5</v>
      </c>
      <c r="ET12" s="580">
        <f ca="1" t="shared" si="85"/>
        <v>9093544896.11485</v>
      </c>
      <c r="EU12" s="580">
        <f ca="1" t="shared" si="86"/>
        <v>3.29423047448382e-5</v>
      </c>
      <c r="EV12" s="595">
        <f ca="1" t="shared" si="87"/>
        <v>3.29423047444617e-5</v>
      </c>
      <c r="EW12" s="596">
        <f>EW$3*3600</f>
        <v>2246400</v>
      </c>
      <c r="EX12" s="580">
        <f ca="1" t="shared" ref="EX12:FA12" si="151">EP12</f>
        <v>2676463607942250</v>
      </c>
      <c r="EY12" s="580">
        <f ca="1" t="shared" si="151"/>
        <v>27227515210.5</v>
      </c>
      <c r="EZ12" s="581">
        <f ca="1" t="shared" si="151"/>
        <v>1.36028764311848e-25</v>
      </c>
      <c r="FA12" s="580">
        <f ca="1" t="shared" si="151"/>
        <v>2039720897.5</v>
      </c>
      <c r="FB12" s="580">
        <f ca="1">INDIRECT("'"&amp;$B$2&amp;"-事故进程'!AE"&amp;(ROW()+22))</f>
        <v>0</v>
      </c>
      <c r="FC12" s="580">
        <f ca="1">SUM(FB$3,-LN(1-FC$3)/EW12)</f>
        <v>4.44800891276105e-22</v>
      </c>
      <c r="FD12" s="580">
        <f>FD$3/24/3600</f>
        <v>1157407407407410</v>
      </c>
      <c r="FE12" s="582">
        <f ca="1" t="shared" si="89"/>
        <v>0.00026676442046662</v>
      </c>
      <c r="FF12" s="582">
        <f ca="1" t="shared" si="90"/>
        <v>0.00026676442046662</v>
      </c>
      <c r="FG12" s="582">
        <f t="shared" si="91"/>
        <v>0</v>
      </c>
      <c r="FH12" s="582">
        <f ca="1" t="shared" si="92"/>
        <v>-1.21108230328641e-11</v>
      </c>
      <c r="FI12" s="582">
        <f ca="1" t="shared" si="93"/>
        <v>1.25565013211454e-25</v>
      </c>
      <c r="FJ12" s="582">
        <f ca="1" t="shared" si="94"/>
        <v>1</v>
      </c>
      <c r="FK12" s="580">
        <f ca="1" t="shared" si="95"/>
        <v>713985263272.714</v>
      </c>
      <c r="FL12" s="580">
        <f ca="1" t="shared" si="96"/>
        <v>7263332.31587511</v>
      </c>
      <c r="FM12" s="586">
        <f ca="1" t="shared" si="97"/>
        <v>2.79135649820371e-30</v>
      </c>
      <c r="FN12" s="594">
        <f ca="1" t="shared" si="98"/>
        <v>544124.963177628</v>
      </c>
      <c r="FO12" s="580">
        <f ca="1" t="shared" si="99"/>
        <v>0</v>
      </c>
      <c r="FP12" s="580">
        <f ca="1" t="shared" si="100"/>
        <v>3.30514246925539e-6</v>
      </c>
      <c r="FQ12" s="595">
        <f ca="1" t="shared" si="101"/>
        <v>3.30514246925539e-6</v>
      </c>
      <c r="FR12" s="608" t="str">
        <f t="shared" si="102"/>
        <v>Xe-133m</v>
      </c>
      <c r="FS12" s="609">
        <v>21400000000</v>
      </c>
      <c r="FT12" s="610">
        <v>1460000000</v>
      </c>
      <c r="FU12" s="610">
        <v>3100000000</v>
      </c>
      <c r="FV12" s="610">
        <v>4820000000</v>
      </c>
      <c r="FW12" s="610">
        <v>30800000000</v>
      </c>
      <c r="FX12" s="614">
        <f ca="1" t="shared" si="103"/>
        <v>0</v>
      </c>
      <c r="FY12" s="614">
        <f ca="1" t="shared" si="104"/>
        <v>4.95500806481603</v>
      </c>
      <c r="FZ12" s="614">
        <f ca="1" t="shared" si="105"/>
        <v>1.50879480228084e-14</v>
      </c>
      <c r="GA12" s="614">
        <f ca="1" t="shared" si="106"/>
        <v>1.55524484692057e-14</v>
      </c>
      <c r="GB12" s="614">
        <f ca="1" t="shared" si="107"/>
        <v>0.234880252423101</v>
      </c>
      <c r="GC12" s="455">
        <f ca="1" t="shared" si="108"/>
        <v>0.234880252423101</v>
      </c>
      <c r="GE12" s="609">
        <v>4481787365.1772</v>
      </c>
      <c r="GF12" s="610">
        <v>693942732.394665</v>
      </c>
      <c r="GG12" s="610">
        <v>1481088686.07537</v>
      </c>
      <c r="GH12" s="610">
        <v>1721788221.19917</v>
      </c>
      <c r="GI12" s="610">
        <v>2286593237.45021</v>
      </c>
      <c r="GJ12" s="610">
        <v>1860976198.88386</v>
      </c>
      <c r="GK12" s="617">
        <v>12526176441.1805</v>
      </c>
      <c r="GL12" s="614">
        <f ca="1" t="shared" si="109"/>
        <v>0</v>
      </c>
      <c r="GM12" s="614">
        <f ca="1" t="shared" si="110"/>
        <v>10.4249406138561</v>
      </c>
      <c r="GN12" s="614">
        <f ca="1" t="shared" si="111"/>
        <v>3.15799042356103e-14</v>
      </c>
      <c r="GO12" s="614">
        <f ca="1" t="shared" si="112"/>
        <v>1.87015139140051e-14</v>
      </c>
      <c r="GP12" s="614">
        <f ca="1" t="shared" si="113"/>
        <v>1.77602619057551e-15</v>
      </c>
      <c r="GQ12" s="614">
        <f ca="1" t="shared" si="114"/>
        <v>0.577535516013356</v>
      </c>
      <c r="GR12" s="451">
        <f t="shared" si="115"/>
        <v>3.66325881828146e-6</v>
      </c>
      <c r="GS12" s="390">
        <f t="shared" si="116"/>
        <v>189216</v>
      </c>
    </row>
    <row r="13" spans="2:201">
      <c r="B13" s="407" t="s">
        <v>263</v>
      </c>
      <c r="C13" s="423">
        <v>26</v>
      </c>
      <c r="D13" s="424" t="s">
        <v>262</v>
      </c>
      <c r="E13" s="424"/>
      <c r="G13" s="411" t="s">
        <v>54</v>
      </c>
      <c r="H13" s="412">
        <f ca="1" t="shared" si="1"/>
        <v>0</v>
      </c>
      <c r="I13" s="412">
        <f ca="1" t="shared" si="2"/>
        <v>15523868360.2709</v>
      </c>
      <c r="J13" s="412">
        <f ca="1" t="shared" si="3"/>
        <v>8.04228996383608e-5</v>
      </c>
      <c r="K13" s="412">
        <f ca="1" t="shared" si="4"/>
        <v>4.28829093453567e-5</v>
      </c>
      <c r="L13" s="412">
        <f ca="1" t="shared" si="5"/>
        <v>1.43872228436237e-5</v>
      </c>
      <c r="M13" s="412">
        <f ca="1" t="shared" si="6"/>
        <v>4.29609239629186e-9</v>
      </c>
      <c r="N13" s="412">
        <f ca="1" t="shared" si="7"/>
        <v>15523868360.2711</v>
      </c>
      <c r="O13" s="450">
        <f ca="1" t="shared" si="8"/>
        <v>15523868360.2708</v>
      </c>
      <c r="P13" s="451"/>
      <c r="Q13" s="477" t="str">
        <f t="shared" si="0"/>
        <v>Xe-135</v>
      </c>
      <c r="R13" s="412">
        <f ca="1" t="shared" si="9"/>
        <v>0</v>
      </c>
      <c r="S13" s="412">
        <f ca="1">I13*(1-过滤效率!$B10)</f>
        <v>15523868360.2709</v>
      </c>
      <c r="T13" s="412">
        <f ca="1">J13*(1-过滤效率!$B10)</f>
        <v>8.04228996383608e-5</v>
      </c>
      <c r="U13" s="412">
        <f ca="1">K13*(1-过滤效率!$B10)</f>
        <v>4.28829093453567e-5</v>
      </c>
      <c r="V13" s="412">
        <f ca="1">L13*(1-过滤效率!$B10)</f>
        <v>1.43872228436237e-5</v>
      </c>
      <c r="W13" s="412">
        <f ca="1">M13*(1-过滤效率!$B10)</f>
        <v>4.29609239629186e-9</v>
      </c>
      <c r="X13" s="412">
        <f ca="1" t="shared" si="10"/>
        <v>15523868360.2711</v>
      </c>
      <c r="Y13" s="493"/>
      <c r="Z13" s="494">
        <f>VLOOKUP(G13,衰变常数!$A$1:$H$3800,7,FALSE)</f>
        <v>2.10657421760255e-5</v>
      </c>
      <c r="AA13" s="495">
        <f>正常源项!C10</f>
        <v>1.06e+17</v>
      </c>
      <c r="AB13" s="496">
        <f>正常源项!F10</f>
        <v>0</v>
      </c>
      <c r="AC13" s="496">
        <f>正常源项!I10</f>
        <v>37900000000</v>
      </c>
      <c r="AD13" s="496">
        <f>正常源项!L10</f>
        <v>6490000000</v>
      </c>
      <c r="AE13" s="497"/>
      <c r="AF13" s="498"/>
      <c r="AG13" s="483"/>
      <c r="AH13" s="518"/>
      <c r="AI13" s="483"/>
      <c r="AJ13" s="521"/>
      <c r="AK13" s="521"/>
      <c r="AL13" s="519">
        <f t="shared" si="11"/>
        <v>15507800</v>
      </c>
      <c r="AM13" s="520">
        <f t="shared" si="12"/>
        <v>445200000000</v>
      </c>
      <c r="AN13" s="519">
        <f ca="1">MAX(INDIRECT("'"&amp;$B$2&amp;"-事故进程'!Y"&amp;(ROW()+22)),INDIRECT("'"&amp;$B$2&amp;"-事故进程'!Z"&amp;(ROW()+22)),INDIRECT("'"&amp;$B$2&amp;"-事故进程'!AA"&amp;(ROW()+22)))</f>
        <v>3.49572634056203e-11</v>
      </c>
      <c r="AO13" s="519">
        <f ca="1" t="shared" si="13"/>
        <v>50083989508.0651</v>
      </c>
      <c r="AP13" s="560">
        <f t="shared" si="14"/>
        <v>1.5919142219338e+16</v>
      </c>
      <c r="AQ13" s="561">
        <f ca="1">(AC13*$C$5+AD13*$C$8+AF13+AG13+AI13+(AL13+AM13)*$C$10)*EXP(-Z13*$C$12*3600)+AO13*$C$11</f>
        <v>122638560046.14</v>
      </c>
      <c r="AR13" s="562">
        <f ca="1">AQ13*(1-AR$3)</f>
        <v>107114691685.869</v>
      </c>
      <c r="AS13" s="563">
        <f ca="1" t="shared" si="15"/>
        <v>15523868360.2708</v>
      </c>
      <c r="AT13" s="562">
        <f ca="1">AS13*(1-AT$3)</f>
        <v>15523868360.2708</v>
      </c>
      <c r="AU13" s="564">
        <f ca="1" t="shared" si="16"/>
        <v>0</v>
      </c>
      <c r="AV13" s="565">
        <f>AV$3*3600</f>
        <v>7200</v>
      </c>
      <c r="AW13" s="580">
        <f>AP13*EXP(-Z13*AW$3*3600)</f>
        <v>1.5919142219338e+16</v>
      </c>
      <c r="AX13" s="580">
        <f ca="1" t="shared" si="17"/>
        <v>107114691685.869</v>
      </c>
      <c r="AY13" s="581">
        <f ca="1" t="shared" si="18"/>
        <v>15523868360.2708</v>
      </c>
      <c r="AZ13" s="580">
        <v>0</v>
      </c>
      <c r="BA13" s="580">
        <f ca="1">MAX(INDIRECT("'"&amp;$B$2&amp;"-事故进程'!Y"&amp;(ROW()+22)),INDIRECT("'"&amp;$B$2&amp;"-事故进程'!Z"&amp;(ROW()+22)))</f>
        <v>3.42023095104613e-11</v>
      </c>
      <c r="BB13" s="580">
        <f>SUM(BA$3,-LN(1-BB$3)/AV13)</f>
        <v>1.38777878078145e-19</v>
      </c>
      <c r="BC13" s="580">
        <f>BC$3/24/3600</f>
        <v>1157407407407410</v>
      </c>
      <c r="BD13" s="582">
        <f ca="1" t="shared" si="19"/>
        <v>0.859268708935917</v>
      </c>
      <c r="BE13" s="582">
        <f t="shared" si="20"/>
        <v>0.859268920536558</v>
      </c>
      <c r="BF13" s="582">
        <f t="shared" si="21"/>
        <v>0</v>
      </c>
      <c r="BG13" s="582">
        <f ca="1" t="shared" si="22"/>
        <v>544475.092896675</v>
      </c>
      <c r="BH13" s="582">
        <f ca="1" t="shared" si="23"/>
        <v>15523868360.2708</v>
      </c>
      <c r="BI13" s="582">
        <f ca="1" t="shared" si="24"/>
        <v>-4.05755870371258e-9</v>
      </c>
      <c r="BJ13" s="580">
        <f ca="1" t="shared" si="25"/>
        <v>1.36788207821778e+16</v>
      </c>
      <c r="BK13" s="580">
        <f ca="1" t="shared" si="26"/>
        <v>95408826202</v>
      </c>
      <c r="BL13" s="586">
        <f ca="1" t="shared" si="27"/>
        <v>1.14399081646853e-23</v>
      </c>
      <c r="BM13" s="594">
        <f ca="1" t="shared" si="28"/>
        <v>13339177606</v>
      </c>
      <c r="BN13" s="580">
        <f ca="1" t="shared" si="29"/>
        <v>3637376843.86881</v>
      </c>
      <c r="BO13" s="580">
        <f ca="1" t="shared" si="30"/>
        <v>0.000101078926892481</v>
      </c>
      <c r="BP13" s="595">
        <f ca="1" t="shared" si="31"/>
        <v>15523868360.2709</v>
      </c>
      <c r="BQ13" s="596">
        <f>BQ$3*3600</f>
        <v>21600</v>
      </c>
      <c r="BR13" s="580">
        <f ca="1" t="shared" ref="BR13:BU13" si="152">BJ13</f>
        <v>1.36788207821778e+16</v>
      </c>
      <c r="BS13" s="580">
        <f ca="1" t="shared" si="152"/>
        <v>95408826202</v>
      </c>
      <c r="BT13" s="581">
        <f ca="1" t="shared" si="152"/>
        <v>1.14399081646853e-23</v>
      </c>
      <c r="BU13" s="580">
        <f ca="1" t="shared" si="152"/>
        <v>13339177606</v>
      </c>
      <c r="BV13" s="580">
        <f ca="1">MAX(INDIRECT("'"&amp;$B$2&amp;"-事故进程'!Z"&amp;(ROW()+22)),INDIRECT("'"&amp;$B$2&amp;"-事故进程'!AA"&amp;(ROW()+22)))</f>
        <v>3.49572634056203e-11</v>
      </c>
      <c r="BW13" s="580">
        <f ca="1">SUM(BV$3,-LN(1-BW$3)/BQ13)</f>
        <v>4.62592926927149e-20</v>
      </c>
      <c r="BX13" s="580">
        <f>BX$3/24/3600</f>
        <v>1157407407407410</v>
      </c>
      <c r="BY13" s="582">
        <f ca="1" t="shared" si="33"/>
        <v>0.634434780399679</v>
      </c>
      <c r="BZ13" s="582">
        <f ca="1" t="shared" si="34"/>
        <v>0.634435259446899</v>
      </c>
      <c r="CA13" s="582">
        <f t="shared" si="35"/>
        <v>0</v>
      </c>
      <c r="CB13" s="582">
        <f ca="1" t="shared" si="36"/>
        <v>478177.476392328</v>
      </c>
      <c r="CC13" s="582">
        <f ca="1" t="shared" si="37"/>
        <v>7.62660544301618e-24</v>
      </c>
      <c r="CD13" s="582">
        <f ca="1" t="shared" si="38"/>
        <v>-1.32330990035372e-9</v>
      </c>
      <c r="CE13" s="580">
        <f ca="1" t="shared" si="39"/>
        <v>8678319659067550</v>
      </c>
      <c r="CF13" s="580">
        <f ca="1" t="shared" si="40"/>
        <v>67083524492</v>
      </c>
      <c r="CG13" s="586">
        <f ca="1" t="shared" si="41"/>
        <v>2.68119624474615e-24</v>
      </c>
      <c r="CH13" s="594">
        <f ca="1" t="shared" si="42"/>
        <v>8462844606</v>
      </c>
      <c r="CI13" s="580">
        <f ca="1" t="shared" si="43"/>
        <v>8298000772.27794</v>
      </c>
      <c r="CJ13" s="580">
        <f ca="1" t="shared" si="44"/>
        <v>8.04228996394118e-5</v>
      </c>
      <c r="CK13" s="595">
        <f ca="1" t="shared" si="45"/>
        <v>8.04228996383608e-5</v>
      </c>
      <c r="CL13" s="596">
        <f>CL$3*3600</f>
        <v>57600</v>
      </c>
      <c r="CM13" s="580">
        <f ca="1" t="shared" ref="CM13:CP13" si="153">CE13</f>
        <v>8678319659067550</v>
      </c>
      <c r="CN13" s="580">
        <f ca="1" t="shared" si="153"/>
        <v>67083524492</v>
      </c>
      <c r="CO13" s="581">
        <f ca="1" t="shared" si="153"/>
        <v>2.68119624474615e-24</v>
      </c>
      <c r="CP13" s="580">
        <f ca="1" t="shared" si="153"/>
        <v>8462844606</v>
      </c>
      <c r="CQ13" s="580">
        <f ca="1">MAX(INDIRECT("'"&amp;$B$2&amp;"-事故进程'!AA"&amp;(ROW()+22)),INDIRECT("'"&amp;$B$2&amp;"-事故进程'!AB"&amp;(ROW()+22)))</f>
        <v>3.49572634056203e-11</v>
      </c>
      <c r="CR13" s="580">
        <f ca="1">SUM(CQ$3,-LN(1-CR$3)/CL13)</f>
        <v>1.73472347597681e-20</v>
      </c>
      <c r="CS13" s="580">
        <f>CS$3/24/3600</f>
        <v>1157407407407410</v>
      </c>
      <c r="CT13" s="582">
        <f ca="1" t="shared" si="47"/>
        <v>0.297188469832864</v>
      </c>
      <c r="CU13" s="582">
        <f ca="1" t="shared" si="48"/>
        <v>0.297189068233854</v>
      </c>
      <c r="CV13" s="582">
        <f t="shared" si="49"/>
        <v>0</v>
      </c>
      <c r="CW13" s="582">
        <f ca="1" t="shared" si="50"/>
        <v>303372.651296632</v>
      </c>
      <c r="CX13" s="582">
        <f ca="1" t="shared" si="51"/>
        <v>1.67574765298183e-24</v>
      </c>
      <c r="CY13" s="582">
        <f ca="1" t="shared" si="52"/>
        <v>-4.96241212222221e-10</v>
      </c>
      <c r="CZ13" s="580">
        <f ca="1" t="shared" si="53"/>
        <v>2579096540198750</v>
      </c>
      <c r="DA13" s="580">
        <f ca="1" t="shared" si="54"/>
        <v>25129605215.5</v>
      </c>
      <c r="DB13" s="586">
        <f ca="1" t="shared" si="55"/>
        <v>3.76642795182371e-25</v>
      </c>
      <c r="DC13" s="594">
        <f ca="1" t="shared" si="56"/>
        <v>2515064902</v>
      </c>
      <c r="DD13" s="580">
        <f ca="1" t="shared" si="57"/>
        <v>10121257230.953</v>
      </c>
      <c r="DE13" s="580">
        <f ca="1" t="shared" si="58"/>
        <v>4.28829093459932e-5</v>
      </c>
      <c r="DF13" s="595">
        <f ca="1" t="shared" si="59"/>
        <v>4.28829093453567e-5</v>
      </c>
      <c r="DG13" s="596">
        <f>DG$3*3600</f>
        <v>86400</v>
      </c>
      <c r="DH13" s="580">
        <f ca="1" t="shared" ref="DH13:DK13" si="154">CZ13</f>
        <v>2579096540198750</v>
      </c>
      <c r="DI13" s="580">
        <f ca="1" t="shared" si="154"/>
        <v>25129605215.5</v>
      </c>
      <c r="DJ13" s="581">
        <f ca="1" t="shared" si="154"/>
        <v>3.76642795182371e-25</v>
      </c>
      <c r="DK13" s="580">
        <f ca="1" t="shared" si="154"/>
        <v>2515064902</v>
      </c>
      <c r="DL13" s="580">
        <f ca="1">MAX(INDIRECT("'"&amp;$B$2&amp;"-事故进程'!AB"&amp;(ROW()+22)),INDIRECT("'"&amp;$B$2&amp;"-事故进程'!AC"&amp;(ROW()+22)))</f>
        <v>3.41513262102235e-11</v>
      </c>
      <c r="DM13" s="580">
        <f ca="1">SUM(DL$3,-LN(1-DM$3)/DG13)</f>
        <v>1.15648231731787e-20</v>
      </c>
      <c r="DN13" s="580">
        <f>DN$3/24/3600</f>
        <v>1157407407407410</v>
      </c>
      <c r="DO13" s="582">
        <f ca="1" t="shared" si="61"/>
        <v>0.162012291255041</v>
      </c>
      <c r="DP13" s="582">
        <f ca="1" t="shared" si="62"/>
        <v>0.162012769301296</v>
      </c>
      <c r="DQ13" s="582">
        <f t="shared" si="63"/>
        <v>0</v>
      </c>
      <c r="DR13" s="582">
        <f ca="1" t="shared" si="64"/>
        <v>88080.4254813314</v>
      </c>
      <c r="DS13" s="582">
        <f ca="1" t="shared" si="65"/>
        <v>1.25547598392474e-25</v>
      </c>
      <c r="DT13" s="582">
        <f ca="1" t="shared" si="66"/>
        <v>-3.38634672806145e-10</v>
      </c>
      <c r="DU13" s="580">
        <f ca="1" t="shared" si="67"/>
        <v>417845339845548</v>
      </c>
      <c r="DV13" s="580">
        <f ca="1" t="shared" si="68"/>
        <v>5304244376</v>
      </c>
      <c r="DW13" s="586">
        <f ca="1" t="shared" si="69"/>
        <v>5.30000481099152e-26</v>
      </c>
      <c r="DX13" s="594">
        <f ca="1" t="shared" si="70"/>
        <v>407472629.6875</v>
      </c>
      <c r="DY13" s="580">
        <f ca="1" t="shared" si="71"/>
        <v>3503768084.23933</v>
      </c>
      <c r="DZ13" s="580">
        <f ca="1" t="shared" si="72"/>
        <v>1.28073935649145e-5</v>
      </c>
      <c r="EA13" s="595">
        <f ca="1" t="shared" si="73"/>
        <v>1.28073935648274e-5</v>
      </c>
      <c r="EB13" s="596">
        <f>EB$3*3600</f>
        <v>172800</v>
      </c>
      <c r="EC13" s="580">
        <f ca="1" t="shared" ref="EC13:EF13" si="155">DU13</f>
        <v>417845339845548</v>
      </c>
      <c r="ED13" s="580">
        <f ca="1" t="shared" si="155"/>
        <v>5304244376</v>
      </c>
      <c r="EE13" s="581">
        <f ca="1" t="shared" si="155"/>
        <v>5.30000481099152e-26</v>
      </c>
      <c r="EF13" s="580">
        <f ca="1" t="shared" si="155"/>
        <v>407472629.6875</v>
      </c>
      <c r="EG13" s="580">
        <f ca="1">MAX(INDIRECT("'"&amp;$B$2&amp;"-事故进程'!AC"&amp;(ROW()+22)),INDIRECT("'"&amp;$B$2&amp;"-事故进程'!AD"&amp;(ROW()+22)),INDIRECT("'"&amp;$B$2&amp;"-事故进程'!AE"&amp;(ROW()+22)))</f>
        <v>3.38940017056033e-11</v>
      </c>
      <c r="EH13" s="580">
        <f ca="1">SUM(EG$3,-LN(1-EH$3)/EB13)</f>
        <v>5.78241158658936e-21</v>
      </c>
      <c r="EI13" s="580">
        <f>EI$3/24/3600</f>
        <v>1157407407407410</v>
      </c>
      <c r="EJ13" s="582">
        <f ca="1" t="shared" si="75"/>
        <v>0.0262479836848424</v>
      </c>
      <c r="EK13" s="582">
        <f ca="1" t="shared" si="76"/>
        <v>0.026248137416675</v>
      </c>
      <c r="EL13" s="582">
        <f t="shared" si="77"/>
        <v>0</v>
      </c>
      <c r="EM13" s="582">
        <f ca="1" t="shared" si="78"/>
        <v>14162.6304434713</v>
      </c>
      <c r="EN13" s="582">
        <f ca="1" t="shared" si="79"/>
        <v>2.65000240547836e-26</v>
      </c>
      <c r="EO13" s="582">
        <f ca="1" t="shared" si="80"/>
        <v>-1.70602799805132e-10</v>
      </c>
      <c r="EP13" s="580">
        <f ca="1" t="shared" si="81"/>
        <v>10967597663053.4</v>
      </c>
      <c r="EQ13" s="580">
        <f ca="1" t="shared" si="82"/>
        <v>203462665.115234</v>
      </c>
      <c r="ER13" s="586">
        <f ca="1" t="shared" si="83"/>
        <v>1.01650020957774e-27</v>
      </c>
      <c r="ES13" s="594">
        <f ca="1" t="shared" si="84"/>
        <v>10695397.5761719</v>
      </c>
      <c r="ET13" s="580">
        <f ca="1" t="shared" si="85"/>
        <v>654650217.569112</v>
      </c>
      <c r="EU13" s="580">
        <f ca="1" t="shared" si="86"/>
        <v>1.57982927878925e-6</v>
      </c>
      <c r="EV13" s="595">
        <f ca="1" t="shared" si="87"/>
        <v>1.57982927879638e-6</v>
      </c>
      <c r="EW13" s="596">
        <f>EW$3*3600</f>
        <v>2246400</v>
      </c>
      <c r="EX13" s="580">
        <f ca="1" t="shared" ref="EX13:FA13" si="156">EP13</f>
        <v>10967597663053.4</v>
      </c>
      <c r="EY13" s="580">
        <f ca="1" t="shared" si="156"/>
        <v>203462665.115234</v>
      </c>
      <c r="EZ13" s="581">
        <f ca="1" t="shared" si="156"/>
        <v>1.01650020957774e-27</v>
      </c>
      <c r="FA13" s="580">
        <f ca="1" t="shared" si="156"/>
        <v>10695397.5761719</v>
      </c>
      <c r="FB13" s="580">
        <f ca="1">INDIRECT("'"&amp;$B$2&amp;"-事故进程'!AE"&amp;(ROW()+22))</f>
        <v>0</v>
      </c>
      <c r="FC13" s="580">
        <f ca="1">SUM(FB$3,-LN(1-FC$3)/EW13)</f>
        <v>4.44800891276105e-22</v>
      </c>
      <c r="FD13" s="580">
        <f>FD$3/24/3600</f>
        <v>1157407407407410</v>
      </c>
      <c r="FE13" s="582">
        <f ca="1" t="shared" si="89"/>
        <v>2.80724543030817e-21</v>
      </c>
      <c r="FF13" s="582">
        <f ca="1" t="shared" si="90"/>
        <v>2.80724543030817e-21</v>
      </c>
      <c r="FG13" s="582">
        <f t="shared" si="91"/>
        <v>0</v>
      </c>
      <c r="FH13" s="582">
        <f ca="1" t="shared" si="92"/>
        <v>-9.05003747846678e-14</v>
      </c>
      <c r="FI13" s="582">
        <f ca="1" t="shared" si="93"/>
        <v>9.38307885763792e-28</v>
      </c>
      <c r="FJ13" s="582">
        <f ca="1" t="shared" si="94"/>
        <v>1</v>
      </c>
      <c r="FK13" s="580">
        <f ca="1" t="shared" si="95"/>
        <v>3.07887384210652e-8</v>
      </c>
      <c r="FL13" s="580">
        <f ca="1" t="shared" si="96"/>
        <v>5.71169636883064e-13</v>
      </c>
      <c r="FM13" s="586">
        <f ca="1" t="shared" si="97"/>
        <v>2.19505043711897e-49</v>
      </c>
      <c r="FN13" s="594">
        <f ca="1" t="shared" si="98"/>
        <v>3.00246059726992e-14</v>
      </c>
      <c r="FO13" s="580">
        <f ca="1" t="shared" si="99"/>
        <v>0</v>
      </c>
      <c r="FP13" s="580">
        <f ca="1" t="shared" si="100"/>
        <v>4.29609239629186e-9</v>
      </c>
      <c r="FQ13" s="595">
        <f ca="1" t="shared" si="101"/>
        <v>4.29609239629186e-9</v>
      </c>
      <c r="FR13" s="608" t="str">
        <f t="shared" si="102"/>
        <v>Xe-135</v>
      </c>
      <c r="FS13" s="609">
        <v>59100000000</v>
      </c>
      <c r="FT13" s="610">
        <v>16900000000</v>
      </c>
      <c r="FU13" s="610">
        <v>20300000000</v>
      </c>
      <c r="FV13" s="610">
        <v>6450000000</v>
      </c>
      <c r="FW13" s="610">
        <v>103000000000</v>
      </c>
      <c r="FX13" s="614">
        <f ca="1" t="shared" si="103"/>
        <v>0</v>
      </c>
      <c r="FY13" s="614">
        <f ca="1" t="shared" si="104"/>
        <v>0.918572092323729</v>
      </c>
      <c r="FZ13" s="614">
        <f ca="1" t="shared" si="105"/>
        <v>2.11245858844122e-15</v>
      </c>
      <c r="GA13" s="614">
        <f ca="1" t="shared" si="106"/>
        <v>2.23057718505794e-15</v>
      </c>
      <c r="GB13" s="614">
        <f ca="1" t="shared" si="107"/>
        <v>0.150717168546321</v>
      </c>
      <c r="GC13" s="455">
        <f ca="1" t="shared" si="108"/>
        <v>0.150717168546321</v>
      </c>
      <c r="GE13" s="609">
        <v>12107517435.6001</v>
      </c>
      <c r="GF13" s="610">
        <v>2442318390.67051</v>
      </c>
      <c r="GG13" s="610">
        <v>3481234608.32105</v>
      </c>
      <c r="GH13" s="610">
        <v>1384659174.06405</v>
      </c>
      <c r="GI13" s="610">
        <v>374626502.279607</v>
      </c>
      <c r="GJ13" s="610">
        <v>6607156.77193609</v>
      </c>
      <c r="GK13" s="617">
        <v>19796963267.7073</v>
      </c>
      <c r="GL13" s="614">
        <f ca="1" t="shared" si="109"/>
        <v>0</v>
      </c>
      <c r="GM13" s="614">
        <f ca="1" t="shared" si="110"/>
        <v>6.35620172192583</v>
      </c>
      <c r="GN13" s="614">
        <f ca="1" t="shared" si="111"/>
        <v>1.23183049033396e-14</v>
      </c>
      <c r="GO13" s="614">
        <f ca="1" t="shared" si="112"/>
        <v>8.1778775539882e-15</v>
      </c>
      <c r="GP13" s="614">
        <f ca="1" t="shared" si="113"/>
        <v>6.50218020335088e-16</v>
      </c>
      <c r="GQ13" s="614">
        <f ca="1" t="shared" si="114"/>
        <v>0.784154021520742</v>
      </c>
      <c r="GR13" s="451">
        <f t="shared" si="115"/>
        <v>2.10657421760255e-5</v>
      </c>
      <c r="GS13" s="390">
        <f t="shared" si="116"/>
        <v>32904.0000000001</v>
      </c>
    </row>
    <row r="14" spans="1:201">
      <c r="A14" s="425"/>
      <c r="B14" s="407" t="s">
        <v>264</v>
      </c>
      <c r="C14" s="426">
        <f>1/7.9</f>
        <v>0.126582278481013</v>
      </c>
      <c r="D14" s="409" t="s">
        <v>163</v>
      </c>
      <c r="E14" s="410"/>
      <c r="G14" s="411" t="s">
        <v>55</v>
      </c>
      <c r="H14" s="412">
        <f ca="1" t="shared" si="1"/>
        <v>0</v>
      </c>
      <c r="I14" s="412">
        <f ca="1" t="shared" si="2"/>
        <v>119679935324.607</v>
      </c>
      <c r="J14" s="412">
        <f ca="1" t="shared" si="3"/>
        <v>0.00082058794057264</v>
      </c>
      <c r="K14" s="412">
        <f ca="1" t="shared" si="4"/>
        <v>0.000810754087508632</v>
      </c>
      <c r="L14" s="412">
        <f ca="1" t="shared" si="5"/>
        <v>0.00153529749394268</v>
      </c>
      <c r="M14" s="412">
        <f ca="1" t="shared" si="6"/>
        <v>0.000284497632734205</v>
      </c>
      <c r="N14" s="412">
        <f ca="1" t="shared" si="7"/>
        <v>119679935324.611</v>
      </c>
      <c r="O14" s="450">
        <f ca="1" t="shared" si="8"/>
        <v>119679935324.606</v>
      </c>
      <c r="P14" s="451"/>
      <c r="Q14" s="477" t="str">
        <f t="shared" si="0"/>
        <v>I-131</v>
      </c>
      <c r="R14" s="412">
        <f ca="1" t="shared" si="9"/>
        <v>0</v>
      </c>
      <c r="S14" s="412">
        <f ca="1">I14*(1-过滤效率!$B11)</f>
        <v>5983996766.23036</v>
      </c>
      <c r="T14" s="412">
        <f ca="1">J14*(1-过滤效率!$B11)</f>
        <v>4.1029397028632e-5</v>
      </c>
      <c r="U14" s="412">
        <f ca="1">K14*(1-过滤效率!$B11)</f>
        <v>4.05377043754317e-5</v>
      </c>
      <c r="V14" s="412">
        <f ca="1">L14*(1-过滤效率!$B11)</f>
        <v>7.67648746971341e-5</v>
      </c>
      <c r="W14" s="412">
        <f ca="1">M14*(1-过滤效率!$B11)</f>
        <v>1.42248816367103e-5</v>
      </c>
      <c r="X14" s="412">
        <f ca="1" t="shared" si="10"/>
        <v>5983996766.23054</v>
      </c>
      <c r="Y14" s="493"/>
      <c r="Z14" s="494">
        <f>VLOOKUP(G14,衰变常数!$A$1:$H$3800,7,FALSE)</f>
        <v>9.99668118007245e-7</v>
      </c>
      <c r="AA14" s="495">
        <f>正常源项!C11</f>
        <v>2.27e+17</v>
      </c>
      <c r="AB14" s="496">
        <f>正常源项!F11</f>
        <v>0</v>
      </c>
      <c r="AC14" s="496">
        <f>正常源项!I11</f>
        <v>19600000</v>
      </c>
      <c r="AD14" s="497"/>
      <c r="AE14" s="496">
        <f>正常源项!O11</f>
        <v>435000000000</v>
      </c>
      <c r="AF14" s="498">
        <f t="shared" ref="AF14:AF23" si="157">AC14*$C$6</f>
        <v>0</v>
      </c>
      <c r="AG14" s="519">
        <f t="shared" ref="AG14:AG18" si="158">AE14*MIN(100%,$C$7/500*10)</f>
        <v>0</v>
      </c>
      <c r="AH14" s="523">
        <v>1</v>
      </c>
      <c r="AI14" s="519">
        <f t="shared" ref="AI14:AI23" si="159">AE14*AH14*$C$9</f>
        <v>22894736842.1053</v>
      </c>
      <c r="AJ14" s="521"/>
      <c r="AK14" s="521"/>
      <c r="AL14" s="519">
        <f t="shared" si="11"/>
        <v>33210100</v>
      </c>
      <c r="AM14" s="520">
        <f t="shared" si="12"/>
        <v>953400000000</v>
      </c>
      <c r="AN14" s="519">
        <f ca="1">MAX(INDIRECT("'"&amp;$B$2&amp;"-事故进程'!Y"&amp;(ROW()+22)),INDIRECT("'"&amp;$B$2&amp;"-事故进程'!Z"&amp;(ROW()+22)),INDIRECT("'"&amp;$B$2&amp;"-事故进程'!AA"&amp;(ROW()+22)))</f>
        <v>2.84543074385941e-12</v>
      </c>
      <c r="AO14" s="519">
        <f ca="1" t="shared" si="13"/>
        <v>53130364973.4527</v>
      </c>
      <c r="AP14" s="560">
        <f t="shared" si="14"/>
        <v>2.07468575921617e+17</v>
      </c>
      <c r="AQ14" s="561">
        <f ca="1">(AC14*$C$5+AD14*$C$8+AF14+AG14+AI14+(AL14+AM14)*$C$10)*EXP(-Z14*$C$12*3600)+AO14*$C$11</f>
        <v>945471489064.39</v>
      </c>
      <c r="AR14" s="562">
        <f ca="1">AQ14*(1-AR$3)</f>
        <v>825791553739.783</v>
      </c>
      <c r="AS14" s="563">
        <f ca="1" t="shared" si="15"/>
        <v>119679935324.606</v>
      </c>
      <c r="AT14" s="562">
        <f ca="1">AS14*(1-AT$3)</f>
        <v>119679935324.606</v>
      </c>
      <c r="AU14" s="564">
        <f ca="1" t="shared" si="16"/>
        <v>0</v>
      </c>
      <c r="AV14" s="565">
        <f>AV$3*3600</f>
        <v>7200</v>
      </c>
      <c r="AW14" s="580">
        <f>AP14*EXP(-Z14*AW$3*3600)</f>
        <v>2.07468575921617e+17</v>
      </c>
      <c r="AX14" s="580">
        <f ca="1" t="shared" si="17"/>
        <v>825791553739.783</v>
      </c>
      <c r="AY14" s="581">
        <f ca="1" t="shared" si="18"/>
        <v>119679935324.606</v>
      </c>
      <c r="AZ14" s="580">
        <v>0</v>
      </c>
      <c r="BA14" s="580">
        <f ca="1">MAX(INDIRECT("'"&amp;$B$2&amp;"-事故进程'!Y"&amp;(ROW()+22)),INDIRECT("'"&amp;$B$2&amp;"-事故进程'!Z"&amp;(ROW()+22)))</f>
        <v>2.6744960147142e-12</v>
      </c>
      <c r="BB14" s="580">
        <f>SUM(BA$3,-LN(1-BB$3)/AV14)</f>
        <v>1.38777878078145e-19</v>
      </c>
      <c r="BC14" s="580">
        <f>BC$3/24/3600</f>
        <v>1157407407407410</v>
      </c>
      <c r="BD14" s="582">
        <f ca="1" t="shared" si="19"/>
        <v>0.992828211195753</v>
      </c>
      <c r="BE14" s="582">
        <f t="shared" si="20"/>
        <v>0.992828230314021</v>
      </c>
      <c r="BF14" s="582">
        <f t="shared" si="21"/>
        <v>0</v>
      </c>
      <c r="BG14" s="582">
        <f ca="1" t="shared" si="22"/>
        <v>554876.088056901</v>
      </c>
      <c r="BH14" s="582">
        <f ca="1" t="shared" si="23"/>
        <v>119679935324.606</v>
      </c>
      <c r="BI14" s="582">
        <f ca="1" t="shared" si="24"/>
        <v>-5.18893595338072e-8</v>
      </c>
      <c r="BJ14" s="580">
        <f ca="1" t="shared" si="25"/>
        <v>2.05980655111589e+17</v>
      </c>
      <c r="BK14" s="580">
        <f ca="1" t="shared" si="26"/>
        <v>823835606944</v>
      </c>
      <c r="BL14" s="586">
        <f ca="1" t="shared" si="27"/>
        <v>9.87812560026286e-23</v>
      </c>
      <c r="BM14" s="594">
        <f ca="1" t="shared" si="28"/>
        <v>118821618368</v>
      </c>
      <c r="BN14" s="580">
        <f ca="1" t="shared" si="29"/>
        <v>3980748768.96683</v>
      </c>
      <c r="BO14" s="580">
        <f ca="1" t="shared" si="30"/>
        <v>0.000824155538961293</v>
      </c>
      <c r="BP14" s="595">
        <f ca="1" t="shared" si="31"/>
        <v>119679935324.607</v>
      </c>
      <c r="BQ14" s="596">
        <f>BQ$3*3600</f>
        <v>21600</v>
      </c>
      <c r="BR14" s="580">
        <f ca="1" t="shared" ref="BR14:BU14" si="160">BJ14</f>
        <v>2.05980655111589e+17</v>
      </c>
      <c r="BS14" s="580">
        <f ca="1" t="shared" si="160"/>
        <v>823835606944</v>
      </c>
      <c r="BT14" s="581">
        <f ca="1" t="shared" si="160"/>
        <v>9.87812560026286e-23</v>
      </c>
      <c r="BU14" s="580">
        <f ca="1" t="shared" si="160"/>
        <v>118821618368</v>
      </c>
      <c r="BV14" s="580">
        <f ca="1">MAX(INDIRECT("'"&amp;$B$2&amp;"-事故进程'!Z"&amp;(ROW()+22)),INDIRECT("'"&amp;$B$2&amp;"-事故进程'!AA"&amp;(ROW()+22)))</f>
        <v>2.84543074385941e-12</v>
      </c>
      <c r="BW14" s="580">
        <f ca="1">SUM(BV$3,-LN(1-BW$3)/BQ14)</f>
        <v>4.62592926927149e-20</v>
      </c>
      <c r="BX14" s="580">
        <f>BX$3/24/3600</f>
        <v>1157407407407410</v>
      </c>
      <c r="BY14" s="582">
        <f ca="1" t="shared" si="33"/>
        <v>0.978638564760135</v>
      </c>
      <c r="BZ14" s="582">
        <f ca="1" t="shared" si="34"/>
        <v>0.978638624908538</v>
      </c>
      <c r="CA14" s="582">
        <f t="shared" si="35"/>
        <v>0</v>
      </c>
      <c r="CB14" s="582">
        <f ca="1" t="shared" si="36"/>
        <v>586106.032861944</v>
      </c>
      <c r="CC14" s="582">
        <f ca="1" t="shared" si="37"/>
        <v>6.58541706665588e-23</v>
      </c>
      <c r="CD14" s="582">
        <f ca="1" t="shared" si="38"/>
        <v>-1.6257395666579e-8</v>
      </c>
      <c r="CE14" s="580">
        <f ca="1" t="shared" si="39"/>
        <v>2.01580612686758e+17</v>
      </c>
      <c r="CF14" s="580">
        <f ca="1" t="shared" si="40"/>
        <v>818626753248</v>
      </c>
      <c r="CG14" s="586">
        <f ca="1" t="shared" si="41"/>
        <v>3.27188977194229e-23</v>
      </c>
      <c r="CH14" s="594">
        <f ca="1" t="shared" si="42"/>
        <v>116283425184</v>
      </c>
      <c r="CI14" s="580">
        <f ca="1" t="shared" si="43"/>
        <v>12524136888.8447</v>
      </c>
      <c r="CJ14" s="580">
        <f ca="1" t="shared" si="44"/>
        <v>0.000820587940587297</v>
      </c>
      <c r="CK14" s="595">
        <f ca="1" t="shared" si="45"/>
        <v>0.00082058794057264</v>
      </c>
      <c r="CL14" s="596">
        <f>CL$3*3600</f>
        <v>57600</v>
      </c>
      <c r="CM14" s="580">
        <f ca="1" t="shared" ref="CM14:CP14" si="161">CE14</f>
        <v>2.01580612686758e+17</v>
      </c>
      <c r="CN14" s="580">
        <f ca="1" t="shared" si="161"/>
        <v>818626753248</v>
      </c>
      <c r="CO14" s="581">
        <f ca="1" t="shared" si="161"/>
        <v>3.27188977194229e-23</v>
      </c>
      <c r="CP14" s="580">
        <f ca="1" t="shared" si="161"/>
        <v>116283425184</v>
      </c>
      <c r="CQ14" s="580">
        <f ca="1">MAX(INDIRECT("'"&amp;$B$2&amp;"-事故进程'!AA"&amp;(ROW()+22)),INDIRECT("'"&amp;$B$2&amp;"-事故进程'!AB"&amp;(ROW()+22)))</f>
        <v>2.84543074385941e-12</v>
      </c>
      <c r="CR14" s="580">
        <f ca="1">SUM(CQ$3,-LN(1-CR$3)/CL14)</f>
        <v>1.73472347597681e-20</v>
      </c>
      <c r="CS14" s="580">
        <f>CS$3/24/3600</f>
        <v>1157407407407410</v>
      </c>
      <c r="CT14" s="582">
        <f ca="1" t="shared" si="47"/>
        <v>0.94404537477389</v>
      </c>
      <c r="CU14" s="582">
        <f ca="1" t="shared" si="48"/>
        <v>0.944045529499928</v>
      </c>
      <c r="CV14" s="582">
        <f t="shared" si="49"/>
        <v>0</v>
      </c>
      <c r="CW14" s="582">
        <f ca="1" t="shared" si="50"/>
        <v>573586.002050635</v>
      </c>
      <c r="CX14" s="582">
        <f ca="1" t="shared" si="51"/>
        <v>2.0449311074017e-23</v>
      </c>
      <c r="CY14" s="582">
        <f ca="1" t="shared" si="52"/>
        <v>-6.09652331302112e-9</v>
      </c>
      <c r="CZ14" s="580">
        <f ca="1" t="shared" si="53"/>
        <v>1.90301245051021e+17</v>
      </c>
      <c r="DA14" s="580">
        <f ca="1" t="shared" si="54"/>
        <v>804010696512</v>
      </c>
      <c r="DB14" s="586">
        <f ca="1" t="shared" si="55"/>
        <v>1.20505210284081e-23</v>
      </c>
      <c r="DC14" s="594">
        <f ca="1" t="shared" si="56"/>
        <v>109776847680</v>
      </c>
      <c r="DD14" s="580">
        <f ca="1" t="shared" si="57"/>
        <v>32105223234.2948</v>
      </c>
      <c r="DE14" s="580">
        <f ca="1" t="shared" si="58"/>
        <v>0.000810754087513812</v>
      </c>
      <c r="DF14" s="595">
        <f ca="1" t="shared" si="59"/>
        <v>0.000810754087508632</v>
      </c>
      <c r="DG14" s="596">
        <f>DG$3*3600</f>
        <v>86400</v>
      </c>
      <c r="DH14" s="580">
        <f ca="1" t="shared" ref="DH14:DK14" si="162">CZ14</f>
        <v>1.90301245051021e+17</v>
      </c>
      <c r="DI14" s="580">
        <f ca="1" t="shared" si="162"/>
        <v>804010696512</v>
      </c>
      <c r="DJ14" s="581">
        <f ca="1" t="shared" si="162"/>
        <v>1.20505210284081e-23</v>
      </c>
      <c r="DK14" s="580">
        <f ca="1" t="shared" si="162"/>
        <v>109776847680</v>
      </c>
      <c r="DL14" s="580">
        <f ca="1">MAX(INDIRECT("'"&amp;$B$2&amp;"-事故进程'!AB"&amp;(ROW()+22)),INDIRECT("'"&amp;$B$2&amp;"-事故进程'!AC"&amp;(ROW()+22)))</f>
        <v>2.60682797367498e-12</v>
      </c>
      <c r="DM14" s="580">
        <f ca="1">SUM(DL$3,-LN(1-DM$3)/DG14)</f>
        <v>1.15648231731787e-20</v>
      </c>
      <c r="DN14" s="580">
        <f>DN$3/24/3600</f>
        <v>1157407407407410</v>
      </c>
      <c r="DO14" s="582">
        <f ca="1" t="shared" si="61"/>
        <v>0.917253361838382</v>
      </c>
      <c r="DP14" s="582">
        <f ca="1" t="shared" si="62"/>
        <v>0.917253568431321</v>
      </c>
      <c r="DQ14" s="582">
        <f t="shared" si="63"/>
        <v>0</v>
      </c>
      <c r="DR14" s="582">
        <f ca="1" t="shared" si="64"/>
        <v>496084.704941744</v>
      </c>
      <c r="DS14" s="582">
        <f ca="1" t="shared" si="65"/>
        <v>4.01684034259529e-24</v>
      </c>
      <c r="DT14" s="582">
        <f ca="1" t="shared" si="66"/>
        <v>-4.43635841769064e-9</v>
      </c>
      <c r="DU14" s="580">
        <f ca="1" t="shared" si="67"/>
        <v>1.74554456785079e+17</v>
      </c>
      <c r="DV14" s="580">
        <f ca="1" t="shared" si="68"/>
        <v>776796574112</v>
      </c>
      <c r="DW14" s="586">
        <f ca="1" t="shared" si="69"/>
        <v>7.76175697848632e-24</v>
      </c>
      <c r="DX14" s="594">
        <f ca="1" t="shared" si="70"/>
        <v>100693205312</v>
      </c>
      <c r="DY14" s="580">
        <f ca="1" t="shared" si="71"/>
        <v>41062689070.9052</v>
      </c>
      <c r="DZ14" s="580">
        <f ca="1" t="shared" si="72"/>
        <v>0.000789871395283218</v>
      </c>
      <c r="EA14" s="595">
        <f ca="1" t="shared" si="73"/>
        <v>0.000789871395266801</v>
      </c>
      <c r="EB14" s="596">
        <f>EB$3*3600</f>
        <v>172800</v>
      </c>
      <c r="EC14" s="580">
        <f ca="1" t="shared" ref="EC14:EF14" si="163">DU14</f>
        <v>1.74554456785079e+17</v>
      </c>
      <c r="ED14" s="580">
        <f ca="1" t="shared" si="163"/>
        <v>776796574112</v>
      </c>
      <c r="EE14" s="581">
        <f ca="1" t="shared" si="163"/>
        <v>7.76175697848632e-24</v>
      </c>
      <c r="EF14" s="580">
        <f ca="1" t="shared" si="163"/>
        <v>100693205312</v>
      </c>
      <c r="EG14" s="580">
        <f ca="1">MAX(INDIRECT("'"&amp;$B$2&amp;"-事故进程'!AC"&amp;(ROW()+22)),INDIRECT("'"&amp;$B$2&amp;"-事故进程'!AD"&amp;(ROW()+22)),INDIRECT("'"&amp;$B$2&amp;"-事故进程'!AE"&amp;(ROW()+22)))</f>
        <v>2.42463872897568e-12</v>
      </c>
      <c r="EH14" s="580">
        <f ca="1">SUM(EG$3,-LN(1-EH$3)/EB14)</f>
        <v>5.78241158658936e-21</v>
      </c>
      <c r="EI14" s="580">
        <f>EI$3/24/3600</f>
        <v>1157407407407410</v>
      </c>
      <c r="EJ14" s="582">
        <f ca="1" t="shared" si="75"/>
        <v>0.841353756291566</v>
      </c>
      <c r="EK14" s="582">
        <f ca="1" t="shared" si="76"/>
        <v>0.841354108799994</v>
      </c>
      <c r="EL14" s="582">
        <f t="shared" si="77"/>
        <v>0</v>
      </c>
      <c r="EM14" s="582">
        <f ca="1" t="shared" si="78"/>
        <v>423233.379687467</v>
      </c>
      <c r="EN14" s="582">
        <f ca="1" t="shared" si="79"/>
        <v>3.88087848935544e-24</v>
      </c>
      <c r="EO14" s="582">
        <f ca="1" t="shared" si="80"/>
        <v>-2.38485491932336e-9</v>
      </c>
      <c r="EP14" s="580">
        <f ca="1" t="shared" si="81"/>
        <v>1.4686204789356e+17</v>
      </c>
      <c r="EQ14" s="580">
        <f ca="1" t="shared" si="82"/>
        <v>715092906560</v>
      </c>
      <c r="ER14" s="586">
        <f ca="1" t="shared" si="83"/>
        <v>3.57260674310392e-24</v>
      </c>
      <c r="ES14" s="594">
        <f ca="1" t="shared" si="84"/>
        <v>84718641984</v>
      </c>
      <c r="ET14" s="580">
        <f ca="1" t="shared" si="85"/>
        <v>67166215500.6458</v>
      </c>
      <c r="EU14" s="580">
        <f ca="1" t="shared" si="86"/>
        <v>0.000745426098662267</v>
      </c>
      <c r="EV14" s="595">
        <f ca="1" t="shared" si="87"/>
        <v>0.00074542609867588</v>
      </c>
      <c r="EW14" s="596">
        <f>EW$3*3600</f>
        <v>2246400</v>
      </c>
      <c r="EX14" s="580">
        <f ca="1" t="shared" ref="EX14:FA14" si="164">EP14</f>
        <v>1.4686204789356e+17</v>
      </c>
      <c r="EY14" s="580">
        <f ca="1" t="shared" si="164"/>
        <v>715092906560</v>
      </c>
      <c r="EZ14" s="581">
        <f ca="1" t="shared" si="164"/>
        <v>3.57260674310392e-24</v>
      </c>
      <c r="FA14" s="580">
        <f ca="1" t="shared" si="164"/>
        <v>84718641984</v>
      </c>
      <c r="FB14" s="580">
        <f ca="1">INDIRECT("'"&amp;$B$2&amp;"-事故进程'!AE"&amp;(ROW()+22))</f>
        <v>0</v>
      </c>
      <c r="FC14" s="580">
        <f ca="1">SUM(FB$3,-LN(1-FC$3)/EW14)</f>
        <v>4.44800891276105e-22</v>
      </c>
      <c r="FD14" s="580">
        <f>FD$3/24/3600</f>
        <v>1157407407407410</v>
      </c>
      <c r="FE14" s="582">
        <f ca="1" t="shared" si="89"/>
        <v>0.105858237685</v>
      </c>
      <c r="FF14" s="582">
        <f ca="1" t="shared" si="90"/>
        <v>0.105858237685</v>
      </c>
      <c r="FG14" s="582">
        <f t="shared" si="91"/>
        <v>0</v>
      </c>
      <c r="FH14" s="582">
        <f ca="1" t="shared" si="92"/>
        <v>-3.18073962183108e-10</v>
      </c>
      <c r="FI14" s="582">
        <f ca="1" t="shared" si="93"/>
        <v>3.29779083977771e-24</v>
      </c>
      <c r="FJ14" s="582">
        <f ca="1" t="shared" si="94"/>
        <v>1</v>
      </c>
      <c r="FK14" s="580">
        <f ca="1" t="shared" si="95"/>
        <v>1.55465575728223e+16</v>
      </c>
      <c r="FL14" s="580">
        <f ca="1" t="shared" si="96"/>
        <v>75698474869.4857</v>
      </c>
      <c r="FM14" s="586">
        <f ca="1" t="shared" si="97"/>
        <v>2.90915272139234e-26</v>
      </c>
      <c r="FN14" s="594">
        <f ca="1" t="shared" si="98"/>
        <v>8968166140.51425</v>
      </c>
      <c r="FO14" s="580">
        <f ca="1" t="shared" si="99"/>
        <v>0</v>
      </c>
      <c r="FP14" s="580">
        <f ca="1" t="shared" si="100"/>
        <v>0.000284497632734205</v>
      </c>
      <c r="FQ14" s="595">
        <f ca="1" t="shared" si="101"/>
        <v>0.000284497632734205</v>
      </c>
      <c r="FR14" s="608" t="str">
        <f t="shared" si="102"/>
        <v>I-131</v>
      </c>
      <c r="FS14" s="609">
        <v>9930000000</v>
      </c>
      <c r="FT14" s="610">
        <v>10500000000</v>
      </c>
      <c r="FU14" s="610">
        <v>30700000000</v>
      </c>
      <c r="FV14" s="610">
        <v>62900000000</v>
      </c>
      <c r="FW14" s="610">
        <v>114000000000</v>
      </c>
      <c r="FX14" s="614">
        <f ca="1" t="shared" si="103"/>
        <v>0</v>
      </c>
      <c r="FY14" s="614">
        <f ca="1" t="shared" si="104"/>
        <v>11.3980890785341</v>
      </c>
      <c r="FZ14" s="614">
        <f ca="1" t="shared" si="105"/>
        <v>2.64089279318773e-14</v>
      </c>
      <c r="GA14" s="614">
        <f ca="1" t="shared" si="106"/>
        <v>2.44085452137151e-14</v>
      </c>
      <c r="GB14" s="614">
        <f ca="1" t="shared" si="107"/>
        <v>1.04982399407553</v>
      </c>
      <c r="GC14" s="455">
        <f ca="1" t="shared" si="108"/>
        <v>1.04982399407553</v>
      </c>
      <c r="GE14" s="609">
        <v>98301235.7097423</v>
      </c>
      <c r="GF14" s="610">
        <v>1499248201.2518</v>
      </c>
      <c r="GG14" s="610">
        <v>6291027306.17642</v>
      </c>
      <c r="GH14" s="610">
        <v>10015619718.752</v>
      </c>
      <c r="GI14" s="610">
        <v>21912156382.3904</v>
      </c>
      <c r="GJ14" s="610">
        <v>64569064125.0896</v>
      </c>
      <c r="GK14" s="617">
        <v>104385416969.37</v>
      </c>
      <c r="GL14" s="614">
        <f ca="1" t="shared" si="109"/>
        <v>0</v>
      </c>
      <c r="GM14" s="614">
        <f ca="1" t="shared" si="110"/>
        <v>79.8266325913755</v>
      </c>
      <c r="GN14" s="614">
        <f ca="1" t="shared" si="111"/>
        <v>1.28874673093955e-13</v>
      </c>
      <c r="GO14" s="614">
        <f ca="1" t="shared" si="112"/>
        <v>4.80865779401324e-14</v>
      </c>
      <c r="GP14" s="614">
        <f ca="1" t="shared" si="113"/>
        <v>4.40609813056989e-15</v>
      </c>
      <c r="GQ14" s="614">
        <f ca="1" t="shared" si="114"/>
        <v>1.14651968444719</v>
      </c>
      <c r="GR14" s="451">
        <f t="shared" si="115"/>
        <v>9.99668118007245e-7</v>
      </c>
      <c r="GS14" s="390">
        <f t="shared" si="116"/>
        <v>693377.3</v>
      </c>
    </row>
    <row r="15" spans="1:201">
      <c r="A15" s="419"/>
      <c r="B15" s="407" t="s">
        <v>265</v>
      </c>
      <c r="C15" s="426">
        <v>0</v>
      </c>
      <c r="D15" s="409" t="s">
        <v>163</v>
      </c>
      <c r="E15" s="410"/>
      <c r="G15" s="411" t="s">
        <v>56</v>
      </c>
      <c r="H15" s="412">
        <f ca="1" t="shared" si="1"/>
        <v>0</v>
      </c>
      <c r="I15" s="412">
        <f ca="1" t="shared" si="2"/>
        <v>145132191.925553</v>
      </c>
      <c r="J15" s="412">
        <f ca="1" t="shared" si="3"/>
        <v>2.68917734677763e-7</v>
      </c>
      <c r="K15" s="412">
        <f ca="1" t="shared" si="4"/>
        <v>2.16127643932909e-8</v>
      </c>
      <c r="L15" s="412">
        <f ca="1" t="shared" si="5"/>
        <v>1.40799117540241e-10</v>
      </c>
      <c r="M15" s="412">
        <f ca="1" t="shared" si="6"/>
        <v>3.2575467779129e-21</v>
      </c>
      <c r="N15" s="412">
        <f ca="1" t="shared" si="7"/>
        <v>145132191.925553</v>
      </c>
      <c r="O15" s="450">
        <f ca="1" t="shared" si="8"/>
        <v>145132191.925552</v>
      </c>
      <c r="P15" s="451"/>
      <c r="Q15" s="477" t="str">
        <f t="shared" si="0"/>
        <v>I-132</v>
      </c>
      <c r="R15" s="412">
        <f ca="1" t="shared" si="9"/>
        <v>0</v>
      </c>
      <c r="S15" s="412">
        <f ca="1">I15*(1-过滤效率!$B12)</f>
        <v>7256609.59627765</v>
      </c>
      <c r="T15" s="412">
        <f ca="1">J15*(1-过滤效率!$B12)</f>
        <v>1.34458867338882e-8</v>
      </c>
      <c r="U15" s="412">
        <f ca="1">K15*(1-过滤效率!$B12)</f>
        <v>1.08063821966454e-9</v>
      </c>
      <c r="V15" s="412">
        <f ca="1">L15*(1-过滤效率!$B12)</f>
        <v>7.03995587701207e-12</v>
      </c>
      <c r="W15" s="412">
        <f ca="1">M15*(1-过滤效率!$B12)</f>
        <v>1.62877338895645e-22</v>
      </c>
      <c r="X15" s="412">
        <f ca="1" t="shared" si="10"/>
        <v>7256609.59627766</v>
      </c>
      <c r="Y15" s="493"/>
      <c r="Z15" s="494">
        <f>VLOOKUP(G15,衰变常数!$A$1:$H$3800,7,FALSE)</f>
        <v>8.38958097990735e-5</v>
      </c>
      <c r="AA15" s="495">
        <f>正常源项!C12</f>
        <v>3.35e+17</v>
      </c>
      <c r="AB15" s="496">
        <f>正常源项!F12</f>
        <v>0</v>
      </c>
      <c r="AC15" s="496">
        <f>正常源项!I12</f>
        <v>261000000</v>
      </c>
      <c r="AD15" s="497"/>
      <c r="AE15" s="496">
        <f>正常源项!O12</f>
        <v>69400000000</v>
      </c>
      <c r="AF15" s="498">
        <f t="shared" si="157"/>
        <v>0</v>
      </c>
      <c r="AG15" s="519">
        <f t="shared" si="158"/>
        <v>0</v>
      </c>
      <c r="AH15" s="523">
        <v>1</v>
      </c>
      <c r="AI15" s="519">
        <f t="shared" si="159"/>
        <v>3652631578.94737</v>
      </c>
      <c r="AJ15" s="521"/>
      <c r="AK15" s="521"/>
      <c r="AL15" s="519">
        <f t="shared" si="11"/>
        <v>49010500</v>
      </c>
      <c r="AM15" s="520">
        <f t="shared" si="12"/>
        <v>1407000000000</v>
      </c>
      <c r="AN15" s="519">
        <f ca="1">MAX(INDIRECT("'"&amp;$B$2&amp;"-事故进程'!Y"&amp;(ROW()+22)),INDIRECT("'"&amp;$B$2&amp;"-事故进程'!Z"&amp;(ROW()+22)),INDIRECT("'"&amp;$B$2&amp;"-事故进程'!AA"&amp;(ROW()+22)))</f>
        <v>2.55284204919198e-11</v>
      </c>
      <c r="AO15" s="519">
        <f ca="1" t="shared" si="13"/>
        <v>404684816.042921</v>
      </c>
      <c r="AP15" s="560">
        <f t="shared" si="14"/>
        <v>176137145764834</v>
      </c>
      <c r="AQ15" s="561">
        <f ca="1">(AC15*$C$5+AD15*$C$8+AF15+AG15+AI15+(AL15+AM15)*$C$10)*EXP(-Z15*$C$12*3600)+AO15*$C$11</f>
        <v>1146544316.21186</v>
      </c>
      <c r="AR15" s="562">
        <f ca="1">AQ15*(1-AR$3)</f>
        <v>1001412124.28631</v>
      </c>
      <c r="AS15" s="563">
        <f ca="1" t="shared" si="15"/>
        <v>145132191.925552</v>
      </c>
      <c r="AT15" s="562">
        <f ca="1">AS15*(1-AT$3)</f>
        <v>145132191.925552</v>
      </c>
      <c r="AU15" s="564">
        <f ca="1" t="shared" si="16"/>
        <v>0</v>
      </c>
      <c r="AV15" s="565">
        <f>AV$3*3600</f>
        <v>7200</v>
      </c>
      <c r="AW15" s="580">
        <f>AP15*EXP(-Z15*AW$3*3600)</f>
        <v>176137145764834</v>
      </c>
      <c r="AX15" s="580">
        <f ca="1" t="shared" si="17"/>
        <v>1001412124.28631</v>
      </c>
      <c r="AY15" s="581">
        <f ca="1" t="shared" si="18"/>
        <v>145132191.925552</v>
      </c>
      <c r="AZ15" s="580">
        <v>0</v>
      </c>
      <c r="BA15" s="580">
        <f ca="1">MAX(INDIRECT("'"&amp;$B$2&amp;"-事故进程'!Y"&amp;(ROW()+22)),INDIRECT("'"&amp;$B$2&amp;"-事故进程'!Z"&amp;(ROW()+22)))</f>
        <v>2.39451640247382e-11</v>
      </c>
      <c r="BB15" s="580">
        <f>SUM(BA$3,-LN(1-BB$3)/AV15)</f>
        <v>1.38777878078145e-19</v>
      </c>
      <c r="BC15" s="580">
        <f>BC$3/24/3600</f>
        <v>1157407407407410</v>
      </c>
      <c r="BD15" s="582">
        <f ca="1" t="shared" si="19"/>
        <v>0.54659344222205</v>
      </c>
      <c r="BE15" s="582">
        <f t="shared" si="20"/>
        <v>0.546593536457599</v>
      </c>
      <c r="BF15" s="582">
        <f t="shared" si="21"/>
        <v>0</v>
      </c>
      <c r="BG15" s="582">
        <f ca="1" t="shared" si="22"/>
        <v>4217.65682516561</v>
      </c>
      <c r="BH15" s="582">
        <f ca="1" t="shared" si="23"/>
        <v>145132191.925552</v>
      </c>
      <c r="BI15" s="582">
        <f ca="1" t="shared" si="24"/>
        <v>-5.79565371692919e-9</v>
      </c>
      <c r="BJ15" s="580">
        <f ca="1" t="shared" si="25"/>
        <v>96275408806767.6</v>
      </c>
      <c r="BK15" s="580">
        <f ca="1" t="shared" si="26"/>
        <v>563963775.171875</v>
      </c>
      <c r="BL15" s="586">
        <f ca="1" t="shared" si="27"/>
        <v>6.76215613699938e-26</v>
      </c>
      <c r="BM15" s="594">
        <f ca="1" t="shared" si="28"/>
        <v>79328318.046875</v>
      </c>
      <c r="BN15" s="580">
        <f ca="1" t="shared" si="29"/>
        <v>22793770.6250252</v>
      </c>
      <c r="BO15" s="580">
        <f ca="1" t="shared" si="30"/>
        <v>7.61318413065133e-7</v>
      </c>
      <c r="BP15" s="595">
        <f ca="1" t="shared" si="31"/>
        <v>145132191.925553</v>
      </c>
      <c r="BQ15" s="596">
        <f>BQ$3*3600</f>
        <v>21600</v>
      </c>
      <c r="BR15" s="580">
        <f ca="1" t="shared" ref="BR15:BU15" si="165">BJ15</f>
        <v>96275408806767.6</v>
      </c>
      <c r="BS15" s="580">
        <f ca="1" t="shared" si="165"/>
        <v>563963775.171875</v>
      </c>
      <c r="BT15" s="581">
        <f ca="1" t="shared" si="165"/>
        <v>6.76215613699938e-26</v>
      </c>
      <c r="BU15" s="580">
        <f ca="1" t="shared" si="165"/>
        <v>79328318.046875</v>
      </c>
      <c r="BV15" s="580">
        <f ca="1">MAX(INDIRECT("'"&amp;$B$2&amp;"-事故进程'!Z"&amp;(ROW()+22)),INDIRECT("'"&amp;$B$2&amp;"-事故进程'!AA"&amp;(ROW()+22)))</f>
        <v>2.55284204919198e-11</v>
      </c>
      <c r="BW15" s="580">
        <f ca="1">SUM(BV$3,-LN(1-BW$3)/BQ15)</f>
        <v>4.62592926927149e-20</v>
      </c>
      <c r="BX15" s="580">
        <f>BX$3/24/3600</f>
        <v>1157407407407410</v>
      </c>
      <c r="BY15" s="582">
        <f ca="1" t="shared" si="33"/>
        <v>0.163302651349194</v>
      </c>
      <c r="BZ15" s="582">
        <f ca="1" t="shared" si="34"/>
        <v>0.163302741396568</v>
      </c>
      <c r="CA15" s="582">
        <f t="shared" si="35"/>
        <v>0</v>
      </c>
      <c r="CB15" s="582">
        <f ca="1" t="shared" si="36"/>
        <v>2457.77351615501</v>
      </c>
      <c r="CC15" s="582">
        <f ca="1" t="shared" si="37"/>
        <v>4.50810409129815e-26</v>
      </c>
      <c r="CD15" s="582">
        <f ca="1" t="shared" si="38"/>
        <v>-1.81207030772554e-9</v>
      </c>
      <c r="CE15" s="580">
        <f ca="1" t="shared" si="39"/>
        <v>15722029517872.7</v>
      </c>
      <c r="CF15" s="580">
        <f ca="1" t="shared" si="40"/>
        <v>100766178.265625</v>
      </c>
      <c r="CG15" s="586">
        <f ca="1" t="shared" si="41"/>
        <v>4.02742552361239e-27</v>
      </c>
      <c r="CH15" s="594">
        <f ca="1" t="shared" si="42"/>
        <v>12954531.8027344</v>
      </c>
      <c r="CI15" s="580">
        <f ca="1" t="shared" si="43"/>
        <v>24511354.2347447</v>
      </c>
      <c r="CJ15" s="580">
        <f ca="1" t="shared" si="44"/>
        <v>2.68917734673924e-7</v>
      </c>
      <c r="CK15" s="595">
        <f ca="1" t="shared" si="45"/>
        <v>2.68917734677763e-7</v>
      </c>
      <c r="CL15" s="596">
        <f>CL$3*3600</f>
        <v>57600</v>
      </c>
      <c r="CM15" s="580">
        <f ca="1" t="shared" ref="CM15:CP15" si="166">CE15</f>
        <v>15722029517872.7</v>
      </c>
      <c r="CN15" s="580">
        <f ca="1" t="shared" si="166"/>
        <v>100766178.265625</v>
      </c>
      <c r="CO15" s="581">
        <f ca="1" t="shared" si="166"/>
        <v>4.02742552361239e-27</v>
      </c>
      <c r="CP15" s="580">
        <f ca="1" t="shared" si="166"/>
        <v>12954531.8027344</v>
      </c>
      <c r="CQ15" s="580">
        <f ca="1">MAX(INDIRECT("'"&amp;$B$2&amp;"-事故进程'!AA"&amp;(ROW()+22)),INDIRECT("'"&amp;$B$2&amp;"-事故进程'!AB"&amp;(ROW()+22)))</f>
        <v>2.55284204919198e-11</v>
      </c>
      <c r="CR15" s="580">
        <f ca="1">SUM(CQ$3,-LN(1-CR$3)/CL15)</f>
        <v>1.73472347597681e-20</v>
      </c>
      <c r="CS15" s="580">
        <f>CS$3/24/3600</f>
        <v>1157407407407410</v>
      </c>
      <c r="CT15" s="582">
        <f ca="1" t="shared" si="47"/>
        <v>0.00796737568254661</v>
      </c>
      <c r="CU15" s="582">
        <f ca="1" t="shared" si="48"/>
        <v>0.00796738739807938</v>
      </c>
      <c r="CV15" s="582">
        <f t="shared" si="49"/>
        <v>0</v>
      </c>
      <c r="CW15" s="582">
        <f ca="1" t="shared" si="50"/>
        <v>401.361152919998</v>
      </c>
      <c r="CX15" s="582">
        <f ca="1" t="shared" si="51"/>
        <v>2.51714095222366e-27</v>
      </c>
      <c r="CY15" s="582">
        <f ca="1" t="shared" si="52"/>
        <v>-6.79526364627483e-10</v>
      </c>
      <c r="CZ15" s="580">
        <f ca="1" t="shared" si="53"/>
        <v>125263315660.979</v>
      </c>
      <c r="DA15" s="580">
        <f ca="1" t="shared" si="54"/>
        <v>987035.130996704</v>
      </c>
      <c r="DB15" s="586">
        <f ca="1" t="shared" si="55"/>
        <v>1.47936932353467e-29</v>
      </c>
      <c r="DC15" s="594">
        <f ca="1" t="shared" si="56"/>
        <v>103213.7734375</v>
      </c>
      <c r="DD15" s="580">
        <f ca="1" t="shared" si="57"/>
        <v>4745894.76783885</v>
      </c>
      <c r="DE15" s="580">
        <f ca="1" t="shared" si="58"/>
        <v>2.1612764393331e-8</v>
      </c>
      <c r="DF15" s="595">
        <f ca="1" t="shared" si="59"/>
        <v>2.16127643932909e-8</v>
      </c>
      <c r="DG15" s="596">
        <f>DG$3*3600</f>
        <v>86400</v>
      </c>
      <c r="DH15" s="580">
        <f ca="1" t="shared" ref="DH15:DK15" si="167">CZ15</f>
        <v>125263315660.979</v>
      </c>
      <c r="DI15" s="580">
        <f ca="1" t="shared" si="167"/>
        <v>987035.130996704</v>
      </c>
      <c r="DJ15" s="581">
        <f ca="1" t="shared" si="167"/>
        <v>1.47936932353467e-29</v>
      </c>
      <c r="DK15" s="580">
        <f ca="1" t="shared" si="167"/>
        <v>103213.7734375</v>
      </c>
      <c r="DL15" s="580">
        <f ca="1">MAX(INDIRECT("'"&amp;$B$2&amp;"-事故进程'!AB"&amp;(ROW()+22)),INDIRECT("'"&amp;$B$2&amp;"-事故进程'!AC"&amp;(ROW()+22)))</f>
        <v>2.33285905757221e-11</v>
      </c>
      <c r="DM15" s="580">
        <f ca="1">SUM(DL$3,-LN(1-DM$3)/DG15)</f>
        <v>1.15648231731787e-20</v>
      </c>
      <c r="DN15" s="580">
        <f>DN$3/24/3600</f>
        <v>1157407407407410</v>
      </c>
      <c r="DO15" s="582">
        <f ca="1" t="shared" si="61"/>
        <v>0.000711169341920084</v>
      </c>
      <c r="DP15" s="582">
        <f ca="1" t="shared" si="62"/>
        <v>0.000711170775347502</v>
      </c>
      <c r="DQ15" s="582">
        <f t="shared" si="63"/>
        <v>0</v>
      </c>
      <c r="DR15" s="582">
        <f ca="1" t="shared" si="64"/>
        <v>2.92223963135086</v>
      </c>
      <c r="DS15" s="582">
        <f ca="1" t="shared" si="65"/>
        <v>4.9312310784287e-30</v>
      </c>
      <c r="DT15" s="582">
        <f ca="1" t="shared" si="66"/>
        <v>-4.95736042920109e-10</v>
      </c>
      <c r="DU15" s="580">
        <f ca="1" t="shared" si="67"/>
        <v>89083429.7653462</v>
      </c>
      <c r="DV15" s="580">
        <f ca="1" t="shared" si="68"/>
        <v>881.506410673261</v>
      </c>
      <c r="DW15" s="586">
        <f ca="1" t="shared" si="69"/>
        <v>8.80801842140719e-33</v>
      </c>
      <c r="DX15" s="594">
        <f ca="1" t="shared" si="70"/>
        <v>73.4026192575693</v>
      </c>
      <c r="DY15" s="580">
        <f ca="1" t="shared" si="71"/>
        <v>34806.7157269751</v>
      </c>
      <c r="DZ15" s="580">
        <f ca="1" t="shared" si="72"/>
        <v>1.40736776137255e-10</v>
      </c>
      <c r="EA15" s="595">
        <f ca="1" t="shared" si="73"/>
        <v>1.4073677613707e-10</v>
      </c>
      <c r="EB15" s="596">
        <f>EB$3*3600</f>
        <v>172800</v>
      </c>
      <c r="EC15" s="580">
        <f ca="1" t="shared" ref="EC15:EF15" si="168">DU15</f>
        <v>89083429.7653462</v>
      </c>
      <c r="ED15" s="580">
        <f ca="1" t="shared" si="168"/>
        <v>881.506410673261</v>
      </c>
      <c r="EE15" s="581">
        <f ca="1" t="shared" si="168"/>
        <v>8.80801842140719e-33</v>
      </c>
      <c r="EF15" s="580">
        <f ca="1" t="shared" si="168"/>
        <v>73.4026192575693</v>
      </c>
      <c r="EG15" s="580">
        <f ca="1">MAX(INDIRECT("'"&amp;$B$2&amp;"-事故进程'!AC"&amp;(ROW()+22)),INDIRECT("'"&amp;$B$2&amp;"-事故进程'!AD"&amp;(ROW()+22)),INDIRECT("'"&amp;$B$2&amp;"-事故进程'!AE"&amp;(ROW()+22)))</f>
        <v>2.16537629871132e-11</v>
      </c>
      <c r="EH15" s="580">
        <f ca="1">SUM(EG$3,-LN(1-EH$3)/EB15)</f>
        <v>5.78241158658936e-21</v>
      </c>
      <c r="EI15" s="580">
        <f>EI$3/24/3600</f>
        <v>1157407407407410</v>
      </c>
      <c r="EJ15" s="582">
        <f ca="1" t="shared" si="75"/>
        <v>5.05761979259704e-7</v>
      </c>
      <c r="EK15" s="582">
        <f ca="1" t="shared" si="76"/>
        <v>5.05763871708368e-7</v>
      </c>
      <c r="EL15" s="582">
        <f t="shared" si="77"/>
        <v>0</v>
      </c>
      <c r="EM15" s="582">
        <f ca="1" t="shared" si="78"/>
        <v>0.00192901056214883</v>
      </c>
      <c r="EN15" s="582">
        <f ca="1" t="shared" si="79"/>
        <v>4.40400921072859e-33</v>
      </c>
      <c r="EO15" s="582">
        <f ca="1" t="shared" si="80"/>
        <v>-2.67039571439605e-10</v>
      </c>
      <c r="EP15" s="580">
        <f ca="1" t="shared" si="81"/>
        <v>45.0550117573643</v>
      </c>
      <c r="EQ15" s="580">
        <f ca="1" t="shared" si="82"/>
        <v>0.000614419912935205</v>
      </c>
      <c r="ER15" s="586">
        <f ca="1" t="shared" si="83"/>
        <v>3.06964410356183e-39</v>
      </c>
      <c r="ES15" s="594">
        <f ca="1" t="shared" si="84"/>
        <v>3.71243928682929e-5</v>
      </c>
      <c r="ET15" s="580">
        <f ca="1" t="shared" si="85"/>
        <v>22.9926858725015</v>
      </c>
      <c r="EU15" s="580">
        <f ca="1" t="shared" si="86"/>
        <v>6.23414031715992e-14</v>
      </c>
      <c r="EV15" s="595">
        <f ca="1" t="shared" si="87"/>
        <v>6.2341403170839e-14</v>
      </c>
      <c r="EW15" s="596">
        <f>EW$3*3600</f>
        <v>2246400</v>
      </c>
      <c r="EX15" s="580">
        <f ca="1" t="shared" ref="EX15:FA15" si="169">EP15</f>
        <v>45.0550117573643</v>
      </c>
      <c r="EY15" s="580">
        <f ca="1" t="shared" si="169"/>
        <v>0.000614419912935205</v>
      </c>
      <c r="EZ15" s="581">
        <f ca="1" t="shared" si="169"/>
        <v>3.06964410356183e-39</v>
      </c>
      <c r="FA15" s="580">
        <f ca="1" t="shared" si="169"/>
        <v>3.71243928682929e-5</v>
      </c>
      <c r="FB15" s="580">
        <f ca="1">INDIRECT("'"&amp;$B$2&amp;"-事故进程'!AE"&amp;(ROW()+22))</f>
        <v>0</v>
      </c>
      <c r="FC15" s="580">
        <f ca="1">SUM(FB$3,-LN(1-FC$3)/EW15)</f>
        <v>4.44800891276105e-22</v>
      </c>
      <c r="FD15" s="580">
        <f>FD$3/24/3600</f>
        <v>1157407407407410</v>
      </c>
      <c r="FE15" s="582">
        <f ca="1" t="shared" si="89"/>
        <v>1.41684205887995e-82</v>
      </c>
      <c r="FF15" s="582">
        <f ca="1" t="shared" si="90"/>
        <v>1.41684205887995e-82</v>
      </c>
      <c r="FG15" s="582">
        <f t="shared" si="91"/>
        <v>0</v>
      </c>
      <c r="FH15" s="582">
        <f ca="1" t="shared" si="92"/>
        <v>-2.73294524891366e-25</v>
      </c>
      <c r="FI15" s="582">
        <f ca="1" t="shared" si="93"/>
        <v>2.83351763405569e-39</v>
      </c>
      <c r="FJ15" s="582">
        <f ca="1" t="shared" si="94"/>
        <v>1</v>
      </c>
      <c r="FK15" s="580">
        <f ca="1" t="shared" si="95"/>
        <v>6.38358356211643e-81</v>
      </c>
      <c r="FL15" s="580">
        <f ca="1" t="shared" si="96"/>
        <v>8.70535974459954e-86</v>
      </c>
      <c r="FM15" s="586">
        <f ca="1" t="shared" si="97"/>
        <v>3.34553913211133e-122</v>
      </c>
      <c r="FN15" s="594">
        <f ca="1" t="shared" si="98"/>
        <v>5.25994012329399e-87</v>
      </c>
      <c r="FO15" s="580">
        <f ca="1" t="shared" si="99"/>
        <v>0</v>
      </c>
      <c r="FP15" s="580">
        <f ca="1" t="shared" si="100"/>
        <v>3.2575467779129e-21</v>
      </c>
      <c r="FQ15" s="595">
        <f ca="1" t="shared" si="101"/>
        <v>3.2575467779129e-21</v>
      </c>
      <c r="FR15" s="608" t="str">
        <f t="shared" si="102"/>
        <v>I-132</v>
      </c>
      <c r="FS15" s="609">
        <v>5610000000</v>
      </c>
      <c r="FT15" s="610">
        <v>49800000000</v>
      </c>
      <c r="FU15" s="610">
        <v>7420000000</v>
      </c>
      <c r="FV15" s="610">
        <v>46100000</v>
      </c>
      <c r="FW15" s="610">
        <v>62900000000</v>
      </c>
      <c r="FX15" s="614">
        <f ca="1" t="shared" si="103"/>
        <v>0</v>
      </c>
      <c r="FY15" s="614">
        <f ca="1" t="shared" si="104"/>
        <v>0.00291430104268179</v>
      </c>
      <c r="FZ15" s="614">
        <f ca="1" t="shared" si="105"/>
        <v>2.91277148157559e-18</v>
      </c>
      <c r="GA15" s="614">
        <f ca="1" t="shared" si="106"/>
        <v>3.05421079262996e-18</v>
      </c>
      <c r="GB15" s="614">
        <f ca="1" t="shared" si="107"/>
        <v>0.00230734804333153</v>
      </c>
      <c r="GC15" s="455">
        <f ca="1" t="shared" si="108"/>
        <v>0.00230734804333153</v>
      </c>
      <c r="GE15" s="609">
        <v>1207945712.85162</v>
      </c>
      <c r="GF15" s="610">
        <v>1952000830.14714</v>
      </c>
      <c r="GG15" s="610">
        <v>398464061.029298</v>
      </c>
      <c r="GH15" s="610">
        <v>3988575.67204151</v>
      </c>
      <c r="GI15" s="610">
        <v>24342.6356771423</v>
      </c>
      <c r="GJ15" s="610">
        <v>0.00132004220425357</v>
      </c>
      <c r="GK15" s="617">
        <v>3562423522.33709</v>
      </c>
      <c r="GL15" s="614">
        <f ca="1" t="shared" si="109"/>
        <v>0</v>
      </c>
      <c r="GM15" s="614">
        <f ca="1" t="shared" si="110"/>
        <v>0.0743504765387897</v>
      </c>
      <c r="GN15" s="614">
        <f ca="1" t="shared" si="111"/>
        <v>5.42401850180956e-17</v>
      </c>
      <c r="GO15" s="614">
        <f ca="1" t="shared" si="112"/>
        <v>3.5086464947323e-17</v>
      </c>
      <c r="GP15" s="614">
        <f ca="1" t="shared" si="113"/>
        <v>2.46775956663818e-18</v>
      </c>
      <c r="GQ15" s="614">
        <f ca="1" t="shared" si="114"/>
        <v>0.040739735468157</v>
      </c>
      <c r="GR15" s="451">
        <f t="shared" si="115"/>
        <v>8.38958097990735e-5</v>
      </c>
      <c r="GS15" s="390">
        <f t="shared" si="116"/>
        <v>8262</v>
      </c>
    </row>
    <row r="16" spans="1:201">
      <c r="A16" s="421" t="s">
        <v>161</v>
      </c>
      <c r="B16" s="427"/>
      <c r="C16" s="428"/>
      <c r="D16" s="410"/>
      <c r="E16" s="410"/>
      <c r="G16" s="411" t="s">
        <v>57</v>
      </c>
      <c r="H16" s="412">
        <f ca="1" t="shared" si="1"/>
        <v>0</v>
      </c>
      <c r="I16" s="412">
        <f ca="1" t="shared" si="2"/>
        <v>125603042285.745</v>
      </c>
      <c r="J16" s="412">
        <f ca="1" t="shared" si="3"/>
        <v>0.000759364117559054</v>
      </c>
      <c r="K16" s="412">
        <f ca="1" t="shared" si="4"/>
        <v>0.000569900382547066</v>
      </c>
      <c r="L16" s="412">
        <f ca="1" t="shared" si="5"/>
        <v>0.000457232383615871</v>
      </c>
      <c r="M16" s="412">
        <f ca="1" t="shared" si="6"/>
        <v>2.75089132458586e-6</v>
      </c>
      <c r="N16" s="412">
        <f ca="1" t="shared" si="7"/>
        <v>125603042285.747</v>
      </c>
      <c r="O16" s="450">
        <f ca="1" t="shared" si="8"/>
        <v>125603042285.744</v>
      </c>
      <c r="P16" s="451"/>
      <c r="Q16" s="477" t="str">
        <f t="shared" si="0"/>
        <v>I-133</v>
      </c>
      <c r="R16" s="412">
        <f ca="1" t="shared" si="9"/>
        <v>0</v>
      </c>
      <c r="S16" s="412">
        <f ca="1">I16*(1-过滤效率!$B13)</f>
        <v>6280152114.28726</v>
      </c>
      <c r="T16" s="412">
        <f ca="1">J16*(1-过滤效率!$B13)</f>
        <v>3.79682058779527e-5</v>
      </c>
      <c r="U16" s="412">
        <f ca="1">K16*(1-过滤效率!$B13)</f>
        <v>2.84950191273533e-5</v>
      </c>
      <c r="V16" s="412">
        <f ca="1">L16*(1-过滤效率!$B13)</f>
        <v>2.28616191807936e-5</v>
      </c>
      <c r="W16" s="412">
        <f ca="1">M16*(1-过滤效率!$B13)</f>
        <v>1.37544566229293e-7</v>
      </c>
      <c r="X16" s="412">
        <f ca="1" t="shared" si="10"/>
        <v>6280152114.28735</v>
      </c>
      <c r="Y16" s="493"/>
      <c r="Z16" s="494">
        <f>VLOOKUP(G16,衰变常数!$A$1:$H$3800,7,FALSE)</f>
        <v>9.25677324465738e-6</v>
      </c>
      <c r="AA16" s="495">
        <f>正常源项!C13</f>
        <v>4.55e+17</v>
      </c>
      <c r="AB16" s="496">
        <f>正常源项!F13</f>
        <v>0</v>
      </c>
      <c r="AC16" s="496">
        <f>正常源项!I13</f>
        <v>119000000</v>
      </c>
      <c r="AD16" s="497"/>
      <c r="AE16" s="496">
        <f>正常源项!O13</f>
        <v>286000000000</v>
      </c>
      <c r="AF16" s="498">
        <f t="shared" si="157"/>
        <v>0</v>
      </c>
      <c r="AG16" s="519">
        <f t="shared" si="158"/>
        <v>0</v>
      </c>
      <c r="AH16" s="523">
        <v>1</v>
      </c>
      <c r="AI16" s="519">
        <f t="shared" si="159"/>
        <v>15052631578.9474</v>
      </c>
      <c r="AJ16" s="521"/>
      <c r="AK16" s="521"/>
      <c r="AL16" s="519">
        <f t="shared" si="11"/>
        <v>66566500</v>
      </c>
      <c r="AM16" s="520">
        <f t="shared" si="12"/>
        <v>1911000000000</v>
      </c>
      <c r="AN16" s="519">
        <f ca="1">MAX(INDIRECT("'"&amp;$B$2&amp;"-事故进程'!Y"&amp;(ROW()+22)),INDIRECT("'"&amp;$B$2&amp;"-事故进程'!Z"&amp;(ROW()+22)),INDIRECT("'"&amp;$B$2&amp;"-事故进程'!AA"&amp;(ROW()+22)))</f>
        <v>8.70395061718682e-12</v>
      </c>
      <c r="AO16" s="519">
        <f ca="1" t="shared" si="13"/>
        <v>154937040329.206</v>
      </c>
      <c r="AP16" s="560">
        <f t="shared" si="14"/>
        <v>1.97786432916904e+17</v>
      </c>
      <c r="AQ16" s="561">
        <f ca="1">(AC16*$C$5+AD16*$C$8+AF16+AG16+AI16+(AL16+AM16)*$C$10)*EXP(-Z16*$C$12*3600)+AO16*$C$11</f>
        <v>992264034057.38</v>
      </c>
      <c r="AR16" s="562">
        <f ca="1">AQ16*(1-AR$3)</f>
        <v>866660991771.635</v>
      </c>
      <c r="AS16" s="563">
        <f ca="1" t="shared" si="15"/>
        <v>125603042285.744</v>
      </c>
      <c r="AT16" s="562">
        <f ca="1">AS16*(1-AT$3)</f>
        <v>125603042285.744</v>
      </c>
      <c r="AU16" s="564">
        <f ca="1" t="shared" si="16"/>
        <v>0</v>
      </c>
      <c r="AV16" s="565">
        <f>AV$3*3600</f>
        <v>7200</v>
      </c>
      <c r="AW16" s="580">
        <f>AP16*EXP(-Z16*AW$3*3600)</f>
        <v>1.97786432916904e+17</v>
      </c>
      <c r="AX16" s="580">
        <f ca="1" t="shared" si="17"/>
        <v>866660991771.635</v>
      </c>
      <c r="AY16" s="581">
        <f ca="1" t="shared" si="18"/>
        <v>125603042285.744</v>
      </c>
      <c r="AZ16" s="580">
        <v>0</v>
      </c>
      <c r="BA16" s="580">
        <f ca="1">MAX(INDIRECT("'"&amp;$B$2&amp;"-事故进程'!Y"&amp;(ROW()+22)),INDIRECT("'"&amp;$B$2&amp;"-事故进程'!Z"&amp;(ROW()+22)))</f>
        <v>8.16827442259147e-12</v>
      </c>
      <c r="BB16" s="580">
        <f>SUM(BA$3,-LN(1-BB$3)/AV16)</f>
        <v>1.38777878078145e-19</v>
      </c>
      <c r="BC16" s="580">
        <f>BC$3/24/3600</f>
        <v>1157407407407410</v>
      </c>
      <c r="BD16" s="582">
        <f ca="1" t="shared" si="19"/>
        <v>0.935523675086836</v>
      </c>
      <c r="BE16" s="582">
        <f t="shared" si="20"/>
        <v>0.935523730106459</v>
      </c>
      <c r="BF16" s="582">
        <f t="shared" si="21"/>
        <v>0</v>
      </c>
      <c r="BG16" s="582">
        <f ca="1" t="shared" si="22"/>
        <v>1615580.94025544</v>
      </c>
      <c r="BH16" s="582">
        <f ca="1" t="shared" si="23"/>
        <v>125603042285.744</v>
      </c>
      <c r="BI16" s="582">
        <f ca="1" t="shared" si="24"/>
        <v>-1.6989865087311e-8</v>
      </c>
      <c r="BJ16" s="580">
        <f ca="1" t="shared" si="25"/>
        <v>1.85033890604738e+17</v>
      </c>
      <c r="BK16" s="580">
        <f ca="1" t="shared" si="26"/>
        <v>821664058752</v>
      </c>
      <c r="BL16" s="586">
        <f ca="1" t="shared" si="27"/>
        <v>9.85208785044212e-23</v>
      </c>
      <c r="BM16" s="594">
        <f ca="1" t="shared" si="28"/>
        <v>117504626624</v>
      </c>
      <c r="BN16" s="580">
        <f ca="1" t="shared" si="29"/>
        <v>11252968018.2314</v>
      </c>
      <c r="BO16" s="580">
        <f ca="1" t="shared" si="30"/>
        <v>0.000843300543068347</v>
      </c>
      <c r="BP16" s="595">
        <f ca="1" t="shared" si="31"/>
        <v>125603042285.745</v>
      </c>
      <c r="BQ16" s="596">
        <f>BQ$3*3600</f>
        <v>21600</v>
      </c>
      <c r="BR16" s="580">
        <f ca="1" t="shared" ref="BR16:BU16" si="170">BJ16</f>
        <v>1.85033890604738e+17</v>
      </c>
      <c r="BS16" s="580">
        <f ca="1" t="shared" si="170"/>
        <v>821664058752</v>
      </c>
      <c r="BT16" s="581">
        <f ca="1" t="shared" si="170"/>
        <v>9.85208785044212e-23</v>
      </c>
      <c r="BU16" s="580">
        <f ca="1" t="shared" si="170"/>
        <v>117504626624</v>
      </c>
      <c r="BV16" s="580">
        <f ca="1">MAX(INDIRECT("'"&amp;$B$2&amp;"-事故进程'!Z"&amp;(ROW()+22)),INDIRECT("'"&amp;$B$2&amp;"-事故进程'!AA"&amp;(ROW()+22)))</f>
        <v>8.70395061718682e-12</v>
      </c>
      <c r="BW16" s="580">
        <f ca="1">SUM(BV$3,-LN(1-BW$3)/BQ16)</f>
        <v>4.62592926927149e-20</v>
      </c>
      <c r="BX16" s="580">
        <f>BX$3/24/3600</f>
        <v>1157407407407410</v>
      </c>
      <c r="BY16" s="582">
        <f ca="1" t="shared" si="33"/>
        <v>0.818774564459109</v>
      </c>
      <c r="BZ16" s="582">
        <f ca="1" t="shared" si="34"/>
        <v>0.818774718393108</v>
      </c>
      <c r="CA16" s="582">
        <f t="shared" si="35"/>
        <v>0</v>
      </c>
      <c r="CB16" s="582">
        <f ca="1" t="shared" si="36"/>
        <v>1610532.99805294</v>
      </c>
      <c r="CC16" s="582">
        <f ca="1" t="shared" si="37"/>
        <v>6.56805856692178e-23</v>
      </c>
      <c r="CD16" s="582">
        <f ca="1" t="shared" si="38"/>
        <v>-5.31474671366215e-9</v>
      </c>
      <c r="CE16" s="580">
        <f ca="1" t="shared" si="39"/>
        <v>1.51501043190069e+17</v>
      </c>
      <c r="CF16" s="580">
        <f ca="1" t="shared" si="40"/>
        <v>701240765120</v>
      </c>
      <c r="CG16" s="586">
        <f ca="1" t="shared" si="41"/>
        <v>2.80272111569292e-23</v>
      </c>
      <c r="CH16" s="594">
        <f ca="1" t="shared" si="42"/>
        <v>96209817568</v>
      </c>
      <c r="CI16" s="580">
        <f ca="1" t="shared" si="43"/>
        <v>31530206671.3185</v>
      </c>
      <c r="CJ16" s="580">
        <f ca="1" t="shared" si="44"/>
        <v>0.000759364117561517</v>
      </c>
      <c r="CK16" s="595">
        <f ca="1" t="shared" si="45"/>
        <v>0.000759364117559054</v>
      </c>
      <c r="CL16" s="596">
        <f>CL$3*3600</f>
        <v>57600</v>
      </c>
      <c r="CM16" s="580">
        <f ca="1" t="shared" ref="CM16:CP16" si="171">CE16</f>
        <v>1.51501043190069e+17</v>
      </c>
      <c r="CN16" s="580">
        <f ca="1" t="shared" si="171"/>
        <v>701240765120</v>
      </c>
      <c r="CO16" s="581">
        <f ca="1" t="shared" si="171"/>
        <v>2.80272111569292e-23</v>
      </c>
      <c r="CP16" s="580">
        <f ca="1" t="shared" si="171"/>
        <v>96209817568</v>
      </c>
      <c r="CQ16" s="580">
        <f ca="1">MAX(INDIRECT("'"&amp;$B$2&amp;"-事故进程'!AA"&amp;(ROW()+22)),INDIRECT("'"&amp;$B$2&amp;"-事故进程'!AB"&amp;(ROW()+22)))</f>
        <v>8.70395061718682e-12</v>
      </c>
      <c r="CR16" s="580">
        <f ca="1">SUM(CQ$3,-LN(1-CR$3)/CL16)</f>
        <v>1.73472347597681e-20</v>
      </c>
      <c r="CS16" s="580">
        <f>CS$3/24/3600</f>
        <v>1157407407407410</v>
      </c>
      <c r="CT16" s="582">
        <f ca="1" t="shared" si="47"/>
        <v>0.586729935846621</v>
      </c>
      <c r="CU16" s="582">
        <f ca="1" t="shared" si="48"/>
        <v>0.586730230002313</v>
      </c>
      <c r="CV16" s="582">
        <f t="shared" si="49"/>
        <v>0</v>
      </c>
      <c r="CW16" s="582">
        <f ca="1" t="shared" si="50"/>
        <v>1318663.70194362</v>
      </c>
      <c r="CX16" s="582">
        <f ca="1" t="shared" si="51"/>
        <v>1.75170069731624e-23</v>
      </c>
      <c r="CY16" s="582">
        <f ca="1" t="shared" si="52"/>
        <v>-1.99303001100303e-9</v>
      </c>
      <c r="CZ16" s="580">
        <f ca="1" t="shared" si="53"/>
        <v>8.88901973516051e+16</v>
      </c>
      <c r="DA16" s="580">
        <f ca="1" t="shared" si="54"/>
        <v>456004049712</v>
      </c>
      <c r="DB16" s="586">
        <f ca="1" t="shared" si="55"/>
        <v>6.83459363668216e-24</v>
      </c>
      <c r="DC16" s="594">
        <f ca="1" t="shared" si="56"/>
        <v>56449208400</v>
      </c>
      <c r="DD16" s="580">
        <f ca="1" t="shared" si="57"/>
        <v>58871615784.3853</v>
      </c>
      <c r="DE16" s="580">
        <f ca="1" t="shared" si="58"/>
        <v>0.000569900382543495</v>
      </c>
      <c r="DF16" s="595">
        <f ca="1" t="shared" si="59"/>
        <v>0.000569900382547066</v>
      </c>
      <c r="DG16" s="596">
        <f>DG$3*3600</f>
        <v>86400</v>
      </c>
      <c r="DH16" s="580">
        <f ca="1" t="shared" ref="DH16:DK16" si="172">CZ16</f>
        <v>8.88901973516051e+16</v>
      </c>
      <c r="DI16" s="580">
        <f ca="1" t="shared" si="172"/>
        <v>456004049712</v>
      </c>
      <c r="DJ16" s="581">
        <f ca="1" t="shared" si="172"/>
        <v>6.83459363668216e-24</v>
      </c>
      <c r="DK16" s="580">
        <f ca="1" t="shared" si="172"/>
        <v>56449208400</v>
      </c>
      <c r="DL16" s="580">
        <f ca="1">MAX(INDIRECT("'"&amp;$B$2&amp;"-事故进程'!AB"&amp;(ROW()+22)),INDIRECT("'"&amp;$B$2&amp;"-事故进程'!AC"&amp;(ROW()+22)))</f>
        <v>7.95884191168537e-12</v>
      </c>
      <c r="DM16" s="580">
        <f ca="1">SUM(DL$3,-LN(1-DM$3)/DG16)</f>
        <v>1.15648231731787e-20</v>
      </c>
      <c r="DN16" s="580">
        <f>DN$3/24/3600</f>
        <v>1157407407407410</v>
      </c>
      <c r="DO16" s="582">
        <f ca="1" t="shared" si="61"/>
        <v>0.449425177553165</v>
      </c>
      <c r="DP16" s="582">
        <f ca="1" t="shared" si="62"/>
        <v>0.449425486597771</v>
      </c>
      <c r="DQ16" s="582">
        <f t="shared" si="63"/>
        <v>0</v>
      </c>
      <c r="DR16" s="582">
        <f ca="1" t="shared" si="64"/>
        <v>707466.657484076</v>
      </c>
      <c r="DS16" s="582">
        <f ca="1" t="shared" si="65"/>
        <v>2.27819787886897e-24</v>
      </c>
      <c r="DT16" s="582">
        <f ca="1" t="shared" si="66"/>
        <v>-1.45307864112787e-9</v>
      </c>
      <c r="DU16" s="580">
        <f ca="1" t="shared" si="67"/>
        <v>3.9949492727481e+16</v>
      </c>
      <c r="DV16" s="580">
        <f ca="1" t="shared" si="68"/>
        <v>232410878000</v>
      </c>
      <c r="DW16" s="586">
        <f ca="1" t="shared" si="69"/>
        <v>2.32225117136685e-24</v>
      </c>
      <c r="DX16" s="594">
        <f ca="1" t="shared" si="70"/>
        <v>25369712960</v>
      </c>
      <c r="DY16" s="580">
        <f ca="1" t="shared" si="71"/>
        <v>42078485230.1195</v>
      </c>
      <c r="DZ16" s="580">
        <f ca="1" t="shared" si="72"/>
        <v>0.000331913254569436</v>
      </c>
      <c r="EA16" s="595">
        <f ca="1" t="shared" si="73"/>
        <v>0.000331913254570581</v>
      </c>
      <c r="EB16" s="596">
        <f>EB$3*3600</f>
        <v>172800</v>
      </c>
      <c r="EC16" s="580">
        <f ca="1" t="shared" ref="EC16:EF16" si="173">DU16</f>
        <v>3.9949492727481e+16</v>
      </c>
      <c r="ED16" s="580">
        <f ca="1" t="shared" si="173"/>
        <v>232410878000</v>
      </c>
      <c r="EE16" s="581">
        <f ca="1" t="shared" si="173"/>
        <v>2.32225117136685e-24</v>
      </c>
      <c r="EF16" s="580">
        <f ca="1" t="shared" si="173"/>
        <v>25369712960</v>
      </c>
      <c r="EG16" s="580">
        <f ca="1">MAX(INDIRECT("'"&amp;$B$2&amp;"-事故进程'!AC"&amp;(ROW()+22)),INDIRECT("'"&amp;$B$2&amp;"-事故进程'!AD"&amp;(ROW()+22)),INDIRECT("'"&amp;$B$2&amp;"-事故进程'!AE"&amp;(ROW()+22)))</f>
        <v>7.39116143933844e-12</v>
      </c>
      <c r="EH16" s="580">
        <f ca="1">SUM(EG$3,-LN(1-EH$3)/EB16)</f>
        <v>5.78241158658936e-21</v>
      </c>
      <c r="EI16" s="580">
        <f>EI$3/24/3600</f>
        <v>1157407407407410</v>
      </c>
      <c r="EJ16" s="582">
        <f ca="1" t="shared" si="75"/>
        <v>0.201983010032253</v>
      </c>
      <c r="EK16" s="582">
        <f ca="1" t="shared" si="76"/>
        <v>0.201983268003643</v>
      </c>
      <c r="EL16" s="582">
        <f t="shared" si="77"/>
        <v>0</v>
      </c>
      <c r="EM16" s="582">
        <f ca="1" t="shared" si="78"/>
        <v>295274.867954807</v>
      </c>
      <c r="EN16" s="582">
        <f ca="1" t="shared" si="79"/>
        <v>1.16112558568658e-24</v>
      </c>
      <c r="EO16" s="582">
        <f ca="1" t="shared" si="80"/>
        <v>-7.82341400410642e-10</v>
      </c>
      <c r="EP16" s="580">
        <f ca="1" t="shared" si="81"/>
        <v>8069118790358230</v>
      </c>
      <c r="EQ16" s="580">
        <f ca="1" t="shared" si="82"/>
        <v>57248934828</v>
      </c>
      <c r="ER16" s="586">
        <f ca="1" t="shared" si="83"/>
        <v>2.86015885118543e-25</v>
      </c>
      <c r="ES16" s="594">
        <f ca="1" t="shared" si="84"/>
        <v>5124257532</v>
      </c>
      <c r="ET16" s="580">
        <f ca="1" t="shared" si="85"/>
        <v>25455177105.956</v>
      </c>
      <c r="EU16" s="580">
        <f ca="1" t="shared" si="86"/>
        <v>0.00012531912904386</v>
      </c>
      <c r="EV16" s="595">
        <f ca="1" t="shared" si="87"/>
        <v>0.000125319129045289</v>
      </c>
      <c r="EW16" s="596">
        <f>EW$3*3600</f>
        <v>2246400</v>
      </c>
      <c r="EX16" s="580">
        <f ca="1" t="shared" ref="EX16:FA16" si="174">EP16</f>
        <v>8069118790358230</v>
      </c>
      <c r="EY16" s="580">
        <f ca="1" t="shared" si="174"/>
        <v>57248934828</v>
      </c>
      <c r="EZ16" s="581">
        <f ca="1" t="shared" si="174"/>
        <v>2.86015885118543e-25</v>
      </c>
      <c r="FA16" s="580">
        <f ca="1" t="shared" si="174"/>
        <v>5124257532</v>
      </c>
      <c r="FB16" s="580">
        <f ca="1">INDIRECT("'"&amp;$B$2&amp;"-事故进程'!AE"&amp;(ROW()+22))</f>
        <v>0</v>
      </c>
      <c r="FC16" s="580">
        <f ca="1">SUM(FB$3,-LN(1-FC$3)/EW16)</f>
        <v>4.44800891276105e-22</v>
      </c>
      <c r="FD16" s="580">
        <f>FD$3/24/3600</f>
        <v>1157407407407410</v>
      </c>
      <c r="FE16" s="582">
        <f ca="1" t="shared" si="89"/>
        <v>9.31322574615499e-10</v>
      </c>
      <c r="FF16" s="582">
        <f ca="1" t="shared" si="90"/>
        <v>9.31322574615499e-10</v>
      </c>
      <c r="FG16" s="582">
        <f t="shared" si="91"/>
        <v>0</v>
      </c>
      <c r="FH16" s="582">
        <f ca="1" t="shared" si="92"/>
        <v>-2.5464377236102e-11</v>
      </c>
      <c r="FI16" s="582">
        <f ca="1" t="shared" si="93"/>
        <v>2.64014663186551e-25</v>
      </c>
      <c r="FJ16" s="582">
        <f ca="1" t="shared" si="94"/>
        <v>1</v>
      </c>
      <c r="FK16" s="580">
        <f ca="1" t="shared" si="95"/>
        <v>7514952.48671473</v>
      </c>
      <c r="FL16" s="580">
        <f ca="1" t="shared" si="96"/>
        <v>53.3172253780079</v>
      </c>
      <c r="FM16" s="586">
        <f ca="1" t="shared" si="97"/>
        <v>2.04902346543899e-35</v>
      </c>
      <c r="FN16" s="594">
        <f ca="1" t="shared" si="98"/>
        <v>4.77233671769381</v>
      </c>
      <c r="FO16" s="580">
        <f ca="1" t="shared" si="99"/>
        <v>0</v>
      </c>
      <c r="FP16" s="580">
        <f ca="1" t="shared" si="100"/>
        <v>2.75089132458586e-6</v>
      </c>
      <c r="FQ16" s="595">
        <f ca="1" t="shared" si="101"/>
        <v>2.75089132458586e-6</v>
      </c>
      <c r="FR16" s="608" t="str">
        <f t="shared" si="102"/>
        <v>I-133</v>
      </c>
      <c r="FS16" s="609">
        <v>6790000000</v>
      </c>
      <c r="FT16" s="610">
        <v>47700000000</v>
      </c>
      <c r="FU16" s="610">
        <v>98100000000</v>
      </c>
      <c r="FV16" s="610">
        <v>85000000000</v>
      </c>
      <c r="FW16" s="610">
        <v>238000000000</v>
      </c>
      <c r="FX16" s="614">
        <f ca="1" t="shared" si="103"/>
        <v>0</v>
      </c>
      <c r="FY16" s="614">
        <f ca="1" t="shared" si="104"/>
        <v>2.63318746930285</v>
      </c>
      <c r="FZ16" s="614">
        <f ca="1" t="shared" si="105"/>
        <v>5.80938208508732e-15</v>
      </c>
      <c r="GA16" s="614">
        <f ca="1" t="shared" si="106"/>
        <v>5.37920451312789e-15</v>
      </c>
      <c r="GB16" s="614">
        <f ca="1" t="shared" si="107"/>
        <v>0.527743875150197</v>
      </c>
      <c r="GC16" s="455">
        <f ca="1" t="shared" si="108"/>
        <v>0.527743875150197</v>
      </c>
      <c r="GE16" s="609">
        <v>495073067.87073</v>
      </c>
      <c r="GF16" s="610">
        <v>4405444796.11228</v>
      </c>
      <c r="GG16" s="610">
        <v>14977012891.4363</v>
      </c>
      <c r="GH16" s="610">
        <v>13784979385.1915</v>
      </c>
      <c r="GI16" s="610">
        <v>12132529645.6464</v>
      </c>
      <c r="GJ16" s="610">
        <v>2325933648.14244</v>
      </c>
      <c r="GK16" s="617">
        <v>48120973434.3997</v>
      </c>
      <c r="GL16" s="614">
        <f ca="1" t="shared" si="109"/>
        <v>0</v>
      </c>
      <c r="GM16" s="614">
        <f ca="1" t="shared" si="110"/>
        <v>28.5108650996122</v>
      </c>
      <c r="GN16" s="614">
        <f ca="1" t="shared" si="111"/>
        <v>3.80516720308713e-14</v>
      </c>
      <c r="GO16" s="614">
        <f ca="1" t="shared" si="112"/>
        <v>1.76418336759074e-14</v>
      </c>
      <c r="GP16" s="614">
        <f ca="1" t="shared" si="113"/>
        <v>1.18270412691385e-15</v>
      </c>
      <c r="GQ16" s="614">
        <f ca="1" t="shared" si="114"/>
        <v>2.61015173471031</v>
      </c>
      <c r="GR16" s="451">
        <f t="shared" si="115"/>
        <v>9.25677324465738e-6</v>
      </c>
      <c r="GS16" s="390">
        <f t="shared" si="116"/>
        <v>74880.0000000001</v>
      </c>
    </row>
    <row r="17" spans="1:201">
      <c r="A17" s="425" t="s">
        <v>266</v>
      </c>
      <c r="B17" s="407" t="s">
        <v>267</v>
      </c>
      <c r="C17" s="422">
        <f>-LN(1-0%)/8/3600</f>
        <v>0</v>
      </c>
      <c r="D17" s="410" t="s">
        <v>268</v>
      </c>
      <c r="E17" s="409" t="s">
        <v>269</v>
      </c>
      <c r="G17" s="411" t="s">
        <v>58</v>
      </c>
      <c r="H17" s="412">
        <f ca="1" t="shared" si="1"/>
        <v>0</v>
      </c>
      <c r="I17" s="412">
        <f ca="1" t="shared" si="2"/>
        <v>1294.14372795392</v>
      </c>
      <c r="J17" s="412">
        <f ca="1" t="shared" si="3"/>
        <v>4.06331212575175e-13</v>
      </c>
      <c r="K17" s="412">
        <f ca="1" t="shared" si="4"/>
        <v>1.48359005192054e-15</v>
      </c>
      <c r="L17" s="412">
        <f ca="1" t="shared" si="5"/>
        <v>3.95963597956412e-21</v>
      </c>
      <c r="M17" s="412">
        <f ca="1" t="shared" si="6"/>
        <v>4.76589980851075e-47</v>
      </c>
      <c r="N17" s="412">
        <f ca="1" t="shared" si="7"/>
        <v>1294.14372795392</v>
      </c>
      <c r="O17" s="450">
        <f ca="1" t="shared" si="8"/>
        <v>1294.14372795392</v>
      </c>
      <c r="P17" s="451"/>
      <c r="Q17" s="477" t="str">
        <f t="shared" si="0"/>
        <v>I-134</v>
      </c>
      <c r="R17" s="412">
        <f ca="1" t="shared" si="9"/>
        <v>0</v>
      </c>
      <c r="S17" s="412">
        <f ca="1">I17*(1-过滤效率!$B14)</f>
        <v>64.707186397696</v>
      </c>
      <c r="T17" s="412">
        <f ca="1">J17*(1-过滤效率!$B14)</f>
        <v>2.03165606287588e-14</v>
      </c>
      <c r="U17" s="412">
        <f ca="1">K17*(1-过滤效率!$B14)</f>
        <v>7.41795025960269e-17</v>
      </c>
      <c r="V17" s="412">
        <f ca="1">L17*(1-过滤效率!$B14)</f>
        <v>1.97981798978206e-22</v>
      </c>
      <c r="W17" s="412">
        <f ca="1">M17*(1-过滤效率!$B14)</f>
        <v>2.38294990425538e-48</v>
      </c>
      <c r="X17" s="412">
        <f ca="1" t="shared" si="10"/>
        <v>64.707186397696</v>
      </c>
      <c r="Y17" s="493"/>
      <c r="Z17" s="494">
        <f>VLOOKUP(G17,衰变常数!$A$1:$H$3800,7,FALSE)</f>
        <v>0.000220046723987284</v>
      </c>
      <c r="AA17" s="495">
        <f>正常源项!C14</f>
        <v>5.26e+17</v>
      </c>
      <c r="AB17" s="496">
        <f>正常源项!F14</f>
        <v>0</v>
      </c>
      <c r="AC17" s="496">
        <f>正常源项!I14</f>
        <v>653000000</v>
      </c>
      <c r="AD17" s="497"/>
      <c r="AE17" s="496">
        <f>正常源项!O14</f>
        <v>66500000000</v>
      </c>
      <c r="AF17" s="498">
        <f t="shared" si="157"/>
        <v>0</v>
      </c>
      <c r="AG17" s="519">
        <f t="shared" si="158"/>
        <v>0</v>
      </c>
      <c r="AH17" s="523">
        <v>1</v>
      </c>
      <c r="AI17" s="519">
        <f t="shared" si="159"/>
        <v>3500000000</v>
      </c>
      <c r="AJ17" s="521"/>
      <c r="AK17" s="521"/>
      <c r="AL17" s="519">
        <f t="shared" si="11"/>
        <v>76953800</v>
      </c>
      <c r="AM17" s="520">
        <f t="shared" si="12"/>
        <v>2209200000000</v>
      </c>
      <c r="AN17" s="519">
        <f ca="1">MAX(INDIRECT("'"&amp;$B$2&amp;"-事故进程'!Y"&amp;(ROW()+22)),INDIRECT("'"&amp;$B$2&amp;"-事故进程'!Z"&amp;(ROW()+22)),INDIRECT("'"&amp;$B$2&amp;"-事故进程'!AA"&amp;(ROW()+22)))</f>
        <v>3.9390695540613e-11</v>
      </c>
      <c r="AO17" s="519">
        <f ca="1" t="shared" si="13"/>
        <v>4674.81161344667</v>
      </c>
      <c r="AP17" s="560">
        <f t="shared" si="14"/>
        <v>1318647528.67191</v>
      </c>
      <c r="AQ17" s="561">
        <f ca="1">(AC17*$C$5+AD17*$C$8+AF17+AG17+AI17+(AL17+AM17)*$C$10)*EXP(-Z17*$C$12*3600)+AO17*$C$11</f>
        <v>10223.7354508359</v>
      </c>
      <c r="AR17" s="562">
        <f ca="1">AQ17*(1-AR$3)</f>
        <v>8929.59172288201</v>
      </c>
      <c r="AS17" s="563">
        <f ca="1" t="shared" si="15"/>
        <v>1294.14372795392</v>
      </c>
      <c r="AT17" s="562">
        <f ca="1">AS17*(1-AT$3)</f>
        <v>1294.14372795392</v>
      </c>
      <c r="AU17" s="564">
        <f ca="1" t="shared" si="16"/>
        <v>0</v>
      </c>
      <c r="AV17" s="565">
        <f>AV$3*3600</f>
        <v>7200</v>
      </c>
      <c r="AW17" s="580">
        <f>AP17*EXP(-Z17*AW$3*3600)</f>
        <v>1318647528.67191</v>
      </c>
      <c r="AX17" s="580">
        <f ca="1" t="shared" si="17"/>
        <v>8929.59172288201</v>
      </c>
      <c r="AY17" s="581">
        <f ca="1" t="shared" si="18"/>
        <v>1294.14372795392</v>
      </c>
      <c r="AZ17" s="580">
        <v>0</v>
      </c>
      <c r="BA17" s="580">
        <f ca="1">MAX(INDIRECT("'"&amp;$B$2&amp;"-事故进程'!Y"&amp;(ROW()+22)),INDIRECT("'"&amp;$B$2&amp;"-事故进程'!Z"&amp;(ROW()+22)))</f>
        <v>3.69441587269252e-11</v>
      </c>
      <c r="BB17" s="580">
        <f>SUM(BA$3,-LN(1-BB$3)/AV17)</f>
        <v>1.38777878078145e-19</v>
      </c>
      <c r="BC17" s="580">
        <f>BC$3/24/3600</f>
        <v>1157407407407410</v>
      </c>
      <c r="BD17" s="582">
        <f ca="1" t="shared" si="19"/>
        <v>0.205083784450038</v>
      </c>
      <c r="BE17" s="582">
        <f t="shared" si="20"/>
        <v>0.20508383900191</v>
      </c>
      <c r="BF17" s="582">
        <f t="shared" si="21"/>
        <v>0</v>
      </c>
      <c r="BG17" s="582">
        <f ca="1" t="shared" si="22"/>
        <v>0.0487166535003754</v>
      </c>
      <c r="BH17" s="582">
        <f ca="1" t="shared" si="23"/>
        <v>1294.14372795392</v>
      </c>
      <c r="BI17" s="582">
        <f ca="1" t="shared" si="24"/>
        <v>-3.75642275752541e-9</v>
      </c>
      <c r="BJ17" s="580">
        <f ca="1" t="shared" si="25"/>
        <v>270433225.535725</v>
      </c>
      <c r="BK17" s="580">
        <f ca="1" t="shared" si="26"/>
        <v>1903.24964249134</v>
      </c>
      <c r="BL17" s="586">
        <f ca="1" t="shared" si="27"/>
        <v>2.28207410072058e-31</v>
      </c>
      <c r="BM17" s="594">
        <f ca="1" t="shared" si="28"/>
        <v>265.407963991165</v>
      </c>
      <c r="BN17" s="580">
        <f ca="1" t="shared" si="29"/>
        <v>175.987119423956</v>
      </c>
      <c r="BO17" s="580">
        <f ca="1" t="shared" si="30"/>
        <v>4.542326036445e-12</v>
      </c>
      <c r="BP17" s="595">
        <f ca="1" t="shared" si="31"/>
        <v>1294.14372795392</v>
      </c>
      <c r="BQ17" s="596">
        <f>BQ$3*3600</f>
        <v>21600</v>
      </c>
      <c r="BR17" s="580">
        <f ca="1" t="shared" ref="BR17:BU17" si="175">BJ17</f>
        <v>270433225.535725</v>
      </c>
      <c r="BS17" s="580">
        <f ca="1" t="shared" si="175"/>
        <v>1903.24964249134</v>
      </c>
      <c r="BT17" s="581">
        <f ca="1" t="shared" si="175"/>
        <v>2.28207410072058e-31</v>
      </c>
      <c r="BU17" s="580">
        <f ca="1" t="shared" si="175"/>
        <v>265.407963991165</v>
      </c>
      <c r="BV17" s="580">
        <f ca="1">MAX(INDIRECT("'"&amp;$B$2&amp;"-事故进程'!Z"&amp;(ROW()+22)),INDIRECT("'"&amp;$B$2&amp;"-事故进程'!AA"&amp;(ROW()+22)))</f>
        <v>3.9390695540613e-11</v>
      </c>
      <c r="BW17" s="580">
        <f ca="1">SUM(BV$3,-LN(1-BW$3)/BQ17)</f>
        <v>4.62592926927149e-20</v>
      </c>
      <c r="BX17" s="580">
        <f>BX$3/24/3600</f>
        <v>1157407407407410</v>
      </c>
      <c r="BY17" s="582">
        <f ca="1" t="shared" si="33"/>
        <v>0.00862569198649823</v>
      </c>
      <c r="BZ17" s="582">
        <f ca="1" t="shared" si="34"/>
        <v>0.00862569932557669</v>
      </c>
      <c r="CA17" s="582">
        <f t="shared" si="35"/>
        <v>0</v>
      </c>
      <c r="CB17" s="582">
        <f ca="1" t="shared" si="36"/>
        <v>0.0106526278214708</v>
      </c>
      <c r="CC17" s="582">
        <f ca="1" t="shared" si="37"/>
        <v>1.52138273382732e-31</v>
      </c>
      <c r="CD17" s="582">
        <f ca="1" t="shared" si="38"/>
        <v>-1.1743710567219e-9</v>
      </c>
      <c r="CE17" s="580">
        <f ca="1" t="shared" si="39"/>
        <v>2332673.70638637</v>
      </c>
      <c r="CF17" s="580">
        <f ca="1" t="shared" si="40"/>
        <v>18.4015898206271</v>
      </c>
      <c r="CG17" s="586">
        <f ca="1" t="shared" si="41"/>
        <v>7.35475273492091e-34</v>
      </c>
      <c r="CH17" s="594">
        <f ca="1" t="shared" si="42"/>
        <v>2.28932929737493</v>
      </c>
      <c r="CI17" s="580">
        <f ca="1" t="shared" si="43"/>
        <v>47.9928313839341</v>
      </c>
      <c r="CJ17" s="580">
        <f ca="1" t="shared" si="44"/>
        <v>4.06331212577685e-13</v>
      </c>
      <c r="CK17" s="595">
        <f ca="1" t="shared" si="45"/>
        <v>4.06331212575175e-13</v>
      </c>
      <c r="CL17" s="596">
        <f>CL$3*3600</f>
        <v>57600</v>
      </c>
      <c r="CM17" s="580">
        <f ca="1" t="shared" ref="CM17:CP17" si="176">CE17</f>
        <v>2332673.70638637</v>
      </c>
      <c r="CN17" s="580">
        <f ca="1" t="shared" si="176"/>
        <v>18.4015898206271</v>
      </c>
      <c r="CO17" s="581">
        <f ca="1" t="shared" si="176"/>
        <v>7.35475273492091e-34</v>
      </c>
      <c r="CP17" s="580">
        <f ca="1" t="shared" si="176"/>
        <v>2.28932929737493</v>
      </c>
      <c r="CQ17" s="580">
        <f ca="1">MAX(INDIRECT("'"&amp;$B$2&amp;"-事故进程'!AA"&amp;(ROW()+22)),INDIRECT("'"&amp;$B$2&amp;"-事故进程'!AB"&amp;(ROW()+22)))</f>
        <v>3.9390695540613e-11</v>
      </c>
      <c r="CR17" s="580">
        <f ca="1">SUM(CQ$3,-LN(1-CR$3)/CL17)</f>
        <v>1.73472347597681e-20</v>
      </c>
      <c r="CS17" s="580">
        <f>CS$3/24/3600</f>
        <v>1157407407407410</v>
      </c>
      <c r="CT17" s="582">
        <f ca="1" t="shared" si="47"/>
        <v>3.12932393931403e-6</v>
      </c>
      <c r="CU17" s="582">
        <f ca="1" t="shared" si="48"/>
        <v>3.12933103945788e-6</v>
      </c>
      <c r="CV17" s="582">
        <f t="shared" si="49"/>
        <v>0</v>
      </c>
      <c r="CW17" s="582">
        <f ca="1" t="shared" si="50"/>
        <v>9.18863646152806e-5</v>
      </c>
      <c r="CX17" s="582">
        <f ca="1" t="shared" si="51"/>
        <v>4.59672045926421e-34</v>
      </c>
      <c r="CY17" s="582">
        <f ca="1" t="shared" si="52"/>
        <v>-4.40389145947476e-10</v>
      </c>
      <c r="CZ17" s="580">
        <f ca="1" t="shared" si="53"/>
        <v>7.29969167200326</v>
      </c>
      <c r="DA17" s="580">
        <f ca="1" t="shared" si="54"/>
        <v>7.41469850824572e-5</v>
      </c>
      <c r="DB17" s="586">
        <f ca="1" t="shared" si="55"/>
        <v>1.11131581561139e-39</v>
      </c>
      <c r="DC17" s="594">
        <f ca="1" t="shared" si="56"/>
        <v>7.16406923650936e-6</v>
      </c>
      <c r="DD17" s="580">
        <f ca="1" t="shared" si="57"/>
        <v>0.417571932499153</v>
      </c>
      <c r="DE17" s="580">
        <f ca="1" t="shared" si="58"/>
        <v>1.48359005191557e-15</v>
      </c>
      <c r="DF17" s="595">
        <f ca="1" t="shared" si="59"/>
        <v>1.48359005192054e-15</v>
      </c>
      <c r="DG17" s="596">
        <f>DG$3*3600</f>
        <v>86400</v>
      </c>
      <c r="DH17" s="580">
        <f ca="1" t="shared" ref="DH17:DK17" si="177">CZ17</f>
        <v>7.29969167200326</v>
      </c>
      <c r="DI17" s="580">
        <f ca="1" t="shared" si="177"/>
        <v>7.41469850824572e-5</v>
      </c>
      <c r="DJ17" s="581">
        <f ca="1" t="shared" si="177"/>
        <v>1.11131581561139e-39</v>
      </c>
      <c r="DK17" s="580">
        <f ca="1" t="shared" si="177"/>
        <v>7.16406923650936e-6</v>
      </c>
      <c r="DL17" s="580">
        <f ca="1">MAX(INDIRECT("'"&amp;$B$2&amp;"-事故进程'!AB"&amp;(ROW()+22)),INDIRECT("'"&amp;$B$2&amp;"-事故进程'!AC"&amp;(ROW()+22)))</f>
        <v>3.59921004033181e-11</v>
      </c>
      <c r="DM17" s="580">
        <f ca="1">SUM(DL$3,-LN(1-DM$3)/DG17)</f>
        <v>1.15648231731787e-20</v>
      </c>
      <c r="DN17" s="580">
        <f>DN$3/24/3600</f>
        <v>1157407407407410</v>
      </c>
      <c r="DO17" s="582">
        <f ca="1" t="shared" si="61"/>
        <v>5.53574289426861e-9</v>
      </c>
      <c r="DP17" s="582">
        <f ca="1" t="shared" si="62"/>
        <v>5.5357601088918e-9</v>
      </c>
      <c r="DQ17" s="582">
        <f t="shared" si="63"/>
        <v>0</v>
      </c>
      <c r="DR17" s="582">
        <f ca="1" t="shared" si="64"/>
        <v>2.62733904277737e-10</v>
      </c>
      <c r="DS17" s="582">
        <f ca="1" t="shared" si="65"/>
        <v>3.70438605205655e-40</v>
      </c>
      <c r="DT17" s="582">
        <f ca="1" t="shared" si="66"/>
        <v>-3.21315595569647e-10</v>
      </c>
      <c r="DU17" s="580">
        <f ca="1" t="shared" si="67"/>
        <v>4.04092163036438e-8</v>
      </c>
      <c r="DV17" s="580">
        <f ca="1" t="shared" si="68"/>
        <v>5.36121363746376e-13</v>
      </c>
      <c r="DW17" s="586">
        <f ca="1" t="shared" si="69"/>
        <v>5.35692853823452e-48</v>
      </c>
      <c r="DX17" s="594">
        <f ca="1" t="shared" si="70"/>
        <v>3.96585686616266e-14</v>
      </c>
      <c r="DY17" s="580">
        <f ca="1" t="shared" si="71"/>
        <v>1.19397910763243e-6</v>
      </c>
      <c r="DZ17" s="580">
        <f ca="1" t="shared" si="72"/>
        <v>3.9596359653609e-21</v>
      </c>
      <c r="EA17" s="595">
        <f ca="1" t="shared" si="73"/>
        <v>3.95963596531466e-21</v>
      </c>
      <c r="EB17" s="596">
        <f>EB$3*3600</f>
        <v>172800</v>
      </c>
      <c r="EC17" s="580">
        <f ca="1" t="shared" ref="EC17:EF17" si="178">DU17</f>
        <v>4.04092163036438e-8</v>
      </c>
      <c r="ED17" s="580">
        <f ca="1" t="shared" si="178"/>
        <v>5.36121363746376e-13</v>
      </c>
      <c r="EE17" s="581">
        <f ca="1" t="shared" si="178"/>
        <v>5.35692853823452e-48</v>
      </c>
      <c r="EF17" s="580">
        <f ca="1" t="shared" si="178"/>
        <v>3.96585686616266e-14</v>
      </c>
      <c r="EG17" s="580">
        <f ca="1">MAX(INDIRECT("'"&amp;$B$2&amp;"-事故进程'!AC"&amp;(ROW()+22)),INDIRECT("'"&amp;$B$2&amp;"-事故进程'!AD"&amp;(ROW()+22)),INDIRECT("'"&amp;$B$2&amp;"-事故进程'!AE"&amp;(ROW()+22)))</f>
        <v>3.34049401060742e-11</v>
      </c>
      <c r="EH17" s="580">
        <f ca="1">SUM(EG$3,-LN(1-EH$3)/EB17)</f>
        <v>5.78241158658936e-21</v>
      </c>
      <c r="EI17" s="580">
        <f>EI$3/24/3600</f>
        <v>1157407407407410</v>
      </c>
      <c r="EJ17" s="582">
        <f ca="1" t="shared" si="75"/>
        <v>3.06444630913958e-17</v>
      </c>
      <c r="EK17" s="582">
        <f ca="1" t="shared" si="76"/>
        <v>3.06446399831977e-17</v>
      </c>
      <c r="EL17" s="582">
        <f t="shared" si="77"/>
        <v>0</v>
      </c>
      <c r="EM17" s="582">
        <f ca="1" t="shared" si="78"/>
        <v>1.34988535945866e-18</v>
      </c>
      <c r="EN17" s="582">
        <f ca="1" t="shared" si="79"/>
        <v>2.67846426912352e-48</v>
      </c>
      <c r="EO17" s="582">
        <f ca="1" t="shared" si="80"/>
        <v>-1.73100492598663e-10</v>
      </c>
      <c r="EP17" s="580">
        <f ca="1" t="shared" si="81"/>
        <v>1.23831873756924e-24</v>
      </c>
      <c r="EQ17" s="580">
        <f ca="1" t="shared" si="82"/>
        <v>2.35773052681101e-29</v>
      </c>
      <c r="ER17" s="586">
        <f ca="1" t="shared" si="83"/>
        <v>1.1779230225068e-64</v>
      </c>
      <c r="ES17" s="594">
        <f ca="1" t="shared" si="84"/>
        <v>1.21532255749704e-30</v>
      </c>
      <c r="ET17" s="580">
        <f ca="1" t="shared" si="85"/>
        <v>6.13445735967169e-15</v>
      </c>
      <c r="EU17" s="580">
        <f ca="1" t="shared" si="86"/>
        <v>1.42494570519373e-29</v>
      </c>
      <c r="EV17" s="595">
        <f ca="1" t="shared" si="87"/>
        <v>1.4249457051961e-29</v>
      </c>
      <c r="EW17" s="596">
        <f>EW$3*3600</f>
        <v>2246400</v>
      </c>
      <c r="EX17" s="580">
        <f ca="1" t="shared" ref="EX17:FA17" si="179">EP17</f>
        <v>1.23831873756924e-24</v>
      </c>
      <c r="EY17" s="580">
        <f ca="1" t="shared" si="179"/>
        <v>2.35773052681101e-29</v>
      </c>
      <c r="EZ17" s="581">
        <f ca="1" t="shared" si="179"/>
        <v>1.1779230225068e-64</v>
      </c>
      <c r="FA17" s="580">
        <f ca="1" t="shared" si="179"/>
        <v>1.21532255749704e-30</v>
      </c>
      <c r="FB17" s="580">
        <f ca="1">INDIRECT("'"&amp;$B$2&amp;"-事故进程'!AE"&amp;(ROW()+22))</f>
        <v>0</v>
      </c>
      <c r="FC17" s="580">
        <f ca="1">SUM(FB$3,-LN(1-FC$3)/EW17)</f>
        <v>4.44800891276105e-22</v>
      </c>
      <c r="FD17" s="580">
        <f>FD$3/24/3600</f>
        <v>1157407407407410</v>
      </c>
      <c r="FE17" s="582">
        <f ca="1" t="shared" si="89"/>
        <v>2.10188430118041e-215</v>
      </c>
      <c r="FF17" s="582">
        <f ca="1" t="shared" si="90"/>
        <v>2.10188430118041e-215</v>
      </c>
      <c r="FG17" s="582">
        <f t="shared" si="91"/>
        <v>0</v>
      </c>
      <c r="FH17" s="582">
        <f ca="1" t="shared" si="92"/>
        <v>-1.04872063971441e-50</v>
      </c>
      <c r="FI17" s="582">
        <f ca="1" t="shared" si="93"/>
        <v>1.08731355923547e-64</v>
      </c>
      <c r="FJ17" s="582">
        <f ca="1" t="shared" si="94"/>
        <v>1</v>
      </c>
      <c r="FK17" s="580">
        <f ca="1" t="shared" si="95"/>
        <v>2.60280271435432e-239</v>
      </c>
      <c r="FL17" s="580">
        <f ca="1" t="shared" si="96"/>
        <v>4.95567678071786e-244</v>
      </c>
      <c r="FM17" s="586">
        <f ca="1" t="shared" si="97"/>
        <v>1.90450608388382e-280</v>
      </c>
      <c r="FN17" s="594">
        <f ca="1" t="shared" si="98"/>
        <v>2.55446740451636e-245</v>
      </c>
      <c r="FO17" s="580">
        <f ca="1" t="shared" si="99"/>
        <v>0</v>
      </c>
      <c r="FP17" s="580">
        <f ca="1" t="shared" si="100"/>
        <v>4.76589980851075e-47</v>
      </c>
      <c r="FQ17" s="595">
        <f ca="1" t="shared" si="101"/>
        <v>4.76589980851075e-47</v>
      </c>
      <c r="FR17" s="608" t="str">
        <f t="shared" si="102"/>
        <v>I-134</v>
      </c>
      <c r="FS17" s="609">
        <v>9370000000</v>
      </c>
      <c r="FT17" s="610">
        <v>47600000000</v>
      </c>
      <c r="FU17" s="610">
        <v>129000000</v>
      </c>
      <c r="FV17" s="610">
        <v>309</v>
      </c>
      <c r="FW17" s="610">
        <v>57100000000</v>
      </c>
      <c r="FX17" s="614">
        <f ca="1" t="shared" si="103"/>
        <v>0</v>
      </c>
      <c r="FY17" s="614">
        <f ca="1" t="shared" si="104"/>
        <v>2.71878934444101e-8</v>
      </c>
      <c r="FZ17" s="614">
        <f ca="1" t="shared" si="105"/>
        <v>1.15006980769034e-23</v>
      </c>
      <c r="GA17" s="614">
        <f ca="1" t="shared" si="106"/>
        <v>1.28143559209195e-23</v>
      </c>
      <c r="GB17" s="614">
        <f ca="1" t="shared" si="107"/>
        <v>2.26645136244119e-8</v>
      </c>
      <c r="GC17" s="455">
        <f ca="1" t="shared" si="108"/>
        <v>2.26645136244119e-8</v>
      </c>
      <c r="GE17" s="609">
        <v>2586954574.00042</v>
      </c>
      <c r="GF17" s="610">
        <v>810664046.168369</v>
      </c>
      <c r="GG17" s="610">
        <v>2865285.43060858</v>
      </c>
      <c r="GH17" s="610">
        <v>10.9903217585912</v>
      </c>
      <c r="GI17" s="610">
        <v>6.24642651102317e-5</v>
      </c>
      <c r="GJ17" s="610">
        <v>1.62824997597659e-24</v>
      </c>
      <c r="GK17" s="617">
        <v>3400483916.58978</v>
      </c>
      <c r="GL17" s="614">
        <f ca="1" t="shared" si="109"/>
        <v>0</v>
      </c>
      <c r="GM17" s="614">
        <f ca="1" t="shared" si="110"/>
        <v>1.59639956165656e-6</v>
      </c>
      <c r="GN17" s="614">
        <f ca="1" t="shared" si="111"/>
        <v>5.17780894033103e-22</v>
      </c>
      <c r="GO17" s="614">
        <f ca="1" t="shared" si="112"/>
        <v>3.60281851778158e-22</v>
      </c>
      <c r="GP17" s="614">
        <f ca="1" t="shared" si="113"/>
        <v>2.92700744899582e-23</v>
      </c>
      <c r="GQ17" s="614">
        <f ca="1" t="shared" si="114"/>
        <v>3.80576341396659e-7</v>
      </c>
      <c r="GR17" s="451">
        <f t="shared" si="115"/>
        <v>0.000220046723987284</v>
      </c>
      <c r="GS17" s="390">
        <f t="shared" si="116"/>
        <v>3150</v>
      </c>
    </row>
    <row r="18" spans="1:201">
      <c r="A18" s="413"/>
      <c r="B18" s="407" t="s">
        <v>270</v>
      </c>
      <c r="C18" s="429">
        <v>1e-15</v>
      </c>
      <c r="D18" s="410"/>
      <c r="E18" s="409" t="s">
        <v>271</v>
      </c>
      <c r="G18" s="411" t="s">
        <v>59</v>
      </c>
      <c r="H18" s="412">
        <f ca="1" t="shared" si="1"/>
        <v>0</v>
      </c>
      <c r="I18" s="412">
        <f ca="1" t="shared" si="2"/>
        <v>19133416245.7156</v>
      </c>
      <c r="J18" s="412">
        <f ca="1" t="shared" si="3"/>
        <v>8.32327704828045e-5</v>
      </c>
      <c r="K18" s="412">
        <f ca="1" t="shared" si="4"/>
        <v>3.16450968120665e-5</v>
      </c>
      <c r="L18" s="412">
        <f ca="1" t="shared" si="5"/>
        <v>5.39774920050026e-6</v>
      </c>
      <c r="M18" s="412">
        <f ca="1" t="shared" si="6"/>
        <v>1.58427927190956e-10</v>
      </c>
      <c r="N18" s="412">
        <f ca="1" t="shared" si="7"/>
        <v>19133416245.7158</v>
      </c>
      <c r="O18" s="450">
        <f ca="1" t="shared" si="8"/>
        <v>19133416245.7155</v>
      </c>
      <c r="P18" s="451"/>
      <c r="Q18" s="477" t="str">
        <f t="shared" si="0"/>
        <v>I-135</v>
      </c>
      <c r="R18" s="412">
        <f ca="1" t="shared" si="9"/>
        <v>0</v>
      </c>
      <c r="S18" s="412">
        <f ca="1">I18*(1-过滤效率!$B15)</f>
        <v>956670812.285783</v>
      </c>
      <c r="T18" s="412">
        <f ca="1">J18*(1-过滤效率!$B15)</f>
        <v>4.16163852414023e-6</v>
      </c>
      <c r="U18" s="412">
        <f ca="1">K18*(1-过滤效率!$B15)</f>
        <v>1.58225484060333e-6</v>
      </c>
      <c r="V18" s="412">
        <f ca="1">L18*(1-过滤效率!$B15)</f>
        <v>2.69887460025013e-7</v>
      </c>
      <c r="W18" s="412">
        <f ca="1">M18*(1-过滤效率!$B15)</f>
        <v>7.92139635954781e-12</v>
      </c>
      <c r="X18" s="412">
        <f ca="1" t="shared" si="10"/>
        <v>956670812.285789</v>
      </c>
      <c r="Y18" s="493"/>
      <c r="Z18" s="494">
        <f>VLOOKUP(G18,衰变常数!$A$1:$H$3800,7,FALSE)</f>
        <v>2.93060705462517e-5</v>
      </c>
      <c r="AA18" s="495">
        <f>正常源项!C15</f>
        <v>3.77e+17</v>
      </c>
      <c r="AB18" s="496">
        <f>正常源项!F15</f>
        <v>0</v>
      </c>
      <c r="AC18" s="496">
        <f>正常源项!I15</f>
        <v>173000000</v>
      </c>
      <c r="AD18" s="497"/>
      <c r="AE18" s="496">
        <f>正常源项!O15</f>
        <v>134000000000</v>
      </c>
      <c r="AF18" s="498">
        <f t="shared" si="157"/>
        <v>0</v>
      </c>
      <c r="AG18" s="519">
        <f t="shared" si="158"/>
        <v>0</v>
      </c>
      <c r="AH18" s="523">
        <v>1</v>
      </c>
      <c r="AI18" s="519">
        <f t="shared" si="159"/>
        <v>7052631578.94737</v>
      </c>
      <c r="AJ18" s="521"/>
      <c r="AK18" s="521"/>
      <c r="AL18" s="519">
        <f t="shared" si="11"/>
        <v>55155100</v>
      </c>
      <c r="AM18" s="520">
        <f t="shared" si="12"/>
        <v>1583400000000</v>
      </c>
      <c r="AN18" s="519">
        <f ca="1">MAX(INDIRECT("'"&amp;$B$2&amp;"-事故进程'!Y"&amp;(ROW()+22)),INDIRECT("'"&amp;$B$2&amp;"-事故进程'!Z"&amp;(ROW()+22)),INDIRECT("'"&amp;$B$2&amp;"-事故进程'!AA"&amp;(ROW()+22)))</f>
        <v>1.53928781712662e-11</v>
      </c>
      <c r="AO18" s="519">
        <f ca="1" t="shared" si="13"/>
        <v>37362124699.708</v>
      </c>
      <c r="AP18" s="560">
        <f t="shared" si="14"/>
        <v>2.6969290728903e+16</v>
      </c>
      <c r="AQ18" s="561">
        <f ca="1">(AC18*$C$5+AD18*$C$8+AF18+AG18+AI18+(AL18+AM18)*$C$10)*EXP(-Z18*$C$12*3600)+AO18*$C$11</f>
        <v>151153988341.153</v>
      </c>
      <c r="AR18" s="562">
        <f ca="1">AQ18*(1-AR$3)</f>
        <v>132020572095.437</v>
      </c>
      <c r="AS18" s="563">
        <f ca="1" t="shared" si="15"/>
        <v>19133416245.7155</v>
      </c>
      <c r="AT18" s="562">
        <f ca="1">AS18*(1-AT$3)</f>
        <v>19133416245.7155</v>
      </c>
      <c r="AU18" s="564">
        <f ca="1" t="shared" si="16"/>
        <v>0</v>
      </c>
      <c r="AV18" s="565">
        <f>AV$3*3600</f>
        <v>7200</v>
      </c>
      <c r="AW18" s="580">
        <f>AP18*EXP(-Z18*AW$3*3600)</f>
        <v>2.6969290728903e+16</v>
      </c>
      <c r="AX18" s="580">
        <f ca="1" t="shared" si="17"/>
        <v>132020572095.437</v>
      </c>
      <c r="AY18" s="581">
        <f ca="1" t="shared" si="18"/>
        <v>19133416245.7155</v>
      </c>
      <c r="AZ18" s="580">
        <v>0</v>
      </c>
      <c r="BA18" s="580">
        <f ca="1">MAX(INDIRECT("'"&amp;$B$2&amp;"-事故进程'!Y"&amp;(ROW()+22)),INDIRECT("'"&amp;$B$2&amp;"-事故进程'!Z"&amp;(ROW()+22)))</f>
        <v>1.44407353018696e-11</v>
      </c>
      <c r="BB18" s="580">
        <f>SUM(BA$3,-LN(1-BB$3)/AV18)</f>
        <v>1.38777878078145e-19</v>
      </c>
      <c r="BC18" s="580">
        <f>BC$3/24/3600</f>
        <v>1157407407407410</v>
      </c>
      <c r="BD18" s="582">
        <f ca="1" t="shared" si="19"/>
        <v>0.809770980104287</v>
      </c>
      <c r="BE18" s="582">
        <f t="shared" si="20"/>
        <v>0.809771064298847</v>
      </c>
      <c r="BF18" s="582">
        <f t="shared" si="21"/>
        <v>0</v>
      </c>
      <c r="BG18" s="582">
        <f ca="1" t="shared" si="22"/>
        <v>389458.295169371</v>
      </c>
      <c r="BH18" s="582">
        <f ca="1" t="shared" si="23"/>
        <v>19133416245.7155</v>
      </c>
      <c r="BI18" s="582">
        <f ca="1" t="shared" si="24"/>
        <v>-9.61016710789348e-9</v>
      </c>
      <c r="BJ18" s="580">
        <f ca="1" t="shared" si="25"/>
        <v>2.18389489862612e+16</v>
      </c>
      <c r="BK18" s="580">
        <f ca="1" t="shared" si="26"/>
        <v>109177106760</v>
      </c>
      <c r="BL18" s="586">
        <f ca="1" t="shared" si="27"/>
        <v>1.30907812698666e-23</v>
      </c>
      <c r="BM18" s="594">
        <f ca="1" t="shared" si="28"/>
        <v>15493686832</v>
      </c>
      <c r="BN18" s="580">
        <f ca="1" t="shared" si="29"/>
        <v>2528004240.29749</v>
      </c>
      <c r="BO18" s="580">
        <f ca="1" t="shared" si="30"/>
        <v>0.000120145711993469</v>
      </c>
      <c r="BP18" s="595">
        <f ca="1" t="shared" si="31"/>
        <v>19133416245.7156</v>
      </c>
      <c r="BQ18" s="596">
        <f>BQ$3*3600</f>
        <v>21600</v>
      </c>
      <c r="BR18" s="580">
        <f ca="1" t="shared" ref="BR18:BU18" si="180">BJ18</f>
        <v>2.18389489862612e+16</v>
      </c>
      <c r="BS18" s="580">
        <f ca="1" t="shared" si="180"/>
        <v>109177106760</v>
      </c>
      <c r="BT18" s="581">
        <f ca="1" t="shared" si="180"/>
        <v>1.30907812698666e-23</v>
      </c>
      <c r="BU18" s="580">
        <f ca="1" t="shared" si="180"/>
        <v>15493686832</v>
      </c>
      <c r="BV18" s="580">
        <f ca="1">MAX(INDIRECT("'"&amp;$B$2&amp;"-事故进程'!Z"&amp;(ROW()+22)),INDIRECT("'"&amp;$B$2&amp;"-事故进程'!AA"&amp;(ROW()+22)))</f>
        <v>1.53928781712662e-11</v>
      </c>
      <c r="BW18" s="580">
        <f ca="1">SUM(BV$3,-LN(1-BW$3)/BQ18)</f>
        <v>4.62592926927149e-20</v>
      </c>
      <c r="BX18" s="580">
        <f>BX$3/24/3600</f>
        <v>1157407407407410</v>
      </c>
      <c r="BY18" s="582">
        <f ca="1" t="shared" si="33"/>
        <v>0.530990336660531</v>
      </c>
      <c r="BZ18" s="582">
        <f ca="1" t="shared" si="34"/>
        <v>0.530990513207502</v>
      </c>
      <c r="CA18" s="582">
        <f t="shared" si="35"/>
        <v>0</v>
      </c>
      <c r="CB18" s="582">
        <f ca="1" t="shared" si="36"/>
        <v>336165.961683915</v>
      </c>
      <c r="CC18" s="582">
        <f ca="1" t="shared" si="37"/>
        <v>8.72718751313785e-24</v>
      </c>
      <c r="CD18" s="582">
        <f ca="1" t="shared" si="38"/>
        <v>-3.00523997637343e-9</v>
      </c>
      <c r="CE18" s="580">
        <f ca="1" t="shared" si="39"/>
        <v>1.1596270874527e+16</v>
      </c>
      <c r="CF18" s="580">
        <f ca="1" t="shared" si="40"/>
        <v>61827608262</v>
      </c>
      <c r="CG18" s="586">
        <f ca="1" t="shared" si="41"/>
        <v>2.47112763297712e-24</v>
      </c>
      <c r="CH18" s="594">
        <f ca="1" t="shared" si="42"/>
        <v>8227000722</v>
      </c>
      <c r="CI18" s="580">
        <f ca="1" t="shared" si="43"/>
        <v>5379916535.04654</v>
      </c>
      <c r="CJ18" s="580">
        <f ca="1" t="shared" si="44"/>
        <v>8.32327704832526e-5</v>
      </c>
      <c r="CK18" s="595">
        <f ca="1" t="shared" si="45"/>
        <v>8.32327704828045e-5</v>
      </c>
      <c r="CL18" s="596">
        <f>CL$3*3600</f>
        <v>57600</v>
      </c>
      <c r="CM18" s="580">
        <f ca="1" t="shared" ref="CM18:CP18" si="181">CE18</f>
        <v>1.1596270874527e+16</v>
      </c>
      <c r="CN18" s="580">
        <f ca="1" t="shared" si="181"/>
        <v>61827608262</v>
      </c>
      <c r="CO18" s="581">
        <f ca="1" t="shared" si="181"/>
        <v>2.47112763297712e-24</v>
      </c>
      <c r="CP18" s="580">
        <f ca="1" t="shared" si="181"/>
        <v>8227000722</v>
      </c>
      <c r="CQ18" s="580">
        <f ca="1">MAX(INDIRECT("'"&amp;$B$2&amp;"-事故进程'!AA"&amp;(ROW()+22)),INDIRECT("'"&amp;$B$2&amp;"-事故进程'!AB"&amp;(ROW()+22)))</f>
        <v>1.53928781712662e-11</v>
      </c>
      <c r="CR18" s="580">
        <f ca="1">SUM(CQ$3,-LN(1-CR$3)/CL18)</f>
        <v>1.73472347597681e-20</v>
      </c>
      <c r="CS18" s="580">
        <f>CS$3/24/3600</f>
        <v>1157407407407410</v>
      </c>
      <c r="CT18" s="582">
        <f ca="1" t="shared" si="47"/>
        <v>0.184883284038211</v>
      </c>
      <c r="CU18" s="582">
        <f ca="1" t="shared" si="48"/>
        <v>0.184883447961309</v>
      </c>
      <c r="CV18" s="582">
        <f t="shared" si="49"/>
        <v>0</v>
      </c>
      <c r="CW18" s="582">
        <f ca="1" t="shared" si="50"/>
        <v>178500.936517437</v>
      </c>
      <c r="CX18" s="582">
        <f ca="1" t="shared" si="51"/>
        <v>1.54445477060243e-24</v>
      </c>
      <c r="CY18" s="582">
        <f ca="1" t="shared" si="52"/>
        <v>-1.12696498902329e-9</v>
      </c>
      <c r="CZ18" s="580">
        <f ca="1" t="shared" si="53"/>
        <v>2143956641879200</v>
      </c>
      <c r="DA18" s="580">
        <f ca="1" t="shared" si="54"/>
        <v>13331798049.5</v>
      </c>
      <c r="DB18" s="586">
        <f ca="1" t="shared" si="55"/>
        <v>1.9981713357557e-25</v>
      </c>
      <c r="DC18" s="594">
        <f ca="1" t="shared" si="56"/>
        <v>1521036259.25</v>
      </c>
      <c r="DD18" s="580">
        <f ca="1" t="shared" si="57"/>
        <v>4964781776.79135</v>
      </c>
      <c r="DE18" s="580">
        <f ca="1" t="shared" si="58"/>
        <v>3.16450968126624e-5</v>
      </c>
      <c r="DF18" s="595">
        <f ca="1" t="shared" si="59"/>
        <v>3.16450968120665e-5</v>
      </c>
      <c r="DG18" s="596">
        <f>DG$3*3600</f>
        <v>86400</v>
      </c>
      <c r="DH18" s="580">
        <f ca="1" t="shared" ref="DH18:DK18" si="182">CZ18</f>
        <v>2143956641879200</v>
      </c>
      <c r="DI18" s="580">
        <f ca="1" t="shared" si="182"/>
        <v>13331798049.5</v>
      </c>
      <c r="DJ18" s="581">
        <f ca="1" t="shared" si="182"/>
        <v>1.9981713357557e-25</v>
      </c>
      <c r="DK18" s="580">
        <f ca="1" t="shared" si="182"/>
        <v>1521036259.25</v>
      </c>
      <c r="DL18" s="580">
        <f ca="1">MAX(INDIRECT("'"&amp;$B$2&amp;"-事故进程'!AB"&amp;(ROW()+22)),INDIRECT("'"&amp;$B$2&amp;"-事故进程'!AC"&amp;(ROW()+22)))</f>
        <v>1.40694392628904e-11</v>
      </c>
      <c r="DM18" s="580">
        <f ca="1">SUM(DL$3,-LN(1-DM$3)/DG18)</f>
        <v>1.15648231731787e-20</v>
      </c>
      <c r="DN18" s="580">
        <f>DN$3/24/3600</f>
        <v>1157407407407410</v>
      </c>
      <c r="DO18" s="582">
        <f ca="1" t="shared" si="61"/>
        <v>0.079496227538338</v>
      </c>
      <c r="DP18" s="582">
        <f ca="1" t="shared" si="62"/>
        <v>0.0794963241739753</v>
      </c>
      <c r="DQ18" s="582">
        <f t="shared" si="63"/>
        <v>0</v>
      </c>
      <c r="DR18" s="582">
        <f ca="1" t="shared" si="64"/>
        <v>30164.4553261128</v>
      </c>
      <c r="DS18" s="582">
        <f ca="1" t="shared" si="65"/>
        <v>6.66057111877016e-26</v>
      </c>
      <c r="DT18" s="582">
        <f ca="1" t="shared" si="66"/>
        <v>-8.21981812252332e-10</v>
      </c>
      <c r="DU18" s="580">
        <f ca="1" t="shared" si="67"/>
        <v>170436465035160</v>
      </c>
      <c r="DV18" s="580">
        <f ca="1" t="shared" si="68"/>
        <v>1267011556.0625</v>
      </c>
      <c r="DW18" s="586">
        <f ca="1" t="shared" si="69"/>
        <v>1.26599886183135e-26</v>
      </c>
      <c r="DX18" s="594">
        <f ca="1" t="shared" si="70"/>
        <v>120916791.53125</v>
      </c>
      <c r="DY18" s="580">
        <f ca="1" t="shared" si="71"/>
        <v>947459294.76125</v>
      </c>
      <c r="DZ18" s="580">
        <f ca="1" t="shared" si="72"/>
        <v>5.13491979037146e-6</v>
      </c>
      <c r="EA18" s="595">
        <f ca="1" t="shared" si="73"/>
        <v>5.13491979044507e-6</v>
      </c>
      <c r="EB18" s="596">
        <f>EB$3*3600</f>
        <v>172800</v>
      </c>
      <c r="EC18" s="580">
        <f ca="1" t="shared" ref="EC18:EF18" si="183">DU18</f>
        <v>170436465035160</v>
      </c>
      <c r="ED18" s="580">
        <f ca="1" t="shared" si="183"/>
        <v>1267011556.0625</v>
      </c>
      <c r="EE18" s="581">
        <f ca="1" t="shared" si="183"/>
        <v>1.26599886183135e-26</v>
      </c>
      <c r="EF18" s="580">
        <f ca="1" t="shared" si="183"/>
        <v>120916791.53125</v>
      </c>
      <c r="EG18" s="580">
        <f ca="1">MAX(INDIRECT("'"&amp;$B$2&amp;"-事故进程'!AC"&amp;(ROW()+22)),INDIRECT("'"&amp;$B$2&amp;"-事故进程'!AD"&amp;(ROW()+22)),INDIRECT("'"&amp;$B$2&amp;"-事故进程'!AE"&amp;(ROW()+22)))</f>
        <v>1.30616060224524e-11</v>
      </c>
      <c r="EH18" s="580">
        <f ca="1">SUM(EG$3,-LN(1-EH$3)/EB18)</f>
        <v>5.78241158658936e-21</v>
      </c>
      <c r="EI18" s="580">
        <f>EI$3/24/3600</f>
        <v>1157407407407410</v>
      </c>
      <c r="EJ18" s="582">
        <f ca="1" t="shared" si="75"/>
        <v>0.00631965129341703</v>
      </c>
      <c r="EK18" s="582">
        <f ca="1" t="shared" si="76"/>
        <v>0.00631966555717377</v>
      </c>
      <c r="EL18" s="582">
        <f t="shared" si="77"/>
        <v>0</v>
      </c>
      <c r="EM18" s="582">
        <f ca="1" t="shared" si="78"/>
        <v>2226.19050735452</v>
      </c>
      <c r="EN18" s="582">
        <f ca="1" t="shared" si="79"/>
        <v>6.32999430928315e-27</v>
      </c>
      <c r="EO18" s="582">
        <f ca="1" t="shared" si="80"/>
        <v>-4.42702955456587e-10</v>
      </c>
      <c r="EP18" s="580">
        <f ca="1" t="shared" si="81"/>
        <v>1077099026704.88</v>
      </c>
      <c r="EQ18" s="580">
        <f ca="1" t="shared" si="82"/>
        <v>10438153.5689697</v>
      </c>
      <c r="ER18" s="586">
        <f ca="1" t="shared" si="83"/>
        <v>5.21490529215586e-29</v>
      </c>
      <c r="ES18" s="594">
        <f ca="1" t="shared" si="84"/>
        <v>764153.682739258</v>
      </c>
      <c r="ET18" s="580">
        <f ca="1" t="shared" si="85"/>
        <v>75482802.2950718</v>
      </c>
      <c r="EU18" s="580">
        <f ca="1" t="shared" si="86"/>
        <v>2.62829410052075e-7</v>
      </c>
      <c r="EV18" s="595">
        <f ca="1" t="shared" si="87"/>
        <v>2.62829410055194e-7</v>
      </c>
      <c r="EW18" s="596">
        <f>EW$3*3600</f>
        <v>2246400</v>
      </c>
      <c r="EX18" s="580">
        <f ca="1" t="shared" ref="EX18:FA18" si="184">EP18</f>
        <v>1077099026704.88</v>
      </c>
      <c r="EY18" s="580">
        <f ca="1" t="shared" si="184"/>
        <v>10438153.5689697</v>
      </c>
      <c r="EZ18" s="581">
        <f ca="1" t="shared" si="184"/>
        <v>5.21490529215586e-29</v>
      </c>
      <c r="FA18" s="580">
        <f ca="1" t="shared" si="184"/>
        <v>764153.682739258</v>
      </c>
      <c r="FB18" s="580">
        <f ca="1">INDIRECT("'"&amp;$B$2&amp;"-事故进程'!AE"&amp;(ROW()+22))</f>
        <v>0</v>
      </c>
      <c r="FC18" s="580">
        <f ca="1">SUM(FB$3,-LN(1-FC$3)/EW18)</f>
        <v>4.44800891276105e-22</v>
      </c>
      <c r="FD18" s="580">
        <f>FD$3/24/3600</f>
        <v>1157407407407410</v>
      </c>
      <c r="FE18" s="582">
        <f ca="1" t="shared" si="89"/>
        <v>2.56462128802415e-29</v>
      </c>
      <c r="FF18" s="582">
        <f ca="1" t="shared" si="90"/>
        <v>2.56462128802415e-29</v>
      </c>
      <c r="FG18" s="582">
        <f t="shared" si="91"/>
        <v>0</v>
      </c>
      <c r="FH18" s="582">
        <f ca="1" t="shared" si="92"/>
        <v>-4.64290001075459e-15</v>
      </c>
      <c r="FI18" s="582">
        <f ca="1" t="shared" si="93"/>
        <v>4.81375873122666e-29</v>
      </c>
      <c r="FJ18" s="582">
        <f ca="1" t="shared" si="94"/>
        <v>1</v>
      </c>
      <c r="FK18" s="580">
        <f ca="1" t="shared" si="95"/>
        <v>2.76235109319742e-17</v>
      </c>
      <c r="FL18" s="580">
        <f ca="1" t="shared" si="96"/>
        <v>2.6769910850645e-22</v>
      </c>
      <c r="FM18" s="586">
        <f ca="1" t="shared" si="97"/>
        <v>1.02878900977669e-58</v>
      </c>
      <c r="FN18" s="594">
        <f ca="1" t="shared" si="98"/>
        <v>1.95976480208602e-23</v>
      </c>
      <c r="FO18" s="580">
        <f ca="1" t="shared" si="99"/>
        <v>0</v>
      </c>
      <c r="FP18" s="580">
        <f ca="1" t="shared" si="100"/>
        <v>1.58427927190956e-10</v>
      </c>
      <c r="FQ18" s="595">
        <f ca="1" t="shared" si="101"/>
        <v>1.58427927190956e-10</v>
      </c>
      <c r="FR18" s="608" t="str">
        <f t="shared" si="102"/>
        <v>I-135</v>
      </c>
      <c r="FS18" s="609">
        <v>4810000000</v>
      </c>
      <c r="FT18" s="610">
        <v>54300000000</v>
      </c>
      <c r="FU18" s="610">
        <v>51900000000</v>
      </c>
      <c r="FV18" s="610">
        <v>9340000000</v>
      </c>
      <c r="FW18" s="610">
        <v>120000000000</v>
      </c>
      <c r="FX18" s="614">
        <f ca="1" t="shared" si="103"/>
        <v>0</v>
      </c>
      <c r="FY18" s="614">
        <f ca="1" t="shared" si="104"/>
        <v>0.352364940068429</v>
      </c>
      <c r="FZ18" s="614">
        <f ca="1" t="shared" si="105"/>
        <v>6.09732115839431e-16</v>
      </c>
      <c r="GA18" s="614">
        <f ca="1" t="shared" si="106"/>
        <v>5.77917473286966e-16</v>
      </c>
      <c r="GB18" s="614">
        <f ca="1" t="shared" si="107"/>
        <v>0.159445135380965</v>
      </c>
      <c r="GC18" s="455">
        <f ca="1" t="shared" si="108"/>
        <v>0.159445135380965</v>
      </c>
      <c r="GE18" s="609">
        <v>726033730.69528</v>
      </c>
      <c r="GF18" s="610">
        <v>3786646683.3777</v>
      </c>
      <c r="GG18" s="610">
        <v>5549819971.55389</v>
      </c>
      <c r="GH18" s="610">
        <v>1456467767.8455</v>
      </c>
      <c r="GI18" s="610">
        <v>242171333.196658</v>
      </c>
      <c r="GJ18" s="610">
        <v>891925.13624755</v>
      </c>
      <c r="GK18" s="617">
        <v>11762031411.8053</v>
      </c>
      <c r="GL18" s="614">
        <f ca="1" t="shared" si="109"/>
        <v>0</v>
      </c>
      <c r="GM18" s="614">
        <f ca="1" t="shared" si="110"/>
        <v>5.05286546265485</v>
      </c>
      <c r="GN18" s="614">
        <f ca="1" t="shared" si="111"/>
        <v>5.70200420450867e-15</v>
      </c>
      <c r="GO18" s="614">
        <f ca="1" t="shared" si="112"/>
        <v>3.17769042122521e-15</v>
      </c>
      <c r="GP18" s="614">
        <f ca="1" t="shared" si="113"/>
        <v>1.77624691526784e-16</v>
      </c>
      <c r="GQ18" s="614">
        <f ca="1" t="shared" si="114"/>
        <v>1.62671018090565</v>
      </c>
      <c r="GR18" s="451">
        <f t="shared" si="115"/>
        <v>2.93060705462517e-5</v>
      </c>
      <c r="GS18" s="390">
        <f t="shared" si="116"/>
        <v>23652</v>
      </c>
    </row>
    <row r="19" s="389" customFormat="1" spans="1:201">
      <c r="A19" s="430"/>
      <c r="B19" s="407" t="s">
        <v>272</v>
      </c>
      <c r="C19" s="806">
        <v>1e+20</v>
      </c>
      <c r="D19" s="410" t="s">
        <v>273</v>
      </c>
      <c r="E19" s="409" t="s">
        <v>274</v>
      </c>
      <c r="G19" s="411" t="s">
        <v>60</v>
      </c>
      <c r="H19" s="412">
        <f ca="1" t="shared" si="1"/>
        <v>0</v>
      </c>
      <c r="I19" s="412">
        <f ca="1" t="shared" si="2"/>
        <v>78188646.7320988</v>
      </c>
      <c r="J19" s="412">
        <f ca="1" t="shared" si="3"/>
        <v>5.61552175090377e-7</v>
      </c>
      <c r="K19" s="412">
        <f ca="1" t="shared" si="4"/>
        <v>6.1048958917146e-7</v>
      </c>
      <c r="L19" s="412">
        <f ca="1" t="shared" si="5"/>
        <v>1.44789768640969e-6</v>
      </c>
      <c r="M19" s="412">
        <f ca="1" t="shared" si="6"/>
        <v>6.31211446395547e-7</v>
      </c>
      <c r="N19" s="412">
        <f ca="1" t="shared" si="7"/>
        <v>78188646.732102</v>
      </c>
      <c r="O19" s="450">
        <f ca="1" t="shared" si="8"/>
        <v>78188646.7320982</v>
      </c>
      <c r="P19" s="451"/>
      <c r="Q19" s="477" t="str">
        <f t="shared" si="0"/>
        <v>Sr-89</v>
      </c>
      <c r="R19" s="412">
        <f ca="1" t="shared" si="9"/>
        <v>0</v>
      </c>
      <c r="S19" s="412">
        <f ca="1">I19*(1-过滤效率!$B16)</f>
        <v>78188.6467320988</v>
      </c>
      <c r="T19" s="412">
        <f ca="1">J19*(1-过滤效率!$B16)</f>
        <v>5.61552175090378e-10</v>
      </c>
      <c r="U19" s="412">
        <f ca="1">K19*(1-过滤效率!$B16)</f>
        <v>6.1048958917146e-10</v>
      </c>
      <c r="V19" s="412">
        <f ca="1">L19*(1-过滤效率!$B16)</f>
        <v>1.44789768640969e-9</v>
      </c>
      <c r="W19" s="412">
        <f ca="1">M19*(1-过滤效率!$B16)</f>
        <v>6.31211446395547e-10</v>
      </c>
      <c r="X19" s="412">
        <f ca="1" t="shared" si="10"/>
        <v>78188.6467321021</v>
      </c>
      <c r="Y19" s="493"/>
      <c r="Z19" s="494">
        <f>VLOOKUP(G19,衰变常数!$A$1:$H$3800,7,FALSE)</f>
        <v>1.58767797586313e-7</v>
      </c>
      <c r="AA19" s="495">
        <f>正常源项!C16</f>
        <v>2.39e+17</v>
      </c>
      <c r="AB19" s="496">
        <f>正常源项!F16</f>
        <v>0</v>
      </c>
      <c r="AC19" s="496">
        <f>正常源项!I16</f>
        <v>2860</v>
      </c>
      <c r="AD19" s="497"/>
      <c r="AE19" s="496">
        <f>正常源项!O16</f>
        <v>5990000000</v>
      </c>
      <c r="AF19" s="498">
        <f t="shared" si="157"/>
        <v>0</v>
      </c>
      <c r="AG19" s="519">
        <f t="shared" ref="AG19:AG23" si="185">AE19*MIN(100%,$C$7/500)</f>
        <v>0</v>
      </c>
      <c r="AH19" s="523">
        <v>0.95</v>
      </c>
      <c r="AI19" s="519">
        <f t="shared" si="159"/>
        <v>299500000</v>
      </c>
      <c r="AJ19" s="521">
        <v>0.00041</v>
      </c>
      <c r="AK19" s="521">
        <v>2.47e-9</v>
      </c>
      <c r="AL19" s="524">
        <f t="shared" ref="AL19:AL21" si="186">AA19*(AJ19-AK19)*0.00000209</f>
        <v>204797866.2103</v>
      </c>
      <c r="AM19" s="520"/>
      <c r="AN19" s="519">
        <f ca="1">MAX(INDIRECT("'"&amp;$B$2&amp;"-事故进程'!Y"&amp;(ROW()+22)),INDIRECT("'"&amp;$B$2&amp;"-事故进程'!Z"&amp;(ROW()+22)),INDIRECT("'"&amp;$B$2&amp;"-事故进程'!AA"&amp;(ROW()+22)))</f>
        <v>5.684759915e-15</v>
      </c>
      <c r="AO19" s="519">
        <f ca="1" t="shared" si="13"/>
        <v>120544348.058971</v>
      </c>
      <c r="AP19" s="560">
        <f t="shared" si="14"/>
        <v>2.35609188195442e+17</v>
      </c>
      <c r="AQ19" s="561">
        <f ca="1">(AC19*$C$5+AD19*$C$8+AF19+AG19+AI19+(AL19+AM19)*$C$10)*EXP(-Z19*$C$12*3600)+AO19*$C$11</f>
        <v>617690309.183576</v>
      </c>
      <c r="AR19" s="562">
        <f ca="1">AQ19*(1-AR$3)</f>
        <v>539501662.451478</v>
      </c>
      <c r="AS19" s="563">
        <f ca="1" t="shared" si="15"/>
        <v>78188646.7320982</v>
      </c>
      <c r="AT19" s="562">
        <f ca="1">AS19*(1-AT$3)</f>
        <v>78188646.7320982</v>
      </c>
      <c r="AU19" s="564">
        <f ca="1" t="shared" si="16"/>
        <v>0</v>
      </c>
      <c r="AV19" s="565">
        <f>AV$3*3600</f>
        <v>7200</v>
      </c>
      <c r="AW19" s="580">
        <f>AP19*EXP(-Z19*AW$3*3600)</f>
        <v>2.35609188195442e+17</v>
      </c>
      <c r="AX19" s="580">
        <f ca="1" t="shared" si="17"/>
        <v>539501662.451478</v>
      </c>
      <c r="AY19" s="581">
        <f ca="1" t="shared" si="18"/>
        <v>78188646.7320982</v>
      </c>
      <c r="AZ19" s="580">
        <v>0</v>
      </c>
      <c r="BA19" s="580">
        <f ca="1">MAX(INDIRECT("'"&amp;$B$2&amp;"-事故进程'!Y"&amp;(ROW()+22)),INDIRECT("'"&amp;$B$2&amp;"-事故进程'!Z"&amp;(ROW()+22)))</f>
        <v>5.684759915e-15</v>
      </c>
      <c r="BB19" s="580">
        <f>SUM(BA$3,-LN(1-BB$3)/AV19)</f>
        <v>1.38777878078145e-19</v>
      </c>
      <c r="BC19" s="580">
        <f>BC$3/24/3600</f>
        <v>1157407407407410</v>
      </c>
      <c r="BD19" s="582">
        <f ca="1" t="shared" si="19"/>
        <v>0.998857524938579</v>
      </c>
      <c r="BE19" s="582">
        <f t="shared" si="20"/>
        <v>0.998857524979462</v>
      </c>
      <c r="BF19" s="582">
        <f t="shared" si="21"/>
        <v>0</v>
      </c>
      <c r="BG19" s="582">
        <f ca="1" t="shared" si="22"/>
        <v>1339.381671726</v>
      </c>
      <c r="BH19" s="582">
        <f ca="1" t="shared" si="23"/>
        <v>78188646.7320982</v>
      </c>
      <c r="BI19" s="582">
        <f ca="1" t="shared" si="24"/>
        <v>-2.4412863184829e-5</v>
      </c>
      <c r="BJ19" s="580">
        <f ca="1" t="shared" si="25"/>
        <v>2.35340010573687e+17</v>
      </c>
      <c r="BK19" s="580">
        <f ca="1" t="shared" si="26"/>
        <v>548517824</v>
      </c>
      <c r="BL19" s="586">
        <f ca="1" t="shared" si="27"/>
        <v>6.57695359296848e-26</v>
      </c>
      <c r="BM19" s="594">
        <f ca="1" t="shared" si="28"/>
        <v>78099328</v>
      </c>
      <c r="BN19" s="580">
        <f ca="1" t="shared" si="29"/>
        <v>9638038.20825494</v>
      </c>
      <c r="BO19" s="580">
        <f ca="1" t="shared" si="30"/>
        <v>5.43575050678402e-7</v>
      </c>
      <c r="BP19" s="595">
        <f ca="1" t="shared" si="31"/>
        <v>78188646.7320988</v>
      </c>
      <c r="BQ19" s="596">
        <f>BQ$3*3600</f>
        <v>21600</v>
      </c>
      <c r="BR19" s="580">
        <f ca="1" t="shared" ref="BR19:BU19" si="187">BJ19</f>
        <v>2.35340010573687e+17</v>
      </c>
      <c r="BS19" s="580">
        <f ca="1" t="shared" si="187"/>
        <v>548517824</v>
      </c>
      <c r="BT19" s="581">
        <f ca="1" t="shared" si="187"/>
        <v>6.57695359296848e-26</v>
      </c>
      <c r="BU19" s="580">
        <f ca="1" t="shared" si="187"/>
        <v>78099328</v>
      </c>
      <c r="BV19" s="580">
        <f ca="1">MAX(INDIRECT("'"&amp;$B$2&amp;"-事故进程'!Z"&amp;(ROW()+22)),INDIRECT("'"&amp;$B$2&amp;"-事故进程'!AA"&amp;(ROW()+22)))</f>
        <v>5.684759915e-15</v>
      </c>
      <c r="BW19" s="580">
        <f ca="1">SUM(BV$3,-LN(1-BW$3)/BQ19)</f>
        <v>4.62592926927149e-20</v>
      </c>
      <c r="BX19" s="580">
        <f>BX$3/24/3600</f>
        <v>1157407407407410</v>
      </c>
      <c r="BY19" s="582">
        <f ca="1" t="shared" si="33"/>
        <v>0.996576489072321</v>
      </c>
      <c r="BZ19" s="582">
        <f ca="1" t="shared" si="34"/>
        <v>0.99657648919469</v>
      </c>
      <c r="CA19" s="582">
        <f t="shared" si="35"/>
        <v>0</v>
      </c>
      <c r="CB19" s="582">
        <f ca="1" t="shared" si="36"/>
        <v>1337.85146162314</v>
      </c>
      <c r="CC19" s="582">
        <f ca="1" t="shared" si="37"/>
        <v>4.38463596952896e-26</v>
      </c>
      <c r="CD19" s="582">
        <f ca="1" t="shared" si="38"/>
        <v>-8.13748862201208e-6</v>
      </c>
      <c r="CE19" s="580">
        <f ca="1" t="shared" si="39"/>
        <v>2.34534321475768e+17</v>
      </c>
      <c r="CF19" s="580">
        <f ca="1" t="shared" si="40"/>
        <v>575438592</v>
      </c>
      <c r="CG19" s="586">
        <f ca="1" t="shared" si="41"/>
        <v>2.29991455811677e-26</v>
      </c>
      <c r="CH19" s="594">
        <f ca="1" t="shared" si="42"/>
        <v>77831968</v>
      </c>
      <c r="CI19" s="580">
        <f ca="1" t="shared" si="43"/>
        <v>28848097.6207977</v>
      </c>
      <c r="CJ19" s="580">
        <f ca="1" t="shared" si="44"/>
        <v>5.61552180188923e-7</v>
      </c>
      <c r="CK19" s="595">
        <f ca="1" t="shared" si="45"/>
        <v>5.61552175090377e-7</v>
      </c>
      <c r="CL19" s="596">
        <f>CL$3*3600</f>
        <v>57600</v>
      </c>
      <c r="CM19" s="580">
        <f ca="1" t="shared" ref="CM19:CP19" si="188">CE19</f>
        <v>2.34534321475768e+17</v>
      </c>
      <c r="CN19" s="580">
        <f ca="1" t="shared" si="188"/>
        <v>575438592</v>
      </c>
      <c r="CO19" s="581">
        <f ca="1" t="shared" si="188"/>
        <v>2.29991455811677e-26</v>
      </c>
      <c r="CP19" s="580">
        <f ca="1" t="shared" si="188"/>
        <v>77831968</v>
      </c>
      <c r="CQ19" s="580">
        <f ca="1">MAX(INDIRECT("'"&amp;$B$2&amp;"-事故进程'!AA"&amp;(ROW()+22)),INDIRECT("'"&amp;$B$2&amp;"-事故进程'!AB"&amp;(ROW()+22)))</f>
        <v>5.684759915e-15</v>
      </c>
      <c r="CR19" s="580">
        <f ca="1">SUM(CQ$3,-LN(1-CR$3)/CL19)</f>
        <v>1.73472347597681e-20</v>
      </c>
      <c r="CS19" s="580">
        <f>CS$3/24/3600</f>
        <v>1157407407407410</v>
      </c>
      <c r="CT19" s="582">
        <f ca="1" t="shared" si="47"/>
        <v>0.990896663099203</v>
      </c>
      <c r="CU19" s="582">
        <f ca="1" t="shared" si="48"/>
        <v>0.990896663423664</v>
      </c>
      <c r="CV19" s="582">
        <f t="shared" si="49"/>
        <v>0</v>
      </c>
      <c r="CW19" s="582">
        <f ca="1" t="shared" si="50"/>
        <v>1333.27131268839</v>
      </c>
      <c r="CX19" s="582">
        <f ca="1" t="shared" si="51"/>
        <v>1.43744657308679e-26</v>
      </c>
      <c r="CY19" s="582">
        <f ca="1" t="shared" si="52"/>
        <v>-3.05154271332071e-6</v>
      </c>
      <c r="CZ19" s="580">
        <f ca="1" t="shared" si="53"/>
        <v>2.32399276532574e+17</v>
      </c>
      <c r="DA19" s="580">
        <f ca="1" t="shared" si="54"/>
        <v>646297504</v>
      </c>
      <c r="DB19" s="586">
        <f ca="1" t="shared" si="55"/>
        <v>9.68671461808163e-27</v>
      </c>
      <c r="DC19" s="594">
        <f ca="1" t="shared" si="56"/>
        <v>77123424</v>
      </c>
      <c r="DD19" s="580">
        <f ca="1" t="shared" si="57"/>
        <v>76446342.7705688</v>
      </c>
      <c r="DE19" s="580">
        <f ca="1" t="shared" si="58"/>
        <v>6.10489573918825e-7</v>
      </c>
      <c r="DF19" s="595">
        <f ca="1" t="shared" si="59"/>
        <v>6.1048958917146e-7</v>
      </c>
      <c r="DG19" s="596">
        <f>DG$3*3600</f>
        <v>86400</v>
      </c>
      <c r="DH19" s="580">
        <f ca="1" t="shared" ref="DH19:DK19" si="189">CZ19</f>
        <v>2.32399276532574e+17</v>
      </c>
      <c r="DI19" s="580">
        <f ca="1" t="shared" si="189"/>
        <v>646297504</v>
      </c>
      <c r="DJ19" s="581">
        <f ca="1" t="shared" si="189"/>
        <v>9.68671461808163e-27</v>
      </c>
      <c r="DK19" s="580">
        <f ca="1" t="shared" si="189"/>
        <v>77123424</v>
      </c>
      <c r="DL19" s="580">
        <f ca="1">MAX(INDIRECT("'"&amp;$B$2&amp;"-事故进程'!AB"&amp;(ROW()+22)),INDIRECT("'"&amp;$B$2&amp;"-事故进程'!AC"&amp;(ROW()+22)))</f>
        <v>5.684759915e-15</v>
      </c>
      <c r="DM19" s="580">
        <f ca="1">SUM(DL$3,-LN(1-DM$3)/DG19)</f>
        <v>1.15648231731787e-20</v>
      </c>
      <c r="DN19" s="580">
        <f>DN$3/24/3600</f>
        <v>1157407407407410</v>
      </c>
      <c r="DO19" s="582">
        <f ca="1" t="shared" si="61"/>
        <v>0.986376118489042</v>
      </c>
      <c r="DP19" s="582">
        <f ca="1" t="shared" si="62"/>
        <v>0.986376118973513</v>
      </c>
      <c r="DQ19" s="582">
        <f t="shared" si="63"/>
        <v>0</v>
      </c>
      <c r="DR19" s="582">
        <f ca="1" t="shared" si="64"/>
        <v>1321.13409518142</v>
      </c>
      <c r="DS19" s="582">
        <f ca="1" t="shared" si="65"/>
        <v>3.2289052907945e-27</v>
      </c>
      <c r="DT19" s="582">
        <f ca="1" t="shared" si="66"/>
        <v>-2.03435973956859e-6</v>
      </c>
      <c r="DU19" s="580">
        <f ca="1" t="shared" si="67"/>
        <v>2.29233096325862e+17</v>
      </c>
      <c r="DV19" s="580">
        <f ca="1" t="shared" si="68"/>
        <v>750083296</v>
      </c>
      <c r="DW19" s="586">
        <f ca="1" t="shared" si="69"/>
        <v>7.49483829160198e-27</v>
      </c>
      <c r="DX19" s="594">
        <f ca="1" t="shared" si="70"/>
        <v>76072704</v>
      </c>
      <c r="DY19" s="580">
        <f ca="1" t="shared" si="71"/>
        <v>113366652.12942</v>
      </c>
      <c r="DZ19" s="580">
        <f ca="1" t="shared" si="72"/>
        <v>6.97879081571942e-7</v>
      </c>
      <c r="EA19" s="595">
        <f ca="1" t="shared" si="73"/>
        <v>6.97879064625779e-7</v>
      </c>
      <c r="EB19" s="596">
        <f>EB$3*3600</f>
        <v>172800</v>
      </c>
      <c r="EC19" s="580">
        <f ca="1" t="shared" ref="EC19:EF19" si="190">DU19</f>
        <v>2.29233096325862e+17</v>
      </c>
      <c r="ED19" s="580">
        <f ca="1" t="shared" si="190"/>
        <v>750083296</v>
      </c>
      <c r="EE19" s="581">
        <f ca="1" t="shared" si="190"/>
        <v>7.49483829160198e-27</v>
      </c>
      <c r="EF19" s="580">
        <f ca="1" t="shared" si="190"/>
        <v>76072704</v>
      </c>
      <c r="EG19" s="580">
        <f ca="1">MAX(INDIRECT("'"&amp;$B$2&amp;"-事故进程'!AC"&amp;(ROW()+22)),INDIRECT("'"&amp;$B$2&amp;"-事故进程'!AD"&amp;(ROW()+22)),INDIRECT("'"&amp;$B$2&amp;"-事故进程'!AE"&amp;(ROW()+22)))</f>
        <v>5.518197795e-16</v>
      </c>
      <c r="EH19" s="580">
        <f ca="1">SUM(EG$3,-LN(1-EH$3)/EB19)</f>
        <v>5.78241158658936e-21</v>
      </c>
      <c r="EI19" s="580">
        <f>EI$3/24/3600</f>
        <v>1157407407407410</v>
      </c>
      <c r="EJ19" s="582">
        <f ca="1" t="shared" si="75"/>
        <v>0.972937847988477</v>
      </c>
      <c r="EK19" s="582">
        <f ca="1" t="shared" si="76"/>
        <v>0.97293784808125</v>
      </c>
      <c r="EL19" s="582">
        <f t="shared" si="77"/>
        <v>0</v>
      </c>
      <c r="EM19" s="582">
        <f ca="1" t="shared" si="78"/>
        <v>126.495357082546</v>
      </c>
      <c r="EN19" s="582">
        <f ca="1" t="shared" si="79"/>
        <v>3.7474194363753e-27</v>
      </c>
      <c r="EO19" s="582">
        <f ca="1" t="shared" si="80"/>
        <v>-1.0478914302826e-5</v>
      </c>
      <c r="EP19" s="580">
        <f ca="1" t="shared" si="81"/>
        <v>2.23029555427019e+17</v>
      </c>
      <c r="EQ19" s="580">
        <f ca="1" t="shared" si="82"/>
        <v>751051296</v>
      </c>
      <c r="ER19" s="586">
        <f ca="1" t="shared" si="83"/>
        <v>3.7522550557613e-27</v>
      </c>
      <c r="ES19" s="594">
        <f ca="1" t="shared" si="84"/>
        <v>74013984</v>
      </c>
      <c r="ET19" s="580">
        <f ca="1" t="shared" si="85"/>
        <v>21561277.6083234</v>
      </c>
      <c r="EU19" s="580">
        <f ca="1" t="shared" si="86"/>
        <v>7.50018658330278e-7</v>
      </c>
      <c r="EV19" s="595">
        <f ca="1" t="shared" si="87"/>
        <v>7.50018621783914e-7</v>
      </c>
      <c r="EW19" s="596">
        <f>EW$3*3600</f>
        <v>2246400</v>
      </c>
      <c r="EX19" s="580">
        <f ca="1" t="shared" ref="EX19:FA19" si="191">EP19</f>
        <v>2.23029555427019e+17</v>
      </c>
      <c r="EY19" s="580">
        <f ca="1" t="shared" si="191"/>
        <v>751051296</v>
      </c>
      <c r="EZ19" s="581">
        <f ca="1" t="shared" si="191"/>
        <v>3.7522550557613e-27</v>
      </c>
      <c r="FA19" s="580">
        <f ca="1" t="shared" si="191"/>
        <v>74013984</v>
      </c>
      <c r="FB19" s="580">
        <f ca="1">INDIRECT("'"&amp;$B$2&amp;"-事故进程'!AE"&amp;(ROW()+22))</f>
        <v>0</v>
      </c>
      <c r="FC19" s="580">
        <f ca="1">SUM(FB$3,-LN(1-FC$3)/EW19)</f>
        <v>4.44800891276105e-22</v>
      </c>
      <c r="FD19" s="580">
        <f>FD$3/24/3600</f>
        <v>1157407407407410</v>
      </c>
      <c r="FE19" s="582">
        <f ca="1" t="shared" si="89"/>
        <v>0.700013274534452</v>
      </c>
      <c r="FF19" s="582">
        <f ca="1" t="shared" si="90"/>
        <v>0.700013274534452</v>
      </c>
      <c r="FG19" s="582">
        <f t="shared" si="91"/>
        <v>0</v>
      </c>
      <c r="FH19" s="582">
        <f ca="1" t="shared" si="92"/>
        <v>-3.34068285854873e-13</v>
      </c>
      <c r="FI19" s="582">
        <f ca="1" t="shared" si="93"/>
        <v>3.46362005678269e-27</v>
      </c>
      <c r="FJ19" s="582">
        <f ca="1" t="shared" si="94"/>
        <v>1</v>
      </c>
      <c r="FK19" s="580">
        <f ca="1" t="shared" si="95"/>
        <v>1.56123649412431e+17</v>
      </c>
      <c r="FL19" s="580">
        <f ca="1" t="shared" si="96"/>
        <v>525745877.056304</v>
      </c>
      <c r="FM19" s="586">
        <f ca="1" t="shared" si="97"/>
        <v>2.02048330780265e-28</v>
      </c>
      <c r="FN19" s="594">
        <f ca="1" t="shared" si="98"/>
        <v>51810762.9436964</v>
      </c>
      <c r="FO19" s="580">
        <f ca="1" t="shared" si="99"/>
        <v>0</v>
      </c>
      <c r="FP19" s="580">
        <f ca="1" t="shared" si="100"/>
        <v>6.31211446395547e-7</v>
      </c>
      <c r="FQ19" s="595">
        <f ca="1" t="shared" si="101"/>
        <v>6.31211446395547e-7</v>
      </c>
      <c r="FR19" s="608" t="str">
        <f t="shared" si="102"/>
        <v>Sr-89</v>
      </c>
      <c r="FS19" s="609">
        <v>42100000</v>
      </c>
      <c r="FT19" s="610">
        <v>13500000</v>
      </c>
      <c r="FU19" s="610">
        <v>52700000</v>
      </c>
      <c r="FV19" s="610">
        <v>187000000</v>
      </c>
      <c r="FW19" s="610">
        <v>296000000</v>
      </c>
      <c r="FX19" s="614">
        <f ca="1" t="shared" si="103"/>
        <v>0</v>
      </c>
      <c r="FY19" s="614">
        <f ca="1" t="shared" si="104"/>
        <v>5.79175160978513</v>
      </c>
      <c r="FZ19" s="614">
        <f ca="1" t="shared" si="105"/>
        <v>1.15842426787753e-14</v>
      </c>
      <c r="GA19" s="614">
        <f ca="1" t="shared" si="106"/>
        <v>7.74276837652242e-15</v>
      </c>
      <c r="GB19" s="614">
        <f ca="1" t="shared" si="107"/>
        <v>0.264150833554397</v>
      </c>
      <c r="GC19" s="455">
        <f ca="1" t="shared" si="108"/>
        <v>0.264150833554399</v>
      </c>
      <c r="GE19" s="609">
        <v>23804.6792898742</v>
      </c>
      <c r="GF19" s="610">
        <v>2700770.14423047</v>
      </c>
      <c r="GG19" s="610">
        <v>11085689.0457027</v>
      </c>
      <c r="GH19" s="610">
        <v>18773292.2186715</v>
      </c>
      <c r="GI19" s="610">
        <v>44774894.8661162</v>
      </c>
      <c r="GJ19" s="610">
        <v>261481194.733534</v>
      </c>
      <c r="GK19" s="617">
        <v>338839645.687544</v>
      </c>
      <c r="GL19" s="614">
        <f ca="1" t="shared" si="109"/>
        <v>0</v>
      </c>
      <c r="GM19" s="614">
        <f ca="1" t="shared" si="110"/>
        <v>28.9505002486532</v>
      </c>
      <c r="GN19" s="614">
        <f ca="1" t="shared" si="111"/>
        <v>5.50700625513317e-14</v>
      </c>
      <c r="GO19" s="614">
        <f ca="1" t="shared" si="112"/>
        <v>2.2784248502288e-14</v>
      </c>
      <c r="GP19" s="614">
        <f ca="1" t="shared" si="113"/>
        <v>2.41398409946379e-15</v>
      </c>
      <c r="GQ19" s="614">
        <f ca="1" t="shared" si="114"/>
        <v>0.230754127290649</v>
      </c>
      <c r="GR19" s="451">
        <f t="shared" si="115"/>
        <v>1.58767797586313e-7</v>
      </c>
      <c r="GS19" s="390">
        <f t="shared" si="116"/>
        <v>4365792</v>
      </c>
    </row>
    <row r="20" s="389" customFormat="1" spans="1:201">
      <c r="A20" s="432" t="s">
        <v>275</v>
      </c>
      <c r="B20" s="407" t="s">
        <v>267</v>
      </c>
      <c r="C20" s="422">
        <f>-LN(1-0%)/8/3600</f>
        <v>0</v>
      </c>
      <c r="D20" s="410" t="s">
        <v>268</v>
      </c>
      <c r="E20" s="409" t="s">
        <v>269</v>
      </c>
      <c r="G20" s="411" t="s">
        <v>61</v>
      </c>
      <c r="H20" s="412">
        <f ca="1" t="shared" si="1"/>
        <v>0</v>
      </c>
      <c r="I20" s="412">
        <f ca="1" t="shared" si="2"/>
        <v>13979466.8226014</v>
      </c>
      <c r="J20" s="412">
        <f ca="1" t="shared" si="3"/>
        <v>9.75154759161351e-8</v>
      </c>
      <c r="K20" s="412">
        <f ca="1" t="shared" si="4"/>
        <v>9.98902389254603e-8</v>
      </c>
      <c r="L20" s="412">
        <f ca="1" t="shared" si="5"/>
        <v>2.11700507607197e-7</v>
      </c>
      <c r="M20" s="412">
        <f ca="1" t="shared" si="6"/>
        <v>1.07834104826628e-7</v>
      </c>
      <c r="N20" s="412">
        <f ca="1" t="shared" si="7"/>
        <v>13979466.8226019</v>
      </c>
      <c r="O20" s="450">
        <f ca="1" t="shared" si="8"/>
        <v>13979466.8226013</v>
      </c>
      <c r="P20" s="451"/>
      <c r="Q20" s="477" t="str">
        <f t="shared" si="0"/>
        <v>Sr-90</v>
      </c>
      <c r="R20" s="412">
        <f ca="1" t="shared" si="9"/>
        <v>0</v>
      </c>
      <c r="S20" s="412">
        <f ca="1">I20*(1-过滤效率!$B17)</f>
        <v>13979.4668226014</v>
      </c>
      <c r="T20" s="412">
        <f ca="1">J20*(1-过滤效率!$B17)</f>
        <v>9.75154759161352e-11</v>
      </c>
      <c r="U20" s="412">
        <f ca="1">K20*(1-过滤效率!$B17)</f>
        <v>9.98902389254604e-11</v>
      </c>
      <c r="V20" s="412">
        <f ca="1">L20*(1-过滤效率!$B17)</f>
        <v>2.11700507607197e-10</v>
      </c>
      <c r="W20" s="412">
        <f ca="1">M20*(1-过滤效率!$B17)</f>
        <v>1.07834104826628e-10</v>
      </c>
      <c r="X20" s="412">
        <f ca="1" t="shared" si="10"/>
        <v>13979.4668226019</v>
      </c>
      <c r="Y20" s="493"/>
      <c r="Z20" s="494">
        <f>VLOOKUP(G20,衰变常数!$A$1:$H$3800,7,FALSE)</f>
        <v>7.62921459615568e-10</v>
      </c>
      <c r="AA20" s="495">
        <f>正常源项!C17</f>
        <v>1.12e+16</v>
      </c>
      <c r="AB20" s="496">
        <f>正常源项!F17</f>
        <v>0</v>
      </c>
      <c r="AC20" s="496">
        <f>正常源项!I17</f>
        <v>39.4</v>
      </c>
      <c r="AD20" s="497"/>
      <c r="AE20" s="496">
        <f>正常源项!O17</f>
        <v>1790000000</v>
      </c>
      <c r="AF20" s="498">
        <f t="shared" si="157"/>
        <v>0</v>
      </c>
      <c r="AG20" s="519">
        <f t="shared" si="185"/>
        <v>0</v>
      </c>
      <c r="AH20" s="523">
        <v>0.95</v>
      </c>
      <c r="AI20" s="519">
        <f t="shared" si="159"/>
        <v>89500000</v>
      </c>
      <c r="AJ20" s="521">
        <v>0.00066</v>
      </c>
      <c r="AK20" s="521">
        <v>6.468e-8</v>
      </c>
      <c r="AL20" s="525">
        <f t="shared" si="186"/>
        <v>15447765.97056</v>
      </c>
      <c r="AM20" s="520"/>
      <c r="AN20" s="519">
        <f ca="1">MAX(INDIRECT("'"&amp;$B$2&amp;"-事故进程'!Y"&amp;(ROW()+22)),INDIRECT("'"&amp;$B$2&amp;"-事故进程'!Z"&amp;(ROW()+22)),INDIRECT("'"&amp;$B$2&amp;"-事故进程'!AA"&amp;(ROW()+22)))</f>
        <v>5.45393451e-15</v>
      </c>
      <c r="AO20" s="519">
        <f ca="1" t="shared" si="13"/>
        <v>5497188.30455959</v>
      </c>
      <c r="AP20" s="560">
        <f t="shared" si="14"/>
        <v>1.11992310015699e+16</v>
      </c>
      <c r="AQ20" s="561">
        <f ca="1">(AC20*$C$5+AD20*$C$8+AF20+AG20+AI20+(AL20+AM20)*$C$10)*EXP(-Z20*$C$12*3600)+AO20*$C$11</f>
        <v>110437787.89855</v>
      </c>
      <c r="AR20" s="562">
        <f ca="1">AQ20*(1-AR$3)</f>
        <v>96458321.0759489</v>
      </c>
      <c r="AS20" s="563">
        <f ca="1" t="shared" si="15"/>
        <v>13979466.8226013</v>
      </c>
      <c r="AT20" s="562">
        <f ca="1">AS20*(1-AT$3)</f>
        <v>13979466.8226013</v>
      </c>
      <c r="AU20" s="564">
        <f ca="1" t="shared" si="16"/>
        <v>0</v>
      </c>
      <c r="AV20" s="565">
        <f>AV$3*3600</f>
        <v>7200</v>
      </c>
      <c r="AW20" s="580">
        <f>AP20*EXP(-Z20*AW$3*3600)</f>
        <v>1.11992310015699e+16</v>
      </c>
      <c r="AX20" s="580">
        <f ca="1" t="shared" si="17"/>
        <v>96458321.0759489</v>
      </c>
      <c r="AY20" s="581">
        <f ca="1" t="shared" si="18"/>
        <v>13979466.8226013</v>
      </c>
      <c r="AZ20" s="580">
        <v>0</v>
      </c>
      <c r="BA20" s="580">
        <f ca="1">MAX(INDIRECT("'"&amp;$B$2&amp;"-事故进程'!Y"&amp;(ROW()+22)),INDIRECT("'"&amp;$B$2&amp;"-事故进程'!Z"&amp;(ROW()+22)))</f>
        <v>5.45393451e-15</v>
      </c>
      <c r="BB20" s="580">
        <f>SUM(BA$3,-LN(1-BB$3)/AV20)</f>
        <v>1.38777878078145e-19</v>
      </c>
      <c r="BC20" s="580">
        <f>BC$3/24/3600</f>
        <v>1157407407407410</v>
      </c>
      <c r="BD20" s="582">
        <f ca="1" t="shared" si="19"/>
        <v>0.999994506941309</v>
      </c>
      <c r="BE20" s="582">
        <f t="shared" si="20"/>
        <v>0.999994506980576</v>
      </c>
      <c r="BF20" s="582">
        <f t="shared" si="21"/>
        <v>0</v>
      </c>
      <c r="BG20" s="582">
        <f ca="1" t="shared" si="22"/>
        <v>61.0798729709877</v>
      </c>
      <c r="BH20" s="582">
        <f ca="1" t="shared" si="23"/>
        <v>13979466.8226013</v>
      </c>
      <c r="BI20" s="582">
        <f ca="1" t="shared" si="24"/>
        <v>-2.5446108525988e-5</v>
      </c>
      <c r="BJ20" s="580">
        <f ca="1" t="shared" si="25"/>
        <v>1.11991694835367e+16</v>
      </c>
      <c r="BK20" s="580">
        <f ca="1" t="shared" si="26"/>
        <v>96897562</v>
      </c>
      <c r="BL20" s="586">
        <f ca="1" t="shared" si="27"/>
        <v>1.16184138899771e-26</v>
      </c>
      <c r="BM20" s="594">
        <f ca="1" t="shared" si="28"/>
        <v>13979392</v>
      </c>
      <c r="BN20" s="580">
        <f ca="1" t="shared" si="29"/>
        <v>439773.873749426</v>
      </c>
      <c r="BO20" s="580">
        <f ca="1" t="shared" si="30"/>
        <v>9.65364634658301e-8</v>
      </c>
      <c r="BP20" s="595">
        <f ca="1" t="shared" si="31"/>
        <v>13979466.8226014</v>
      </c>
      <c r="BQ20" s="596">
        <f>BQ$3*3600</f>
        <v>21600</v>
      </c>
      <c r="BR20" s="580">
        <f ca="1" t="shared" ref="BR20:BU20" si="192">BJ20</f>
        <v>1.11991694835367e+16</v>
      </c>
      <c r="BS20" s="580">
        <f ca="1" t="shared" si="192"/>
        <v>96897562</v>
      </c>
      <c r="BT20" s="581">
        <f ca="1" t="shared" si="192"/>
        <v>1.16184138899771e-26</v>
      </c>
      <c r="BU20" s="580">
        <f ca="1" t="shared" si="192"/>
        <v>13979392</v>
      </c>
      <c r="BV20" s="580">
        <f ca="1">MAX(INDIRECT("'"&amp;$B$2&amp;"-事故进程'!Z"&amp;(ROW()+22)),INDIRECT("'"&amp;$B$2&amp;"-事故进程'!AA"&amp;(ROW()+22)))</f>
        <v>5.45393451e-15</v>
      </c>
      <c r="BW20" s="580">
        <f ca="1">SUM(BV$3,-LN(1-BW$3)/BQ20)</f>
        <v>4.62592926927149e-20</v>
      </c>
      <c r="BX20" s="580">
        <f>BX$3/24/3600</f>
        <v>1157407407407410</v>
      </c>
      <c r="BY20" s="582">
        <f ca="1" t="shared" si="33"/>
        <v>0.999983520914449</v>
      </c>
      <c r="BZ20" s="582">
        <f ca="1" t="shared" si="34"/>
        <v>0.999983521032251</v>
      </c>
      <c r="CA20" s="582">
        <f t="shared" si="35"/>
        <v>0</v>
      </c>
      <c r="CB20" s="582">
        <f ca="1" t="shared" si="36"/>
        <v>61.079537458068</v>
      </c>
      <c r="CC20" s="582">
        <f ca="1" t="shared" si="37"/>
        <v>7.7456093329291e-27</v>
      </c>
      <c r="CD20" s="582">
        <f ca="1" t="shared" si="38"/>
        <v>-8.48189228789489e-6</v>
      </c>
      <c r="CE20" s="580">
        <f ca="1" t="shared" si="39"/>
        <v>1.11989849314647e+16</v>
      </c>
      <c r="CF20" s="580">
        <f ca="1" t="shared" si="40"/>
        <v>98215260</v>
      </c>
      <c r="CG20" s="586">
        <f ca="1" t="shared" si="41"/>
        <v>3.92547037662955e-27</v>
      </c>
      <c r="CH20" s="594">
        <f ca="1" t="shared" si="42"/>
        <v>13979162</v>
      </c>
      <c r="CI20" s="580">
        <f ca="1" t="shared" si="43"/>
        <v>1319307.12706959</v>
      </c>
      <c r="CJ20" s="580">
        <f ca="1" t="shared" si="44"/>
        <v>9.75154743460249e-8</v>
      </c>
      <c r="CK20" s="595">
        <f ca="1" t="shared" si="45"/>
        <v>9.75154759161351e-8</v>
      </c>
      <c r="CL20" s="596">
        <f>CL$3*3600</f>
        <v>57600</v>
      </c>
      <c r="CM20" s="580">
        <f ca="1" t="shared" ref="CM20:CP20" si="193">CE20</f>
        <v>1.11989849314647e+16</v>
      </c>
      <c r="CN20" s="580">
        <f ca="1" t="shared" si="193"/>
        <v>98215260</v>
      </c>
      <c r="CO20" s="581">
        <f ca="1" t="shared" si="193"/>
        <v>3.92547037662955e-27</v>
      </c>
      <c r="CP20" s="580">
        <f ca="1" t="shared" si="193"/>
        <v>13979162</v>
      </c>
      <c r="CQ20" s="580">
        <f ca="1">MAX(INDIRECT("'"&amp;$B$2&amp;"-事故进程'!AA"&amp;(ROW()+22)),INDIRECT("'"&amp;$B$2&amp;"-事故进程'!AB"&amp;(ROW()+22)))</f>
        <v>5.45393451e-15</v>
      </c>
      <c r="CR20" s="580">
        <f ca="1">SUM(CQ$3,-LN(1-CR$3)/CL20)</f>
        <v>1.73472347597681e-20</v>
      </c>
      <c r="CS20" s="580">
        <f>CS$3/24/3600</f>
        <v>1157407407407410</v>
      </c>
      <c r="CT20" s="582">
        <f ca="1" t="shared" si="47"/>
        <v>0.999956056375329</v>
      </c>
      <c r="CU20" s="582">
        <f ca="1" t="shared" si="48"/>
        <v>0.999956056689461</v>
      </c>
      <c r="CV20" s="582">
        <f t="shared" si="49"/>
        <v>0</v>
      </c>
      <c r="CW20" s="582">
        <f ca="1" t="shared" si="50"/>
        <v>61.0785309303429</v>
      </c>
      <c r="CX20" s="582">
        <f ca="1" t="shared" si="51"/>
        <v>2.45341899583868e-27</v>
      </c>
      <c r="CY20" s="582">
        <f ca="1" t="shared" si="52"/>
        <v>-3.18069274652729e-6</v>
      </c>
      <c r="CZ20" s="580">
        <f ca="1" t="shared" si="53"/>
        <v>1.11984928074741e+16</v>
      </c>
      <c r="DA20" s="580">
        <f ca="1" t="shared" si="54"/>
        <v>101728914</v>
      </c>
      <c r="DB20" s="586">
        <f ca="1" t="shared" si="55"/>
        <v>1.52471401800057e-27</v>
      </c>
      <c r="DC20" s="594">
        <f ca="1" t="shared" si="56"/>
        <v>13978548</v>
      </c>
      <c r="DD20" s="580">
        <f ca="1" t="shared" si="57"/>
        <v>3518046.05061848</v>
      </c>
      <c r="DE20" s="580">
        <f ca="1" t="shared" si="58"/>
        <v>9.98902378381903e-8</v>
      </c>
      <c r="DF20" s="595">
        <f ca="1" t="shared" si="59"/>
        <v>9.98902389254603e-8</v>
      </c>
      <c r="DG20" s="596">
        <f>DG$3*3600</f>
        <v>86400</v>
      </c>
      <c r="DH20" s="580">
        <f ca="1" t="shared" ref="DH20:DK20" si="194">CZ20</f>
        <v>1.11984928074741e+16</v>
      </c>
      <c r="DI20" s="580">
        <f ca="1" t="shared" si="194"/>
        <v>101728914</v>
      </c>
      <c r="DJ20" s="581">
        <f ca="1" t="shared" si="194"/>
        <v>1.52471401800057e-27</v>
      </c>
      <c r="DK20" s="580">
        <f ca="1" t="shared" si="194"/>
        <v>13978548</v>
      </c>
      <c r="DL20" s="580">
        <f ca="1">MAX(INDIRECT("'"&amp;$B$2&amp;"-事故进程'!AB"&amp;(ROW()+22)),INDIRECT("'"&amp;$B$2&amp;"-事故进程'!AC"&amp;(ROW()+22)))</f>
        <v>5.45393451e-15</v>
      </c>
      <c r="DM20" s="580">
        <f ca="1">SUM(DL$3,-LN(1-DM$3)/DG20)</f>
        <v>1.15648231731787e-20</v>
      </c>
      <c r="DN20" s="580">
        <f>DN$3/24/3600</f>
        <v>1157407407407410</v>
      </c>
      <c r="DO20" s="582">
        <f ca="1" t="shared" si="61"/>
        <v>0.999934085287139</v>
      </c>
      <c r="DP20" s="582">
        <f ca="1" t="shared" si="62"/>
        <v>0.999934085758327</v>
      </c>
      <c r="DQ20" s="582">
        <f t="shared" si="63"/>
        <v>0</v>
      </c>
      <c r="DR20" s="582">
        <f ca="1" t="shared" si="64"/>
        <v>61.0758469374916</v>
      </c>
      <c r="DS20" s="582">
        <f ca="1" t="shared" si="65"/>
        <v>5.08237974664359e-28</v>
      </c>
      <c r="DT20" s="582">
        <f ca="1" t="shared" si="66"/>
        <v>-2.12045958284139e-6</v>
      </c>
      <c r="DU20" s="580">
        <f ca="1" t="shared" si="67"/>
        <v>1.11977546620362e+16</v>
      </c>
      <c r="DV20" s="580">
        <f ca="1" t="shared" si="68"/>
        <v>106998814</v>
      </c>
      <c r="DW20" s="586">
        <f ca="1" t="shared" si="69"/>
        <v>1.06913292377221e-27</v>
      </c>
      <c r="DX20" s="594">
        <f ca="1" t="shared" si="70"/>
        <v>13977626</v>
      </c>
      <c r="DY20" s="580">
        <f ca="1" t="shared" si="71"/>
        <v>5276779.21112481</v>
      </c>
      <c r="DZ20" s="580">
        <f ca="1" t="shared" si="72"/>
        <v>1.0428319135917e-7</v>
      </c>
      <c r="EA20" s="595">
        <f ca="1" t="shared" si="73"/>
        <v>1.04283192021678e-7</v>
      </c>
      <c r="EB20" s="596">
        <f>EB$3*3600</f>
        <v>172800</v>
      </c>
      <c r="EC20" s="580">
        <f ca="1" t="shared" ref="EC20:EF20" si="195">DU20</f>
        <v>1.11977546620362e+16</v>
      </c>
      <c r="ED20" s="580">
        <f ca="1" t="shared" si="195"/>
        <v>106998814</v>
      </c>
      <c r="EE20" s="581">
        <f ca="1" t="shared" si="195"/>
        <v>1.06913292377221e-27</v>
      </c>
      <c r="EF20" s="580">
        <f ca="1" t="shared" si="195"/>
        <v>13977626</v>
      </c>
      <c r="EG20" s="580">
        <f ca="1">MAX(INDIRECT("'"&amp;$B$2&amp;"-事故进程'!AC"&amp;(ROW()+22)),INDIRECT("'"&amp;$B$2&amp;"-事故进程'!AD"&amp;(ROW()+22)),INDIRECT("'"&amp;$B$2&amp;"-事故进程'!AE"&amp;(ROW()+22)))</f>
        <v>5.31427241e-16</v>
      </c>
      <c r="EH20" s="580">
        <f ca="1">SUM(EG$3,-LN(1-EH$3)/EB20)</f>
        <v>5.78241158658936e-21</v>
      </c>
      <c r="EI20" s="580">
        <f>EI$3/24/3600</f>
        <v>1157407407407410</v>
      </c>
      <c r="EJ20" s="582">
        <f ca="1" t="shared" si="75"/>
        <v>0.999868175769525</v>
      </c>
      <c r="EK20" s="582">
        <f ca="1" t="shared" si="76"/>
        <v>0.999868175861343</v>
      </c>
      <c r="EL20" s="582">
        <f t="shared" si="77"/>
        <v>0</v>
      </c>
      <c r="EM20" s="582">
        <f ca="1" t="shared" si="78"/>
        <v>5.95079192230228</v>
      </c>
      <c r="EN20" s="582">
        <f ca="1" t="shared" si="79"/>
        <v>5.34566462675481e-28</v>
      </c>
      <c r="EO20" s="582">
        <f ca="1" t="shared" si="80"/>
        <v>-1.0881027653548e-5</v>
      </c>
      <c r="EP20" s="580">
        <f ca="1" t="shared" si="81"/>
        <v>1.11962785266449e+16</v>
      </c>
      <c r="EQ20" s="580">
        <f ca="1" t="shared" si="82"/>
        <v>108012868</v>
      </c>
      <c r="ER20" s="586">
        <f ca="1" t="shared" si="83"/>
        <v>5.39632682302286e-28</v>
      </c>
      <c r="ES20" s="594">
        <f ca="1" t="shared" si="84"/>
        <v>13975786</v>
      </c>
      <c r="ET20" s="580">
        <f ca="1" t="shared" si="85"/>
        <v>1028229.05563942</v>
      </c>
      <c r="EU20" s="580">
        <f ca="1" t="shared" si="86"/>
        <v>1.07417315884629e-7</v>
      </c>
      <c r="EV20" s="595">
        <f ca="1" t="shared" si="87"/>
        <v>1.07417315585519e-7</v>
      </c>
      <c r="EW20" s="596">
        <f>EW$3*3600</f>
        <v>2246400</v>
      </c>
      <c r="EX20" s="580">
        <f ca="1" t="shared" ref="EX20:FA20" si="196">EP20</f>
        <v>1.11962785266449e+16</v>
      </c>
      <c r="EY20" s="580">
        <f ca="1" t="shared" si="196"/>
        <v>108012868</v>
      </c>
      <c r="EZ20" s="581">
        <f ca="1" t="shared" si="196"/>
        <v>5.39632682302286e-28</v>
      </c>
      <c r="FA20" s="580">
        <f ca="1" t="shared" si="196"/>
        <v>13975786</v>
      </c>
      <c r="FB20" s="580">
        <f ca="1">INDIRECT("'"&amp;$B$2&amp;"-事故进程'!AE"&amp;(ROW()+22))</f>
        <v>0</v>
      </c>
      <c r="FC20" s="580">
        <f ca="1">SUM(FB$3,-LN(1-FC$3)/EW20)</f>
        <v>4.44800891276105e-22</v>
      </c>
      <c r="FD20" s="580">
        <f>FD$3/24/3600</f>
        <v>1157407407407410</v>
      </c>
      <c r="FE20" s="582">
        <f ca="1" t="shared" si="89"/>
        <v>0.998287640995596</v>
      </c>
      <c r="FF20" s="582">
        <f ca="1" t="shared" si="90"/>
        <v>0.998287640995595</v>
      </c>
      <c r="FG20" s="582">
        <f t="shared" si="91"/>
        <v>0</v>
      </c>
      <c r="FH20" s="582">
        <f ca="1" t="shared" si="92"/>
        <v>-4.80442199556882e-14</v>
      </c>
      <c r="FI20" s="582">
        <f ca="1" t="shared" si="93"/>
        <v>4.98122476260571e-28</v>
      </c>
      <c r="FJ20" s="582">
        <f ca="1" t="shared" si="94"/>
        <v>1</v>
      </c>
      <c r="FK20" s="580">
        <f ca="1" t="shared" si="95"/>
        <v>1.1177106478294e+16</v>
      </c>
      <c r="FL20" s="580">
        <f ca="1" t="shared" si="96"/>
        <v>107827911.192889</v>
      </c>
      <c r="FM20" s="586">
        <f ca="1" t="shared" si="97"/>
        <v>4.14391256666244e-29</v>
      </c>
      <c r="FN20" s="594">
        <f ca="1" t="shared" si="98"/>
        <v>13951852.8071114</v>
      </c>
      <c r="FO20" s="580">
        <f ca="1" t="shared" si="99"/>
        <v>0</v>
      </c>
      <c r="FP20" s="580">
        <f ca="1" t="shared" si="100"/>
        <v>1.07834104826628e-7</v>
      </c>
      <c r="FQ20" s="595">
        <f ca="1" t="shared" si="101"/>
        <v>1.07834104826628e-7</v>
      </c>
      <c r="FR20" s="608" t="str">
        <f t="shared" si="102"/>
        <v>Sr-90</v>
      </c>
      <c r="FS20" s="609">
        <v>5400000</v>
      </c>
      <c r="FT20" s="610">
        <v>657000</v>
      </c>
      <c r="FU20" s="610">
        <v>2620000</v>
      </c>
      <c r="FV20" s="610">
        <v>9480000</v>
      </c>
      <c r="FW20" s="610">
        <v>18200000</v>
      </c>
      <c r="FX20" s="614">
        <f ca="1" t="shared" si="103"/>
        <v>0</v>
      </c>
      <c r="FY20" s="614">
        <f ca="1" t="shared" si="104"/>
        <v>21.2777272794543</v>
      </c>
      <c r="FZ20" s="614">
        <f ca="1" t="shared" si="105"/>
        <v>3.81260453913971e-14</v>
      </c>
      <c r="GA20" s="614">
        <f ca="1" t="shared" si="106"/>
        <v>2.2331277173755e-14</v>
      </c>
      <c r="GB20" s="614">
        <f ca="1" t="shared" si="107"/>
        <v>0.768102572670428</v>
      </c>
      <c r="GC20" s="455">
        <f ca="1" t="shared" si="108"/>
        <v>0.768102572670434</v>
      </c>
      <c r="GE20" s="609">
        <v>156.853032020541</v>
      </c>
      <c r="GF20" s="610">
        <v>281017.280176744</v>
      </c>
      <c r="GG20" s="610">
        <v>832411.864529439</v>
      </c>
      <c r="GH20" s="610">
        <v>1332820.64230674</v>
      </c>
      <c r="GI20" s="610">
        <v>2967266.44188975</v>
      </c>
      <c r="GJ20" s="610">
        <v>18825190.0818027</v>
      </c>
      <c r="GK20" s="617">
        <v>24238863.1637374</v>
      </c>
      <c r="GL20" s="614">
        <f ca="1" t="shared" si="109"/>
        <v>0</v>
      </c>
      <c r="GM20" s="614">
        <f ca="1" t="shared" si="110"/>
        <v>49.7459331106229</v>
      </c>
      <c r="GN20" s="614">
        <f ca="1" t="shared" si="111"/>
        <v>1.20000979301188e-13</v>
      </c>
      <c r="GO20" s="614">
        <f ca="1" t="shared" si="112"/>
        <v>4.9231679140925e-14</v>
      </c>
      <c r="GP20" s="614">
        <f ca="1" t="shared" si="113"/>
        <v>5.728181461013e-15</v>
      </c>
      <c r="GQ20" s="614">
        <f ca="1" t="shared" si="114"/>
        <v>0.576737726029821</v>
      </c>
      <c r="GR20" s="451">
        <f t="shared" si="115"/>
        <v>7.62921459615568e-10</v>
      </c>
      <c r="GS20" s="390">
        <f t="shared" si="116"/>
        <v>908543300</v>
      </c>
    </row>
    <row r="21" s="389" customFormat="1" spans="1:201">
      <c r="A21" s="432"/>
      <c r="B21" s="407" t="s">
        <v>270</v>
      </c>
      <c r="C21" s="433">
        <f ca="1">IF(2&lt;=$C$13-$C$12,MAX(1%,INDIRECT("'"&amp;$B$2&amp;"-事故进程'!$AA$23")*150%),0.000000000000001)</f>
        <v>1e-15</v>
      </c>
      <c r="D21" s="410"/>
      <c r="E21" s="409" t="s">
        <v>271</v>
      </c>
      <c r="G21" s="411" t="s">
        <v>62</v>
      </c>
      <c r="H21" s="412">
        <f ca="1" t="shared" si="1"/>
        <v>0</v>
      </c>
      <c r="I21" s="412">
        <f ca="1" t="shared" si="2"/>
        <v>5373868339.25365</v>
      </c>
      <c r="J21" s="412">
        <f ca="1" t="shared" si="3"/>
        <v>3.74777268147104e-5</v>
      </c>
      <c r="K21" s="412">
        <f ca="1" t="shared" si="4"/>
        <v>3.84179717988071e-5</v>
      </c>
      <c r="L21" s="412">
        <f ca="1" t="shared" si="5"/>
        <v>8.16782316653311e-5</v>
      </c>
      <c r="M21" s="412">
        <f ca="1" t="shared" si="6"/>
        <v>4.14587892703338e-5</v>
      </c>
      <c r="N21" s="412">
        <f ca="1" t="shared" si="7"/>
        <v>5373868339.25385</v>
      </c>
      <c r="O21" s="450">
        <f ca="1" t="shared" si="8"/>
        <v>5373868339.25362</v>
      </c>
      <c r="P21" s="451"/>
      <c r="Q21" s="477" t="str">
        <f t="shared" si="0"/>
        <v>Cs-134</v>
      </c>
      <c r="R21" s="412">
        <f ca="1" t="shared" si="9"/>
        <v>0</v>
      </c>
      <c r="S21" s="412">
        <f ca="1">I21*(1-过滤效率!$B18)</f>
        <v>5373868.33925366</v>
      </c>
      <c r="T21" s="412">
        <f ca="1">J21*(1-过滤效率!$B18)</f>
        <v>3.74777268147104e-8</v>
      </c>
      <c r="U21" s="412">
        <f ca="1">K21*(1-过滤效率!$B18)</f>
        <v>3.84179717988071e-8</v>
      </c>
      <c r="V21" s="412">
        <f ca="1">L21*(1-过滤效率!$B18)</f>
        <v>8.16782316653312e-8</v>
      </c>
      <c r="W21" s="412">
        <f ca="1">M21*(1-过滤效率!$B18)</f>
        <v>4.14587892703338e-8</v>
      </c>
      <c r="X21" s="412">
        <f ca="1" t="shared" si="10"/>
        <v>5373868.33925386</v>
      </c>
      <c r="Y21" s="493"/>
      <c r="Z21" s="494">
        <f>VLOOKUP(G21,衰变常数!$A$1:$H$3800,7,FALSE)</f>
        <v>1.06355351616218e-8</v>
      </c>
      <c r="AA21" s="495">
        <f>正常源项!C18</f>
        <v>1.46e+16</v>
      </c>
      <c r="AB21" s="496">
        <f>正常源项!F18</f>
        <v>0</v>
      </c>
      <c r="AC21" s="496">
        <f>正常源项!I18</f>
        <v>385000</v>
      </c>
      <c r="AD21" s="497"/>
      <c r="AE21" s="496">
        <f>正常源项!O18</f>
        <v>806000000000</v>
      </c>
      <c r="AF21" s="498">
        <f t="shared" si="157"/>
        <v>0</v>
      </c>
      <c r="AG21" s="519">
        <f t="shared" si="185"/>
        <v>0</v>
      </c>
      <c r="AH21" s="523">
        <v>0.95</v>
      </c>
      <c r="AI21" s="519">
        <f t="shared" si="159"/>
        <v>40300000000</v>
      </c>
      <c r="AJ21" s="521">
        <v>0.00066</v>
      </c>
      <c r="AK21" s="521">
        <v>0.000144</v>
      </c>
      <c r="AL21" s="525">
        <f t="shared" si="186"/>
        <v>15745224</v>
      </c>
      <c r="AM21" s="520"/>
      <c r="AN21" s="519">
        <f ca="1">MAX(INDIRECT("'"&amp;$B$2&amp;"-事故进程'!Y"&amp;(ROW()+22)),INDIRECT("'"&amp;$B$2&amp;"-事故进程'!Z"&amp;(ROW()+22)),INDIRECT("'"&amp;$B$2&amp;"-事故进程'!AA"&amp;(ROW()+22)))</f>
        <v>1.6575995e-12</v>
      </c>
      <c r="AO21" s="519">
        <f ca="1" t="shared" si="13"/>
        <v>2176001718.45689</v>
      </c>
      <c r="AP21" s="560">
        <f t="shared" si="14"/>
        <v>1.45860315931309e+16</v>
      </c>
      <c r="AQ21" s="561">
        <f ca="1">(AC21*$C$5+AD21*$C$8+AF21+AG21+AI21+(AL21+AM21)*$C$10)*EXP(-Z21*$C$12*3600)+AO21*$C$11</f>
        <v>42453559880.1036</v>
      </c>
      <c r="AR21" s="562">
        <f ca="1">AQ21*(1-AR$3)</f>
        <v>37079691540.85</v>
      </c>
      <c r="AS21" s="563">
        <f ca="1" t="shared" si="15"/>
        <v>5373868339.25362</v>
      </c>
      <c r="AT21" s="562">
        <f ca="1">AS21*(1-AT$3)</f>
        <v>5373868339.25362</v>
      </c>
      <c r="AU21" s="564">
        <f ca="1" t="shared" si="16"/>
        <v>0</v>
      </c>
      <c r="AV21" s="565">
        <f>AV$3*3600</f>
        <v>7200</v>
      </c>
      <c r="AW21" s="580">
        <f>AP21*EXP(-Z21*AW$3*3600)</f>
        <v>1.45860315931309e+16</v>
      </c>
      <c r="AX21" s="580">
        <f ca="1" t="shared" si="17"/>
        <v>37079691540.85</v>
      </c>
      <c r="AY21" s="581">
        <f ca="1" t="shared" si="18"/>
        <v>5373868339.25362</v>
      </c>
      <c r="AZ21" s="580">
        <v>0</v>
      </c>
      <c r="BA21" s="580">
        <f ca="1">MAX(INDIRECT("'"&amp;$B$2&amp;"-事故进程'!Y"&amp;(ROW()+22)),INDIRECT("'"&amp;$B$2&amp;"-事故进程'!Z"&amp;(ROW()+22)))</f>
        <v>1.6575995e-12</v>
      </c>
      <c r="BB21" s="580">
        <f>SUM(BA$3,-LN(1-BB$3)/AV21)</f>
        <v>1.38777878078145e-19</v>
      </c>
      <c r="BC21" s="580">
        <f>BC$3/24/3600</f>
        <v>1157407407407410</v>
      </c>
      <c r="BD21" s="582">
        <f ca="1" t="shared" si="19"/>
        <v>0.99992341514489</v>
      </c>
      <c r="BE21" s="582">
        <f t="shared" si="20"/>
        <v>0.999923427078691</v>
      </c>
      <c r="BF21" s="582">
        <f t="shared" si="21"/>
        <v>0</v>
      </c>
      <c r="BG21" s="582">
        <f ca="1" t="shared" si="22"/>
        <v>24177.8601390309</v>
      </c>
      <c r="BH21" s="582">
        <f ca="1" t="shared" si="23"/>
        <v>5373868339.25362</v>
      </c>
      <c r="BI21" s="582">
        <f ca="1" t="shared" si="24"/>
        <v>-8.37222077449559e-8</v>
      </c>
      <c r="BJ21" s="580">
        <f ca="1" t="shared" si="25"/>
        <v>1.45849145240147e+16</v>
      </c>
      <c r="BK21" s="580">
        <f ca="1" t="shared" si="26"/>
        <v>37250919058</v>
      </c>
      <c r="BL21" s="586">
        <f ca="1" t="shared" si="27"/>
        <v>4.46653742718105e-24</v>
      </c>
      <c r="BM21" s="594">
        <f ca="1" t="shared" si="28"/>
        <v>5373456848</v>
      </c>
      <c r="BN21" s="580">
        <f ca="1" t="shared" si="29"/>
        <v>174073484.428781</v>
      </c>
      <c r="BO21" s="580">
        <f ca="1" t="shared" si="30"/>
        <v>3.7135613903282e-5</v>
      </c>
      <c r="BP21" s="595">
        <f ca="1" t="shared" si="31"/>
        <v>5373868339.25365</v>
      </c>
      <c r="BQ21" s="596">
        <f>BQ$3*3600</f>
        <v>21600</v>
      </c>
      <c r="BR21" s="580">
        <f ca="1" t="shared" ref="BR21:BU21" si="197">BJ21</f>
        <v>1.45849145240147e+16</v>
      </c>
      <c r="BS21" s="580">
        <f ca="1" t="shared" si="197"/>
        <v>37250919058</v>
      </c>
      <c r="BT21" s="581">
        <f ca="1" t="shared" si="197"/>
        <v>4.46653742718105e-24</v>
      </c>
      <c r="BU21" s="580">
        <f ca="1" t="shared" si="197"/>
        <v>5373456848</v>
      </c>
      <c r="BV21" s="580">
        <f ca="1">MAX(INDIRECT("'"&amp;$B$2&amp;"-事故进程'!Z"&amp;(ROW()+22)),INDIRECT("'"&amp;$B$2&amp;"-事故进程'!AA"&amp;(ROW()+22)))</f>
        <v>1.6575995e-12</v>
      </c>
      <c r="BW21" s="580">
        <f ca="1">SUM(BV$3,-LN(1-BW$3)/BQ21)</f>
        <v>4.62592926927149e-20</v>
      </c>
      <c r="BX21" s="580">
        <f>BX$3/24/3600</f>
        <v>1157407407407410</v>
      </c>
      <c r="BY21" s="582">
        <f ca="1" t="shared" si="33"/>
        <v>0.99977026302994</v>
      </c>
      <c r="BZ21" s="582">
        <f ca="1" t="shared" si="34"/>
        <v>0.999770298825863</v>
      </c>
      <c r="CA21" s="582">
        <f t="shared" si="35"/>
        <v>0</v>
      </c>
      <c r="CB21" s="582">
        <f ca="1" t="shared" si="36"/>
        <v>24176.0087696525</v>
      </c>
      <c r="CC21" s="582">
        <f ca="1" t="shared" si="37"/>
        <v>2.97769161822202e-24</v>
      </c>
      <c r="CD21" s="582">
        <f ca="1" t="shared" si="38"/>
        <v>-2.79074010240058e-8</v>
      </c>
      <c r="CE21" s="580">
        <f ca="1" t="shared" si="39"/>
        <v>1.45815638299433e+16</v>
      </c>
      <c r="CF21" s="580">
        <f ca="1" t="shared" si="40"/>
        <v>37764442970</v>
      </c>
      <c r="CG21" s="586">
        <f ca="1" t="shared" si="41"/>
        <v>1.50937034762927e-24</v>
      </c>
      <c r="CH21" s="594">
        <f ca="1" t="shared" si="42"/>
        <v>5372222562</v>
      </c>
      <c r="CI21" s="580">
        <f ca="1" t="shared" si="43"/>
        <v>522140469.014699</v>
      </c>
      <c r="CJ21" s="580">
        <f ca="1" t="shared" si="44"/>
        <v>3.74777268142573e-5</v>
      </c>
      <c r="CK21" s="595">
        <f ca="1" t="shared" si="45"/>
        <v>3.74777268147104e-5</v>
      </c>
      <c r="CL21" s="596">
        <f>CL$3*3600</f>
        <v>57600</v>
      </c>
      <c r="CM21" s="580">
        <f ca="1" t="shared" ref="CM21:CP21" si="198">CE21</f>
        <v>1.45815638299433e+16</v>
      </c>
      <c r="CN21" s="580">
        <f ca="1" t="shared" si="198"/>
        <v>37764442970</v>
      </c>
      <c r="CO21" s="581">
        <f ca="1" t="shared" si="198"/>
        <v>1.50937034762927e-24</v>
      </c>
      <c r="CP21" s="580">
        <f ca="1" t="shared" si="198"/>
        <v>5372222562</v>
      </c>
      <c r="CQ21" s="580">
        <f ca="1">MAX(INDIRECT("'"&amp;$B$2&amp;"-事故进程'!AA"&amp;(ROW()+22)),INDIRECT("'"&amp;$B$2&amp;"-事故进程'!AB"&amp;(ROW()+22)))</f>
        <v>1.6575995e-12</v>
      </c>
      <c r="CR21" s="580">
        <f ca="1">SUM(CQ$3,-LN(1-CR$3)/CL21)</f>
        <v>1.73472347597681e-20</v>
      </c>
      <c r="CS21" s="580">
        <f>CS$3/24/3600</f>
        <v>1157407407407410</v>
      </c>
      <c r="CT21" s="582">
        <f ca="1" t="shared" si="47"/>
        <v>0.999387485360686</v>
      </c>
      <c r="CU21" s="582">
        <f ca="1" t="shared" si="48"/>
        <v>0.999387580779939</v>
      </c>
      <c r="CV21" s="582">
        <f t="shared" si="49"/>
        <v>0</v>
      </c>
      <c r="CW21" s="582">
        <f ca="1" t="shared" si="50"/>
        <v>24170.4555120533</v>
      </c>
      <c r="CX21" s="582">
        <f ca="1" t="shared" si="51"/>
        <v>9.43356467313862e-25</v>
      </c>
      <c r="CY21" s="582">
        <f ca="1" t="shared" si="52"/>
        <v>-1.04652752014655e-8</v>
      </c>
      <c r="CZ21" s="580">
        <f ca="1" t="shared" si="53"/>
        <v>1.45726324086334e+16</v>
      </c>
      <c r="DA21" s="580">
        <f ca="1" t="shared" si="54"/>
        <v>39132677244</v>
      </c>
      <c r="DB21" s="586">
        <f ca="1" t="shared" si="55"/>
        <v>5.86520990441437e-25</v>
      </c>
      <c r="DC21" s="594">
        <f ca="1" t="shared" si="56"/>
        <v>5368932510</v>
      </c>
      <c r="DD21" s="580">
        <f ca="1" t="shared" si="57"/>
        <v>1391788212.36907</v>
      </c>
      <c r="DE21" s="580">
        <f ca="1" t="shared" si="58"/>
        <v>3.84179717992334e-5</v>
      </c>
      <c r="DF21" s="595">
        <f ca="1" t="shared" si="59"/>
        <v>3.84179717988071e-5</v>
      </c>
      <c r="DG21" s="596">
        <f>DG$3*3600</f>
        <v>86400</v>
      </c>
      <c r="DH21" s="580">
        <f ca="1" t="shared" ref="DH21:DK21" si="199">CZ21</f>
        <v>1.45726324086334e+16</v>
      </c>
      <c r="DI21" s="580">
        <f ca="1" t="shared" si="199"/>
        <v>39132677244</v>
      </c>
      <c r="DJ21" s="581">
        <f ca="1" t="shared" si="199"/>
        <v>5.86520990441437e-25</v>
      </c>
      <c r="DK21" s="580">
        <f ca="1" t="shared" si="199"/>
        <v>5368932510</v>
      </c>
      <c r="DL21" s="580">
        <f ca="1">MAX(INDIRECT("'"&amp;$B$2&amp;"-事故进程'!AB"&amp;(ROW()+22)),INDIRECT("'"&amp;$B$2&amp;"-事故进程'!AC"&amp;(ROW()+22)))</f>
        <v>1.6575995e-12</v>
      </c>
      <c r="DM21" s="580">
        <f ca="1">SUM(DL$3,-LN(1-DM$3)/DG21)</f>
        <v>1.15648231731787e-20</v>
      </c>
      <c r="DN21" s="580">
        <f>DN$3/24/3600</f>
        <v>1157407407407410</v>
      </c>
      <c r="DO21" s="582">
        <f ca="1" t="shared" si="61"/>
        <v>0.999081368745714</v>
      </c>
      <c r="DP21" s="582">
        <f ca="1" t="shared" si="62"/>
        <v>0.999081511830757</v>
      </c>
      <c r="DQ21" s="582">
        <f t="shared" si="63"/>
        <v>0</v>
      </c>
      <c r="DR21" s="582">
        <f ca="1" t="shared" si="64"/>
        <v>24155.6530605403</v>
      </c>
      <c r="DS21" s="582">
        <f ca="1" t="shared" si="65"/>
        <v>1.95506996817813e-25</v>
      </c>
      <c r="DT21" s="582">
        <f ca="1" t="shared" si="66"/>
        <v>-6.97685010997214e-9</v>
      </c>
      <c r="DU21" s="580">
        <f ca="1" t="shared" si="67"/>
        <v>1.45592455330456e+16</v>
      </c>
      <c r="DV21" s="580">
        <f ca="1" t="shared" si="68"/>
        <v>41181860086</v>
      </c>
      <c r="DW21" s="586">
        <f ca="1" t="shared" si="69"/>
        <v>4.11489443376071e-25</v>
      </c>
      <c r="DX21" s="594">
        <f ca="1" t="shared" si="70"/>
        <v>5364001212</v>
      </c>
      <c r="DY21" s="580">
        <f ca="1" t="shared" si="71"/>
        <v>2086084061.76417</v>
      </c>
      <c r="DZ21" s="580">
        <f ca="1" t="shared" si="72"/>
        <v>4.01254899101333e-5</v>
      </c>
      <c r="EA21" s="595">
        <f ca="1" t="shared" si="73"/>
        <v>4.01254899086812e-5</v>
      </c>
      <c r="EB21" s="596">
        <f>EB$3*3600</f>
        <v>172800</v>
      </c>
      <c r="EC21" s="580">
        <f ca="1" t="shared" ref="EC21:EF21" si="200">DU21</f>
        <v>1.45592455330456e+16</v>
      </c>
      <c r="ED21" s="580">
        <f ca="1" t="shared" si="200"/>
        <v>41181860086</v>
      </c>
      <c r="EE21" s="581">
        <f ca="1" t="shared" si="200"/>
        <v>4.11489443376071e-25</v>
      </c>
      <c r="EF21" s="580">
        <f ca="1" t="shared" si="200"/>
        <v>5364001212</v>
      </c>
      <c r="EG21" s="580">
        <f ca="1">MAX(INDIRECT("'"&amp;$B$2&amp;"-事故进程'!AC"&amp;(ROW()+22)),INDIRECT("'"&amp;$B$2&amp;"-事故进程'!AD"&amp;(ROW()+22)),INDIRECT("'"&amp;$B$2&amp;"-事故进程'!AE"&amp;(ROW()+22)))</f>
        <v>3.51756675e-13</v>
      </c>
      <c r="EH21" s="580">
        <f ca="1">SUM(EG$3,-LN(1-EH$3)/EB21)</f>
        <v>5.78241158658936e-21</v>
      </c>
      <c r="EI21" s="580">
        <f>EI$3/24/3600</f>
        <v>1157407407407410</v>
      </c>
      <c r="EJ21" s="582">
        <f ca="1" t="shared" si="75"/>
        <v>0.998163806610087</v>
      </c>
      <c r="EK21" s="582">
        <f ca="1" t="shared" si="76"/>
        <v>0.998163867282031</v>
      </c>
      <c r="EL21" s="582">
        <f t="shared" si="77"/>
        <v>0</v>
      </c>
      <c r="EM21" s="582">
        <f ca="1" t="shared" si="78"/>
        <v>5121.32628520666</v>
      </c>
      <c r="EN21" s="582">
        <f ca="1" t="shared" si="79"/>
        <v>2.0574472168641e-25</v>
      </c>
      <c r="EO21" s="582">
        <f ca="1" t="shared" si="80"/>
        <v>-1.64386693774738e-8</v>
      </c>
      <c r="EP21" s="580">
        <f ca="1" t="shared" si="81"/>
        <v>1.45325119426357e+16</v>
      </c>
      <c r="EQ21" s="580">
        <f ca="1" t="shared" si="82"/>
        <v>41989582468</v>
      </c>
      <c r="ER21" s="586">
        <f ca="1" t="shared" si="83"/>
        <v>2.09780105630544e-25</v>
      </c>
      <c r="ES21" s="594">
        <f ca="1" t="shared" si="84"/>
        <v>5354152194</v>
      </c>
      <c r="ET21" s="580">
        <f ca="1" t="shared" si="85"/>
        <v>884149948.719293</v>
      </c>
      <c r="EU21" s="580">
        <f ca="1" t="shared" si="86"/>
        <v>4.15527417564429e-5</v>
      </c>
      <c r="EV21" s="595">
        <f ca="1" t="shared" si="87"/>
        <v>4.15527417566499e-5</v>
      </c>
      <c r="EW21" s="596">
        <f>EW$3*3600</f>
        <v>2246400</v>
      </c>
      <c r="EX21" s="580">
        <f ca="1" t="shared" ref="EX21:FA21" si="201">EP21</f>
        <v>1.45325119426357e+16</v>
      </c>
      <c r="EY21" s="580">
        <f ca="1" t="shared" si="201"/>
        <v>41989582468</v>
      </c>
      <c r="EZ21" s="581">
        <f ca="1" t="shared" si="201"/>
        <v>2.09780105630544e-25</v>
      </c>
      <c r="FA21" s="580">
        <f ca="1" t="shared" si="201"/>
        <v>5354152194</v>
      </c>
      <c r="FB21" s="580">
        <f ca="1">INDIRECT("'"&amp;$B$2&amp;"-事故进程'!AE"&amp;(ROW()+22))</f>
        <v>0</v>
      </c>
      <c r="FC21" s="580">
        <f ca="1">SUM(FB$3,-LN(1-FC$3)/EW21)</f>
        <v>4.44800891276105e-22</v>
      </c>
      <c r="FD21" s="580">
        <f>FD$3/24/3600</f>
        <v>1157407407407410</v>
      </c>
      <c r="FE21" s="582">
        <f ca="1" t="shared" si="89"/>
        <v>0.976391480240516</v>
      </c>
      <c r="FF21" s="582">
        <f ca="1" t="shared" si="90"/>
        <v>0.976391480240515</v>
      </c>
      <c r="FG21" s="582">
        <f t="shared" si="91"/>
        <v>0</v>
      </c>
      <c r="FH21" s="582">
        <f ca="1" t="shared" si="92"/>
        <v>-1.86770037060779e-11</v>
      </c>
      <c r="FI21" s="582">
        <f ca="1" t="shared" si="93"/>
        <v>1.93643174428493e-25</v>
      </c>
      <c r="FJ21" s="582">
        <f ca="1" t="shared" si="94"/>
        <v>1</v>
      </c>
      <c r="FK21" s="580">
        <f ca="1" t="shared" si="95"/>
        <v>1.41894208472831e+16</v>
      </c>
      <c r="FL21" s="580">
        <f ca="1" t="shared" si="96"/>
        <v>40998270580.6117</v>
      </c>
      <c r="FM21" s="586">
        <f ca="1" t="shared" si="97"/>
        <v>1.57559621429102e-26</v>
      </c>
      <c r="FN21" s="594">
        <f ca="1" t="shared" si="98"/>
        <v>5227748585.38832</v>
      </c>
      <c r="FO21" s="580">
        <f ca="1" t="shared" si="99"/>
        <v>0</v>
      </c>
      <c r="FP21" s="580">
        <f ca="1" t="shared" si="100"/>
        <v>4.14587892703338e-5</v>
      </c>
      <c r="FQ21" s="595">
        <f ca="1" t="shared" si="101"/>
        <v>4.14587892703338e-5</v>
      </c>
      <c r="FR21" s="608" t="str">
        <f t="shared" si="102"/>
        <v>Cs-134</v>
      </c>
      <c r="FS21" s="609">
        <v>461000000</v>
      </c>
      <c r="FT21" s="610">
        <v>114000000</v>
      </c>
      <c r="FU21" s="610">
        <v>1690000000</v>
      </c>
      <c r="FV21" s="610">
        <v>6030000000</v>
      </c>
      <c r="FW21" s="610">
        <v>8300000000</v>
      </c>
      <c r="FX21" s="614">
        <f ca="1" t="shared" si="103"/>
        <v>0</v>
      </c>
      <c r="FY21" s="614">
        <f ca="1" t="shared" si="104"/>
        <v>47.1391959583657</v>
      </c>
      <c r="FZ21" s="614">
        <f ca="1" t="shared" si="105"/>
        <v>2.27325276916018e-14</v>
      </c>
      <c r="GA21" s="614">
        <f ca="1" t="shared" si="106"/>
        <v>1.35453120506353e-14</v>
      </c>
      <c r="GB21" s="614">
        <f ca="1" t="shared" si="107"/>
        <v>0.647454016777568</v>
      </c>
      <c r="GC21" s="455">
        <f ca="1" t="shared" si="108"/>
        <v>0.647454016777573</v>
      </c>
      <c r="GE21" s="609">
        <v>138337.233401615</v>
      </c>
      <c r="GF21" s="610">
        <v>26274037.1054101</v>
      </c>
      <c r="GG21" s="610">
        <v>221424566.852603</v>
      </c>
      <c r="GH21" s="610">
        <v>424826527.579059</v>
      </c>
      <c r="GI21" s="610">
        <v>1106810296.94444</v>
      </c>
      <c r="GJ21" s="610">
        <v>7218955945.98593</v>
      </c>
      <c r="GK21" s="617">
        <v>8998429711.70084</v>
      </c>
      <c r="GL21" s="614">
        <f ca="1" t="shared" si="109"/>
        <v>0</v>
      </c>
      <c r="GM21" s="614">
        <f ca="1" t="shared" si="110"/>
        <v>204.531504530271</v>
      </c>
      <c r="GN21" s="614">
        <f ca="1" t="shared" si="111"/>
        <v>1.73503655646218e-13</v>
      </c>
      <c r="GO21" s="614">
        <f ca="1" t="shared" si="112"/>
        <v>5.33274144089227e-14</v>
      </c>
      <c r="GP21" s="614">
        <f ca="1" t="shared" si="113"/>
        <v>5.74304505811353e-15</v>
      </c>
      <c r="GQ21" s="614">
        <f ca="1" t="shared" si="114"/>
        <v>0.597200679610366</v>
      </c>
      <c r="GR21" s="451">
        <f t="shared" si="115"/>
        <v>1.06355351616218e-8</v>
      </c>
      <c r="GS21" s="390">
        <f t="shared" si="116"/>
        <v>65172760.0000006</v>
      </c>
    </row>
    <row r="22" s="389" customFormat="1" spans="1:201">
      <c r="A22" s="430"/>
      <c r="B22" s="407" t="s">
        <v>276</v>
      </c>
      <c r="C22" s="434">
        <f>C19</f>
        <v>1e+20</v>
      </c>
      <c r="D22" s="410" t="s">
        <v>273</v>
      </c>
      <c r="E22" s="409" t="s">
        <v>274</v>
      </c>
      <c r="G22" s="411" t="s">
        <v>63</v>
      </c>
      <c r="H22" s="412">
        <f ca="1" t="shared" si="1"/>
        <v>0</v>
      </c>
      <c r="I22" s="412">
        <f ca="1" t="shared" si="2"/>
        <v>78858434301.8717</v>
      </c>
      <c r="J22" s="412">
        <f ca="1" t="shared" si="3"/>
        <v>0.000544280279865418</v>
      </c>
      <c r="K22" s="412">
        <f ca="1" t="shared" si="4"/>
        <v>0.000545582386293862</v>
      </c>
      <c r="L22" s="412">
        <f ca="1" t="shared" si="5"/>
        <v>0.0010978958954956</v>
      </c>
      <c r="M22" s="412">
        <f ca="1" t="shared" si="6"/>
        <v>0.000550070561370032</v>
      </c>
      <c r="N22" s="412">
        <f ca="1" t="shared" si="7"/>
        <v>78858434301.8745</v>
      </c>
      <c r="O22" s="450">
        <f ca="1" t="shared" si="8"/>
        <v>78858434301.8712</v>
      </c>
      <c r="P22" s="451"/>
      <c r="Q22" s="477" t="str">
        <f t="shared" si="0"/>
        <v>Cs-137</v>
      </c>
      <c r="R22" s="412">
        <f ca="1" t="shared" si="9"/>
        <v>0</v>
      </c>
      <c r="S22" s="412">
        <f ca="1">I22*(1-过滤效率!$B19)</f>
        <v>78858434.3018718</v>
      </c>
      <c r="T22" s="412">
        <f ca="1">J22*(1-过滤效率!$B19)</f>
        <v>5.44280279865419e-7</v>
      </c>
      <c r="U22" s="412">
        <f ca="1">K22*(1-过滤效率!$B19)</f>
        <v>5.45582386293863e-7</v>
      </c>
      <c r="V22" s="412">
        <f ca="1">L22*(1-过滤效率!$B19)</f>
        <v>1.0978958954956e-6</v>
      </c>
      <c r="W22" s="412">
        <f ca="1">M22*(1-过滤效率!$B19)</f>
        <v>5.50070561370032e-7</v>
      </c>
      <c r="X22" s="412">
        <f ca="1" t="shared" si="10"/>
        <v>78858434.3018745</v>
      </c>
      <c r="Y22" s="493"/>
      <c r="Z22" s="494">
        <f>VLOOKUP(G22,衰变常数!$A$1:$H$3800,7,FALSE)</f>
        <v>7.302030887879e-10</v>
      </c>
      <c r="AA22" s="495">
        <f>正常源项!C19</f>
        <v>1.74e+16</v>
      </c>
      <c r="AB22" s="496">
        <f>正常源项!F19</f>
        <v>0</v>
      </c>
      <c r="AC22" s="496">
        <f>正常源项!I19</f>
        <v>544000</v>
      </c>
      <c r="AD22" s="497"/>
      <c r="AE22" s="496">
        <f>正常源项!O19</f>
        <v>12400000000000</v>
      </c>
      <c r="AF22" s="498">
        <f t="shared" si="157"/>
        <v>0</v>
      </c>
      <c r="AG22" s="519">
        <f t="shared" si="185"/>
        <v>0</v>
      </c>
      <c r="AH22" s="523">
        <v>0.95</v>
      </c>
      <c r="AI22" s="519">
        <f t="shared" si="159"/>
        <v>620000000000</v>
      </c>
      <c r="AJ22" s="521">
        <v>0.00066</v>
      </c>
      <c r="AK22" s="521">
        <v>0.001958</v>
      </c>
      <c r="AL22" s="525">
        <f>AA22*(AJ22)*0.00000209</f>
        <v>24001560</v>
      </c>
      <c r="AM22" s="520"/>
      <c r="AN22" s="519">
        <f ca="1">MAX(INDIRECT("'"&amp;$B$2&amp;"-事故进程'!Y"&amp;(ROW()+22)),INDIRECT("'"&amp;$B$2&amp;"-事故进程'!Z"&amp;(ROW()+22)),INDIRECT("'"&amp;$B$2&amp;"-事故进程'!AA"&amp;(ROW()+22)))</f>
        <v>1.91444975e-12</v>
      </c>
      <c r="AO22" s="519">
        <f ca="1" t="shared" si="13"/>
        <v>2997831031.34832</v>
      </c>
      <c r="AP22" s="560">
        <f t="shared" si="14"/>
        <v>1.73988565395365e+16</v>
      </c>
      <c r="AQ22" s="561">
        <f ca="1">(AC22*$C$5+AD22*$C$8+AF22+AG22+AI22+(AL22+AM22)*$C$10)*EXP(-Z22*$C$12*3600)+AO22*$C$11</f>
        <v>622981630984.782</v>
      </c>
      <c r="AR22" s="562">
        <f ca="1">AQ22*(1-AR$3)</f>
        <v>544123196682.911</v>
      </c>
      <c r="AS22" s="563">
        <f ca="1" t="shared" si="15"/>
        <v>78858434301.8712</v>
      </c>
      <c r="AT22" s="562">
        <f ca="1">AS22*(1-AT$3)</f>
        <v>78858434301.8712</v>
      </c>
      <c r="AU22" s="564">
        <f ca="1" t="shared" si="16"/>
        <v>0</v>
      </c>
      <c r="AV22" s="565">
        <f>AV$3*3600</f>
        <v>7200</v>
      </c>
      <c r="AW22" s="580">
        <f>AP22*EXP(-Z22*AW$3*3600)</f>
        <v>1.73988565395365e+16</v>
      </c>
      <c r="AX22" s="580">
        <f ca="1" t="shared" si="17"/>
        <v>544123196682.911</v>
      </c>
      <c r="AY22" s="581">
        <f ca="1" t="shared" si="18"/>
        <v>78858434301.8712</v>
      </c>
      <c r="AZ22" s="580">
        <v>0</v>
      </c>
      <c r="BA22" s="580">
        <f ca="1">MAX(INDIRECT("'"&amp;$B$2&amp;"-事故进程'!Y"&amp;(ROW()+22)),INDIRECT("'"&amp;$B$2&amp;"-事故进程'!Z"&amp;(ROW()+22)))</f>
        <v>1.91444975e-12</v>
      </c>
      <c r="BB22" s="580">
        <f>SUM(BA$3,-LN(1-BB$3)/AV22)</f>
        <v>1.38777878078145e-19</v>
      </c>
      <c r="BC22" s="580">
        <f>BC$3/24/3600</f>
        <v>1157407407407410</v>
      </c>
      <c r="BD22" s="582">
        <f ca="1" t="shared" si="19"/>
        <v>0.999994728767616</v>
      </c>
      <c r="BE22" s="582">
        <f t="shared" si="20"/>
        <v>0.99999474255158</v>
      </c>
      <c r="BF22" s="582">
        <f t="shared" si="21"/>
        <v>0</v>
      </c>
      <c r="BG22" s="582">
        <f ca="1" t="shared" si="22"/>
        <v>33310.2782488439</v>
      </c>
      <c r="BH22" s="582">
        <f ca="1" t="shared" si="23"/>
        <v>78858434301.8712</v>
      </c>
      <c r="BI22" s="582">
        <f ca="1" t="shared" si="24"/>
        <v>-7.24897000499028e-8</v>
      </c>
      <c r="BJ22" s="580">
        <f ca="1" t="shared" si="25"/>
        <v>1.73987648261205e+16</v>
      </c>
      <c r="BK22" s="580">
        <f ca="1" t="shared" si="26"/>
        <v>544360161226</v>
      </c>
      <c r="BL22" s="586">
        <f ca="1" t="shared" si="27"/>
        <v>6.52710079456731e-23</v>
      </c>
      <c r="BM22" s="594">
        <f ca="1" t="shared" si="28"/>
        <v>78858019704</v>
      </c>
      <c r="BN22" s="580">
        <f ca="1" t="shared" si="29"/>
        <v>239825871.085906</v>
      </c>
      <c r="BO22" s="580">
        <f ca="1" t="shared" si="30"/>
        <v>0.000543806680713954</v>
      </c>
      <c r="BP22" s="595">
        <f ca="1" t="shared" si="31"/>
        <v>78858434301.8717</v>
      </c>
      <c r="BQ22" s="596">
        <f>BQ$3*3600</f>
        <v>21600</v>
      </c>
      <c r="BR22" s="580">
        <f ca="1" t="shared" ref="BR22:BU22" si="202">BJ22</f>
        <v>1.73987648261205e+16</v>
      </c>
      <c r="BS22" s="580">
        <f ca="1" t="shared" si="202"/>
        <v>544360161226</v>
      </c>
      <c r="BT22" s="581">
        <f ca="1" t="shared" si="202"/>
        <v>6.52710079456731e-23</v>
      </c>
      <c r="BU22" s="580">
        <f ca="1" t="shared" si="202"/>
        <v>78858019704</v>
      </c>
      <c r="BV22" s="580">
        <f ca="1">MAX(INDIRECT("'"&amp;$B$2&amp;"-事故进程'!Z"&amp;(ROW()+22)),INDIRECT("'"&amp;$B$2&amp;"-事故进程'!AA"&amp;(ROW()+22)))</f>
        <v>1.91444975e-12</v>
      </c>
      <c r="BW22" s="580">
        <f ca="1">SUM(BV$3,-LN(1-BW$3)/BQ22)</f>
        <v>4.62592926927149e-20</v>
      </c>
      <c r="BX22" s="580">
        <f>BX$3/24/3600</f>
        <v>1157407407407410</v>
      </c>
      <c r="BY22" s="582">
        <f ca="1" t="shared" si="33"/>
        <v>0.999984186386204</v>
      </c>
      <c r="BZ22" s="582">
        <f ca="1" t="shared" si="34"/>
        <v>0.999984227737665</v>
      </c>
      <c r="CA22" s="582">
        <f t="shared" si="35"/>
        <v>0</v>
      </c>
      <c r="CB22" s="582">
        <f ca="1" t="shared" si="36"/>
        <v>33310.1031218245</v>
      </c>
      <c r="CC22" s="582">
        <f ca="1" t="shared" si="37"/>
        <v>4.35140052971295e-23</v>
      </c>
      <c r="CD22" s="582">
        <f ca="1" t="shared" si="38"/>
        <v>-2.4163232182244e-8</v>
      </c>
      <c r="CE22" s="580">
        <f ca="1" t="shared" si="39"/>
        <v>1.7398489688773e+16</v>
      </c>
      <c r="CF22" s="580">
        <f ca="1" t="shared" si="40"/>
        <v>545071039788</v>
      </c>
      <c r="CG22" s="586">
        <f ca="1" t="shared" si="41"/>
        <v>2.17854150634501e-23</v>
      </c>
      <c r="CH22" s="594">
        <f ca="1" t="shared" si="42"/>
        <v>78856775936</v>
      </c>
      <c r="CI22" s="580">
        <f ca="1" t="shared" si="43"/>
        <v>719470028.216209</v>
      </c>
      <c r="CJ22" s="580">
        <f ca="1" t="shared" si="44"/>
        <v>0.00054428027986637</v>
      </c>
      <c r="CK22" s="595">
        <f ca="1" t="shared" si="45"/>
        <v>0.000544280279865418</v>
      </c>
      <c r="CL22" s="596">
        <f>CL$3*3600</f>
        <v>57600</v>
      </c>
      <c r="CM22" s="580">
        <f ca="1" t="shared" ref="CM22:CP22" si="203">CE22</f>
        <v>1.7398489688773e+16</v>
      </c>
      <c r="CN22" s="580">
        <f ca="1" t="shared" si="203"/>
        <v>545071039788</v>
      </c>
      <c r="CO22" s="581">
        <f ca="1" t="shared" si="203"/>
        <v>2.17854150634501e-23</v>
      </c>
      <c r="CP22" s="580">
        <f ca="1" t="shared" si="203"/>
        <v>78856775936</v>
      </c>
      <c r="CQ22" s="580">
        <f ca="1">MAX(INDIRECT("'"&amp;$B$2&amp;"-事故进程'!AA"&amp;(ROW()+22)),INDIRECT("'"&amp;$B$2&amp;"-事故进程'!AB"&amp;(ROW()+22)))</f>
        <v>1.91444975e-12</v>
      </c>
      <c r="CR22" s="580">
        <f ca="1">SUM(CQ$3,-LN(1-CR$3)/CL22)</f>
        <v>1.73472347597681e-20</v>
      </c>
      <c r="CS22" s="580">
        <f>CS$3/24/3600</f>
        <v>1157407407407410</v>
      </c>
      <c r="CT22" s="582">
        <f ca="1" t="shared" si="47"/>
        <v>0.999957830918921</v>
      </c>
      <c r="CU22" s="582">
        <f ca="1" t="shared" si="48"/>
        <v>0.999957941186582</v>
      </c>
      <c r="CV22" s="582">
        <f t="shared" si="49"/>
        <v>0</v>
      </c>
      <c r="CW22" s="582">
        <f ca="1" t="shared" si="50"/>
        <v>33309.5777461554</v>
      </c>
      <c r="CX22" s="582">
        <f ca="1" t="shared" si="51"/>
        <v>1.36158844146584e-23</v>
      </c>
      <c r="CY22" s="582">
        <f ca="1" t="shared" si="52"/>
        <v>-9.06121193149888e-9</v>
      </c>
      <c r="CZ22" s="580">
        <f ca="1" t="shared" si="53"/>
        <v>1.73977560104506e+16</v>
      </c>
      <c r="DA22" s="580">
        <f ca="1" t="shared" si="54"/>
        <v>546966605520</v>
      </c>
      <c r="DB22" s="586">
        <f ca="1" t="shared" si="55"/>
        <v>8.19794140855883e-24</v>
      </c>
      <c r="DC22" s="594">
        <f ca="1" t="shared" si="56"/>
        <v>78853459314</v>
      </c>
      <c r="DD22" s="580">
        <f ca="1" t="shared" si="57"/>
        <v>1918531119.4561</v>
      </c>
      <c r="DE22" s="580">
        <f ca="1" t="shared" si="58"/>
        <v>0.000545582386294319</v>
      </c>
      <c r="DF22" s="595">
        <f ca="1" t="shared" si="59"/>
        <v>0.000545582386293862</v>
      </c>
      <c r="DG22" s="596">
        <f>DG$3*3600</f>
        <v>86400</v>
      </c>
      <c r="DH22" s="580">
        <f ca="1" t="shared" ref="DH22:DK22" si="204">CZ22</f>
        <v>1.73977560104506e+16</v>
      </c>
      <c r="DI22" s="580">
        <f ca="1" t="shared" si="204"/>
        <v>546966605520</v>
      </c>
      <c r="DJ22" s="581">
        <f ca="1" t="shared" si="204"/>
        <v>8.19794140855883e-24</v>
      </c>
      <c r="DK22" s="580">
        <f ca="1" t="shared" si="204"/>
        <v>78853459314</v>
      </c>
      <c r="DL22" s="580">
        <f ca="1">MAX(INDIRECT("'"&amp;$B$2&amp;"-事故进程'!AB"&amp;(ROW()+22)),INDIRECT("'"&amp;$B$2&amp;"-事故进程'!AC"&amp;(ROW()+22)))</f>
        <v>1.91444975e-12</v>
      </c>
      <c r="DM22" s="580">
        <f ca="1">SUM(DL$3,-LN(1-DM$3)/DG22)</f>
        <v>1.15648231731787e-20</v>
      </c>
      <c r="DN22" s="580">
        <f>DN$3/24/3600</f>
        <v>1157407407407410</v>
      </c>
      <c r="DO22" s="582">
        <f ca="1" t="shared" si="61"/>
        <v>0.999936747045223</v>
      </c>
      <c r="DP22" s="582">
        <f ca="1" t="shared" si="62"/>
        <v>0.999936912443231</v>
      </c>
      <c r="DQ22" s="582">
        <f t="shared" si="63"/>
        <v>0</v>
      </c>
      <c r="DR22" s="582">
        <f ca="1" t="shared" si="64"/>
        <v>33308.1767848431</v>
      </c>
      <c r="DS22" s="582">
        <f ca="1" t="shared" si="65"/>
        <v>2.7326471362145e-24</v>
      </c>
      <c r="DT22" s="582">
        <f ca="1" t="shared" si="66"/>
        <v>-6.04080793608691e-9</v>
      </c>
      <c r="DU22" s="580">
        <f ca="1" t="shared" si="67"/>
        <v>1.73966555509765e+16</v>
      </c>
      <c r="DV22" s="580">
        <f ca="1" t="shared" si="68"/>
        <v>549809652946</v>
      </c>
      <c r="DW22" s="586">
        <f ca="1" t="shared" si="69"/>
        <v>5.49370202274745e-24</v>
      </c>
      <c r="DX22" s="594">
        <f ca="1" t="shared" si="70"/>
        <v>78848484644</v>
      </c>
      <c r="DY22" s="580">
        <f ca="1" t="shared" si="71"/>
        <v>2877644987.69546</v>
      </c>
      <c r="DZ22" s="580">
        <f ca="1" t="shared" si="72"/>
        <v>0.000547949843402226</v>
      </c>
      <c r="EA22" s="595">
        <f ca="1" t="shared" si="73"/>
        <v>0.000547949843402624</v>
      </c>
      <c r="EB22" s="596">
        <f>EB$3*3600</f>
        <v>172800</v>
      </c>
      <c r="EC22" s="580">
        <f ca="1" t="shared" ref="EC22:EF22" si="205">DU22</f>
        <v>1.73966555509765e+16</v>
      </c>
      <c r="ED22" s="580">
        <f ca="1" t="shared" si="205"/>
        <v>549809652946</v>
      </c>
      <c r="EE22" s="581">
        <f ca="1" t="shared" si="205"/>
        <v>5.49370202274745e-24</v>
      </c>
      <c r="EF22" s="580">
        <f ca="1" t="shared" si="205"/>
        <v>78848484644</v>
      </c>
      <c r="EG22" s="580">
        <f ca="1">MAX(INDIRECT("'"&amp;$B$2&amp;"-事故进程'!AC"&amp;(ROW()+22)),INDIRECT("'"&amp;$B$2&amp;"-事故进程'!AD"&amp;(ROW()+22)),INDIRECT("'"&amp;$B$2&amp;"-事故进程'!AE"&amp;(ROW()+22)))</f>
        <v>4.065264e-13</v>
      </c>
      <c r="EH22" s="580">
        <f ca="1">SUM(EG$3,-LN(1-EH$3)/EB22)</f>
        <v>5.78241158658936e-21</v>
      </c>
      <c r="EI22" s="580">
        <f>EI$3/24/3600</f>
        <v>1157407407407410</v>
      </c>
      <c r="EJ22" s="582">
        <f ca="1" t="shared" si="75"/>
        <v>0.999873758627608</v>
      </c>
      <c r="EK22" s="582">
        <f ca="1" t="shared" si="76"/>
        <v>0.999873828866503</v>
      </c>
      <c r="EL22" s="582">
        <f t="shared" si="77"/>
        <v>0</v>
      </c>
      <c r="EM22" s="582">
        <f ca="1" t="shared" si="78"/>
        <v>7072.4232653142</v>
      </c>
      <c r="EN22" s="582">
        <f ca="1" t="shared" si="79"/>
        <v>2.74685101136927e-24</v>
      </c>
      <c r="EO22" s="582">
        <f ca="1" t="shared" si="80"/>
        <v>-1.42239511845678e-8</v>
      </c>
      <c r="EP22" s="580">
        <f ca="1" t="shared" si="81"/>
        <v>1.73944593733047e+16</v>
      </c>
      <c r="EQ22" s="580">
        <f ca="1" t="shared" si="82"/>
        <v>550962204720</v>
      </c>
      <c r="ER22" s="586">
        <f ca="1" t="shared" si="83"/>
        <v>2.75260916419251e-24</v>
      </c>
      <c r="ES22" s="594">
        <f ca="1" t="shared" si="84"/>
        <v>78838536242</v>
      </c>
      <c r="ET22" s="580">
        <f ca="1" t="shared" si="85"/>
        <v>1221998977.4428</v>
      </c>
      <c r="EU22" s="580">
        <f ca="1" t="shared" si="86"/>
        <v>0.000549946052093607</v>
      </c>
      <c r="EV22" s="595">
        <f ca="1" t="shared" si="87"/>
        <v>0.000549946052092979</v>
      </c>
      <c r="EW22" s="596">
        <f>EW$3*3600</f>
        <v>2246400</v>
      </c>
      <c r="EX22" s="580">
        <f ca="1" t="shared" ref="EX22:FA22" si="206">EP22</f>
        <v>1.73944593733047e+16</v>
      </c>
      <c r="EY22" s="580">
        <f ca="1" t="shared" si="206"/>
        <v>550962204720</v>
      </c>
      <c r="EZ22" s="581">
        <f ca="1" t="shared" si="206"/>
        <v>2.75260916419251e-24</v>
      </c>
      <c r="FA22" s="580">
        <f ca="1" t="shared" si="206"/>
        <v>78838536242</v>
      </c>
      <c r="FB22" s="580">
        <f ca="1">INDIRECT("'"&amp;$B$2&amp;"-事故进程'!AE"&amp;(ROW()+22))</f>
        <v>0</v>
      </c>
      <c r="FC22" s="580">
        <f ca="1">SUM(FB$3,-LN(1-FC$3)/EW22)</f>
        <v>4.44800891276105e-22</v>
      </c>
      <c r="FD22" s="580">
        <f>FD$3/24/3600</f>
        <v>1157407407407410</v>
      </c>
      <c r="FE22" s="582">
        <f ca="1" t="shared" si="89"/>
        <v>0.998361016384382</v>
      </c>
      <c r="FF22" s="582">
        <f ca="1" t="shared" si="90"/>
        <v>0.998361016384381</v>
      </c>
      <c r="FG22" s="582">
        <f t="shared" si="91"/>
        <v>0</v>
      </c>
      <c r="FH22" s="582">
        <f ca="1" t="shared" si="92"/>
        <v>-2.45068479718904e-10</v>
      </c>
      <c r="FI22" s="582">
        <f ca="1" t="shared" si="93"/>
        <v>2.54086999771537e-24</v>
      </c>
      <c r="FJ22" s="582">
        <f ca="1" t="shared" si="94"/>
        <v>1</v>
      </c>
      <c r="FK22" s="580">
        <f ca="1" t="shared" si="95"/>
        <v>1.73659501393893e+16</v>
      </c>
      <c r="FL22" s="580">
        <f ca="1" t="shared" si="96"/>
        <v>550059186693.639</v>
      </c>
      <c r="FM22" s="586">
        <f ca="1" t="shared" si="97"/>
        <v>2.11392129452492e-25</v>
      </c>
      <c r="FN22" s="594">
        <f ca="1" t="shared" si="98"/>
        <v>78709321174.3615</v>
      </c>
      <c r="FO22" s="580">
        <f ca="1" t="shared" si="99"/>
        <v>0</v>
      </c>
      <c r="FP22" s="580">
        <f ca="1" t="shared" si="100"/>
        <v>0.000550070561370032</v>
      </c>
      <c r="FQ22" s="595">
        <f ca="1" t="shared" si="101"/>
        <v>0.000550070561370032</v>
      </c>
      <c r="FR22" s="608" t="str">
        <f t="shared" si="102"/>
        <v>Cs-137</v>
      </c>
      <c r="FS22" s="609">
        <v>4800000000</v>
      </c>
      <c r="FT22" s="610">
        <v>160000000</v>
      </c>
      <c r="FU22" s="610">
        <v>2210000000</v>
      </c>
      <c r="FV22" s="610">
        <v>7860000000</v>
      </c>
      <c r="FW22" s="610">
        <v>15000000000</v>
      </c>
      <c r="FX22" s="614">
        <f ca="1" t="shared" si="103"/>
        <v>0</v>
      </c>
      <c r="FY22" s="614">
        <f ca="1" t="shared" si="104"/>
        <v>492.865214386702</v>
      </c>
      <c r="FZ22" s="614">
        <f ca="1" t="shared" si="105"/>
        <v>2.46869858051521e-13</v>
      </c>
      <c r="GA22" s="614">
        <f ca="1" t="shared" si="106"/>
        <v>1.39681411640662e-13</v>
      </c>
      <c r="GB22" s="614">
        <f ca="1" t="shared" si="107"/>
        <v>5.25722895345826</v>
      </c>
      <c r="GC22" s="455">
        <f ca="1" t="shared" si="108"/>
        <v>5.2572289534583</v>
      </c>
      <c r="GE22" s="609">
        <v>227252.597555914</v>
      </c>
      <c r="GF22" s="610">
        <v>212417376.915186</v>
      </c>
      <c r="GG22" s="610">
        <v>628318264.087984</v>
      </c>
      <c r="GH22" s="610">
        <v>1022851382.69255</v>
      </c>
      <c r="GI22" s="610">
        <v>2255281278.4136</v>
      </c>
      <c r="GJ22" s="610">
        <v>12982879176.6197</v>
      </c>
      <c r="GK22" s="617">
        <v>17101974731.3265</v>
      </c>
      <c r="GL22" s="614">
        <f ca="1" t="shared" si="109"/>
        <v>0</v>
      </c>
      <c r="GM22" s="614">
        <f ca="1" t="shared" si="110"/>
        <v>371.242858974569</v>
      </c>
      <c r="GN22" s="614">
        <f ca="1" t="shared" si="111"/>
        <v>8.68321704901871e-13</v>
      </c>
      <c r="GO22" s="614">
        <f ca="1" t="shared" si="112"/>
        <v>3.34915029071806e-13</v>
      </c>
      <c r="GP22" s="614">
        <f ca="1" t="shared" si="113"/>
        <v>4.23689193966027e-14</v>
      </c>
      <c r="GQ22" s="614">
        <f ca="1" t="shared" si="114"/>
        <v>4.61107185227129</v>
      </c>
      <c r="GR22" s="451">
        <f t="shared" si="115"/>
        <v>7.302030887879e-10</v>
      </c>
      <c r="GS22" s="390">
        <f t="shared" si="116"/>
        <v>949252600</v>
      </c>
    </row>
    <row r="23" s="389" customFormat="1" spans="1:201">
      <c r="A23" s="432" t="s">
        <v>235</v>
      </c>
      <c r="B23" s="407" t="s">
        <v>267</v>
      </c>
      <c r="C23" s="428">
        <f>-LN(1-0%)/8/3600</f>
        <v>0</v>
      </c>
      <c r="D23" s="410" t="s">
        <v>268</v>
      </c>
      <c r="E23" s="409" t="s">
        <v>269</v>
      </c>
      <c r="G23" s="411" t="s">
        <v>64</v>
      </c>
      <c r="H23" s="412">
        <f ca="1" t="shared" si="1"/>
        <v>0</v>
      </c>
      <c r="I23" s="412">
        <f ca="1" t="shared" si="2"/>
        <v>2782362046.31403</v>
      </c>
      <c r="J23" s="412">
        <f ca="1" t="shared" si="3"/>
        <v>2.09015075822087e-5</v>
      </c>
      <c r="K23" s="412">
        <f ca="1" t="shared" si="4"/>
        <v>2.46748005347467e-5</v>
      </c>
      <c r="L23" s="412">
        <f ca="1" t="shared" si="5"/>
        <v>6.77393598883794e-5</v>
      </c>
      <c r="M23" s="412">
        <f ca="1" t="shared" si="6"/>
        <v>3.55567432006482e-5</v>
      </c>
      <c r="N23" s="412">
        <f ca="1" t="shared" si="7"/>
        <v>2782362046.31418</v>
      </c>
      <c r="O23" s="450">
        <f ca="1" t="shared" si="8"/>
        <v>2782362046.31401</v>
      </c>
      <c r="P23" s="451"/>
      <c r="Q23" s="477" t="str">
        <f t="shared" si="0"/>
        <v>Ag-110m</v>
      </c>
      <c r="R23" s="412">
        <f ca="1" t="shared" si="9"/>
        <v>0</v>
      </c>
      <c r="S23" s="412">
        <f ca="1">I23*(1-过滤效率!$B20)</f>
        <v>2782362.04631404</v>
      </c>
      <c r="T23" s="412">
        <f ca="1">J23*(1-过滤效率!$B20)</f>
        <v>2.09015075822087e-8</v>
      </c>
      <c r="U23" s="412">
        <f ca="1">K23*(1-过滤效率!$B20)</f>
        <v>2.46748005347468e-8</v>
      </c>
      <c r="V23" s="412">
        <f ca="1">L23*(1-过滤效率!$B20)</f>
        <v>6.77393598883794e-8</v>
      </c>
      <c r="W23" s="412">
        <f ca="1">M23*(1-过滤效率!$B20)</f>
        <v>3.55567432006482e-8</v>
      </c>
      <c r="X23" s="412">
        <f ca="1" t="shared" si="10"/>
        <v>2782362.04631419</v>
      </c>
      <c r="Y23" s="493"/>
      <c r="Z23" s="494">
        <f>VLOOKUP(G23,衰变常数!$A$1:$H$3800,7,FALSE)</f>
        <v>3.21209893462493e-8</v>
      </c>
      <c r="AA23" s="495">
        <f>正常源项!C20</f>
        <v>242000000000000</v>
      </c>
      <c r="AB23" s="496">
        <f>正常源项!F20</f>
        <v>0</v>
      </c>
      <c r="AC23" s="496">
        <f>正常源项!I20</f>
        <v>409000</v>
      </c>
      <c r="AD23" s="497"/>
      <c r="AE23" s="496">
        <f>正常源项!O20</f>
        <v>282000000000</v>
      </c>
      <c r="AF23" s="498">
        <f t="shared" si="157"/>
        <v>0</v>
      </c>
      <c r="AG23" s="519">
        <f t="shared" si="185"/>
        <v>0</v>
      </c>
      <c r="AH23" s="523">
        <v>0.9</v>
      </c>
      <c r="AI23" s="519">
        <f t="shared" si="159"/>
        <v>13357894736.8421</v>
      </c>
      <c r="AJ23" s="521">
        <v>0.00066</v>
      </c>
      <c r="AK23" s="521">
        <v>5.457e-5</v>
      </c>
      <c r="AL23" s="526">
        <f>AA23*(AJ23-AK23)*0.00000209</f>
        <v>306214.3854</v>
      </c>
      <c r="AM23" s="520"/>
      <c r="AN23" s="519">
        <f ca="1">MAX(INDIRECT("'"&amp;$B$2&amp;"-事故进程'!Y"&amp;(ROW()+22)),INDIRECT("'"&amp;$B$2&amp;"-事故进程'!Z"&amp;(ROW()+22)),INDIRECT("'"&amp;$B$2&amp;"-事故进程'!AA"&amp;(ROW()+22)))</f>
        <v>3.98798975e-10</v>
      </c>
      <c r="AO23" s="519">
        <f ca="1" t="shared" si="13"/>
        <v>8660612706.96683</v>
      </c>
      <c r="AP23" s="560">
        <f t="shared" si="14"/>
        <v>241301415104268</v>
      </c>
      <c r="AQ23" s="561">
        <f ca="1">(AC23*$C$5+AD23*$C$8+AF23+AG23+AI23+(AL23+AM23)*$C$10)*EXP(-Z23*$C$12*3600)+AO23*$C$11</f>
        <v>21980660165.8807</v>
      </c>
      <c r="AR23" s="562">
        <f ca="1">AQ23*(1-AR$3)</f>
        <v>19198298119.5667</v>
      </c>
      <c r="AS23" s="563">
        <f ca="1" t="shared" si="15"/>
        <v>2782362046.31401</v>
      </c>
      <c r="AT23" s="562">
        <f ca="1">AS23*(1-AT$3)</f>
        <v>2782362046.31401</v>
      </c>
      <c r="AU23" s="564">
        <f ca="1" t="shared" si="16"/>
        <v>0</v>
      </c>
      <c r="AV23" s="565">
        <f>AV$3*3600</f>
        <v>7200</v>
      </c>
      <c r="AW23" s="580">
        <f>AP23*EXP(-Z23*AW$3*3600)</f>
        <v>241301415104268</v>
      </c>
      <c r="AX23" s="580">
        <f ca="1" t="shared" si="17"/>
        <v>19198298119.5667</v>
      </c>
      <c r="AY23" s="581">
        <f ca="1" t="shared" si="18"/>
        <v>2782362046.31401</v>
      </c>
      <c r="AZ23" s="580">
        <v>0</v>
      </c>
      <c r="BA23" s="580">
        <f ca="1">MAX(INDIRECT("'"&amp;$B$2&amp;"-事故进程'!Y"&amp;(ROW()+22)),INDIRECT("'"&amp;$B$2&amp;"-事故进程'!Z"&amp;(ROW()+22)))</f>
        <v>3.98798975e-10</v>
      </c>
      <c r="BB23" s="580">
        <f>SUM(BA$3,-LN(1-BB$3)/AV23)</f>
        <v>1.38777878078145e-19</v>
      </c>
      <c r="BC23" s="580">
        <f>BC$3/24/3600</f>
        <v>1157407407407410</v>
      </c>
      <c r="BD23" s="582">
        <f ca="1" t="shared" si="19"/>
        <v>0.999765884933297</v>
      </c>
      <c r="BE23" s="582">
        <f t="shared" si="20"/>
        <v>0.999768755617811</v>
      </c>
      <c r="BF23" s="582">
        <f t="shared" si="21"/>
        <v>0</v>
      </c>
      <c r="BG23" s="582">
        <f ca="1" t="shared" si="22"/>
        <v>96238.4132712409</v>
      </c>
      <c r="BH23" s="582">
        <f ca="1" t="shared" si="23"/>
        <v>2782362046.31401</v>
      </c>
      <c r="BI23" s="582">
        <f ca="1" t="shared" si="24"/>
        <v>-3.47989555706451e-10</v>
      </c>
      <c r="BJ23" s="580">
        <f ca="1" t="shared" si="25"/>
        <v>241244922807376</v>
      </c>
      <c r="BK23" s="580">
        <f ca="1" t="shared" si="26"/>
        <v>19886558856.6562</v>
      </c>
      <c r="BL23" s="586">
        <f ca="1" t="shared" si="27"/>
        <v>2.38447967650907e-24</v>
      </c>
      <c r="BM23" s="594">
        <f ca="1" t="shared" si="28"/>
        <v>2781718640.71875</v>
      </c>
      <c r="BN23" s="580">
        <f ca="1" t="shared" si="29"/>
        <v>692780342.65213</v>
      </c>
      <c r="BO23" s="580">
        <f ca="1" t="shared" si="30"/>
        <v>1.95268353333617e-5</v>
      </c>
      <c r="BP23" s="595">
        <f ca="1" t="shared" si="31"/>
        <v>2782362046.31403</v>
      </c>
      <c r="BQ23" s="596">
        <f>BQ$3*3600</f>
        <v>21600</v>
      </c>
      <c r="BR23" s="580">
        <f ca="1" t="shared" ref="BR23:BU23" si="207">BJ23</f>
        <v>241244922807376</v>
      </c>
      <c r="BS23" s="580">
        <f ca="1" t="shared" si="207"/>
        <v>19886558856.6562</v>
      </c>
      <c r="BT23" s="581">
        <f ca="1" t="shared" si="207"/>
        <v>2.38447967650907e-24</v>
      </c>
      <c r="BU23" s="580">
        <f ca="1" t="shared" si="207"/>
        <v>2781718640.71875</v>
      </c>
      <c r="BV23" s="580">
        <f ca="1">MAX(INDIRECT("'"&amp;$B$2&amp;"-事故进程'!Z"&amp;(ROW()+22)),INDIRECT("'"&amp;$B$2&amp;"-事故进程'!AA"&amp;(ROW()+22)))</f>
        <v>3.98798975e-10</v>
      </c>
      <c r="BW23" s="580">
        <f ca="1">SUM(BV$3,-LN(1-BW$3)/BQ23)</f>
        <v>4.62592926927149e-20</v>
      </c>
      <c r="BX23" s="580">
        <f>BX$3/24/3600</f>
        <v>1157407407407410</v>
      </c>
      <c r="BY23" s="582">
        <f ca="1" t="shared" si="33"/>
        <v>0.999297819216653</v>
      </c>
      <c r="BZ23" s="582">
        <f ca="1" t="shared" si="34"/>
        <v>0.999306427262961</v>
      </c>
      <c r="CA23" s="582">
        <f t="shared" si="35"/>
        <v>0</v>
      </c>
      <c r="CB23" s="582">
        <f ca="1" t="shared" si="36"/>
        <v>96216.158678823</v>
      </c>
      <c r="CC23" s="582">
        <f ca="1" t="shared" si="37"/>
        <v>1.58965311767304e-24</v>
      </c>
      <c r="CD23" s="582">
        <f ca="1" t="shared" si="38"/>
        <v>-1.15996518541906e-10</v>
      </c>
      <c r="CE23" s="580">
        <f ca="1" t="shared" si="39"/>
        <v>241075525258500</v>
      </c>
      <c r="CF23" s="580">
        <f ca="1" t="shared" si="40"/>
        <v>21949413549</v>
      </c>
      <c r="CG23" s="586">
        <f ca="1" t="shared" si="41"/>
        <v>8.77274794767844e-25</v>
      </c>
      <c r="CH23" s="594">
        <f ca="1" t="shared" si="42"/>
        <v>2779789316.5</v>
      </c>
      <c r="CI23" s="580">
        <f ca="1" t="shared" si="43"/>
        <v>2077368037.93523</v>
      </c>
      <c r="CJ23" s="580">
        <f ca="1" t="shared" si="44"/>
        <v>2.09015075822181e-5</v>
      </c>
      <c r="CK23" s="595">
        <f ca="1" t="shared" si="45"/>
        <v>2.09015075822087e-5</v>
      </c>
      <c r="CL23" s="596">
        <f>CL$3*3600</f>
        <v>57600</v>
      </c>
      <c r="CM23" s="580">
        <f ca="1" t="shared" ref="CM23:CP23" si="208">CE23</f>
        <v>241075525258500</v>
      </c>
      <c r="CN23" s="580">
        <f ca="1" t="shared" si="208"/>
        <v>21949413549</v>
      </c>
      <c r="CO23" s="581">
        <f ca="1" t="shared" si="208"/>
        <v>8.77274794767844e-25</v>
      </c>
      <c r="CP23" s="580">
        <f ca="1" t="shared" si="208"/>
        <v>2779789316.5</v>
      </c>
      <c r="CQ23" s="580">
        <f ca="1">MAX(INDIRECT("'"&amp;$B$2&amp;"-事故进程'!AA"&amp;(ROW()+22)),INDIRECT("'"&amp;$B$2&amp;"-事故进程'!AB"&amp;(ROW()+22)))</f>
        <v>3.98798975e-10</v>
      </c>
      <c r="CR23" s="580">
        <f ca="1">SUM(CQ$3,-LN(1-CR$3)/CL23)</f>
        <v>1.73472347597681e-20</v>
      </c>
      <c r="CS23" s="580">
        <f>CS$3/24/3600</f>
        <v>1157407407407410</v>
      </c>
      <c r="CT23" s="582">
        <f ca="1" t="shared" si="47"/>
        <v>0.998128613424211</v>
      </c>
      <c r="CU23" s="582">
        <f ca="1" t="shared" si="48"/>
        <v>0.998151541521222</v>
      </c>
      <c r="CV23" s="582">
        <f t="shared" si="49"/>
        <v>0</v>
      </c>
      <c r="CW23" s="582">
        <f ca="1" t="shared" si="50"/>
        <v>96149.4257743014</v>
      </c>
      <c r="CX23" s="582">
        <f ca="1" t="shared" si="51"/>
        <v>5.48296746729735e-25</v>
      </c>
      <c r="CY23" s="582">
        <f ca="1" t="shared" si="52"/>
        <v>-4.34986944500614e-11</v>
      </c>
      <c r="CZ23" s="580">
        <f ca="1" t="shared" si="53"/>
        <v>240624379756781</v>
      </c>
      <c r="DA23" s="580">
        <f ca="1" t="shared" si="54"/>
        <v>27436243999.625</v>
      </c>
      <c r="DB23" s="586">
        <f ca="1" t="shared" si="55"/>
        <v>4.11214722268813e-25</v>
      </c>
      <c r="DC23" s="594">
        <f ca="1" t="shared" si="56"/>
        <v>2774650991.4375</v>
      </c>
      <c r="DD23" s="580">
        <f ca="1" t="shared" si="57"/>
        <v>5532519519.63685</v>
      </c>
      <c r="DE23" s="580">
        <f ca="1" t="shared" si="58"/>
        <v>2.46748005347154e-5</v>
      </c>
      <c r="DF23" s="595">
        <f ca="1" t="shared" si="59"/>
        <v>2.46748005347467e-5</v>
      </c>
      <c r="DG23" s="596">
        <f>DG$3*3600</f>
        <v>86400</v>
      </c>
      <c r="DH23" s="580">
        <f ca="1" t="shared" ref="DH23:DK23" si="209">CZ23</f>
        <v>240624379756781</v>
      </c>
      <c r="DI23" s="580">
        <f ca="1" t="shared" si="209"/>
        <v>27436243999.625</v>
      </c>
      <c r="DJ23" s="581">
        <f ca="1" t="shared" si="209"/>
        <v>4.11214722268813e-25</v>
      </c>
      <c r="DK23" s="580">
        <f ca="1" t="shared" si="209"/>
        <v>2774650991.4375</v>
      </c>
      <c r="DL23" s="580">
        <f ca="1">MAX(INDIRECT("'"&amp;$B$2&amp;"-事故进程'!AB"&amp;(ROW()+22)),INDIRECT("'"&amp;$B$2&amp;"-事故进程'!AC"&amp;(ROW()+22)))</f>
        <v>3.98798975e-10</v>
      </c>
      <c r="DM23" s="580">
        <f ca="1">SUM(DL$3,-LN(1-DM$3)/DG23)</f>
        <v>1.15648231731787e-20</v>
      </c>
      <c r="DN23" s="580">
        <f>DN$3/24/3600</f>
        <v>1157407407407410</v>
      </c>
      <c r="DO23" s="582">
        <f ca="1" t="shared" si="61"/>
        <v>0.997194233829108</v>
      </c>
      <c r="DP23" s="582">
        <f ca="1" t="shared" si="62"/>
        <v>0.997228593976376</v>
      </c>
      <c r="DQ23" s="582">
        <f t="shared" si="63"/>
        <v>0</v>
      </c>
      <c r="DR23" s="582">
        <f ca="1" t="shared" si="64"/>
        <v>95971.6975529994</v>
      </c>
      <c r="DS23" s="582">
        <f ca="1" t="shared" si="65"/>
        <v>1.37071574090256e-25</v>
      </c>
      <c r="DT23" s="582">
        <f ca="1" t="shared" si="66"/>
        <v>-2.89991296329538e-11</v>
      </c>
      <c r="DU23" s="580">
        <f ca="1" t="shared" si="67"/>
        <v>239949244012167</v>
      </c>
      <c r="DV23" s="580">
        <f ca="1" t="shared" si="68"/>
        <v>35628096152.625</v>
      </c>
      <c r="DW23" s="586">
        <f ca="1" t="shared" si="69"/>
        <v>3.55996194049547e-25</v>
      </c>
      <c r="DX23" s="594">
        <f ca="1" t="shared" si="70"/>
        <v>2766961306.96875</v>
      </c>
      <c r="DY23" s="580">
        <f ca="1" t="shared" si="71"/>
        <v>8279372555.50126</v>
      </c>
      <c r="DZ23" s="580">
        <f ca="1" t="shared" si="72"/>
        <v>3.15107971377239e-5</v>
      </c>
      <c r="EA23" s="595">
        <f ca="1" t="shared" si="73"/>
        <v>3.1510797137705e-5</v>
      </c>
      <c r="EB23" s="596">
        <f>EB$3*3600</f>
        <v>172800</v>
      </c>
      <c r="EC23" s="580">
        <f ca="1" t="shared" ref="EC23:EF23" si="210">DU23</f>
        <v>239949244012167</v>
      </c>
      <c r="ED23" s="580">
        <f ca="1" t="shared" si="210"/>
        <v>35628096152.625</v>
      </c>
      <c r="EE23" s="581">
        <f ca="1" t="shared" si="210"/>
        <v>3.55996194049547e-25</v>
      </c>
      <c r="EF23" s="580">
        <f ca="1" t="shared" si="210"/>
        <v>2766961306.96875</v>
      </c>
      <c r="EG23" s="580">
        <f ca="1">MAX(INDIRECT("'"&amp;$B$2&amp;"-事故进程'!AC"&amp;(ROW()+22)),INDIRECT("'"&amp;$B$2&amp;"-事故进程'!AD"&amp;(ROW()+22)),INDIRECT("'"&amp;$B$2&amp;"-事故进程'!AE"&amp;(ROW()+22)))</f>
        <v>3.5252487e-11</v>
      </c>
      <c r="EH23" s="580">
        <f ca="1">SUM(EG$3,-LN(1-EH$3)/EB23)</f>
        <v>5.78241158658936e-21</v>
      </c>
      <c r="EI23" s="580">
        <f>EI$3/24/3600</f>
        <v>1157407407407410</v>
      </c>
      <c r="EJ23" s="582">
        <f ca="1" t="shared" si="75"/>
        <v>0.99445881075077</v>
      </c>
      <c r="EK23" s="582">
        <f ca="1" t="shared" si="76"/>
        <v>0.994464868644101</v>
      </c>
      <c r="EL23" s="582">
        <f t="shared" si="77"/>
        <v>0</v>
      </c>
      <c r="EM23" s="582">
        <f ca="1" t="shared" si="78"/>
        <v>8460.063584195</v>
      </c>
      <c r="EN23" s="582">
        <f ca="1" t="shared" si="79"/>
        <v>1.77998097024633e-25</v>
      </c>
      <c r="EO23" s="582">
        <f ca="1" t="shared" si="80"/>
        <v>-1.64028472304318e-10</v>
      </c>
      <c r="EP23" s="580">
        <f ca="1" t="shared" si="81"/>
        <v>238619639840886</v>
      </c>
      <c r="EQ23" s="580">
        <f ca="1" t="shared" si="82"/>
        <v>36884476885.625</v>
      </c>
      <c r="ER23" s="586">
        <f ca="1" t="shared" si="83"/>
        <v>1.84274979703665e-25</v>
      </c>
      <c r="ES23" s="594">
        <f ca="1" t="shared" si="84"/>
        <v>2751645812.71875</v>
      </c>
      <c r="ET23" s="580">
        <f ca="1" t="shared" si="85"/>
        <v>1457628475.56284</v>
      </c>
      <c r="EU23" s="580">
        <f ca="1" t="shared" si="86"/>
        <v>3.62285627506934e-5</v>
      </c>
      <c r="EV23" s="595">
        <f ca="1" t="shared" si="87"/>
        <v>3.62285627506744e-5</v>
      </c>
      <c r="EW23" s="596">
        <f>EW$3*3600</f>
        <v>2246400</v>
      </c>
      <c r="EX23" s="580">
        <f ca="1" t="shared" ref="EX23:FA23" si="211">EP23</f>
        <v>238619639840886</v>
      </c>
      <c r="EY23" s="580">
        <f ca="1" t="shared" si="211"/>
        <v>36884476885.625</v>
      </c>
      <c r="EZ23" s="581">
        <f ca="1" t="shared" si="211"/>
        <v>1.84274979703665e-25</v>
      </c>
      <c r="FA23" s="580">
        <f ca="1" t="shared" si="211"/>
        <v>2751645812.71875</v>
      </c>
      <c r="FB23" s="580">
        <f ca="1">INDIRECT("'"&amp;$B$2&amp;"-事故进程'!AE"&amp;(ROW()+22))</f>
        <v>0</v>
      </c>
      <c r="FC23" s="580">
        <f ca="1">SUM(FB$3,-LN(1-FC$3)/EW23)</f>
        <v>4.44800891276105e-22</v>
      </c>
      <c r="FD23" s="580">
        <f>FD$3/24/3600</f>
        <v>1157407407407410</v>
      </c>
      <c r="FE23" s="582">
        <f ca="1" t="shared" si="89"/>
        <v>0.930385194951268</v>
      </c>
      <c r="FF23" s="582">
        <f ca="1" t="shared" si="90"/>
        <v>0.930385194951267</v>
      </c>
      <c r="FG23" s="582">
        <f t="shared" si="91"/>
        <v>0</v>
      </c>
      <c r="FH23" s="582">
        <f ca="1" t="shared" si="92"/>
        <v>-1.64062481929789e-11</v>
      </c>
      <c r="FI23" s="582">
        <f ca="1" t="shared" si="93"/>
        <v>1.70099981264931e-25</v>
      </c>
      <c r="FJ23" s="582">
        <f ca="1" t="shared" si="94"/>
        <v>1</v>
      </c>
      <c r="FK23" s="580">
        <f ca="1" t="shared" si="95"/>
        <v>222008180132564</v>
      </c>
      <c r="FL23" s="580">
        <f ca="1" t="shared" si="96"/>
        <v>34316771217.9077</v>
      </c>
      <c r="FM23" s="586">
        <f ca="1" t="shared" si="97"/>
        <v>1.31882086858552e-26</v>
      </c>
      <c r="FN23" s="594">
        <f ca="1" t="shared" si="98"/>
        <v>2560090525.90479</v>
      </c>
      <c r="FO23" s="580">
        <f ca="1" t="shared" si="99"/>
        <v>0</v>
      </c>
      <c r="FP23" s="580">
        <f ca="1" t="shared" si="100"/>
        <v>3.55567432006482e-5</v>
      </c>
      <c r="FQ23" s="595">
        <f ca="1" t="shared" si="101"/>
        <v>3.55567432006482e-5</v>
      </c>
      <c r="FR23" s="608" t="str">
        <f t="shared" si="102"/>
        <v>Ag-110m</v>
      </c>
      <c r="FS23" s="609">
        <v>127000000</v>
      </c>
      <c r="FT23" s="610">
        <v>442000000</v>
      </c>
      <c r="FU23" s="610">
        <v>1160000000</v>
      </c>
      <c r="FV23" s="610">
        <v>3990000000</v>
      </c>
      <c r="FW23" s="610">
        <v>5720000000</v>
      </c>
      <c r="FX23" s="614">
        <f ca="1" t="shared" si="103"/>
        <v>0</v>
      </c>
      <c r="FY23" s="614">
        <f ca="1" t="shared" si="104"/>
        <v>6.29493675636664</v>
      </c>
      <c r="FZ23" s="614">
        <f ca="1" t="shared" si="105"/>
        <v>2.12713797713334e-14</v>
      </c>
      <c r="GA23" s="614">
        <f ca="1" t="shared" si="106"/>
        <v>1.6977283180045e-14</v>
      </c>
      <c r="GB23" s="614">
        <f ca="1" t="shared" si="107"/>
        <v>0.486426931173802</v>
      </c>
      <c r="GC23" s="455">
        <f ca="1" t="shared" si="108"/>
        <v>0.486426931173808</v>
      </c>
      <c r="GE23" s="609">
        <v>119532.747822784</v>
      </c>
      <c r="GF23" s="610">
        <v>47625559.870575</v>
      </c>
      <c r="GG23" s="610">
        <v>232397824.418568</v>
      </c>
      <c r="GH23" s="610">
        <v>395119538.985329</v>
      </c>
      <c r="GI23" s="610">
        <v>1005803168.81349</v>
      </c>
      <c r="GJ23" s="610">
        <v>7934681196.38171</v>
      </c>
      <c r="GK23" s="617">
        <v>9615746821.21749</v>
      </c>
      <c r="GL23" s="614">
        <f ca="1" t="shared" si="109"/>
        <v>0</v>
      </c>
      <c r="GM23" s="614">
        <f ca="1" t="shared" si="110"/>
        <v>58.4216133915333</v>
      </c>
      <c r="GN23" s="614">
        <f ca="1" t="shared" si="111"/>
        <v>1.06174834452432e-13</v>
      </c>
      <c r="GO23" s="614">
        <f ca="1" t="shared" si="112"/>
        <v>4.83533884569649e-14</v>
      </c>
      <c r="GP23" s="614">
        <f ca="1" t="shared" si="113"/>
        <v>4.48118107339491e-15</v>
      </c>
      <c r="GQ23" s="614">
        <f ca="1" t="shared" si="114"/>
        <v>0.289354752994827</v>
      </c>
      <c r="GR23" s="451">
        <f t="shared" si="115"/>
        <v>3.21209893462493e-8</v>
      </c>
      <c r="GS23" s="390">
        <f t="shared" si="116"/>
        <v>21579260</v>
      </c>
    </row>
    <row r="24" spans="1:201">
      <c r="A24" s="430"/>
      <c r="B24" s="407" t="s">
        <v>270</v>
      </c>
      <c r="C24" s="433">
        <f ca="1">IF(8&lt;=$C$13-$C$12,MAX(1%,INDIRECT("'"&amp;$B$2&amp;"-事故进程'!$AB$23")*150%),0.000000000000001)</f>
        <v>1e-15</v>
      </c>
      <c r="D24" s="410"/>
      <c r="E24" s="409" t="s">
        <v>271</v>
      </c>
      <c r="G24" s="411" t="s">
        <v>65</v>
      </c>
      <c r="H24" s="412">
        <f t="shared" si="1"/>
        <v>0</v>
      </c>
      <c r="I24" s="412">
        <f ca="1" t="shared" si="2"/>
        <v>18224923586.0168</v>
      </c>
      <c r="J24" s="412">
        <f ca="1" t="shared" si="3"/>
        <v>0.00012564742976956</v>
      </c>
      <c r="K24" s="412">
        <f ca="1" t="shared" si="4"/>
        <v>0.000125638559394761</v>
      </c>
      <c r="L24" s="412">
        <f ca="1" t="shared" si="5"/>
        <v>0.00025121584405978</v>
      </c>
      <c r="M24" s="412">
        <f ca="1" t="shared" si="6"/>
        <v>0.000125322941974531</v>
      </c>
      <c r="N24" s="412">
        <f ca="1" t="shared" si="7"/>
        <v>18224923586.0175</v>
      </c>
      <c r="O24" s="450">
        <f t="shared" si="8"/>
        <v>18224923586.0167</v>
      </c>
      <c r="P24" s="451"/>
      <c r="Q24" s="477" t="str">
        <f t="shared" si="0"/>
        <v>H-3</v>
      </c>
      <c r="R24" s="412">
        <f t="shared" si="9"/>
        <v>0</v>
      </c>
      <c r="S24" s="412">
        <f ca="1">I24*(1-过滤效率!$B21)</f>
        <v>18224923586.0168</v>
      </c>
      <c r="T24" s="412">
        <f ca="1">J24*(1-过滤效率!$B21)</f>
        <v>0.00012564742976956</v>
      </c>
      <c r="U24" s="412">
        <f ca="1">K24*(1-过滤效率!$B21)</f>
        <v>0.000125638559394761</v>
      </c>
      <c r="V24" s="412">
        <f ca="1">L24*(1-过滤效率!$B21)</f>
        <v>0.00025121584405978</v>
      </c>
      <c r="W24" s="412">
        <f ca="1">M24*(1-过滤效率!$B21)</f>
        <v>0.000125322941974531</v>
      </c>
      <c r="X24" s="412">
        <f ca="1" t="shared" si="10"/>
        <v>18224923586.0175</v>
      </c>
      <c r="Y24" s="493"/>
      <c r="Z24" s="494">
        <f>VLOOKUP(G24,衰变常数!$A$1:$H$3800,7,FALSE)</f>
        <v>1.78283364719618e-9</v>
      </c>
      <c r="AA24" s="495">
        <f>正常源项!C21</f>
        <v>111000000000000</v>
      </c>
      <c r="AB24" s="496">
        <f>正常源项!F21</f>
        <v>0</v>
      </c>
      <c r="AC24" s="496">
        <f>正常源项!I21</f>
        <v>144000000000</v>
      </c>
      <c r="AD24" s="496">
        <f>正常源项!L21</f>
        <v>12900000000000</v>
      </c>
      <c r="AE24" s="496"/>
      <c r="AF24" s="498"/>
      <c r="AG24" s="483"/>
      <c r="AH24" s="523"/>
      <c r="AI24" s="519"/>
      <c r="AK24" s="527"/>
      <c r="AL24" s="527"/>
      <c r="AM24" s="528"/>
      <c r="AN24" s="527"/>
      <c r="AO24" s="527"/>
      <c r="AP24" s="560">
        <f t="shared" si="14"/>
        <v>110982190920681</v>
      </c>
      <c r="AQ24" s="561">
        <f>(AC24*$C$5+AD24*$C$8+AF24+AG24+AI24+(AL24+AM24)*$C$10)*EXP(-Z24*$C$12*3600)+AO24*$C$11</f>
        <v>143976896329.532</v>
      </c>
      <c r="AR24" s="562">
        <f>AQ24*(1-AR$3)</f>
        <v>125751972743.515</v>
      </c>
      <c r="AS24" s="563">
        <f t="shared" si="15"/>
        <v>18224923586.0167</v>
      </c>
      <c r="AT24" s="562">
        <f>AS24*(1-AT$3)</f>
        <v>18224923586.0167</v>
      </c>
      <c r="AU24" s="564">
        <f t="shared" si="16"/>
        <v>0</v>
      </c>
      <c r="AV24" s="565">
        <f>AV$3*3600</f>
        <v>7200</v>
      </c>
      <c r="AW24" s="580">
        <f>AP24*EXP(-Z24*AW$3*3600)</f>
        <v>110982190920681</v>
      </c>
      <c r="AX24" s="580">
        <f t="shared" si="17"/>
        <v>125751972743.515</v>
      </c>
      <c r="AY24" s="581">
        <f t="shared" si="18"/>
        <v>18224923586.0167</v>
      </c>
      <c r="AZ24" s="580">
        <v>0</v>
      </c>
      <c r="BA24" s="580">
        <f ca="1">MAX(INDIRECT("'"&amp;$B$2&amp;"-事故进程'!Y"&amp;(ROW()+22)),INDIRECT("'"&amp;$B$2&amp;"-事故进程'!Z"&amp;(ROW()+22)))</f>
        <v>0</v>
      </c>
      <c r="BB24" s="580">
        <f>SUM(BA$3,-LN(1-BB$3)/AV24)</f>
        <v>1.38777878078145e-19</v>
      </c>
      <c r="BC24" s="580">
        <f>BC$3/24/3600</f>
        <v>1157407407407410</v>
      </c>
      <c r="BD24" s="582">
        <f ca="1" t="shared" si="19"/>
        <v>0.999987163680126</v>
      </c>
      <c r="BE24" s="582">
        <f t="shared" si="20"/>
        <v>0.999987163680125</v>
      </c>
      <c r="BF24" s="582">
        <f t="shared" si="21"/>
        <v>0</v>
      </c>
      <c r="BG24" s="582">
        <f ca="1" t="shared" si="22"/>
        <v>-1.74515919414857e-8</v>
      </c>
      <c r="BH24" s="582">
        <f ca="1" t="shared" si="23"/>
        <v>18224923586.0167</v>
      </c>
      <c r="BI24" s="582">
        <f ca="1" t="shared" si="24"/>
        <v>1</v>
      </c>
      <c r="BJ24" s="580">
        <f ca="1" t="shared" si="25"/>
        <v>110980766317778</v>
      </c>
      <c r="BK24" s="580">
        <f ca="1" t="shared" si="26"/>
        <v>125750358550.968</v>
      </c>
      <c r="BL24" s="586">
        <f ca="1" t="shared" si="27"/>
        <v>1.50779818891606e-23</v>
      </c>
      <c r="BM24" s="594">
        <f ca="1" t="shared" si="28"/>
        <v>18224689645.063</v>
      </c>
      <c r="BN24" s="580">
        <f ca="1" t="shared" si="29"/>
        <v>0</v>
      </c>
      <c r="BO24" s="580">
        <f ca="1" t="shared" si="30"/>
        <v>0.000125650655526131</v>
      </c>
      <c r="BP24" s="595">
        <f ca="1" t="shared" si="31"/>
        <v>18224923586.0168</v>
      </c>
      <c r="BQ24" s="596">
        <f>BQ$3*3600</f>
        <v>21600</v>
      </c>
      <c r="BR24" s="580">
        <f ca="1" t="shared" ref="BR24:BU24" si="212">BJ24</f>
        <v>110980766317778</v>
      </c>
      <c r="BS24" s="580">
        <f ca="1" t="shared" si="212"/>
        <v>125750358550.968</v>
      </c>
      <c r="BT24" s="581">
        <f ca="1" t="shared" si="212"/>
        <v>1.50779818891606e-23</v>
      </c>
      <c r="BU24" s="580">
        <f ca="1" t="shared" si="212"/>
        <v>18224689645.063</v>
      </c>
      <c r="BV24" s="580">
        <f ca="1">MAX(INDIRECT("'"&amp;$B$2&amp;"-事故进程'!Z"&amp;(ROW()+22)),INDIRECT("'"&amp;$B$2&amp;"-事故进程'!AA"&amp;(ROW()+22)))</f>
        <v>0</v>
      </c>
      <c r="BW24" s="580">
        <f ca="1">SUM(BV$3,-LN(1-BW$3)/BQ24)</f>
        <v>4.62592926927149e-20</v>
      </c>
      <c r="BX24" s="580">
        <f>BX$3/24/3600</f>
        <v>1157407407407410</v>
      </c>
      <c r="BY24" s="582">
        <f ca="1" t="shared" si="33"/>
        <v>0.99996149153469</v>
      </c>
      <c r="BZ24" s="582">
        <f ca="1" t="shared" si="34"/>
        <v>0.999961491534689</v>
      </c>
      <c r="CA24" s="582">
        <f t="shared" si="35"/>
        <v>0</v>
      </c>
      <c r="CB24" s="582">
        <f ca="1" t="shared" si="36"/>
        <v>-5.81712264242308e-9</v>
      </c>
      <c r="CC24" s="582">
        <f ca="1" t="shared" si="37"/>
        <v>1.00519879261071e-23</v>
      </c>
      <c r="CD24" s="582">
        <f ca="1" t="shared" si="38"/>
        <v>1</v>
      </c>
      <c r="CE24" s="580">
        <f ca="1" t="shared" si="39"/>
        <v>110976492618788</v>
      </c>
      <c r="CF24" s="580">
        <f ca="1" t="shared" si="40"/>
        <v>125745516097.648</v>
      </c>
      <c r="CG24" s="586">
        <f ca="1" t="shared" si="41"/>
        <v>5.02580041973937e-24</v>
      </c>
      <c r="CH24" s="594">
        <f ca="1" t="shared" si="42"/>
        <v>18223987840.2268</v>
      </c>
      <c r="CI24" s="580">
        <f ca="1" t="shared" si="43"/>
        <v>0</v>
      </c>
      <c r="CJ24" s="580">
        <f ca="1" t="shared" si="44"/>
        <v>0.00012564742976956</v>
      </c>
      <c r="CK24" s="595">
        <f ca="1" t="shared" si="45"/>
        <v>0.00012564742976956</v>
      </c>
      <c r="CL24" s="596">
        <f>CL$3*3600</f>
        <v>57600</v>
      </c>
      <c r="CM24" s="580">
        <f ca="1" t="shared" ref="CM24:CP24" si="213">CE24</f>
        <v>110976492618788</v>
      </c>
      <c r="CN24" s="580">
        <f ca="1" t="shared" si="213"/>
        <v>125745516097.648</v>
      </c>
      <c r="CO24" s="581">
        <f ca="1" t="shared" si="213"/>
        <v>5.02580041973937e-24</v>
      </c>
      <c r="CP24" s="580">
        <f ca="1" t="shared" si="213"/>
        <v>18223987840.2268</v>
      </c>
      <c r="CQ24" s="580">
        <f ca="1">MAX(INDIRECT("'"&amp;$B$2&amp;"-事故进程'!AA"&amp;(ROW()+22)),INDIRECT("'"&amp;$B$2&amp;"-事故进程'!AB"&amp;(ROW()+22)))</f>
        <v>0</v>
      </c>
      <c r="CR24" s="580">
        <f ca="1">SUM(CQ$3,-LN(1-CR$3)/CL24)</f>
        <v>1.73472347597681e-20</v>
      </c>
      <c r="CS24" s="580">
        <f>CS$3/24/3600</f>
        <v>1157407407407410</v>
      </c>
      <c r="CT24" s="582">
        <f ca="1" t="shared" si="47"/>
        <v>0.999897314054484</v>
      </c>
      <c r="CU24" s="582">
        <f ca="1" t="shared" si="48"/>
        <v>0.999897314054483</v>
      </c>
      <c r="CV24" s="582">
        <f t="shared" si="49"/>
        <v>0</v>
      </c>
      <c r="CW24" s="582">
        <f ca="1" t="shared" si="50"/>
        <v>-2.1813369877341e-9</v>
      </c>
      <c r="CX24" s="582">
        <f ca="1" t="shared" si="51"/>
        <v>3.1411252623371e-24</v>
      </c>
      <c r="CY24" s="582">
        <f ca="1" t="shared" si="52"/>
        <v>1</v>
      </c>
      <c r="CZ24" s="580">
        <f ca="1" t="shared" si="53"/>
        <v>110965096892714</v>
      </c>
      <c r="DA24" s="580">
        <f ca="1" t="shared" si="54"/>
        <v>125732603800.433</v>
      </c>
      <c r="DB24" s="586">
        <f ca="1" t="shared" si="55"/>
        <v>1.88448162775173e-24</v>
      </c>
      <c r="DC24" s="594">
        <f ca="1" t="shared" si="56"/>
        <v>18222116492.8012</v>
      </c>
      <c r="DD24" s="580">
        <f ca="1" t="shared" si="57"/>
        <v>0</v>
      </c>
      <c r="DE24" s="580">
        <f ca="1" t="shared" si="58"/>
        <v>0.000125638559394761</v>
      </c>
      <c r="DF24" s="595">
        <f ca="1" t="shared" si="59"/>
        <v>0.000125638559394761</v>
      </c>
      <c r="DG24" s="596">
        <f>DG$3*3600</f>
        <v>86400</v>
      </c>
      <c r="DH24" s="580">
        <f ca="1" t="shared" ref="DH24:DK24" si="214">CZ24</f>
        <v>110965096892714</v>
      </c>
      <c r="DI24" s="580">
        <f ca="1" t="shared" si="214"/>
        <v>125732603800.433</v>
      </c>
      <c r="DJ24" s="581">
        <f ca="1" t="shared" si="214"/>
        <v>1.88448162775173e-24</v>
      </c>
      <c r="DK24" s="580">
        <f ca="1" t="shared" si="214"/>
        <v>18222116492.8012</v>
      </c>
      <c r="DL24" s="580">
        <f ca="1">MAX(INDIRECT("'"&amp;$B$2&amp;"-事故进程'!AB"&amp;(ROW()+22)),INDIRECT("'"&amp;$B$2&amp;"-事故进程'!AC"&amp;(ROW()+22)))</f>
        <v>0</v>
      </c>
      <c r="DM24" s="580">
        <f ca="1">SUM(DL$3,-LN(1-DM$3)/DG24)</f>
        <v>1.15648231731787e-20</v>
      </c>
      <c r="DN24" s="580">
        <f>DN$3/24/3600</f>
        <v>1157407407407410</v>
      </c>
      <c r="DO24" s="582">
        <f ca="1" t="shared" si="61"/>
        <v>0.999845975035945</v>
      </c>
      <c r="DP24" s="582">
        <f ca="1" t="shared" si="62"/>
        <v>0.999845975035944</v>
      </c>
      <c r="DQ24" s="582">
        <f t="shared" si="63"/>
        <v>0</v>
      </c>
      <c r="DR24" s="582">
        <f ca="1" t="shared" si="64"/>
        <v>-1.45407533005535e-9</v>
      </c>
      <c r="DS24" s="582">
        <f ca="1" t="shared" si="65"/>
        <v>6.28160542583911e-25</v>
      </c>
      <c r="DT24" s="582">
        <f ca="1" t="shared" si="66"/>
        <v>1</v>
      </c>
      <c r="DU24" s="580">
        <f ca="1" t="shared" si="67"/>
        <v>110948005497653</v>
      </c>
      <c r="DV24" s="580">
        <f ca="1" t="shared" si="68"/>
        <v>125713237840.652</v>
      </c>
      <c r="DW24" s="586">
        <f ca="1" t="shared" si="69"/>
        <v>1.25612758035784e-24</v>
      </c>
      <c r="DX24" s="594">
        <f ca="1" t="shared" si="70"/>
        <v>18219309831.9572</v>
      </c>
      <c r="DY24" s="580">
        <f ca="1" t="shared" si="71"/>
        <v>0</v>
      </c>
      <c r="DZ24" s="580">
        <f ca="1" t="shared" si="72"/>
        <v>0.000125622433027885</v>
      </c>
      <c r="EA24" s="595">
        <f ca="1" t="shared" si="73"/>
        <v>0.000125622433027885</v>
      </c>
      <c r="EB24" s="596">
        <f>EB$3*3600</f>
        <v>172800</v>
      </c>
      <c r="EC24" s="580">
        <f ca="1" t="shared" ref="EC24:EF24" si="215">DU24</f>
        <v>110948005497653</v>
      </c>
      <c r="ED24" s="580">
        <f ca="1" t="shared" si="215"/>
        <v>125713237840.652</v>
      </c>
      <c r="EE24" s="581">
        <f ca="1" t="shared" si="215"/>
        <v>1.25612758035784e-24</v>
      </c>
      <c r="EF24" s="580">
        <f ca="1" t="shared" si="215"/>
        <v>18219309831.9572</v>
      </c>
      <c r="EG24" s="580">
        <f ca="1">MAX(INDIRECT("'"&amp;$B$2&amp;"-事故进程'!AC"&amp;(ROW()+22)),INDIRECT("'"&amp;$B$2&amp;"-事故进程'!AD"&amp;(ROW()+22)),INDIRECT("'"&amp;$B$2&amp;"-事故进程'!AE"&amp;(ROW()+22)))</f>
        <v>0</v>
      </c>
      <c r="EH24" s="580">
        <f ca="1">SUM(EG$3,-LN(1-EH$3)/EB24)</f>
        <v>5.78241158658936e-21</v>
      </c>
      <c r="EI24" s="580">
        <f>EI$3/24/3600</f>
        <v>1157407407407410</v>
      </c>
      <c r="EJ24" s="582">
        <f ca="1" t="shared" si="75"/>
        <v>0.99969197379558</v>
      </c>
      <c r="EK24" s="582">
        <f ca="1" t="shared" si="76"/>
        <v>0.999691973795579</v>
      </c>
      <c r="EL24" s="582">
        <f t="shared" si="77"/>
        <v>0</v>
      </c>
      <c r="EM24" s="582">
        <f ca="1" t="shared" si="78"/>
        <v>-7.26925683077451e-10</v>
      </c>
      <c r="EN24" s="582">
        <f ca="1" t="shared" si="79"/>
        <v>6.28063790178918e-25</v>
      </c>
      <c r="EO24" s="582">
        <f ca="1" t="shared" si="80"/>
        <v>1</v>
      </c>
      <c r="EP24" s="580">
        <f ca="1" t="shared" si="81"/>
        <v>110913830604632</v>
      </c>
      <c r="EQ24" s="580">
        <f ca="1" t="shared" si="82"/>
        <v>125674514869.155</v>
      </c>
      <c r="ER24" s="586">
        <f ca="1" t="shared" si="83"/>
        <v>6.27870330073495e-25</v>
      </c>
      <c r="ES24" s="594">
        <f ca="1" t="shared" si="84"/>
        <v>18213697807.111</v>
      </c>
      <c r="ET24" s="580">
        <f ca="1" t="shared" si="85"/>
        <v>0</v>
      </c>
      <c r="EU24" s="580">
        <f ca="1" t="shared" si="86"/>
        <v>0.000125593411031895</v>
      </c>
      <c r="EV24" s="595">
        <f ca="1" t="shared" si="87"/>
        <v>0.000125593411031895</v>
      </c>
      <c r="EW24" s="596">
        <f>EW$3*3600</f>
        <v>2246400</v>
      </c>
      <c r="EX24" s="580">
        <f ca="1" t="shared" ref="EX24:FA24" si="216">EP24</f>
        <v>110913830604632</v>
      </c>
      <c r="EY24" s="580">
        <f ca="1" t="shared" si="216"/>
        <v>125674514869.155</v>
      </c>
      <c r="EZ24" s="581">
        <f ca="1" t="shared" si="216"/>
        <v>6.27870330073495e-25</v>
      </c>
      <c r="FA24" s="580">
        <f ca="1" t="shared" si="216"/>
        <v>18213697807.111</v>
      </c>
      <c r="FB24" s="580">
        <f ca="1">INDIRECT("'"&amp;$B$2&amp;"-事故进程'!AE"&amp;(ROW()+22))</f>
        <v>0</v>
      </c>
      <c r="FC24" s="580">
        <f ca="1">SUM(FB$3,-LN(1-FC$3)/EW24)</f>
        <v>4.44800891276105e-22</v>
      </c>
      <c r="FD24" s="580">
        <f>FD$3/24/3600</f>
        <v>1157407407407410</v>
      </c>
      <c r="FE24" s="582">
        <f ca="1" t="shared" si="89"/>
        <v>0.996003051641582</v>
      </c>
      <c r="FF24" s="582">
        <f ca="1" t="shared" si="90"/>
        <v>0.996003051641581</v>
      </c>
      <c r="FG24" s="582">
        <f t="shared" si="91"/>
        <v>0</v>
      </c>
      <c r="FH24" s="582">
        <f ca="1" t="shared" si="92"/>
        <v>-5.59001362244921e-11</v>
      </c>
      <c r="FI24" s="582">
        <f ca="1" t="shared" si="93"/>
        <v>5.79572612375534e-25</v>
      </c>
      <c r="FJ24" s="582">
        <f ca="1" t="shared" si="94"/>
        <v>1</v>
      </c>
      <c r="FK24" s="580">
        <f ca="1" t="shared" si="95"/>
        <v>110470513751471</v>
      </c>
      <c r="FL24" s="580">
        <f ca="1" t="shared" si="96"/>
        <v>125172200323.253</v>
      </c>
      <c r="FM24" s="586">
        <f ca="1" t="shared" si="97"/>
        <v>4.81046742144929e-26</v>
      </c>
      <c r="FN24" s="594">
        <f ca="1" t="shared" si="98"/>
        <v>18140898597.5592</v>
      </c>
      <c r="FO24" s="580">
        <f ca="1" t="shared" si="99"/>
        <v>0</v>
      </c>
      <c r="FP24" s="580">
        <f ca="1" t="shared" si="100"/>
        <v>0.000125322941974531</v>
      </c>
      <c r="FQ24" s="595">
        <f ca="1" t="shared" si="101"/>
        <v>0.000125322941974531</v>
      </c>
      <c r="FR24" s="608" t="str">
        <f t="shared" si="102"/>
        <v>H-3</v>
      </c>
      <c r="FS24" s="609">
        <v>7740000000000</v>
      </c>
      <c r="FT24" s="610">
        <v>0</v>
      </c>
      <c r="FU24" s="610">
        <v>0</v>
      </c>
      <c r="FV24" s="610">
        <v>0</v>
      </c>
      <c r="FW24" s="610">
        <v>7740000000000</v>
      </c>
      <c r="FX24" s="614">
        <f t="shared" si="103"/>
        <v>0</v>
      </c>
      <c r="FY24" s="614"/>
      <c r="FZ24" s="614"/>
      <c r="GA24" s="614"/>
      <c r="GB24" s="614">
        <f ca="1" t="shared" si="107"/>
        <v>0.00235464129018312</v>
      </c>
      <c r="GC24" s="455">
        <f ca="1" t="shared" si="108"/>
        <v>0.00235464129018313</v>
      </c>
      <c r="GE24" s="609">
        <v>2598482866976.27</v>
      </c>
      <c r="GF24" s="610">
        <v>340744870520.487</v>
      </c>
      <c r="GG24" s="610">
        <v>648293276966.639</v>
      </c>
      <c r="GH24" s="610">
        <v>894780329863.181</v>
      </c>
      <c r="GI24" s="610">
        <v>1541863130089.09</v>
      </c>
      <c r="GJ24" s="610">
        <v>6437907247922.24</v>
      </c>
      <c r="GK24" s="617">
        <v>12462071722337.9</v>
      </c>
      <c r="GL24" s="614">
        <f t="shared" si="109"/>
        <v>0</v>
      </c>
      <c r="GM24" s="614">
        <f ca="1" t="shared" si="110"/>
        <v>0.0534855405399894</v>
      </c>
      <c r="GN24" s="614">
        <f ca="1" t="shared" si="111"/>
        <v>1.93798954668515e-16</v>
      </c>
      <c r="GO24" s="614">
        <f ca="1" t="shared" si="112"/>
        <v>1.03099139528891e-16</v>
      </c>
      <c r="GP24" s="614">
        <f ca="1" t="shared" si="113"/>
        <v>1.946640999138e-17</v>
      </c>
      <c r="GQ24" s="614">
        <f ca="1" t="shared" si="114"/>
        <v>0.00146243128687422</v>
      </c>
      <c r="GR24" s="451">
        <f t="shared" si="115"/>
        <v>1.78283364719618e-9</v>
      </c>
      <c r="GS24" s="390">
        <f t="shared" si="116"/>
        <v>388789600.000001</v>
      </c>
    </row>
    <row r="25" spans="1:201">
      <c r="A25" s="430"/>
      <c r="B25" s="407" t="s">
        <v>276</v>
      </c>
      <c r="C25" s="434">
        <f>C22</f>
        <v>1e+20</v>
      </c>
      <c r="D25" s="410" t="s">
        <v>273</v>
      </c>
      <c r="E25" s="409" t="s">
        <v>274</v>
      </c>
      <c r="G25" s="411" t="s">
        <v>66</v>
      </c>
      <c r="H25" s="412">
        <f t="shared" si="1"/>
        <v>0</v>
      </c>
      <c r="I25" s="412">
        <f ca="1" t="shared" si="2"/>
        <v>26329104.792888</v>
      </c>
      <c r="J25" s="412">
        <f ca="1" t="shared" si="3"/>
        <v>1.81525605021685e-7</v>
      </c>
      <c r="K25" s="412">
        <f ca="1" t="shared" si="4"/>
        <v>1.81525577321858e-7</v>
      </c>
      <c r="L25" s="412">
        <f ca="1" t="shared" si="5"/>
        <v>3.63050963292797e-7</v>
      </c>
      <c r="M25" s="412">
        <f ca="1" t="shared" si="6"/>
        <v>1.81524590191944e-7</v>
      </c>
      <c r="N25" s="412">
        <f ca="1" t="shared" si="7"/>
        <v>26329104.7928889</v>
      </c>
      <c r="O25" s="450">
        <f t="shared" si="8"/>
        <v>26329104.7928878</v>
      </c>
      <c r="P25" s="451"/>
      <c r="Q25" s="477" t="str">
        <f t="shared" si="0"/>
        <v>C-14</v>
      </c>
      <c r="R25" s="412">
        <f t="shared" si="9"/>
        <v>0</v>
      </c>
      <c r="S25" s="412">
        <f ca="1">I25*(1-过滤效率!$B22)</f>
        <v>26329104.792888</v>
      </c>
      <c r="T25" s="412">
        <f ca="1">J25*(1-过滤效率!$B22)</f>
        <v>1.81525605021685e-7</v>
      </c>
      <c r="U25" s="412">
        <f ca="1">K25*(1-过滤效率!$B22)</f>
        <v>1.81525577321858e-7</v>
      </c>
      <c r="V25" s="412">
        <f ca="1">L25*(1-过滤效率!$B22)</f>
        <v>3.63050963292797e-7</v>
      </c>
      <c r="W25" s="412">
        <f ca="1">M25*(1-过滤效率!$B22)</f>
        <v>1.81524590191944e-7</v>
      </c>
      <c r="X25" s="412">
        <f ca="1" t="shared" si="10"/>
        <v>26329104.7928889</v>
      </c>
      <c r="Y25" s="493"/>
      <c r="Z25" s="494">
        <f>VLOOKUP(G25,衰变常数!$A$1:$H$3800,7,FALSE)</f>
        <v>3.8534294386192e-12</v>
      </c>
      <c r="AA25" s="495"/>
      <c r="AB25" s="496">
        <f>正常源项!F22</f>
        <v>0</v>
      </c>
      <c r="AC25" s="496">
        <f>正常源项!I22</f>
        <v>208000000</v>
      </c>
      <c r="AD25" s="496">
        <f>正常源项!L22</f>
        <v>18700000000</v>
      </c>
      <c r="AE25" s="496"/>
      <c r="AF25" s="498"/>
      <c r="AG25" s="519"/>
      <c r="AH25" s="523"/>
      <c r="AI25" s="519"/>
      <c r="AK25" s="527"/>
      <c r="AL25" s="527"/>
      <c r="AM25" s="528"/>
      <c r="AN25" s="527"/>
      <c r="AO25" s="527"/>
      <c r="AP25" s="560">
        <f t="shared" si="14"/>
        <v>0</v>
      </c>
      <c r="AQ25" s="561">
        <f>(AC25*$C$5+AD25*$C$8+AF25+AG25+AI25+(AL25+AM25)*$C$10)*EXP(-Z25*$C$12*3600)+AO25*$C$11</f>
        <v>207999927.863813</v>
      </c>
      <c r="AR25" s="562">
        <f>AQ25*(1-AR$3)</f>
        <v>181670823.070926</v>
      </c>
      <c r="AS25" s="563">
        <f t="shared" si="15"/>
        <v>26329104.7928878</v>
      </c>
      <c r="AT25" s="562">
        <f>AS25*(1-AT$3)</f>
        <v>26329104.7928878</v>
      </c>
      <c r="AU25" s="564">
        <f t="shared" si="16"/>
        <v>0</v>
      </c>
      <c r="AV25" s="565">
        <f>AV$3*3600</f>
        <v>7200</v>
      </c>
      <c r="AW25" s="580">
        <f>AP25*EXP(-Z25*AW$3*3600)</f>
        <v>0</v>
      </c>
      <c r="AX25" s="580">
        <f t="shared" si="17"/>
        <v>181670823.070926</v>
      </c>
      <c r="AY25" s="581">
        <f t="shared" si="18"/>
        <v>26329104.7928878</v>
      </c>
      <c r="AZ25" s="580">
        <v>0</v>
      </c>
      <c r="BA25" s="580">
        <f ca="1">MAX(INDIRECT("'"&amp;$B$2&amp;"-事故进程'!Y"&amp;(ROW()+22)),INDIRECT("'"&amp;$B$2&amp;"-事故进程'!Z"&amp;(ROW()+22)))</f>
        <v>0</v>
      </c>
      <c r="BB25" s="580">
        <f>SUM(BA$3,-LN(1-BB$3)/AV25)</f>
        <v>1.38777878078145e-19</v>
      </c>
      <c r="BC25" s="580">
        <f>BC$3/24/3600</f>
        <v>1157407407407410</v>
      </c>
      <c r="BD25" s="582">
        <f ca="1" t="shared" si="19"/>
        <v>0.999999972255308</v>
      </c>
      <c r="BE25" s="582">
        <f t="shared" si="20"/>
        <v>0.999999972255307</v>
      </c>
      <c r="BF25" s="582">
        <f t="shared" si="21"/>
        <v>0</v>
      </c>
      <c r="BG25" s="582">
        <f ca="1" t="shared" si="22"/>
        <v>-2.52118913344931e-11</v>
      </c>
      <c r="BH25" s="582">
        <f ca="1" t="shared" si="23"/>
        <v>26329104.7928878</v>
      </c>
      <c r="BI25" s="582">
        <f ca="1" t="shared" si="24"/>
        <v>1</v>
      </c>
      <c r="BJ25" s="580">
        <f ca="1" t="shared" si="25"/>
        <v>0</v>
      </c>
      <c r="BK25" s="580">
        <f ca="1" t="shared" si="26"/>
        <v>181670818.030525</v>
      </c>
      <c r="BL25" s="586">
        <f ca="1" t="shared" si="27"/>
        <v>2.17830735086374e-26</v>
      </c>
      <c r="BM25" s="594">
        <f ca="1" t="shared" si="28"/>
        <v>26329104.0623951</v>
      </c>
      <c r="BN25" s="580">
        <f ca="1" t="shared" si="29"/>
        <v>0</v>
      </c>
      <c r="BO25" s="580">
        <f ca="1" t="shared" si="30"/>
        <v>1.8152561490064e-7</v>
      </c>
      <c r="BP25" s="595">
        <f ca="1" t="shared" si="31"/>
        <v>26329104.792888</v>
      </c>
      <c r="BQ25" s="596">
        <f>BQ$3*3600</f>
        <v>21600</v>
      </c>
      <c r="BR25" s="580">
        <f ca="1" t="shared" ref="BR25:BU25" si="217">BJ25</f>
        <v>0</v>
      </c>
      <c r="BS25" s="580">
        <f ca="1" t="shared" si="217"/>
        <v>181670818.030525</v>
      </c>
      <c r="BT25" s="581">
        <f ca="1" t="shared" si="217"/>
        <v>2.17830735086374e-26</v>
      </c>
      <c r="BU25" s="580">
        <f ca="1" t="shared" si="217"/>
        <v>26329104.0623951</v>
      </c>
      <c r="BV25" s="580">
        <f ca="1">MAX(INDIRECT("'"&amp;$B$2&amp;"-事故进程'!Z"&amp;(ROW()+22)),INDIRECT("'"&amp;$B$2&amp;"-事故进程'!AA"&amp;(ROW()+22)))</f>
        <v>0</v>
      </c>
      <c r="BW25" s="580">
        <f ca="1">SUM(BV$3,-LN(1-BW$3)/BQ25)</f>
        <v>4.62592926927149e-20</v>
      </c>
      <c r="BX25" s="580">
        <f>BX$3/24/3600</f>
        <v>1157407407407410</v>
      </c>
      <c r="BY25" s="582">
        <f ca="1" t="shared" si="33"/>
        <v>0.999999916765928</v>
      </c>
      <c r="BZ25" s="582">
        <f ca="1" t="shared" si="34"/>
        <v>0.999999916765927</v>
      </c>
      <c r="CA25" s="582">
        <f t="shared" si="35"/>
        <v>0</v>
      </c>
      <c r="CB25" s="582">
        <f ca="1" t="shared" si="36"/>
        <v>-8.40396354499898e-12</v>
      </c>
      <c r="CC25" s="582">
        <f ca="1" t="shared" si="37"/>
        <v>1.45220490057582e-26</v>
      </c>
      <c r="CD25" s="582">
        <f ca="1" t="shared" si="38"/>
        <v>1</v>
      </c>
      <c r="CE25" s="580">
        <f ca="1" t="shared" si="39"/>
        <v>0</v>
      </c>
      <c r="CF25" s="580">
        <f ca="1" t="shared" si="40"/>
        <v>181670802.909322</v>
      </c>
      <c r="CG25" s="586">
        <f ca="1" t="shared" si="41"/>
        <v>7.26102389851447e-27</v>
      </c>
      <c r="CH25" s="594">
        <f ca="1" t="shared" si="42"/>
        <v>26329101.8709167</v>
      </c>
      <c r="CI25" s="580">
        <f ca="1" t="shared" si="43"/>
        <v>0</v>
      </c>
      <c r="CJ25" s="580">
        <f ca="1" t="shared" si="44"/>
        <v>1.81525605021685e-7</v>
      </c>
      <c r="CK25" s="595">
        <f ca="1" t="shared" si="45"/>
        <v>1.81525605021685e-7</v>
      </c>
      <c r="CL25" s="596">
        <f>CL$3*3600</f>
        <v>57600</v>
      </c>
      <c r="CM25" s="580">
        <f ca="1" t="shared" ref="CM25:CP25" si="218">CE25</f>
        <v>0</v>
      </c>
      <c r="CN25" s="580">
        <f ca="1" t="shared" si="218"/>
        <v>181670802.909322</v>
      </c>
      <c r="CO25" s="581">
        <f ca="1" t="shared" si="218"/>
        <v>7.26102389851447e-27</v>
      </c>
      <c r="CP25" s="580">
        <f ca="1" t="shared" si="218"/>
        <v>26329101.8709167</v>
      </c>
      <c r="CQ25" s="580">
        <f ca="1">MAX(INDIRECT("'"&amp;$B$2&amp;"-事故进程'!AA"&amp;(ROW()+22)),INDIRECT("'"&amp;$B$2&amp;"-事故进程'!AB"&amp;(ROW()+22)))</f>
        <v>0</v>
      </c>
      <c r="CR25" s="580">
        <f ca="1">SUM(CQ$3,-LN(1-CR$3)/CL25)</f>
        <v>1.73472347597681e-20</v>
      </c>
      <c r="CS25" s="580">
        <f>CS$3/24/3600</f>
        <v>1157407407407410</v>
      </c>
      <c r="CT25" s="582">
        <f ca="1" t="shared" si="47"/>
        <v>0.999999778042489</v>
      </c>
      <c r="CU25" s="582">
        <f ca="1" t="shared" si="48"/>
        <v>0.999999778042488</v>
      </c>
      <c r="CV25" s="582">
        <f t="shared" si="49"/>
        <v>0</v>
      </c>
      <c r="CW25" s="582">
        <f ca="1" t="shared" si="50"/>
        <v>-3.15148606706357e-12</v>
      </c>
      <c r="CX25" s="582">
        <f ca="1" t="shared" si="51"/>
        <v>4.53813993657155e-27</v>
      </c>
      <c r="CY25" s="582">
        <f ca="1" t="shared" si="52"/>
        <v>1</v>
      </c>
      <c r="CZ25" s="580">
        <f ca="1" t="shared" si="53"/>
        <v>0</v>
      </c>
      <c r="DA25" s="580">
        <f ca="1" t="shared" si="54"/>
        <v>181670762.586123</v>
      </c>
      <c r="DB25" s="586">
        <f ca="1" t="shared" si="55"/>
        <v>2.72288335757838e-27</v>
      </c>
      <c r="DC25" s="594">
        <f ca="1" t="shared" si="56"/>
        <v>26329096.0269749</v>
      </c>
      <c r="DD25" s="580">
        <f ca="1" t="shared" si="57"/>
        <v>0</v>
      </c>
      <c r="DE25" s="580">
        <f ca="1" t="shared" si="58"/>
        <v>1.81525577321858e-7</v>
      </c>
      <c r="DF25" s="595">
        <f ca="1" t="shared" si="59"/>
        <v>1.81525577321858e-7</v>
      </c>
      <c r="DG25" s="596">
        <f>DG$3*3600</f>
        <v>86400</v>
      </c>
      <c r="DH25" s="580">
        <f ca="1" t="shared" ref="DH25:DK25" si="219">CZ25</f>
        <v>0</v>
      </c>
      <c r="DI25" s="580">
        <f ca="1" t="shared" si="219"/>
        <v>181670762.586123</v>
      </c>
      <c r="DJ25" s="581">
        <f ca="1" t="shared" si="219"/>
        <v>2.72288335757838e-27</v>
      </c>
      <c r="DK25" s="580">
        <f ca="1" t="shared" si="219"/>
        <v>26329096.0269749</v>
      </c>
      <c r="DL25" s="580">
        <f ca="1">MAX(INDIRECT("'"&amp;$B$2&amp;"-事故进程'!AB"&amp;(ROW()+22)),INDIRECT("'"&amp;$B$2&amp;"-事故进程'!AC"&amp;(ROW()+22)))</f>
        <v>0</v>
      </c>
      <c r="DM25" s="580">
        <f ca="1">SUM(DL$3,-LN(1-DM$3)/DG25)</f>
        <v>1.15648231731787e-20</v>
      </c>
      <c r="DN25" s="580">
        <f>DN$3/24/3600</f>
        <v>1157407407407410</v>
      </c>
      <c r="DO25" s="582">
        <f ca="1" t="shared" si="61"/>
        <v>0.999999667063752</v>
      </c>
      <c r="DP25" s="582">
        <f ca="1" t="shared" si="62"/>
        <v>0.999999667063751</v>
      </c>
      <c r="DQ25" s="582">
        <f t="shared" si="63"/>
        <v>0</v>
      </c>
      <c r="DR25" s="582">
        <f ca="1" t="shared" si="64"/>
        <v>-2.10099024504504e-12</v>
      </c>
      <c r="DS25" s="582">
        <f ca="1" t="shared" si="65"/>
        <v>9.07627785859459e-28</v>
      </c>
      <c r="DT25" s="582">
        <f ca="1" t="shared" si="66"/>
        <v>1</v>
      </c>
      <c r="DU25" s="580">
        <f ca="1" t="shared" si="67"/>
        <v>0</v>
      </c>
      <c r="DV25" s="580">
        <f ca="1" t="shared" si="68"/>
        <v>181670702.101341</v>
      </c>
      <c r="DW25" s="586">
        <f ca="1" t="shared" si="69"/>
        <v>1.81525496735454e-27</v>
      </c>
      <c r="DX25" s="594">
        <f ca="1" t="shared" si="70"/>
        <v>26329087.2610647</v>
      </c>
      <c r="DY25" s="580">
        <f ca="1" t="shared" si="71"/>
        <v>0</v>
      </c>
      <c r="DZ25" s="580">
        <f ca="1" t="shared" si="72"/>
        <v>1.81525526982538e-7</v>
      </c>
      <c r="EA25" s="595">
        <f ca="1" t="shared" si="73"/>
        <v>1.81525526982538e-7</v>
      </c>
      <c r="EB25" s="596">
        <f>EB$3*3600</f>
        <v>172800</v>
      </c>
      <c r="EC25" s="580">
        <f ca="1" t="shared" ref="EC25:EF25" si="220">DU25</f>
        <v>0</v>
      </c>
      <c r="ED25" s="580">
        <f ca="1" t="shared" si="220"/>
        <v>181670702.101341</v>
      </c>
      <c r="EE25" s="581">
        <f ca="1" t="shared" si="220"/>
        <v>1.81525496735454e-27</v>
      </c>
      <c r="EF25" s="580">
        <f ca="1" t="shared" si="220"/>
        <v>26329087.2610647</v>
      </c>
      <c r="EG25" s="580">
        <f ca="1">MAX(INDIRECT("'"&amp;$B$2&amp;"-事故进程'!AC"&amp;(ROW()+22)),INDIRECT("'"&amp;$B$2&amp;"-事故进程'!AD"&amp;(ROW()+22)),INDIRECT("'"&amp;$B$2&amp;"-事故进程'!AE"&amp;(ROW()+22)))</f>
        <v>0</v>
      </c>
      <c r="EH25" s="580">
        <f ca="1">SUM(EG$3,-LN(1-EH$3)/EB25)</f>
        <v>5.78241158658936e-21</v>
      </c>
      <c r="EI25" s="580">
        <f>EI$3/24/3600</f>
        <v>1157407407407410</v>
      </c>
      <c r="EJ25" s="582">
        <f ca="1" t="shared" si="75"/>
        <v>0.999999334127615</v>
      </c>
      <c r="EK25" s="582">
        <f ca="1" t="shared" si="76"/>
        <v>0.999999334127614</v>
      </c>
      <c r="EL25" s="582">
        <f t="shared" si="77"/>
        <v>0</v>
      </c>
      <c r="EM25" s="582">
        <f ca="1" t="shared" si="78"/>
        <v>-1.05049477277462e-12</v>
      </c>
      <c r="EN25" s="582">
        <f ca="1" t="shared" si="79"/>
        <v>9.07627483677268e-28</v>
      </c>
      <c r="EO25" s="582">
        <f ca="1" t="shared" si="80"/>
        <v>1</v>
      </c>
      <c r="EP25" s="580">
        <f ca="1" t="shared" si="81"/>
        <v>0</v>
      </c>
      <c r="EQ25" s="580">
        <f ca="1" t="shared" si="82"/>
        <v>181670581.131837</v>
      </c>
      <c r="ER25" s="586">
        <f ca="1" t="shared" si="83"/>
        <v>9.0762687931319e-28</v>
      </c>
      <c r="ES25" s="594">
        <f ca="1" t="shared" si="84"/>
        <v>26329069.7292527</v>
      </c>
      <c r="ET25" s="580">
        <f ca="1" t="shared" si="85"/>
        <v>0</v>
      </c>
      <c r="EU25" s="580">
        <f ca="1" t="shared" si="86"/>
        <v>1.81525436310259e-7</v>
      </c>
      <c r="EV25" s="595">
        <f ca="1" t="shared" si="87"/>
        <v>1.81525436310259e-7</v>
      </c>
      <c r="EW25" s="596">
        <f>EW$3*3600</f>
        <v>2246400</v>
      </c>
      <c r="EX25" s="580">
        <f ca="1" t="shared" ref="EX25:FA25" si="221">EP25</f>
        <v>0</v>
      </c>
      <c r="EY25" s="580">
        <f ca="1" t="shared" si="221"/>
        <v>181670581.131837</v>
      </c>
      <c r="EZ25" s="581">
        <f ca="1" t="shared" si="221"/>
        <v>9.0762687931319e-28</v>
      </c>
      <c r="FA25" s="580">
        <f ca="1" t="shared" si="221"/>
        <v>26329069.7292527</v>
      </c>
      <c r="FB25" s="580">
        <f ca="1">INDIRECT("'"&amp;$B$2&amp;"-事故进程'!AE"&amp;(ROW()+22))</f>
        <v>0</v>
      </c>
      <c r="FC25" s="580">
        <f ca="1">SUM(FB$3,-LN(1-FC$3)/EW25)</f>
        <v>4.44800891276105e-22</v>
      </c>
      <c r="FD25" s="580">
        <f>FD$3/24/3600</f>
        <v>1157407407407410</v>
      </c>
      <c r="FE25" s="582">
        <f ca="1" t="shared" si="89"/>
        <v>0.999991343693575</v>
      </c>
      <c r="FF25" s="582">
        <f ca="1" t="shared" si="90"/>
        <v>0.999991343693574</v>
      </c>
      <c r="FG25" s="582">
        <f t="shared" si="91"/>
        <v>0</v>
      </c>
      <c r="FH25" s="582">
        <f ca="1" t="shared" si="92"/>
        <v>-8.08072364060888e-14</v>
      </c>
      <c r="FI25" s="582">
        <f ca="1" t="shared" si="93"/>
        <v>8.37809427058329e-28</v>
      </c>
      <c r="FJ25" s="582">
        <f ca="1" t="shared" si="94"/>
        <v>1</v>
      </c>
      <c r="FK25" s="580">
        <f ca="1" t="shared" si="95"/>
        <v>0</v>
      </c>
      <c r="FL25" s="580">
        <f ca="1" t="shared" si="96"/>
        <v>181669008.535618</v>
      </c>
      <c r="FM25" s="586">
        <f ca="1" t="shared" si="97"/>
        <v>6.98168478936002e-29</v>
      </c>
      <c r="FN25" s="594">
        <f ca="1" t="shared" si="98"/>
        <v>26328841.8167575</v>
      </c>
      <c r="FO25" s="580">
        <f ca="1" t="shared" si="99"/>
        <v>0</v>
      </c>
      <c r="FP25" s="580">
        <f ca="1" t="shared" si="100"/>
        <v>1.81524590191944e-7</v>
      </c>
      <c r="FQ25" s="595">
        <f ca="1" t="shared" si="101"/>
        <v>1.81524590191944e-7</v>
      </c>
      <c r="FR25" s="608" t="str">
        <f t="shared" si="102"/>
        <v>C-14</v>
      </c>
      <c r="FS25" s="609">
        <v>4940000000</v>
      </c>
      <c r="FT25" s="610">
        <v>0</v>
      </c>
      <c r="FU25" s="610">
        <v>0</v>
      </c>
      <c r="FV25" s="610">
        <v>0</v>
      </c>
      <c r="FW25" s="610">
        <v>4940000000</v>
      </c>
      <c r="FX25" s="614">
        <f t="shared" si="103"/>
        <v>0</v>
      </c>
      <c r="FY25" s="614"/>
      <c r="FZ25" s="614"/>
      <c r="GA25" s="614"/>
      <c r="GB25" s="614">
        <f ca="1" t="shared" si="107"/>
        <v>0.0053297782981556</v>
      </c>
      <c r="GC25" s="455">
        <f ca="1" t="shared" si="108"/>
        <v>0.00532977829815564</v>
      </c>
      <c r="GE25" s="609">
        <v>3837456881.37195</v>
      </c>
      <c r="GF25" s="610">
        <v>504669667.114012</v>
      </c>
      <c r="GG25" s="610">
        <v>960246468.180332</v>
      </c>
      <c r="GH25" s="610">
        <v>1325510494.87155</v>
      </c>
      <c r="GI25" s="610">
        <v>2284606584.31661</v>
      </c>
      <c r="GJ25" s="610">
        <v>9552339972.24301</v>
      </c>
      <c r="GK25" s="617">
        <v>18464830068.0975</v>
      </c>
      <c r="GL25" s="614">
        <f t="shared" si="109"/>
        <v>0</v>
      </c>
      <c r="GM25" s="614">
        <f ca="1" t="shared" si="110"/>
        <v>0.052170967483449</v>
      </c>
      <c r="GN25" s="614">
        <f ca="1" t="shared" si="111"/>
        <v>1.89040609194688e-16</v>
      </c>
      <c r="GO25" s="614">
        <f ca="1" t="shared" si="112"/>
        <v>1.00564872365425e-16</v>
      </c>
      <c r="GP25" s="614">
        <f ca="1" t="shared" si="113"/>
        <v>1.90031542762731e-17</v>
      </c>
      <c r="GQ25" s="614">
        <f ca="1" t="shared" si="114"/>
        <v>0.00142590561060071</v>
      </c>
      <c r="GR25" s="451">
        <f t="shared" si="115"/>
        <v>3.8534294386192e-12</v>
      </c>
      <c r="GS25" s="390">
        <f t="shared" si="116"/>
        <v>179878000000</v>
      </c>
    </row>
    <row r="26" spans="1:201">
      <c r="A26" s="432" t="s">
        <v>277</v>
      </c>
      <c r="B26" s="407" t="s">
        <v>267</v>
      </c>
      <c r="C26" s="428">
        <f>-LN(1-0%)/8/3600</f>
        <v>0</v>
      </c>
      <c r="D26" s="410" t="s">
        <v>268</v>
      </c>
      <c r="E26" s="409" t="s">
        <v>269</v>
      </c>
      <c r="G26" s="435" t="s">
        <v>67</v>
      </c>
      <c r="H26" s="412">
        <f t="shared" si="1"/>
        <v>0</v>
      </c>
      <c r="I26" s="412">
        <f ca="1" t="shared" si="2"/>
        <v>14118760.7466096</v>
      </c>
      <c r="J26" s="412">
        <f ca="1" t="shared" si="3"/>
        <v>9.73342831446051e-8</v>
      </c>
      <c r="K26" s="412">
        <f ca="1" t="shared" si="4"/>
        <v>9.73182234397964e-8</v>
      </c>
      <c r="L26" s="412">
        <f ca="1" t="shared" si="5"/>
        <v>1.94525537553624e-7</v>
      </c>
      <c r="M26" s="412">
        <f ca="1" t="shared" si="6"/>
        <v>9.67479862955417e-8</v>
      </c>
      <c r="N26" s="412">
        <f ca="1" t="shared" si="7"/>
        <v>14118760.7466101</v>
      </c>
      <c r="O26" s="450">
        <f t="shared" si="8"/>
        <v>14118760.7466095</v>
      </c>
      <c r="P26" s="451"/>
      <c r="Q26" s="477" t="str">
        <f t="shared" si="0"/>
        <v>Co-60</v>
      </c>
      <c r="R26" s="412">
        <f t="shared" si="9"/>
        <v>0</v>
      </c>
      <c r="S26" s="412">
        <f ca="1">I26*(1-过滤效率!$B23)</f>
        <v>14118.7607466096</v>
      </c>
      <c r="T26" s="412">
        <f ca="1">J26*(1-过滤效率!$B23)</f>
        <v>9.73342831446052e-11</v>
      </c>
      <c r="U26" s="412">
        <f ca="1">K26*(1-过滤效率!$B23)</f>
        <v>9.73182234397965e-11</v>
      </c>
      <c r="V26" s="412">
        <f ca="1">L26*(1-过滤效率!$B23)</f>
        <v>1.94525537553624e-10</v>
      </c>
      <c r="W26" s="412">
        <f ca="1">M26*(1-过滤效率!$B23)</f>
        <v>9.67479862955418e-11</v>
      </c>
      <c r="X26" s="412">
        <f ca="1" t="shared" si="10"/>
        <v>14118.7607466101</v>
      </c>
      <c r="Y26" s="493"/>
      <c r="Z26" s="494">
        <f>VLOOKUP(G26,衰变常数!$A$1:$H$3800,7,FALSE)</f>
        <v>4.16694528910503e-9</v>
      </c>
      <c r="AA26" s="495"/>
      <c r="AB26" s="496">
        <f>正常源项!F23</f>
        <v>0</v>
      </c>
      <c r="AC26" s="496">
        <f>正常源项!I23</f>
        <v>1100</v>
      </c>
      <c r="AD26" s="497"/>
      <c r="AE26" s="496">
        <f>正常源项!O23</f>
        <v>2120000000</v>
      </c>
      <c r="AF26" s="498">
        <f>AC26*$C$6</f>
        <v>0</v>
      </c>
      <c r="AG26" s="519">
        <f>AE26*MIN(100%,$C$7/500)</f>
        <v>0</v>
      </c>
      <c r="AH26" s="523">
        <v>1</v>
      </c>
      <c r="AI26" s="519">
        <f>AE26*AH26*$C$9</f>
        <v>111578947.368421</v>
      </c>
      <c r="AK26" s="527"/>
      <c r="AL26" s="527"/>
      <c r="AM26" s="528"/>
      <c r="AN26" s="527"/>
      <c r="AO26" s="527"/>
      <c r="AP26" s="560">
        <f t="shared" si="14"/>
        <v>0</v>
      </c>
      <c r="AQ26" s="561">
        <f>(AC26*$C$5+AD26*$C$8+AF26+AG26+AI26+(AL26+AM26)*$C$10)*EXP(-Z26*$C$12*3600)+AO26*$C$11</f>
        <v>111538209.898215</v>
      </c>
      <c r="AR26" s="562">
        <f>AQ26*(1-AR$3)</f>
        <v>97419449.1516055</v>
      </c>
      <c r="AS26" s="563">
        <f t="shared" si="15"/>
        <v>14118760.7466095</v>
      </c>
      <c r="AT26" s="562">
        <f>AS26*(1-AT$3)</f>
        <v>14118760.7466095</v>
      </c>
      <c r="AU26" s="564">
        <f t="shared" si="16"/>
        <v>0</v>
      </c>
      <c r="AV26" s="565">
        <f>AV$3*3600</f>
        <v>7200</v>
      </c>
      <c r="AW26" s="580">
        <f>AP26*EXP(-Z26*AW$3*3600)</f>
        <v>0</v>
      </c>
      <c r="AX26" s="580">
        <f t="shared" si="17"/>
        <v>97419449.1516055</v>
      </c>
      <c r="AY26" s="581">
        <f t="shared" si="18"/>
        <v>14118760.7466095</v>
      </c>
      <c r="AZ26" s="580">
        <v>0</v>
      </c>
      <c r="BA26" s="580">
        <f ca="1">MAX(INDIRECT("'"&amp;$B$2&amp;"-事故进程'!Y"&amp;(ROW()+22)),INDIRECT("'"&amp;$B$2&amp;"-事故进程'!Z"&amp;(ROW()+22)))</f>
        <v>0</v>
      </c>
      <c r="BB26" s="580">
        <f>SUM(BA$3,-LN(1-BB$3)/AV26)</f>
        <v>1.38777878078145e-19</v>
      </c>
      <c r="BC26" s="580">
        <f>BC$3/24/3600</f>
        <v>1157407407407410</v>
      </c>
      <c r="BD26" s="582">
        <f ca="1" t="shared" si="19"/>
        <v>0.999969998443974</v>
      </c>
      <c r="BE26" s="582">
        <f t="shared" si="20"/>
        <v>0.999969998443973</v>
      </c>
      <c r="BF26" s="582">
        <f t="shared" si="21"/>
        <v>0</v>
      </c>
      <c r="BG26" s="582">
        <f ca="1" t="shared" si="22"/>
        <v>-1.35196644368015e-11</v>
      </c>
      <c r="BH26" s="582">
        <f ca="1" t="shared" si="23"/>
        <v>14118760.7466095</v>
      </c>
      <c r="BI26" s="582">
        <f ca="1" t="shared" si="24"/>
        <v>1</v>
      </c>
      <c r="BJ26" s="580">
        <f ca="1" t="shared" si="25"/>
        <v>0</v>
      </c>
      <c r="BK26" s="580">
        <f ca="1" t="shared" si="26"/>
        <v>97416526.4165437</v>
      </c>
      <c r="BL26" s="586">
        <f ca="1" t="shared" si="27"/>
        <v>1.16806396255184e-26</v>
      </c>
      <c r="BM26" s="594">
        <f ca="1" t="shared" si="28"/>
        <v>14118337.161818</v>
      </c>
      <c r="BN26" s="580">
        <f ca="1" t="shared" si="29"/>
        <v>0</v>
      </c>
      <c r="BO26" s="580">
        <f ca="1" t="shared" si="30"/>
        <v>9.73401237380657e-8</v>
      </c>
      <c r="BP26" s="595">
        <f ca="1" t="shared" si="31"/>
        <v>14118760.7466096</v>
      </c>
      <c r="BQ26" s="596">
        <f>BQ$3*3600</f>
        <v>21600</v>
      </c>
      <c r="BR26" s="580">
        <f ca="1" t="shared" ref="BR26:BU26" si="222">BJ26</f>
        <v>0</v>
      </c>
      <c r="BS26" s="580">
        <f ca="1" t="shared" si="222"/>
        <v>97416526.4165437</v>
      </c>
      <c r="BT26" s="581">
        <f ca="1" t="shared" si="222"/>
        <v>1.16806396255184e-26</v>
      </c>
      <c r="BU26" s="580">
        <f ca="1" t="shared" si="222"/>
        <v>14118337.161818</v>
      </c>
      <c r="BV26" s="580">
        <f ca="1">MAX(INDIRECT("'"&amp;$B$2&amp;"-事故进程'!Z"&amp;(ROW()+22)),INDIRECT("'"&amp;$B$2&amp;"-事故进程'!AA"&amp;(ROW()+22)))</f>
        <v>0</v>
      </c>
      <c r="BW26" s="580">
        <f ca="1">SUM(BV$3,-LN(1-BW$3)/BQ26)</f>
        <v>4.62592926927149e-20</v>
      </c>
      <c r="BX26" s="580">
        <f>BX$3/24/3600</f>
        <v>1157407407407410</v>
      </c>
      <c r="BY26" s="582">
        <f ca="1" t="shared" si="33"/>
        <v>0.999909998032176</v>
      </c>
      <c r="BZ26" s="582">
        <f ca="1" t="shared" si="34"/>
        <v>0.999909998032175</v>
      </c>
      <c r="CA26" s="582">
        <f t="shared" si="35"/>
        <v>0</v>
      </c>
      <c r="CB26" s="582">
        <f ca="1" t="shared" si="36"/>
        <v>-4.50641960861049e-12</v>
      </c>
      <c r="CC26" s="582">
        <f ca="1" t="shared" si="37"/>
        <v>7.78709308367892e-27</v>
      </c>
      <c r="CD26" s="582">
        <f ca="1" t="shared" si="38"/>
        <v>1</v>
      </c>
      <c r="CE26" s="580">
        <f ca="1" t="shared" si="39"/>
        <v>0</v>
      </c>
      <c r="CF26" s="580">
        <f ca="1" t="shared" si="40"/>
        <v>97407758.7374675</v>
      </c>
      <c r="CG26" s="586">
        <f ca="1" t="shared" si="41"/>
        <v>3.89319611498887e-27</v>
      </c>
      <c r="CH26" s="594">
        <f ca="1" t="shared" si="42"/>
        <v>14117066.4836912</v>
      </c>
      <c r="CI26" s="580">
        <f ca="1" t="shared" si="43"/>
        <v>0</v>
      </c>
      <c r="CJ26" s="580">
        <f ca="1" t="shared" si="44"/>
        <v>9.73342831446051e-8</v>
      </c>
      <c r="CK26" s="595">
        <f ca="1" t="shared" si="45"/>
        <v>9.73342831446051e-8</v>
      </c>
      <c r="CL26" s="596">
        <f>CL$3*3600</f>
        <v>57600</v>
      </c>
      <c r="CM26" s="580">
        <f ca="1" t="shared" ref="CM26:CP26" si="223">CE26</f>
        <v>0</v>
      </c>
      <c r="CN26" s="580">
        <f ca="1" t="shared" si="223"/>
        <v>97407758.7374675</v>
      </c>
      <c r="CO26" s="581">
        <f ca="1" t="shared" si="223"/>
        <v>3.89319611498887e-27</v>
      </c>
      <c r="CP26" s="580">
        <f ca="1" t="shared" si="223"/>
        <v>14117066.4836912</v>
      </c>
      <c r="CQ26" s="580">
        <f ca="1">MAX(INDIRECT("'"&amp;$B$2&amp;"-事故进程'!AA"&amp;(ROW()+22)),INDIRECT("'"&amp;$B$2&amp;"-事故进程'!AB"&amp;(ROW()+22)))</f>
        <v>0</v>
      </c>
      <c r="CR26" s="580">
        <f ca="1">SUM(CQ$3,-LN(1-CR$3)/CL26)</f>
        <v>1.73472347597681e-20</v>
      </c>
      <c r="CS26" s="580">
        <f>CS$3/24/3600</f>
        <v>1157407407407410</v>
      </c>
      <c r="CT26" s="582">
        <f ca="1" t="shared" si="47"/>
        <v>0.999760012752895</v>
      </c>
      <c r="CU26" s="582">
        <f ca="1" t="shared" si="48"/>
        <v>0.999760012752894</v>
      </c>
      <c r="CV26" s="582">
        <f t="shared" si="49"/>
        <v>0</v>
      </c>
      <c r="CW26" s="582">
        <f ca="1" t="shared" si="50"/>
        <v>-1.6897552582417e-12</v>
      </c>
      <c r="CX26" s="582">
        <f ca="1" t="shared" si="51"/>
        <v>2.43324757186805e-27</v>
      </c>
      <c r="CY26" s="582">
        <f ca="1" t="shared" si="52"/>
        <v>1</v>
      </c>
      <c r="CZ26" s="580">
        <f ca="1" t="shared" si="53"/>
        <v>0</v>
      </c>
      <c r="DA26" s="580">
        <f ca="1" t="shared" si="54"/>
        <v>97384382.1176013</v>
      </c>
      <c r="DB26" s="586">
        <f ca="1" t="shared" si="55"/>
        <v>1.45959817408905e-27</v>
      </c>
      <c r="DC26" s="594">
        <f ca="1" t="shared" si="56"/>
        <v>14113678.5677686</v>
      </c>
      <c r="DD26" s="580">
        <f ca="1" t="shared" si="57"/>
        <v>0</v>
      </c>
      <c r="DE26" s="580">
        <f ca="1" t="shared" si="58"/>
        <v>9.73182234397964e-8</v>
      </c>
      <c r="DF26" s="595">
        <f ca="1" t="shared" si="59"/>
        <v>9.73182234397964e-8</v>
      </c>
      <c r="DG26" s="596">
        <f>DG$3*3600</f>
        <v>86400</v>
      </c>
      <c r="DH26" s="580">
        <f ca="1" t="shared" ref="DH26:DK26" si="224">CZ26</f>
        <v>0</v>
      </c>
      <c r="DI26" s="580">
        <f ca="1" t="shared" si="224"/>
        <v>97384382.1176013</v>
      </c>
      <c r="DJ26" s="581">
        <f ca="1" t="shared" si="224"/>
        <v>1.45959817408905e-27</v>
      </c>
      <c r="DK26" s="580">
        <f ca="1" t="shared" si="224"/>
        <v>14113678.5677686</v>
      </c>
      <c r="DL26" s="580">
        <f ca="1">MAX(INDIRECT("'"&amp;$B$2&amp;"-事故进程'!AB"&amp;(ROW()+22)),INDIRECT("'"&amp;$B$2&amp;"-事故进程'!AC"&amp;(ROW()+22)))</f>
        <v>0</v>
      </c>
      <c r="DM26" s="580">
        <f ca="1">SUM(DL$3,-LN(1-DM$3)/DG26)</f>
        <v>1.15648231731787e-20</v>
      </c>
      <c r="DN26" s="580">
        <f>DN$3/24/3600</f>
        <v>1157407407407410</v>
      </c>
      <c r="DO26" s="582">
        <f ca="1" t="shared" si="61"/>
        <v>0.999640040727911</v>
      </c>
      <c r="DP26" s="582">
        <f ca="1" t="shared" si="62"/>
        <v>0.99964004072791</v>
      </c>
      <c r="DQ26" s="582">
        <f t="shared" si="63"/>
        <v>0</v>
      </c>
      <c r="DR26" s="582">
        <f ca="1" t="shared" si="64"/>
        <v>-1.12623315901933e-12</v>
      </c>
      <c r="DS26" s="582">
        <f ca="1" t="shared" si="65"/>
        <v>4.86532724696349e-28</v>
      </c>
      <c r="DT26" s="582">
        <f ca="1" t="shared" si="66"/>
        <v>1</v>
      </c>
      <c r="DU26" s="580">
        <f ca="1" t="shared" si="67"/>
        <v>0</v>
      </c>
      <c r="DV26" s="580">
        <f ca="1" t="shared" si="68"/>
        <v>97349327.7063013</v>
      </c>
      <c r="DW26" s="586">
        <f ca="1" t="shared" si="69"/>
        <v>9.72715185461839e-28</v>
      </c>
      <c r="DX26" s="594">
        <f ca="1" t="shared" si="70"/>
        <v>14108598.218305</v>
      </c>
      <c r="DY26" s="580">
        <f ca="1" t="shared" si="71"/>
        <v>0</v>
      </c>
      <c r="DZ26" s="580">
        <f ca="1" t="shared" si="72"/>
        <v>9.72890306918678e-8</v>
      </c>
      <c r="EA26" s="595">
        <f ca="1" t="shared" si="73"/>
        <v>9.72890306918678e-8</v>
      </c>
      <c r="EB26" s="596">
        <f>EB$3*3600</f>
        <v>172800</v>
      </c>
      <c r="EC26" s="580">
        <f ca="1" t="shared" ref="EC26:EF26" si="225">DU26</f>
        <v>0</v>
      </c>
      <c r="ED26" s="580">
        <f ca="1" t="shared" si="225"/>
        <v>97349327.7063013</v>
      </c>
      <c r="EE26" s="581">
        <f ca="1" t="shared" si="225"/>
        <v>9.72715185461839e-28</v>
      </c>
      <c r="EF26" s="580">
        <f ca="1" t="shared" si="225"/>
        <v>14108598.218305</v>
      </c>
      <c r="EG26" s="580">
        <f ca="1">MAX(INDIRECT("'"&amp;$B$2&amp;"-事故进程'!AC"&amp;(ROW()+22)),INDIRECT("'"&amp;$B$2&amp;"-事故进程'!AD"&amp;(ROW()+22)),INDIRECT("'"&amp;$B$2&amp;"-事故进程'!AE"&amp;(ROW()+22)))</f>
        <v>0</v>
      </c>
      <c r="EH26" s="580">
        <f ca="1">SUM(EG$3,-LN(1-EH$3)/EB26)</f>
        <v>5.78241158658936e-21</v>
      </c>
      <c r="EI26" s="580">
        <f>EI$3/24/3600</f>
        <v>1157407407407410</v>
      </c>
      <c r="EJ26" s="582">
        <f ca="1" t="shared" si="75"/>
        <v>0.9992802110265</v>
      </c>
      <c r="EK26" s="582">
        <f ca="1" t="shared" si="76"/>
        <v>0.999280211026499</v>
      </c>
      <c r="EL26" s="582">
        <f t="shared" si="77"/>
        <v>0</v>
      </c>
      <c r="EM26" s="582">
        <f ca="1" t="shared" si="78"/>
        <v>-5.62913880475602e-13</v>
      </c>
      <c r="EN26" s="582">
        <f ca="1" t="shared" si="79"/>
        <v>4.8635759273092e-28</v>
      </c>
      <c r="EO26" s="582">
        <f ca="1" t="shared" si="80"/>
        <v>1</v>
      </c>
      <c r="EP26" s="580">
        <f ca="1" t="shared" si="81"/>
        <v>0</v>
      </c>
      <c r="EQ26" s="580">
        <f ca="1" t="shared" si="82"/>
        <v>97279256.7336406</v>
      </c>
      <c r="ER26" s="586">
        <f ca="1" t="shared" si="83"/>
        <v>4.86007517898493e-28</v>
      </c>
      <c r="ES26" s="594">
        <f ca="1" t="shared" si="84"/>
        <v>14098443.004876</v>
      </c>
      <c r="ET26" s="580">
        <f ca="1" t="shared" si="85"/>
        <v>0</v>
      </c>
      <c r="EU26" s="580">
        <f ca="1" t="shared" si="86"/>
        <v>9.72365068617561e-8</v>
      </c>
      <c r="EV26" s="595">
        <f ca="1" t="shared" si="87"/>
        <v>9.72365068617561e-8</v>
      </c>
      <c r="EW26" s="596">
        <f>EW$3*3600</f>
        <v>2246400</v>
      </c>
      <c r="EX26" s="580">
        <f ca="1" t="shared" ref="EX26:FA26" si="226">EP26</f>
        <v>0</v>
      </c>
      <c r="EY26" s="580">
        <f ca="1" t="shared" si="226"/>
        <v>97279256.7336406</v>
      </c>
      <c r="EZ26" s="581">
        <f ca="1" t="shared" si="226"/>
        <v>4.86007517898493e-28</v>
      </c>
      <c r="FA26" s="580">
        <f ca="1" t="shared" si="226"/>
        <v>14098443.004876</v>
      </c>
      <c r="FB26" s="580">
        <f ca="1">INDIRECT("'"&amp;$B$2&amp;"-事故进程'!AE"&amp;(ROW()+22))</f>
        <v>0</v>
      </c>
      <c r="FC26" s="580">
        <f ca="1">SUM(FB$3,-LN(1-FC$3)/EW26)</f>
        <v>4.44800891276105e-22</v>
      </c>
      <c r="FD26" s="580">
        <f>FD$3/24/3600</f>
        <v>1157407407407410</v>
      </c>
      <c r="FE26" s="582">
        <f ca="1" t="shared" si="89"/>
        <v>0.990683048382053</v>
      </c>
      <c r="FF26" s="582">
        <f ca="1" t="shared" si="90"/>
        <v>0.990683048382052</v>
      </c>
      <c r="FG26" s="582">
        <f t="shared" si="91"/>
        <v>0</v>
      </c>
      <c r="FH26" s="582">
        <f ca="1" t="shared" si="92"/>
        <v>-4.32699000978003e-14</v>
      </c>
      <c r="FI26" s="582">
        <f ca="1" t="shared" si="93"/>
        <v>4.48622324213994e-28</v>
      </c>
      <c r="FJ26" s="582">
        <f ca="1" t="shared" si="94"/>
        <v>1</v>
      </c>
      <c r="FK26" s="580">
        <f ca="1" t="shared" si="95"/>
        <v>0</v>
      </c>
      <c r="FL26" s="580">
        <f ca="1" t="shared" si="96"/>
        <v>96372910.6052233</v>
      </c>
      <c r="FM26" s="586">
        <f ca="1" t="shared" si="97"/>
        <v>3.70368776437134e-29</v>
      </c>
      <c r="FN26" s="594">
        <f ca="1" t="shared" si="98"/>
        <v>13967088.4935113</v>
      </c>
      <c r="FO26" s="580">
        <f ca="1" t="shared" si="99"/>
        <v>0</v>
      </c>
      <c r="FP26" s="580">
        <f ca="1" t="shared" si="100"/>
        <v>9.67479862955417e-8</v>
      </c>
      <c r="FQ26" s="595">
        <f ca="1" t="shared" si="101"/>
        <v>9.67479862955417e-8</v>
      </c>
      <c r="FR26" s="608" t="str">
        <f t="shared" si="102"/>
        <v>Co-60</v>
      </c>
      <c r="FS26" s="609">
        <v>172000000</v>
      </c>
      <c r="FT26" s="610">
        <v>0</v>
      </c>
      <c r="FU26" s="610">
        <v>0</v>
      </c>
      <c r="FV26" s="610">
        <v>0</v>
      </c>
      <c r="FW26" s="610">
        <v>172000000</v>
      </c>
      <c r="FX26" s="614">
        <f t="shared" si="103"/>
        <v>0</v>
      </c>
      <c r="FY26" s="614"/>
      <c r="FZ26" s="614"/>
      <c r="GA26" s="614"/>
      <c r="GB26" s="614">
        <f ca="1" t="shared" si="107"/>
        <v>0.0820858182942441</v>
      </c>
      <c r="GC26" s="455">
        <f ca="1" t="shared" si="108"/>
        <v>0.0820858182942446</v>
      </c>
      <c r="GE26" s="609">
        <v>11430.4546063246</v>
      </c>
      <c r="GF26" s="610">
        <v>5639990.43821344</v>
      </c>
      <c r="GG26" s="610">
        <v>10729403.9250134</v>
      </c>
      <c r="GH26" s="610">
        <v>14806266.6574133</v>
      </c>
      <c r="GI26" s="610">
        <v>25505954.5046211</v>
      </c>
      <c r="GJ26" s="610">
        <v>106299770.702725</v>
      </c>
      <c r="GK26" s="617">
        <v>162992816.682593</v>
      </c>
      <c r="GL26" s="614">
        <f t="shared" si="109"/>
        <v>0</v>
      </c>
      <c r="GM26" s="614">
        <f ca="1" t="shared" si="110"/>
        <v>2.50333061753949</v>
      </c>
      <c r="GN26" s="614">
        <f ca="1" t="shared" si="111"/>
        <v>9.07023578569159e-15</v>
      </c>
      <c r="GO26" s="614">
        <f ca="1" t="shared" si="112"/>
        <v>4.82547306861935e-15</v>
      </c>
      <c r="GP26" s="614">
        <f ca="1" t="shared" si="113"/>
        <v>9.10142944391709e-16</v>
      </c>
      <c r="GQ26" s="614">
        <f ca="1" t="shared" si="114"/>
        <v>0.0866219814711497</v>
      </c>
      <c r="GR26" s="451">
        <f t="shared" si="115"/>
        <v>4.16694528910503e-9</v>
      </c>
      <c r="GS26" s="390">
        <f t="shared" si="116"/>
        <v>166344200</v>
      </c>
    </row>
    <row r="27" s="390" customFormat="1" ht="13.5" spans="1:201">
      <c r="A27" s="430"/>
      <c r="B27" s="407" t="s">
        <v>278</v>
      </c>
      <c r="C27" s="433">
        <f ca="1">IF(24&lt;=$C$13-$C$12,MAX(1%,INDIRECT("'"&amp;$B$2&amp;"-事故进程'!$AC$23")*150%),0.000000000000001)</f>
        <v>1e-15</v>
      </c>
      <c r="D27" s="410"/>
      <c r="E27" s="409" t="s">
        <v>271</v>
      </c>
      <c r="G27" s="411" t="s">
        <v>68</v>
      </c>
      <c r="H27" s="412">
        <f t="shared" si="1"/>
        <v>0</v>
      </c>
      <c r="I27" s="412">
        <f ca="1" t="shared" si="2"/>
        <v>0</v>
      </c>
      <c r="J27" s="412">
        <f ca="1" t="shared" si="3"/>
        <v>0</v>
      </c>
      <c r="K27" s="412">
        <f ca="1" t="shared" si="4"/>
        <v>0</v>
      </c>
      <c r="L27" s="412">
        <f ca="1" t="shared" si="5"/>
        <v>0</v>
      </c>
      <c r="M27" s="412">
        <f ca="1" t="shared" si="6"/>
        <v>0</v>
      </c>
      <c r="N27" s="412">
        <f ca="1" t="shared" si="7"/>
        <v>0</v>
      </c>
      <c r="O27" s="450">
        <f t="shared" si="8"/>
        <v>0</v>
      </c>
      <c r="P27" s="451"/>
      <c r="Q27" s="477" t="str">
        <f t="shared" si="0"/>
        <v>Ar-41</v>
      </c>
      <c r="R27" s="412">
        <f t="shared" si="9"/>
        <v>0</v>
      </c>
      <c r="S27" s="412">
        <f ca="1">I27*(1-过滤效率!$B24)</f>
        <v>0</v>
      </c>
      <c r="T27" s="412">
        <f ca="1">J27*(1-过滤效率!$B24)</f>
        <v>0</v>
      </c>
      <c r="U27" s="412">
        <f ca="1">K27*(1-过滤效率!$B24)</f>
        <v>0</v>
      </c>
      <c r="V27" s="412">
        <f ca="1">L27*(1-过滤效率!$B24)</f>
        <v>0</v>
      </c>
      <c r="W27" s="412">
        <f ca="1">M27*(1-过滤效率!$B24)</f>
        <v>0</v>
      </c>
      <c r="X27" s="412">
        <f ca="1" t="shared" si="10"/>
        <v>0</v>
      </c>
      <c r="Y27" s="499"/>
      <c r="Z27" s="500">
        <f>VLOOKUP(G27,衰变常数!$A$1:$H$3800,7,FALSE)</f>
        <v>0.000105395976729608</v>
      </c>
      <c r="AA27" s="501"/>
      <c r="AB27" s="502">
        <f>正常源项!F24</f>
        <v>0</v>
      </c>
      <c r="AC27" s="502"/>
      <c r="AD27" s="502"/>
      <c r="AE27" s="503"/>
      <c r="AF27" s="504"/>
      <c r="AG27" s="529"/>
      <c r="AH27" s="530"/>
      <c r="AI27" s="531"/>
      <c r="AJ27" s="529"/>
      <c r="AK27" s="531"/>
      <c r="AL27" s="531"/>
      <c r="AM27" s="532"/>
      <c r="AN27" s="531"/>
      <c r="AO27" s="531"/>
      <c r="AP27" s="566">
        <f t="shared" si="14"/>
        <v>0</v>
      </c>
      <c r="AQ27" s="567">
        <f>(AC27*$C$5+AD27*$C$8+AF27+AG27+AI27+(AL27+AM27)*$C$10)*EXP(-Z27*$C$12*3600)+AO27*$C$11</f>
        <v>0</v>
      </c>
      <c r="AR27" s="568">
        <f>AQ27*(1-AR$3)</f>
        <v>0</v>
      </c>
      <c r="AS27" s="569">
        <f t="shared" si="15"/>
        <v>0</v>
      </c>
      <c r="AT27" s="568">
        <f>AS27*(1-AT$3)</f>
        <v>0</v>
      </c>
      <c r="AU27" s="570">
        <f t="shared" si="16"/>
        <v>0</v>
      </c>
      <c r="AV27" s="571">
        <f>AV$3*3600</f>
        <v>7200</v>
      </c>
      <c r="AW27" s="583">
        <f>AP27*EXP(-Z27*AW$3*3600)</f>
        <v>0</v>
      </c>
      <c r="AX27" s="583">
        <f t="shared" si="17"/>
        <v>0</v>
      </c>
      <c r="AY27" s="584">
        <f t="shared" si="18"/>
        <v>0</v>
      </c>
      <c r="AZ27" s="583">
        <v>0</v>
      </c>
      <c r="BA27" s="583">
        <f ca="1">MAX(INDIRECT("'"&amp;$B$2&amp;"-事故进程'!Y"&amp;(ROW()+22)),INDIRECT("'"&amp;$B$2&amp;"-事故进程'!Z"&amp;(ROW()+22)))</f>
        <v>0</v>
      </c>
      <c r="BB27" s="583">
        <f>SUM(BA$3,-LN(1-BB$3)/AV27)</f>
        <v>1.38777878078145e-19</v>
      </c>
      <c r="BC27" s="583">
        <f>BC$3/24/3600</f>
        <v>1157407407407410</v>
      </c>
      <c r="BD27" s="585">
        <f ca="1" t="shared" si="19"/>
        <v>0.468204069364945</v>
      </c>
      <c r="BE27" s="585">
        <f t="shared" si="20"/>
        <v>0.468204069364944</v>
      </c>
      <c r="BF27" s="585">
        <f t="shared" si="21"/>
        <v>0</v>
      </c>
      <c r="BG27" s="585">
        <f ca="1" t="shared" si="22"/>
        <v>0</v>
      </c>
      <c r="BH27" s="585">
        <f ca="1" t="shared" si="23"/>
        <v>0</v>
      </c>
      <c r="BI27" s="585">
        <f ca="1" t="shared" si="24"/>
        <v>1</v>
      </c>
      <c r="BJ27" s="583">
        <f ca="1" t="shared" si="25"/>
        <v>0</v>
      </c>
      <c r="BK27" s="583">
        <f ca="1" t="shared" si="26"/>
        <v>0</v>
      </c>
      <c r="BL27" s="587">
        <f ca="1" t="shared" si="27"/>
        <v>0</v>
      </c>
      <c r="BM27" s="597">
        <f ca="1" t="shared" si="28"/>
        <v>0</v>
      </c>
      <c r="BN27" s="583">
        <f ca="1" t="shared" si="29"/>
        <v>0</v>
      </c>
      <c r="BO27" s="583">
        <f ca="1" t="shared" si="30"/>
        <v>0</v>
      </c>
      <c r="BP27" s="598">
        <f ca="1" t="shared" si="31"/>
        <v>0</v>
      </c>
      <c r="BQ27" s="599">
        <f>BQ$3*3600</f>
        <v>21600</v>
      </c>
      <c r="BR27" s="583">
        <f ca="1" t="shared" ref="BR27:BU27" si="227">BJ27</f>
        <v>0</v>
      </c>
      <c r="BS27" s="583">
        <f ca="1" t="shared" si="227"/>
        <v>0</v>
      </c>
      <c r="BT27" s="584">
        <f ca="1" t="shared" si="227"/>
        <v>0</v>
      </c>
      <c r="BU27" s="583">
        <f ca="1" t="shared" si="227"/>
        <v>0</v>
      </c>
      <c r="BV27" s="583">
        <f ca="1">MAX(INDIRECT("'"&amp;$B$2&amp;"-事故进程'!Z"&amp;(ROW()+22)),INDIRECT("'"&amp;$B$2&amp;"-事故进程'!AA"&amp;(ROW()+22)))</f>
        <v>0</v>
      </c>
      <c r="BW27" s="583">
        <f ca="1">SUM(BV$3,-LN(1-BW$3)/BQ27)</f>
        <v>4.62592926927149e-20</v>
      </c>
      <c r="BX27" s="583">
        <f>BX$3/24/3600</f>
        <v>1157407407407410</v>
      </c>
      <c r="BY27" s="585">
        <f ca="1" t="shared" si="33"/>
        <v>0.102637378742866</v>
      </c>
      <c r="BZ27" s="585">
        <f ca="1" t="shared" si="34"/>
        <v>0.102637378742866</v>
      </c>
      <c r="CA27" s="585">
        <f t="shared" si="35"/>
        <v>0</v>
      </c>
      <c r="CB27" s="585">
        <f ca="1" t="shared" si="36"/>
        <v>0</v>
      </c>
      <c r="CC27" s="585">
        <f ca="1" t="shared" si="37"/>
        <v>0</v>
      </c>
      <c r="CD27" s="585">
        <f ca="1" t="shared" si="38"/>
        <v>1</v>
      </c>
      <c r="CE27" s="583">
        <f ca="1" t="shared" si="39"/>
        <v>0</v>
      </c>
      <c r="CF27" s="583">
        <f ca="1" t="shared" si="40"/>
        <v>0</v>
      </c>
      <c r="CG27" s="587">
        <f ca="1" t="shared" si="41"/>
        <v>0</v>
      </c>
      <c r="CH27" s="597">
        <f ca="1" t="shared" si="42"/>
        <v>0</v>
      </c>
      <c r="CI27" s="583">
        <f ca="1" t="shared" si="43"/>
        <v>0</v>
      </c>
      <c r="CJ27" s="583">
        <f ca="1" t="shared" si="44"/>
        <v>0</v>
      </c>
      <c r="CK27" s="598">
        <f ca="1" t="shared" si="45"/>
        <v>0</v>
      </c>
      <c r="CL27" s="599">
        <f>CL$3*3600</f>
        <v>57600</v>
      </c>
      <c r="CM27" s="583">
        <f ca="1" t="shared" ref="CM27:CP27" si="228">CE27</f>
        <v>0</v>
      </c>
      <c r="CN27" s="583">
        <f ca="1" t="shared" si="228"/>
        <v>0</v>
      </c>
      <c r="CO27" s="584">
        <f ca="1" t="shared" si="228"/>
        <v>0</v>
      </c>
      <c r="CP27" s="583">
        <f ca="1" t="shared" si="228"/>
        <v>0</v>
      </c>
      <c r="CQ27" s="583">
        <f ca="1">MAX(INDIRECT("'"&amp;$B$2&amp;"-事故进程'!AA"&amp;(ROW()+22)),INDIRECT("'"&amp;$B$2&amp;"-事故进程'!AB"&amp;(ROW()+22)))</f>
        <v>0</v>
      </c>
      <c r="CR27" s="583">
        <f ca="1">SUM(CQ$3,-LN(1-CR$3)/CL27)</f>
        <v>1.73472347597681e-20</v>
      </c>
      <c r="CS27" s="583">
        <f>CS$3/24/3600</f>
        <v>1157407407407410</v>
      </c>
      <c r="CT27" s="585">
        <f ca="1" t="shared" si="47"/>
        <v>0.0023093059373311</v>
      </c>
      <c r="CU27" s="585">
        <f ca="1" t="shared" si="48"/>
        <v>0.0023093059373311</v>
      </c>
      <c r="CV27" s="585">
        <f t="shared" si="49"/>
        <v>0</v>
      </c>
      <c r="CW27" s="585">
        <f ca="1" t="shared" si="50"/>
        <v>0</v>
      </c>
      <c r="CX27" s="585">
        <f ca="1" t="shared" si="51"/>
        <v>0</v>
      </c>
      <c r="CY27" s="585">
        <f ca="1" t="shared" si="52"/>
        <v>1</v>
      </c>
      <c r="CZ27" s="583">
        <f ca="1" t="shared" si="53"/>
        <v>0</v>
      </c>
      <c r="DA27" s="583">
        <f ca="1" t="shared" si="54"/>
        <v>0</v>
      </c>
      <c r="DB27" s="587">
        <f ca="1" t="shared" si="55"/>
        <v>0</v>
      </c>
      <c r="DC27" s="597">
        <f ca="1" t="shared" si="56"/>
        <v>0</v>
      </c>
      <c r="DD27" s="583">
        <f ca="1" t="shared" si="57"/>
        <v>0</v>
      </c>
      <c r="DE27" s="583">
        <f ca="1" t="shared" si="58"/>
        <v>0</v>
      </c>
      <c r="DF27" s="598">
        <f ca="1" t="shared" si="59"/>
        <v>0</v>
      </c>
      <c r="DG27" s="599">
        <f>DG$3*3600</f>
        <v>86400</v>
      </c>
      <c r="DH27" s="583">
        <f ca="1" t="shared" ref="DH27:DK27" si="229">CZ27</f>
        <v>0</v>
      </c>
      <c r="DI27" s="583">
        <f ca="1" t="shared" si="229"/>
        <v>0</v>
      </c>
      <c r="DJ27" s="584">
        <f ca="1" t="shared" si="229"/>
        <v>0</v>
      </c>
      <c r="DK27" s="583">
        <f ca="1" t="shared" si="229"/>
        <v>0</v>
      </c>
      <c r="DL27" s="583">
        <f ca="1">MAX(INDIRECT("'"&amp;$B$2&amp;"-事故进程'!AB"&amp;(ROW()+22)),INDIRECT("'"&amp;$B$2&amp;"-事故进程'!AC"&amp;(ROW()+22)))</f>
        <v>0</v>
      </c>
      <c r="DM27" s="583">
        <f ca="1">SUM(DL$3,-LN(1-DM$3)/DG27)</f>
        <v>1.15648231731787e-20</v>
      </c>
      <c r="DN27" s="583">
        <f>DN$3/24/3600</f>
        <v>1157407407407410</v>
      </c>
      <c r="DO27" s="585">
        <f ca="1" t="shared" si="61"/>
        <v>0.000110974247348578</v>
      </c>
      <c r="DP27" s="585">
        <f ca="1" t="shared" si="62"/>
        <v>0.000110974247348578</v>
      </c>
      <c r="DQ27" s="585">
        <f t="shared" si="63"/>
        <v>0</v>
      </c>
      <c r="DR27" s="585">
        <f ca="1" t="shared" si="64"/>
        <v>0</v>
      </c>
      <c r="DS27" s="585">
        <f ca="1" t="shared" si="65"/>
        <v>0</v>
      </c>
      <c r="DT27" s="585">
        <f ca="1" t="shared" si="66"/>
        <v>1</v>
      </c>
      <c r="DU27" s="583">
        <f ca="1" t="shared" si="67"/>
        <v>0</v>
      </c>
      <c r="DV27" s="583">
        <f ca="1" t="shared" si="68"/>
        <v>0</v>
      </c>
      <c r="DW27" s="587">
        <f ca="1" t="shared" si="69"/>
        <v>0</v>
      </c>
      <c r="DX27" s="597">
        <f ca="1" t="shared" si="70"/>
        <v>0</v>
      </c>
      <c r="DY27" s="583">
        <f ca="1" t="shared" si="71"/>
        <v>0</v>
      </c>
      <c r="DZ27" s="583">
        <f ca="1" t="shared" si="72"/>
        <v>0</v>
      </c>
      <c r="EA27" s="598">
        <f ca="1" t="shared" si="73"/>
        <v>0</v>
      </c>
      <c r="EB27" s="599">
        <f>EB$3*3600</f>
        <v>172800</v>
      </c>
      <c r="EC27" s="583">
        <f ca="1" t="shared" ref="EC27:EF27" si="230">DU27</f>
        <v>0</v>
      </c>
      <c r="ED27" s="583">
        <f ca="1" t="shared" si="230"/>
        <v>0</v>
      </c>
      <c r="EE27" s="584">
        <f ca="1" t="shared" si="230"/>
        <v>0</v>
      </c>
      <c r="EF27" s="583">
        <f ca="1" t="shared" si="230"/>
        <v>0</v>
      </c>
      <c r="EG27" s="583">
        <f ca="1">MAX(INDIRECT("'"&amp;$B$2&amp;"-事故进程'!AC"&amp;(ROW()+22)),INDIRECT("'"&amp;$B$2&amp;"-事故进程'!AD"&amp;(ROW()+22)),INDIRECT("'"&amp;$B$2&amp;"-事故进程'!AE"&amp;(ROW()+22)))</f>
        <v>0</v>
      </c>
      <c r="EH27" s="583">
        <f ca="1">SUM(EG$3,-LN(1-EH$3)/EB27)</f>
        <v>5.78241158658936e-21</v>
      </c>
      <c r="EI27" s="583">
        <f>EI$3/24/3600</f>
        <v>1157407407407410</v>
      </c>
      <c r="EJ27" s="585">
        <f ca="1" t="shared" si="75"/>
        <v>1.23152835745834e-8</v>
      </c>
      <c r="EK27" s="585">
        <f ca="1" t="shared" si="76"/>
        <v>1.23152835745834e-8</v>
      </c>
      <c r="EL27" s="585">
        <f t="shared" si="77"/>
        <v>0</v>
      </c>
      <c r="EM27" s="585">
        <f ca="1" t="shared" si="78"/>
        <v>0</v>
      </c>
      <c r="EN27" s="585">
        <f ca="1" t="shared" si="79"/>
        <v>0</v>
      </c>
      <c r="EO27" s="585">
        <f ca="1" t="shared" si="80"/>
        <v>1</v>
      </c>
      <c r="EP27" s="583">
        <f ca="1" t="shared" si="81"/>
        <v>0</v>
      </c>
      <c r="EQ27" s="583">
        <f ca="1" t="shared" si="82"/>
        <v>0</v>
      </c>
      <c r="ER27" s="587">
        <f ca="1" t="shared" si="83"/>
        <v>0</v>
      </c>
      <c r="ES27" s="597">
        <f ca="1" t="shared" si="84"/>
        <v>0</v>
      </c>
      <c r="ET27" s="583">
        <f ca="1" t="shared" si="85"/>
        <v>0</v>
      </c>
      <c r="EU27" s="583">
        <f ca="1" t="shared" si="86"/>
        <v>0</v>
      </c>
      <c r="EV27" s="598">
        <f ca="1" t="shared" si="87"/>
        <v>0</v>
      </c>
      <c r="EW27" s="599">
        <f>EW$3*3600</f>
        <v>2246400</v>
      </c>
      <c r="EX27" s="583">
        <f ca="1" t="shared" ref="EX27:FA27" si="231">EP27</f>
        <v>0</v>
      </c>
      <c r="EY27" s="583">
        <f ca="1" t="shared" si="231"/>
        <v>0</v>
      </c>
      <c r="EZ27" s="584">
        <f ca="1" t="shared" si="231"/>
        <v>0</v>
      </c>
      <c r="FA27" s="583">
        <f ca="1" t="shared" si="231"/>
        <v>0</v>
      </c>
      <c r="FB27" s="583">
        <f ca="1">INDIRECT("'"&amp;$B$2&amp;"-事故进程'!AE"&amp;(ROW()+22))</f>
        <v>0</v>
      </c>
      <c r="FC27" s="583">
        <f ca="1">SUM(FB$3,-LN(1-FC$3)/EW27)</f>
        <v>4.44800891276105e-22</v>
      </c>
      <c r="FD27" s="583">
        <f>FD$3/24/3600</f>
        <v>1157407407407410</v>
      </c>
      <c r="FE27" s="585">
        <f ca="1" t="shared" si="89"/>
        <v>1.49891640890916e-103</v>
      </c>
      <c r="FF27" s="585">
        <f ca="1" t="shared" si="90"/>
        <v>1.49891640890916e-103</v>
      </c>
      <c r="FG27" s="585">
        <f t="shared" si="91"/>
        <v>0</v>
      </c>
      <c r="FH27" s="585">
        <f ca="1" t="shared" si="92"/>
        <v>0</v>
      </c>
      <c r="FI27" s="585">
        <f ca="1" t="shared" si="93"/>
        <v>0</v>
      </c>
      <c r="FJ27" s="585">
        <f ca="1" t="shared" si="94"/>
        <v>1</v>
      </c>
      <c r="FK27" s="583">
        <f ca="1" t="shared" si="95"/>
        <v>0</v>
      </c>
      <c r="FL27" s="583">
        <f ca="1" t="shared" si="96"/>
        <v>0</v>
      </c>
      <c r="FM27" s="587">
        <f ca="1" t="shared" si="97"/>
        <v>0</v>
      </c>
      <c r="FN27" s="597">
        <f ca="1" t="shared" si="98"/>
        <v>0</v>
      </c>
      <c r="FO27" s="583">
        <f ca="1" t="shared" si="99"/>
        <v>0</v>
      </c>
      <c r="FP27" s="583">
        <f ca="1" t="shared" si="100"/>
        <v>0</v>
      </c>
      <c r="FQ27" s="598">
        <f ca="1" t="shared" si="101"/>
        <v>0</v>
      </c>
      <c r="FR27" s="608" t="str">
        <f t="shared" si="102"/>
        <v>Ar-41</v>
      </c>
      <c r="FS27" s="609"/>
      <c r="FT27" s="610"/>
      <c r="FU27" s="610"/>
      <c r="FV27" s="610"/>
      <c r="FW27" s="610"/>
      <c r="FX27" s="615"/>
      <c r="FY27" s="615"/>
      <c r="FZ27" s="615"/>
      <c r="GA27" s="615"/>
      <c r="GB27" s="615"/>
      <c r="GC27" s="455"/>
      <c r="GE27" s="609">
        <v>9981776543.449</v>
      </c>
      <c r="GF27" s="610">
        <v>411553901.319185</v>
      </c>
      <c r="GG27" s="610">
        <v>19657763.9071776</v>
      </c>
      <c r="GH27" s="610">
        <v>41097.7900978501</v>
      </c>
      <c r="GI27" s="610">
        <v>3.91730897966321</v>
      </c>
      <c r="GJ27" s="610">
        <v>3.55830990489314e-8</v>
      </c>
      <c r="GK27" s="617">
        <v>10413029310.3828</v>
      </c>
      <c r="GL27" s="614">
        <f t="shared" si="109"/>
        <v>0</v>
      </c>
      <c r="GM27" s="614">
        <f ca="1" t="shared" si="110"/>
        <v>0</v>
      </c>
      <c r="GN27" s="614">
        <f ca="1" t="shared" si="111"/>
        <v>0</v>
      </c>
      <c r="GO27" s="614">
        <f ca="1" t="shared" si="112"/>
        <v>0</v>
      </c>
      <c r="GP27" s="614">
        <f ca="1" t="shared" si="113"/>
        <v>0</v>
      </c>
      <c r="GQ27" s="614">
        <f ca="1" t="shared" si="114"/>
        <v>0</v>
      </c>
      <c r="GR27" s="451">
        <f t="shared" si="115"/>
        <v>0.000105395976729608</v>
      </c>
      <c r="GS27" s="390">
        <f t="shared" si="116"/>
        <v>6576.60000000005</v>
      </c>
    </row>
    <row r="28" spans="1:173">
      <c r="A28" s="430"/>
      <c r="B28" s="407" t="s">
        <v>276</v>
      </c>
      <c r="C28" s="434">
        <f>C25</f>
        <v>1e+20</v>
      </c>
      <c r="D28" s="410" t="s">
        <v>273</v>
      </c>
      <c r="E28" s="409" t="s">
        <v>274</v>
      </c>
      <c r="G28" s="436" t="s">
        <v>73</v>
      </c>
      <c r="AA28" s="390">
        <f t="shared" ref="AA28:AG28" si="232">SUM(AA5:AA27)</f>
        <v>3.190513e+18</v>
      </c>
      <c r="AB28" s="390">
        <f t="shared" si="232"/>
        <v>0</v>
      </c>
      <c r="AC28" s="390">
        <f t="shared" si="232"/>
        <v>490140141999.4</v>
      </c>
      <c r="AD28" s="390">
        <f t="shared" si="232"/>
        <v>13434246000000</v>
      </c>
      <c r="AE28" s="390">
        <f t="shared" si="232"/>
        <v>14488800000000</v>
      </c>
      <c r="AF28" s="390">
        <f t="shared" si="232"/>
        <v>0</v>
      </c>
      <c r="AG28" s="390">
        <f t="shared" si="232"/>
        <v>0</v>
      </c>
      <c r="AI28" s="390">
        <f t="shared" ref="AI28:AM28" si="233">SUM(AI5:AI27)</f>
        <v>726311105263.158</v>
      </c>
      <c r="AL28" s="390">
        <f t="shared" si="233"/>
        <v>687814609.14826</v>
      </c>
      <c r="AM28" s="390">
        <f t="shared" si="233"/>
        <v>12293040000000</v>
      </c>
      <c r="AO28" s="390">
        <f ca="1" t="shared" ref="AO28:AQ28" si="234">SUM(AO5:AO27)</f>
        <v>667866371440.28</v>
      </c>
      <c r="AP28" s="390">
        <f t="shared" si="234"/>
        <v>1.14204766653201e+18</v>
      </c>
      <c r="AQ28" s="390">
        <f ca="1" t="shared" si="234"/>
        <v>5418482294018.32</v>
      </c>
      <c r="AS28" s="390">
        <f ca="1">SUM(AS5:AS27)</f>
        <v>685883834685.863</v>
      </c>
      <c r="AU28" s="390">
        <f ca="1" t="shared" ref="AS28:AZ28" si="235">SUM(AU5:AU27)</f>
        <v>0</v>
      </c>
      <c r="AW28" s="390">
        <f t="shared" si="235"/>
        <v>1.14204766653201e+18</v>
      </c>
      <c r="AX28" s="390">
        <f ca="1" t="shared" si="235"/>
        <v>4732598459332.46</v>
      </c>
      <c r="AY28" s="390">
        <f ca="1" t="shared" si="235"/>
        <v>685883834685.863</v>
      </c>
      <c r="AZ28" s="390">
        <f t="shared" si="235"/>
        <v>0</v>
      </c>
      <c r="BB28" s="580"/>
      <c r="BC28" s="580"/>
      <c r="BD28" s="521"/>
      <c r="BE28" s="521"/>
      <c r="BF28" s="521"/>
      <c r="BG28" s="521"/>
      <c r="BH28" s="521"/>
      <c r="BI28" s="521"/>
      <c r="BJ28" s="390">
        <f ca="1" t="shared" ref="BJ28:BL28" si="236">SUM(BJ5:BJ27)</f>
        <v>1.11492483296206e+18</v>
      </c>
      <c r="BK28" s="390">
        <f ca="1" t="shared" si="236"/>
        <v>4652556524320.88</v>
      </c>
      <c r="BL28" s="390">
        <f ca="1" t="shared" si="236"/>
        <v>5.57860540675946e-22</v>
      </c>
      <c r="BM28" s="390"/>
      <c r="BN28" s="390">
        <f ca="1" t="shared" ref="BN28:BP28" si="237">SUM(BN5:BN27)</f>
        <v>50304093413.4866</v>
      </c>
      <c r="BO28" s="390">
        <f ca="1" t="shared" si="237"/>
        <v>0.00468808922246667</v>
      </c>
      <c r="BP28" s="451">
        <f ca="1" t="shared" si="237"/>
        <v>685883834685.868</v>
      </c>
      <c r="BR28" s="390">
        <f ca="1" t="shared" ref="BR28:BU28" si="238">SUM(BR5:BR27)</f>
        <v>1.11492483296206e+18</v>
      </c>
      <c r="BS28" s="390">
        <f ca="1" t="shared" si="238"/>
        <v>4652556524320.88</v>
      </c>
      <c r="BT28" s="390">
        <f ca="1" t="shared" si="238"/>
        <v>5.57860540675946e-22</v>
      </c>
      <c r="BU28" s="390">
        <f ca="1" t="shared" si="238"/>
        <v>667162498489.871</v>
      </c>
      <c r="BW28" s="580"/>
      <c r="BX28" s="580"/>
      <c r="BY28" s="521"/>
      <c r="BZ28" s="521"/>
      <c r="CA28" s="521"/>
      <c r="CB28" s="521"/>
      <c r="CC28" s="521"/>
      <c r="CD28" s="521"/>
      <c r="CE28" s="390">
        <f ca="1" t="shared" ref="CE28:CG28" si="239">SUM(CE5:CE27)</f>
        <v>1.04647805334384e+18</v>
      </c>
      <c r="CF28" s="390">
        <f ca="1" t="shared" si="239"/>
        <v>4461274769395.37</v>
      </c>
      <c r="CG28" s="390">
        <f ca="1" t="shared" si="239"/>
        <v>1.78308358853769e-22</v>
      </c>
      <c r="CH28" s="390"/>
      <c r="CI28" s="390">
        <f ca="1" t="shared" ref="CI28:CK28" si="240">SUM(CI5:CI27)</f>
        <v>143477951659.73</v>
      </c>
      <c r="CJ28" s="390">
        <f ca="1" t="shared" si="240"/>
        <v>0.00454856765476543</v>
      </c>
      <c r="CK28" s="390">
        <f ca="1" t="shared" si="240"/>
        <v>0.00454856765475489</v>
      </c>
      <c r="CM28" s="390">
        <f ca="1" t="shared" ref="CM28:CP28" si="241">SUM(CM5:CM27)</f>
        <v>1.04647805334384e+18</v>
      </c>
      <c r="CN28" s="390">
        <f ca="1" t="shared" si="241"/>
        <v>4461274769395.37</v>
      </c>
      <c r="CO28" s="390">
        <f ca="1" t="shared" si="241"/>
        <v>1.78308358853769e-22</v>
      </c>
      <c r="CP28" s="390">
        <f ca="1" t="shared" si="241"/>
        <v>620652493423.619</v>
      </c>
      <c r="CR28" s="580"/>
      <c r="CS28" s="580"/>
      <c r="CT28" s="521"/>
      <c r="CU28" s="521"/>
      <c r="CV28" s="521"/>
      <c r="CW28" s="521"/>
      <c r="CX28" s="521"/>
      <c r="CY28" s="521"/>
      <c r="CZ28" s="390">
        <f ca="1" t="shared" ref="CZ28:DB28" si="242">SUM(CZ5:CZ27)</f>
        <v>9.20520599080191e+17</v>
      </c>
      <c r="DA28" s="390">
        <f ca="1" t="shared" si="242"/>
        <v>4137197478834.46</v>
      </c>
      <c r="DB28" s="390">
        <f ca="1" t="shared" si="242"/>
        <v>6.20083606291478e-23</v>
      </c>
      <c r="DC28" s="390"/>
      <c r="DD28" s="390">
        <f ca="1" t="shared" ref="DD28:DF28" si="243">SUM(DD5:DD27)</f>
        <v>319491793518.635</v>
      </c>
      <c r="DE28" s="390">
        <f ca="1" t="shared" si="243"/>
        <v>0.00427947797293776</v>
      </c>
      <c r="DF28" s="390">
        <f ca="1" t="shared" si="243"/>
        <v>0.00427947797296276</v>
      </c>
      <c r="DH28" s="390">
        <f ca="1" t="shared" ref="DH28:DJ28" si="244">SUM(DH5:DH27)</f>
        <v>9.20520599080191e+17</v>
      </c>
      <c r="DI28" s="390">
        <f ca="1" t="shared" si="244"/>
        <v>4137197478834.46</v>
      </c>
      <c r="DJ28" s="390">
        <f ca="1" t="shared" si="244"/>
        <v>6.20083606291478e-23</v>
      </c>
      <c r="DK28" s="390"/>
      <c r="DM28" s="580"/>
      <c r="DN28" s="580"/>
      <c r="DO28" s="521"/>
      <c r="DP28" s="521"/>
      <c r="DQ28" s="521"/>
      <c r="DR28" s="521"/>
      <c r="DS28" s="521"/>
      <c r="DT28" s="521"/>
      <c r="DU28" s="390">
        <f ca="1" t="shared" ref="DU28:DW28" si="245">SUM(DU5:DU27)</f>
        <v>8.03177930238023e+17</v>
      </c>
      <c r="DV28" s="390">
        <f ca="1" t="shared" si="245"/>
        <v>3860076639319.78</v>
      </c>
      <c r="DW28" s="390">
        <f ca="1" t="shared" si="245"/>
        <v>3.85699136569477e-23</v>
      </c>
      <c r="DX28" s="390"/>
      <c r="DY28" s="390">
        <f ca="1" t="shared" ref="DY28:EA28" si="246">SUM(DY5:DY27)</f>
        <v>367882529475.4</v>
      </c>
      <c r="DZ28" s="390">
        <f ca="1" t="shared" si="246"/>
        <v>0.00398173321310128</v>
      </c>
      <c r="EA28" s="390">
        <f ca="1" t="shared" si="246"/>
        <v>0.00398173321309161</v>
      </c>
      <c r="EC28" s="390">
        <f ca="1" t="shared" ref="EC28:EE28" si="247">SUM(EC5:EC27)</f>
        <v>8.03177930238023e+17</v>
      </c>
      <c r="ED28" s="390">
        <f ca="1" t="shared" si="247"/>
        <v>3860076639319.78</v>
      </c>
      <c r="EE28" s="390">
        <f ca="1" t="shared" si="247"/>
        <v>3.85699136569477e-23</v>
      </c>
      <c r="EF28" s="390"/>
      <c r="EH28" s="580"/>
      <c r="EI28" s="580"/>
      <c r="EJ28" s="521"/>
      <c r="EK28" s="521"/>
      <c r="EL28" s="521"/>
      <c r="EM28" s="521"/>
      <c r="EN28" s="521"/>
      <c r="EO28" s="521"/>
      <c r="EP28" s="390">
        <f ca="1" t="shared" ref="EP28:ER28" si="248">SUM(EP5:EP27)</f>
        <v>6.63017824356488e+17</v>
      </c>
      <c r="EQ28" s="390">
        <f ca="1" t="shared" si="248"/>
        <v>3521137083950.29</v>
      </c>
      <c r="ER28" s="390">
        <f ca="1" t="shared" si="248"/>
        <v>1.75916135853598e-23</v>
      </c>
      <c r="ES28" s="390"/>
      <c r="ET28" s="390">
        <f ca="1" t="shared" ref="ET28:EV28" si="249">SUM(ET5:ET27)</f>
        <v>529878322982.519</v>
      </c>
      <c r="EU28" s="390">
        <f ca="1" t="shared" si="249"/>
        <v>0.00367398921179416</v>
      </c>
      <c r="EV28" s="390">
        <f ca="1" t="shared" si="249"/>
        <v>0.00367398921177535</v>
      </c>
      <c r="EX28" s="390">
        <f ca="1" t="shared" ref="EX28:EZ28" si="250">SUM(EX5:EX27)</f>
        <v>6.63017824356488e+17</v>
      </c>
      <c r="EY28" s="390">
        <f ca="1" t="shared" si="250"/>
        <v>3521137083950.29</v>
      </c>
      <c r="EZ28" s="390">
        <f ca="1" t="shared" si="250"/>
        <v>1.75916135853598e-23</v>
      </c>
      <c r="FA28" s="390"/>
      <c r="FC28" s="580"/>
      <c r="FD28" s="580"/>
      <c r="FE28" s="521"/>
      <c r="FF28" s="521"/>
      <c r="FG28" s="521"/>
      <c r="FH28" s="521"/>
      <c r="FI28" s="521"/>
      <c r="FJ28" s="521"/>
      <c r="FK28" s="390">
        <f ca="1" t="shared" ref="FK28:FM28" si="251">SUM(FK5:FK27)</f>
        <v>2.24553045139846e+17</v>
      </c>
      <c r="FL28" s="390">
        <f ca="1" t="shared" si="251"/>
        <v>966457737391.948</v>
      </c>
      <c r="FM28" s="390">
        <f ca="1" t="shared" si="251"/>
        <v>3.71417411208349e-25</v>
      </c>
      <c r="FN28" s="390"/>
      <c r="FO28" s="390">
        <f ca="1" t="shared" ref="FO28:FQ28" si="252">SUM(FO5:FO27)</f>
        <v>0</v>
      </c>
      <c r="FP28" s="390">
        <f ca="1" t="shared" si="252"/>
        <v>0.00165444240897204</v>
      </c>
      <c r="FQ28" s="390">
        <f ca="1" t="shared" si="252"/>
        <v>0.00165444240897204</v>
      </c>
    </row>
    <row r="29" spans="1:189">
      <c r="A29" s="432" t="s">
        <v>279</v>
      </c>
      <c r="B29" s="407" t="s">
        <v>267</v>
      </c>
      <c r="C29" s="428">
        <f>-LN(1-0%)/8/3600</f>
        <v>0</v>
      </c>
      <c r="D29" s="410" t="s">
        <v>268</v>
      </c>
      <c r="E29" s="409" t="s">
        <v>269</v>
      </c>
      <c r="H29" s="390" t="s">
        <v>280</v>
      </c>
      <c r="J29" s="390" t="s">
        <v>281</v>
      </c>
      <c r="R29" s="390" t="s">
        <v>280</v>
      </c>
      <c r="T29" s="390" t="s">
        <v>281</v>
      </c>
      <c r="AN29" s="390" t="s">
        <v>282</v>
      </c>
      <c r="BA29" s="394" t="s">
        <v>283</v>
      </c>
      <c r="BB29" s="580"/>
      <c r="BC29" s="580"/>
      <c r="BD29" s="580"/>
      <c r="BE29" s="580"/>
      <c r="BF29" s="580"/>
      <c r="BG29" s="580"/>
      <c r="BH29" s="580"/>
      <c r="BI29" s="580"/>
      <c r="BJ29" s="580"/>
      <c r="BK29" s="580"/>
      <c r="BL29" s="580"/>
      <c r="BM29" s="580"/>
      <c r="BN29" s="580"/>
      <c r="BO29" s="600"/>
      <c r="BP29" s="601"/>
      <c r="BS29" s="580"/>
      <c r="BT29" s="521"/>
      <c r="BV29" s="394" t="s">
        <v>284</v>
      </c>
      <c r="BW29" s="580"/>
      <c r="BX29" s="580"/>
      <c r="BY29" s="580"/>
      <c r="BZ29" s="580"/>
      <c r="CA29" s="580"/>
      <c r="CB29" s="580"/>
      <c r="CC29" s="580"/>
      <c r="CD29" s="580"/>
      <c r="CE29" s="580"/>
      <c r="CF29" s="580"/>
      <c r="CG29" s="580"/>
      <c r="CH29" s="580"/>
      <c r="CI29" s="580"/>
      <c r="CJ29" s="600"/>
      <c r="CN29" s="580"/>
      <c r="CO29" s="580"/>
      <c r="CQ29" s="394" t="s">
        <v>285</v>
      </c>
      <c r="CR29" s="580"/>
      <c r="CS29" s="580"/>
      <c r="CT29" s="580"/>
      <c r="CU29" s="580"/>
      <c r="CV29" s="580"/>
      <c r="CW29" s="580"/>
      <c r="CX29" s="580"/>
      <c r="CY29" s="580"/>
      <c r="CZ29" s="580"/>
      <c r="DA29" s="580"/>
      <c r="DB29" s="580"/>
      <c r="DC29" s="580"/>
      <c r="DD29" s="580"/>
      <c r="DE29" s="580"/>
      <c r="DI29" s="580"/>
      <c r="DJ29" s="580"/>
      <c r="DK29" s="521"/>
      <c r="DL29" s="394" t="s">
        <v>286</v>
      </c>
      <c r="DM29" s="580"/>
      <c r="DN29" s="580"/>
      <c r="DO29" s="580"/>
      <c r="DP29" s="580"/>
      <c r="DQ29" s="580"/>
      <c r="DR29" s="580"/>
      <c r="DS29" s="580"/>
      <c r="DT29" s="580"/>
      <c r="DU29" s="580"/>
      <c r="DV29" s="580"/>
      <c r="DW29" s="580"/>
      <c r="DX29" s="580"/>
      <c r="DY29" s="580"/>
      <c r="DZ29" s="600"/>
      <c r="ED29" s="580"/>
      <c r="EE29" s="580"/>
      <c r="EF29" s="521"/>
      <c r="EG29" s="394" t="s">
        <v>287</v>
      </c>
      <c r="EJ29" s="580"/>
      <c r="EK29" s="580"/>
      <c r="EL29" s="580"/>
      <c r="EM29" s="580"/>
      <c r="EN29" s="580"/>
      <c r="EO29" s="580"/>
      <c r="EP29" s="580"/>
      <c r="EQ29" s="580"/>
      <c r="ER29" s="580"/>
      <c r="ES29" s="580"/>
      <c r="ET29" s="580"/>
      <c r="EU29" s="603"/>
      <c r="EY29" s="580"/>
      <c r="EZ29" s="580"/>
      <c r="FA29" s="521"/>
      <c r="FB29" s="394" t="s">
        <v>288</v>
      </c>
      <c r="FE29" s="580"/>
      <c r="FF29" s="580"/>
      <c r="FG29" s="580"/>
      <c r="FH29" s="580"/>
      <c r="FI29" s="580"/>
      <c r="FJ29" s="580"/>
      <c r="FK29" s="580"/>
      <c r="FL29" s="580"/>
      <c r="FM29" s="580"/>
      <c r="FN29" s="580"/>
      <c r="FO29" s="580"/>
      <c r="FP29" s="603"/>
      <c r="FS29" s="390" t="s">
        <v>280</v>
      </c>
      <c r="FU29" s="390" t="s">
        <v>281</v>
      </c>
      <c r="GD29" s="392"/>
      <c r="GE29" s="390" t="s">
        <v>280</v>
      </c>
      <c r="GG29" s="390" t="s">
        <v>281</v>
      </c>
    </row>
    <row r="30" spans="1:192">
      <c r="A30" s="430"/>
      <c r="B30" s="407" t="s">
        <v>270</v>
      </c>
      <c r="C30" s="437">
        <f ca="1">IF(48&lt;=$C$13-$C$12,MAX(1%,INDIRECT("'"&amp;$B$2&amp;"-事故进程'!$AD$23")*150%),0.000000000000001)</f>
        <v>1e-15</v>
      </c>
      <c r="D30" s="410"/>
      <c r="E30" s="409" t="s">
        <v>271</v>
      </c>
      <c r="G30" s="438" t="s">
        <v>289</v>
      </c>
      <c r="H30" s="439" t="s">
        <v>290</v>
      </c>
      <c r="I30" s="439" t="s">
        <v>291</v>
      </c>
      <c r="J30" s="452" t="s">
        <v>290</v>
      </c>
      <c r="K30" s="452" t="s">
        <v>291</v>
      </c>
      <c r="L30" s="452" t="s">
        <v>292</v>
      </c>
      <c r="M30" s="452" t="s">
        <v>292</v>
      </c>
      <c r="Q30" s="438" t="s">
        <v>289</v>
      </c>
      <c r="R30" s="439" t="s">
        <v>290</v>
      </c>
      <c r="S30" s="439" t="s">
        <v>291</v>
      </c>
      <c r="T30" s="452" t="s">
        <v>290</v>
      </c>
      <c r="U30" s="452" t="s">
        <v>291</v>
      </c>
      <c r="V30" s="452" t="s">
        <v>292</v>
      </c>
      <c r="W30" s="452" t="s">
        <v>292</v>
      </c>
      <c r="AD30" s="451"/>
      <c r="AN30" s="533"/>
      <c r="AS30" s="572"/>
      <c r="BO30" s="600"/>
      <c r="BP30" s="601"/>
      <c r="CJ30" s="600"/>
      <c r="DZ30" s="602"/>
      <c r="EU30" s="603"/>
      <c r="FP30" s="603"/>
      <c r="FS30" s="439" t="s">
        <v>290</v>
      </c>
      <c r="FT30" s="439" t="s">
        <v>291</v>
      </c>
      <c r="FU30" s="452" t="s">
        <v>290</v>
      </c>
      <c r="FV30" s="452" t="s">
        <v>291</v>
      </c>
      <c r="FW30" s="452" t="s">
        <v>292</v>
      </c>
      <c r="FX30" s="452" t="s">
        <v>292</v>
      </c>
      <c r="GD30" s="438" t="s">
        <v>289</v>
      </c>
      <c r="GE30" s="439" t="s">
        <v>290</v>
      </c>
      <c r="GF30" s="439" t="s">
        <v>291</v>
      </c>
      <c r="GG30" s="439" t="s">
        <v>290</v>
      </c>
      <c r="GH30" s="439" t="s">
        <v>291</v>
      </c>
      <c r="GI30" s="439" t="s">
        <v>292</v>
      </c>
      <c r="GJ30" s="439" t="s">
        <v>292</v>
      </c>
    </row>
    <row r="31" spans="1:192">
      <c r="A31" s="430"/>
      <c r="B31" s="407" t="s">
        <v>276</v>
      </c>
      <c r="C31" s="434">
        <f>C28</f>
        <v>1e+20</v>
      </c>
      <c r="D31" s="410" t="s">
        <v>273</v>
      </c>
      <c r="E31" s="409" t="s">
        <v>274</v>
      </c>
      <c r="G31" s="440">
        <f>后果有效剂量!$P5</f>
        <v>0</v>
      </c>
      <c r="H31" s="441">
        <f ca="1">SUMPRODUCT(H$5:H$27,后果有效剂量!$I$5:$I$27)*后果有效剂量!$Q5+SUMPRODUCT(I$5:I$27,后果有效剂量!$I$5:$I$27)*后果有效剂量!$Q5+SUMPRODUCT(J$5:J$27,后果有效剂量!$I$5:$I$27)*后果有效剂量!$R5+SUMPRODUCT(K$5:K$27,后果有效剂量!$I$5:$I$27)*后果有效剂量!$S5+SUMPRODUCT(L$5:L$27,后果有效剂量!$I$5:$I$27)*后果有效剂量!$T5+SUMPRODUCT(M$5:M$27,后果有效剂量!$I$5:$I$27)*后果有效剂量!$U5+SUMPRODUCT(H$5:H$27,后果有效剂量!$J$5:$J$27)*后果有效剂量!$Q5*后果有效剂量!$Q$3+SUMPRODUCT(I$5:I$27,后果有效剂量!$J$5:$J$27)*后果有效剂量!$Q5*后果有效剂量!$Q$3+SUMPRODUCT(J$5:J$27,后果有效剂量!$J$5:$J$27)*后果有效剂量!$R5*后果有效剂量!$R$3+SUMPRODUCT(K$5:K$27,后果有效剂量!$J$5:$J$27)*后果有效剂量!$S5*后果有效剂量!$S$3+SUMPRODUCT(L$5:L$27,后果有效剂量!$J$5:$J$27)*后果有效剂量!$T5*后果有效剂量!$T$3+SUMPRODUCT(M$5:M$27,后果有效剂量!$J$5:$J$27)*后果有效剂量!$U5*后果有效剂量!$U$3+SUMPRODUCT(H$5:H$27,后果有效剂量!$K$5:$K$27)*后果有效剂量!$Q5+SUMPRODUCT(I$5:I$27,后果有效剂量!$K$5:$K$27)*后果有效剂量!$Q5+SUMPRODUCT(J$5:J$27,后果有效剂量!$K$5:$K$27)*后果有效剂量!$R5+SUMPRODUCT(K$5:K$27,后果有效剂量!$K$5:$K$27)*后果有效剂量!$S5+SUMPRODUCT(L$5:L$27,后果有效剂量!$K$5:$K$27)*后果有效剂量!$T5+SUMPRODUCT(M$5:M$27,后果有效剂量!$K$5:$K$27)*后果有效剂量!$U5</f>
        <v>0</v>
      </c>
      <c r="I31" s="453">
        <f ca="1">SUMPRODUCT(H$5:H$27,后果甲状腺剂量!$I$5:$I$27)*后果甲状腺剂量!$Q5+SUMPRODUCT(I$5:I$27,后果甲状腺剂量!$I$5:$I$27)*后果甲状腺剂量!$Q5+SUMPRODUCT(J$5:J$27,后果甲状腺剂量!$I$5:$I$27)*后果甲状腺剂量!$R5+SUMPRODUCT(K$5:K$27,后果甲状腺剂量!$I$5:$I$27)*后果甲状腺剂量!$S5+SUMPRODUCT(L$5:L$27,后果甲状腺剂量!$I$5:$I$27)*后果甲状腺剂量!$T5+SUMPRODUCT(M$5:M$27,后果甲状腺剂量!$I$5:$I$27)*后果甲状腺剂量!$U5+SUMPRODUCT(H$5:H$27,后果甲状腺剂量!$J$5:$J$27)*后果甲状腺剂量!$Q5*后果甲状腺剂量!$Q$3+SUMPRODUCT(I$5:I$27,后果甲状腺剂量!$J$5:$J$27)*后果甲状腺剂量!$Q5*后果甲状腺剂量!$Q$3+SUMPRODUCT(J$5:J$27,后果甲状腺剂量!$J$5:$J$27)*后果甲状腺剂量!$R5*后果甲状腺剂量!$R$3+SUMPRODUCT(K$5:K$27,后果甲状腺剂量!$J$5:$J$27)*后果甲状腺剂量!$S5*后果甲状腺剂量!$S$3+SUMPRODUCT(L$5:L$27,后果甲状腺剂量!$J$5:$J$27)*后果甲状腺剂量!$T5*后果甲状腺剂量!$T$3+SUMPRODUCT(M$5:M$27,后果甲状腺剂量!$J$5:$J$27)*后果甲状腺剂量!$U5*后果甲状腺剂量!$U$3+SUMPRODUCT(H$5:H$27,后果甲状腺剂量!$K$5:$K$27)*后果甲状腺剂量!$Q5+SUMPRODUCT(I$5:I$27,后果甲状腺剂量!$K$5:$K$27)*后果甲状腺剂量!$Q5+SUMPRODUCT(J$5:J$27,后果甲状腺剂量!$K$5:$K$27)*后果甲状腺剂量!$R5+SUMPRODUCT(K$5:K$27,后果甲状腺剂量!$K$5:$K$27)*后果甲状腺剂量!$S5+SUMPRODUCT(L$5:L$27,后果甲状腺剂量!$K$5:$K$27)*后果甲状腺剂量!$T5+SUMPRODUCT(M$5:M$27,后果甲状腺剂量!$K$5:$K$27)*后果甲状腺剂量!$U5</f>
        <v>0</v>
      </c>
      <c r="J31" s="454">
        <f ca="1" t="shared" ref="J31:J56" si="253">H31*1000</f>
        <v>0</v>
      </c>
      <c r="K31" s="454">
        <f ca="1" t="shared" ref="K31:K56" si="254">I31*1000</f>
        <v>0</v>
      </c>
      <c r="L31" s="436"/>
      <c r="M31" s="436"/>
      <c r="N31" s="455"/>
      <c r="Q31" s="440">
        <f>后果有效剂量!$P5</f>
        <v>0</v>
      </c>
      <c r="R31" s="441">
        <f ca="1">SUMPRODUCT(R$5:R$27,后果有效剂量!$I$5:$I$27)*后果有效剂量!$Q5+SUMPRODUCT(S$5:S$27,后果有效剂量!$I$5:$I$27)*后果有效剂量!$Q5+SUMPRODUCT(T$5:T$27,后果有效剂量!$I$5:$I$27)*后果有效剂量!$R5+SUMPRODUCT(U$5:U$27,后果有效剂量!$I$5:$I$27)*后果有效剂量!$S5+SUMPRODUCT(V$5:V$27,后果有效剂量!$I$5:$I$27)*后果有效剂量!$T5+SUMPRODUCT(W$5:W$27,后果有效剂量!$I$5:$I$27)*后果有效剂量!$U5+SUMPRODUCT(R$5:R$27,后果有效剂量!$J$5:$J$27)*后果有效剂量!$Q5*后果有效剂量!$Q$3+SUMPRODUCT(S$5:S$27,后果有效剂量!$J$5:$J$27)*后果有效剂量!$Q5*后果有效剂量!$Q$3+SUMPRODUCT(T$5:T$27,后果有效剂量!$J$5:$J$27)*后果有效剂量!$R5*后果有效剂量!$R$3+SUMPRODUCT(U$5:U$27,后果有效剂量!$J$5:$J$27)*后果有效剂量!$S5*后果有效剂量!$S$3+SUMPRODUCT(V$5:V$27,后果有效剂量!$J$5:$J$27)*后果有效剂量!$T5*后果有效剂量!$T$3+SUMPRODUCT(W$5:W$27,后果有效剂量!$J$5:$J$27)*后果有效剂量!$U5*后果有效剂量!$U$3+SUMPRODUCT(R$5:R$27,后果有效剂量!$K$5:$K$27)*后果有效剂量!$Q5+SUMPRODUCT(S$5:S$27,后果有效剂量!$K$5:$K$27)*后果有效剂量!$Q5+SUMPRODUCT(T$5:T$27,后果有效剂量!$K$5:$K$27)*后果有效剂量!$R5+SUMPRODUCT(U$5:U$27,后果有效剂量!$K$5:$K$27)*后果有效剂量!$S5+SUMPRODUCT(V$5:V$27,后果有效剂量!$K$5:$K$27)*后果有效剂量!$T5+SUMPRODUCT(W$5:W$27,后果有效剂量!$K$5:$K$27)*后果有效剂量!$U5</f>
        <v>0</v>
      </c>
      <c r="S31" s="453">
        <f ca="1">SUMPRODUCT(R$5:R$27,后果甲状腺剂量!$I$5:$I$27)*后果甲状腺剂量!$Q5+SUMPRODUCT(S$5:S$27,后果甲状腺剂量!$I$5:$I$27)*后果甲状腺剂量!$Q5+SUMPRODUCT(T$5:T$27,后果甲状腺剂量!$I$5:$I$27)*后果甲状腺剂量!$R5+SUMPRODUCT(U$5:U$27,后果甲状腺剂量!$I$5:$I$27)*后果甲状腺剂量!$S5+SUMPRODUCT(V$5:V$27,后果甲状腺剂量!$I$5:$I$27)*后果甲状腺剂量!$T5+SUMPRODUCT(W$5:W$27,后果甲状腺剂量!$I$5:$I$27)*后果甲状腺剂量!$U5+SUMPRODUCT(R$5:R$27,后果甲状腺剂量!$J$5:$J$27)*后果甲状腺剂量!$Q5*后果甲状腺剂量!$Q$3+SUMPRODUCT(S$5:S$27,后果甲状腺剂量!$J$5:$J$27)*后果甲状腺剂量!$Q5*后果甲状腺剂量!$Q$3+SUMPRODUCT(T$5:T$27,后果甲状腺剂量!$J$5:$J$27)*后果甲状腺剂量!$R5*后果甲状腺剂量!$R$3+SUMPRODUCT(U$5:U$27,后果甲状腺剂量!$J$5:$J$27)*后果甲状腺剂量!$S5*后果甲状腺剂量!$S$3+SUMPRODUCT(V$5:V$27,后果甲状腺剂量!$J$5:$J$27)*后果甲状腺剂量!$T5*后果甲状腺剂量!$T$3+SUMPRODUCT(W$5:W$27,后果甲状腺剂量!$J$5:$J$27)*后果甲状腺剂量!$U5*后果甲状腺剂量!$U$3+SUMPRODUCT(R$5:R$27,后果甲状腺剂量!$K$5:$K$27)*后果甲状腺剂量!$Q5+SUMPRODUCT(S$5:S$27,后果甲状腺剂量!$K$5:$K$27)*后果甲状腺剂量!$Q5+SUMPRODUCT(T$5:T$27,后果甲状腺剂量!$K$5:$K$27)*后果甲状腺剂量!$R5+SUMPRODUCT(U$5:U$27,后果甲状腺剂量!$K$5:$K$27)*后果甲状腺剂量!$S5+SUMPRODUCT(V$5:V$27,后果甲状腺剂量!$K$5:$K$27)*后果甲状腺剂量!$T5+SUMPRODUCT(W$5:W$27,后果甲状腺剂量!$K$5:$K$27)*后果甲状腺剂量!$U5</f>
        <v>0</v>
      </c>
      <c r="T31" s="454">
        <f ca="1" t="shared" ref="T31:T56" si="255">R31*1000</f>
        <v>0</v>
      </c>
      <c r="U31" s="454">
        <f ca="1" t="shared" ref="U31:U56" si="256">S31*1000</f>
        <v>0</v>
      </c>
      <c r="V31" s="436"/>
      <c r="W31" s="436"/>
      <c r="AN31" s="533"/>
      <c r="AS31" s="572"/>
      <c r="BO31" s="600"/>
      <c r="BP31" s="600"/>
      <c r="CJ31" s="600"/>
      <c r="DZ31" s="600"/>
      <c r="EU31" s="603"/>
      <c r="FP31" s="603"/>
      <c r="FS31" s="441">
        <f>SUMPRODUCT(FS$5:FS$27,后果有效剂量!$I$5:$I$27)*后果有效剂量!$Q5+SUMPRODUCT(FT$5:FT$27,后果有效剂量!$I$5:$I$27)*后果有效剂量!$R5+SUMPRODUCT(FU$5:FU$27,后果有效剂量!$I$5:$I$27)*后果有效剂量!$S5+SUMPRODUCT(FV$5:FV$27,后果有效剂量!$I$5:$I$27)*后果有效剂量!$T5+SUMPRODUCT(FS$5:FS$27,后果有效剂量!$J$5:$J$27)*后果有效剂量!$Q5*后果有效剂量!$Q$3+SUMPRODUCT(FT$5:FT$27,后果有效剂量!$J$5:$J$27)*后果有效剂量!$R5*后果有效剂量!$R$3+SUMPRODUCT(FU$5:FU$27,后果有效剂量!$J$5:$J$27)*后果有效剂量!$S5*后果有效剂量!$S$3+SUMPRODUCT(FV$5:FV$27,后果有效剂量!$J$5:$J$27)*后果有效剂量!$T5*后果有效剂量!$T$3+SUMPRODUCT(FS$5:FS$27,后果有效剂量!$K$5:$K$27)*后果有效剂量!$Q5+SUMPRODUCT(FT$5:FT$27,后果有效剂量!$K$5:$K$27)*后果有效剂量!$R5+SUMPRODUCT(FU$5:FU$27,后果有效剂量!$K$5:$K$27)*后果有效剂量!$S5+SUMPRODUCT(FV$5:FV$27,后果有效剂量!$K$5:$K$27)*后果有效剂量!$T5</f>
        <v>0</v>
      </c>
      <c r="FT31" s="441">
        <f>SUMPRODUCT(FS$5:FS$27,后果甲状腺剂量!$I$5:$I$27)*后果甲状腺剂量!$Q5+SUMPRODUCT(FT$5:FT$27,后果甲状腺剂量!$I$5:$I$27)*后果甲状腺剂量!$R5+SUMPRODUCT(FU$5:FU$27,后果甲状腺剂量!$I$5:$I$27)*后果甲状腺剂量!$S5+SUMPRODUCT(FV$5:FV$27,后果甲状腺剂量!$I$5:$I$27)*后果甲状腺剂量!$T5+SUMPRODUCT(FS$5:FS$27,后果甲状腺剂量!$J$5:$J$27)*后果甲状腺剂量!$Q5*后果甲状腺剂量!$Q$3+SUMPRODUCT(FT$5:FT$27,后果甲状腺剂量!$J$5:$J$27)*后果甲状腺剂量!$R5*后果甲状腺剂量!$R$3+SUMPRODUCT(FU$5:FU$27,后果甲状腺剂量!$J$5:$J$27)*后果甲状腺剂量!$S5*后果甲状腺剂量!$S$3+SUMPRODUCT(FV$5:FV$27,后果甲状腺剂量!$J$5:$J$27)*后果甲状腺剂量!$T5*后果甲状腺剂量!$T$3+SUMPRODUCT(FS$5:FS$27,后果甲状腺剂量!$K$5:$K$27)*后果甲状腺剂量!$Q5+SUMPRODUCT(FT$5:FT$27,后果甲状腺剂量!$K$5:$K$27)*后果甲状腺剂量!$R5+SUMPRODUCT(FU$5:FU$27,后果甲状腺剂量!$K$5:$K$27)*后果甲状腺剂量!$S5+SUMPRODUCT(FV$5:FV$27,后果甲状腺剂量!$K$5:$K$27)*后果甲状腺剂量!$T5</f>
        <v>0</v>
      </c>
      <c r="FU31" s="454">
        <f t="shared" ref="FU31:FU56" si="257">FS31*1000</f>
        <v>0</v>
      </c>
      <c r="FV31" s="454">
        <f t="shared" ref="FV31:FV56" si="258">FT31*1000</f>
        <v>0</v>
      </c>
      <c r="FW31" s="436"/>
      <c r="FX31" s="436"/>
      <c r="GD31" s="440">
        <f>后果有效剂量!$P5</f>
        <v>0</v>
      </c>
      <c r="GE31" s="441">
        <f>SUMPRODUCT(GE$5:GE$27,后果有效剂量!$I$5:$I$27)*后果有效剂量!$Q5+SUMPRODUCT(GF$5:GF$27,后果有效剂量!$I$5:$I$27)*后果有效剂量!$R5+SUMPRODUCT(GG$5:GG$27,后果有效剂量!$I$5:$I$27)*后果有效剂量!$S5+(SUMPRODUCT(GH$5:GH$27,后果有效剂量!$I$5:$I$27)+SUMPRODUCT(GI$5:GI$27,后果有效剂量!$I$5:$I$27))*后果有效剂量!$T5+SUMPRODUCT(GJ$5:GJ$27,后果有效剂量!$I$5:$I$27)*后果有效剂量!$U5+SUMPRODUCT(GE$5:GE$27,后果有效剂量!$J$5:$J$27)*后果有效剂量!$Q5*后果有效剂量!$Q$3+SUMPRODUCT(GF$5:GF$27,后果有效剂量!$J$5:$J$27)*后果有效剂量!$R5*后果有效剂量!$R$3+SUMPRODUCT(GG$5:GG$27,后果有效剂量!$J$5:$J$27)*后果有效剂量!$S5*后果有效剂量!$S$3+(SUMPRODUCT(GH$5:GH$27,后果有效剂量!$J$5:$J$27)+SUMPRODUCT(GI$5:GI$27,后果有效剂量!$J$5:$J$27))*后果有效剂量!$T5*后果有效剂量!$T$3+SUMPRODUCT(GJ$5:GJ$27,后果有效剂量!$J$5:$J$27)*后果有效剂量!$U5*后果有效剂量!$U$3+SUMPRODUCT(GE$5:GE$27,后果有效剂量!$K$5:$K$27)*后果有效剂量!$Q5+SUMPRODUCT(GF$5:GF$27,后果有效剂量!$K$5:$K$27)*后果有效剂量!$R5+SUMPRODUCT(GG$5:GG$27,后果有效剂量!$K$5:$K$27)*后果有效剂量!$S5+(SUMPRODUCT(GH$5:GH$27,后果有效剂量!$K$5:$K$27)+SUMPRODUCT(GI$5:GI$27,后果有效剂量!$K$5:$K$27))*后果有效剂量!$T5+SUMPRODUCT(GJ$5:GJ$27,后果有效剂量!$K$5:$K$27)*后果有效剂量!$U5</f>
        <v>0</v>
      </c>
      <c r="GF31" s="453">
        <f>SUMPRODUCT(GE$5:GE$27,后果甲状腺剂量!$I$5:$I$27)*后果甲状腺剂量!$Q5+SUMPRODUCT(GF$5:GF$27,后果甲状腺剂量!$I$5:$I$27)*后果甲状腺剂量!$R5+SUMPRODUCT(GG$5:GG$27,后果甲状腺剂量!$I$5:$I$27)*后果甲状腺剂量!$S5+(SUMPRODUCT(GH$5:GH$27,后果甲状腺剂量!$I$5:$I$27)+SUMPRODUCT(GI$5:GI$27,后果甲状腺剂量!$I$5:$I$27))*后果甲状腺剂量!$T5+SUMPRODUCT(GJ$5:GJ$27,后果甲状腺剂量!$I$5:$I$27)*后果甲状腺剂量!$U5+SUMPRODUCT(GE$5:GE$27,后果甲状腺剂量!$J$5:$J$27)*后果甲状腺剂量!$Q5*后果甲状腺剂量!$Q$3+SUMPRODUCT(GF$5:GF$27,后果甲状腺剂量!$J$5:$J$27)*后果甲状腺剂量!$R5*后果甲状腺剂量!$R$3+SUMPRODUCT(GG$5:GG$27,后果甲状腺剂量!$J$5:$J$27)*后果甲状腺剂量!$S5*后果甲状腺剂量!$S$3+(SUMPRODUCT(GH$5:GH$27,后果甲状腺剂量!$J$5:$J$27)+SUMPRODUCT(GI$5:GI$27,后果甲状腺剂量!$J$5:$J$27))*后果甲状腺剂量!$T5*后果甲状腺剂量!$T$3+SUMPRODUCT(GJ$5:GJ$27,后果甲状腺剂量!$J$5:$J$27)*后果甲状腺剂量!$U5*后果甲状腺剂量!$U$3+SUMPRODUCT(GE$5:GE$27,后果甲状腺剂量!$K$5:$K$27)*后果甲状腺剂量!$Q5+SUMPRODUCT(GF$5:GF$27,后果甲状腺剂量!$K$5:$K$27)*后果甲状腺剂量!$R5+SUMPRODUCT(GG$5:GG$27,后果甲状腺剂量!$K$5:$K$27)*后果甲状腺剂量!$S5+(SUMPRODUCT(GH$5:GH$27,后果甲状腺剂量!$K$5:$K$27)+SUMPRODUCT(GI$5:GI$27,后果甲状腺剂量!$K$5:$K$27))*后果甲状腺剂量!$T5+SUMPRODUCT(GJ$5:GJ$27,后果甲状腺剂量!$K$5:$K$27)*后果甲状腺剂量!$U5</f>
        <v>0</v>
      </c>
      <c r="GG31" s="454">
        <f t="shared" ref="GG31:GG56" si="259">GE31*1000</f>
        <v>0</v>
      </c>
      <c r="GH31" s="454">
        <f t="shared" ref="GH31:GH56" si="260">GF31*1000</f>
        <v>0</v>
      </c>
      <c r="GI31" s="436"/>
      <c r="GJ31" s="436"/>
    </row>
    <row r="32" spans="1:192">
      <c r="A32" s="432" t="s">
        <v>293</v>
      </c>
      <c r="B32" s="407" t="s">
        <v>267</v>
      </c>
      <c r="C32" s="428">
        <f>-LN(1-0%)/8/3600</f>
        <v>0</v>
      </c>
      <c r="D32" s="410" t="s">
        <v>268</v>
      </c>
      <c r="E32" s="409" t="s">
        <v>269</v>
      </c>
      <c r="G32" s="440">
        <f>后果有效剂量!$P6</f>
        <v>0</v>
      </c>
      <c r="H32" s="441">
        <f ca="1">SUMPRODUCT(H$5:H$27,后果有效剂量!$I$5:$I$27)*后果有效剂量!$Q6+SUMPRODUCT(I$5:I$27,后果有效剂量!$I$5:$I$27)*后果有效剂量!$Q6+SUMPRODUCT(J$5:J$27,后果有效剂量!$I$5:$I$27)*后果有效剂量!$R6+SUMPRODUCT(K$5:K$27,后果有效剂量!$I$5:$I$27)*后果有效剂量!$S6+SUMPRODUCT(L$5:L$27,后果有效剂量!$I$5:$I$27)*后果有效剂量!$T6+SUMPRODUCT(M$5:M$27,后果有效剂量!$I$5:$I$27)*后果有效剂量!$U6+SUMPRODUCT(H$5:H$27,后果有效剂量!$J$5:$J$27)*后果有效剂量!$Q6*后果有效剂量!$Q$3+SUMPRODUCT(I$5:I$27,后果有效剂量!$J$5:$J$27)*后果有效剂量!$Q6*后果有效剂量!$Q$3+SUMPRODUCT(J$5:J$27,后果有效剂量!$J$5:$J$27)*后果有效剂量!$R6*后果有效剂量!$R$3+SUMPRODUCT(K$5:K$27,后果有效剂量!$J$5:$J$27)*后果有效剂量!$S6*后果有效剂量!$S$3+SUMPRODUCT(L$5:L$27,后果有效剂量!$J$5:$J$27)*后果有效剂量!$T6*后果有效剂量!$T$3+SUMPRODUCT(M$5:M$27,后果有效剂量!$J$5:$J$27)*后果有效剂量!$U6*后果有效剂量!$U$3+SUMPRODUCT(H$5:H$27,后果有效剂量!$K$5:$K$27)*后果有效剂量!$Q6+SUMPRODUCT(I$5:I$27,后果有效剂量!$K$5:$K$27)*后果有效剂量!$Q6+SUMPRODUCT(J$5:J$27,后果有效剂量!$K$5:$K$27)*后果有效剂量!$R6+SUMPRODUCT(K$5:K$27,后果有效剂量!$K$5:$K$27)*后果有效剂量!$S6+SUMPRODUCT(L$5:L$27,后果有效剂量!$K$5:$K$27)*后果有效剂量!$T6+SUMPRODUCT(M$5:M$27,后果有效剂量!$K$5:$K$27)*后果有效剂量!$U6</f>
        <v>0</v>
      </c>
      <c r="I32" s="453">
        <f ca="1">SUMPRODUCT(H$5:H$27,后果甲状腺剂量!$I$5:$I$27)*后果甲状腺剂量!$Q6+SUMPRODUCT(I$5:I$27,后果甲状腺剂量!$I$5:$I$27)*后果甲状腺剂量!$Q6+SUMPRODUCT(J$5:J$27,后果甲状腺剂量!$I$5:$I$27)*后果甲状腺剂量!$R6+SUMPRODUCT(K$5:K$27,后果甲状腺剂量!$I$5:$I$27)*后果甲状腺剂量!$S6+SUMPRODUCT(L$5:L$27,后果甲状腺剂量!$I$5:$I$27)*后果甲状腺剂量!$T6+SUMPRODUCT(M$5:M$27,后果甲状腺剂量!$I$5:$I$27)*后果甲状腺剂量!$U6+SUMPRODUCT(H$5:H$27,后果甲状腺剂量!$J$5:$J$27)*后果甲状腺剂量!$Q6*后果甲状腺剂量!$Q$3+SUMPRODUCT(I$5:I$27,后果甲状腺剂量!$J$5:$J$27)*后果甲状腺剂量!$Q6*后果甲状腺剂量!$Q$3+SUMPRODUCT(J$5:J$27,后果甲状腺剂量!$J$5:$J$27)*后果甲状腺剂量!$R6*后果甲状腺剂量!$R$3+SUMPRODUCT(K$5:K$27,后果甲状腺剂量!$J$5:$J$27)*后果甲状腺剂量!$S6*后果甲状腺剂量!$S$3+SUMPRODUCT(L$5:L$27,后果甲状腺剂量!$J$5:$J$27)*后果甲状腺剂量!$T6*后果甲状腺剂量!$T$3+SUMPRODUCT(M$5:M$27,后果甲状腺剂量!$J$5:$J$27)*后果甲状腺剂量!$U6*后果甲状腺剂量!$U$3+SUMPRODUCT(H$5:H$27,后果甲状腺剂量!$K$5:$K$27)*后果甲状腺剂量!$Q6+SUMPRODUCT(I$5:I$27,后果甲状腺剂量!$K$5:$K$27)*后果甲状腺剂量!$Q6+SUMPRODUCT(J$5:J$27,后果甲状腺剂量!$K$5:$K$27)*后果甲状腺剂量!$R6+SUMPRODUCT(K$5:K$27,后果甲状腺剂量!$K$5:$K$27)*后果甲状腺剂量!$S6+SUMPRODUCT(L$5:L$27,后果甲状腺剂量!$K$5:$K$27)*后果甲状腺剂量!$T6+SUMPRODUCT(M$5:M$27,后果甲状腺剂量!$K$5:$K$27)*后果甲状腺剂量!$U6</f>
        <v>0</v>
      </c>
      <c r="J32" s="454">
        <f ca="1" t="shared" si="253"/>
        <v>0</v>
      </c>
      <c r="K32" s="454">
        <f ca="1" t="shared" si="254"/>
        <v>0</v>
      </c>
      <c r="L32" s="436"/>
      <c r="M32" s="436"/>
      <c r="N32" s="455"/>
      <c r="Q32" s="440">
        <f>后果有效剂量!$P6</f>
        <v>0</v>
      </c>
      <c r="R32" s="441">
        <f ca="1">SUMPRODUCT(R$5:R$27,后果有效剂量!$I$5:$I$27)*后果有效剂量!$Q6+SUMPRODUCT(S$5:S$27,后果有效剂量!$I$5:$I$27)*后果有效剂量!$Q6+SUMPRODUCT(T$5:T$27,后果有效剂量!$I$5:$I$27)*后果有效剂量!$R6+SUMPRODUCT(U$5:U$27,后果有效剂量!$I$5:$I$27)*后果有效剂量!$S6+SUMPRODUCT(V$5:V$27,后果有效剂量!$I$5:$I$27)*后果有效剂量!$T6+SUMPRODUCT(W$5:W$27,后果有效剂量!$I$5:$I$27)*后果有效剂量!$U6+SUMPRODUCT(R$5:R$27,后果有效剂量!$J$5:$J$27)*后果有效剂量!$Q6*后果有效剂量!$Q$3+SUMPRODUCT(S$5:S$27,后果有效剂量!$J$5:$J$27)*后果有效剂量!$Q6*后果有效剂量!$Q$3+SUMPRODUCT(T$5:T$27,后果有效剂量!$J$5:$J$27)*后果有效剂量!$R6*后果有效剂量!$R$3+SUMPRODUCT(U$5:U$27,后果有效剂量!$J$5:$J$27)*后果有效剂量!$S6*后果有效剂量!$S$3+SUMPRODUCT(V$5:V$27,后果有效剂量!$J$5:$J$27)*后果有效剂量!$T6*后果有效剂量!$T$3+SUMPRODUCT(W$5:W$27,后果有效剂量!$J$5:$J$27)*后果有效剂量!$U6*后果有效剂量!$U$3+SUMPRODUCT(R$5:R$27,后果有效剂量!$K$5:$K$27)*后果有效剂量!$Q6+SUMPRODUCT(S$5:S$27,后果有效剂量!$K$5:$K$27)*后果有效剂量!$Q6+SUMPRODUCT(T$5:T$27,后果有效剂量!$K$5:$K$27)*后果有效剂量!$R6+SUMPRODUCT(U$5:U$27,后果有效剂量!$K$5:$K$27)*后果有效剂量!$S6+SUMPRODUCT(V$5:V$27,后果有效剂量!$K$5:$K$27)*后果有效剂量!$T6+SUMPRODUCT(W$5:W$27,后果有效剂量!$K$5:$K$27)*后果有效剂量!$U6</f>
        <v>0</v>
      </c>
      <c r="S32" s="453">
        <f ca="1">SUMPRODUCT(R$5:R$27,后果甲状腺剂量!$I$5:$I$27)*后果甲状腺剂量!$Q6+SUMPRODUCT(S$5:S$27,后果甲状腺剂量!$I$5:$I$27)*后果甲状腺剂量!$Q6+SUMPRODUCT(T$5:T$27,后果甲状腺剂量!$I$5:$I$27)*后果甲状腺剂量!$R6+SUMPRODUCT(U$5:U$27,后果甲状腺剂量!$I$5:$I$27)*后果甲状腺剂量!$S6+SUMPRODUCT(V$5:V$27,后果甲状腺剂量!$I$5:$I$27)*后果甲状腺剂量!$T6+SUMPRODUCT(W$5:W$27,后果甲状腺剂量!$I$5:$I$27)*后果甲状腺剂量!$U6+SUMPRODUCT(R$5:R$27,后果甲状腺剂量!$J$5:$J$27)*后果甲状腺剂量!$Q6*后果甲状腺剂量!$Q$3+SUMPRODUCT(S$5:S$27,后果甲状腺剂量!$J$5:$J$27)*后果甲状腺剂量!$Q6*后果甲状腺剂量!$Q$3+SUMPRODUCT(T$5:T$27,后果甲状腺剂量!$J$5:$J$27)*后果甲状腺剂量!$R6*后果甲状腺剂量!$R$3+SUMPRODUCT(U$5:U$27,后果甲状腺剂量!$J$5:$J$27)*后果甲状腺剂量!$S6*后果甲状腺剂量!$S$3+SUMPRODUCT(V$5:V$27,后果甲状腺剂量!$J$5:$J$27)*后果甲状腺剂量!$T6*后果甲状腺剂量!$T$3+SUMPRODUCT(W$5:W$27,后果甲状腺剂量!$J$5:$J$27)*后果甲状腺剂量!$U6*后果甲状腺剂量!$U$3+SUMPRODUCT(R$5:R$27,后果甲状腺剂量!$K$5:$K$27)*后果甲状腺剂量!$Q6+SUMPRODUCT(S$5:S$27,后果甲状腺剂量!$K$5:$K$27)*后果甲状腺剂量!$Q6+SUMPRODUCT(T$5:T$27,后果甲状腺剂量!$K$5:$K$27)*后果甲状腺剂量!$R6+SUMPRODUCT(U$5:U$27,后果甲状腺剂量!$K$5:$K$27)*后果甲状腺剂量!$S6+SUMPRODUCT(V$5:V$27,后果甲状腺剂量!$K$5:$K$27)*后果甲状腺剂量!$T6+SUMPRODUCT(W$5:W$27,后果甲状腺剂量!$K$5:$K$27)*后果甲状腺剂量!$U6</f>
        <v>0</v>
      </c>
      <c r="T32" s="454">
        <f ca="1" t="shared" si="255"/>
        <v>0</v>
      </c>
      <c r="U32" s="454">
        <f ca="1" t="shared" si="256"/>
        <v>0</v>
      </c>
      <c r="V32" s="436"/>
      <c r="W32" s="436"/>
      <c r="AN32" s="533"/>
      <c r="AS32" s="572"/>
      <c r="BO32" s="600"/>
      <c r="BP32" s="600"/>
      <c r="CJ32" s="600"/>
      <c r="DZ32" s="600"/>
      <c r="EU32" s="603"/>
      <c r="FP32" s="603"/>
      <c r="FS32" s="441">
        <f>SUMPRODUCT(FS$5:FS$27,后果有效剂量!$I$5:$I$27)*后果有效剂量!$Q6+SUMPRODUCT(FT$5:FT$27,后果有效剂量!$I$5:$I$27)*后果有效剂量!$R6+SUMPRODUCT(FU$5:FU$27,后果有效剂量!$I$5:$I$27)*后果有效剂量!$S6+SUMPRODUCT(FV$5:FV$27,后果有效剂量!$I$5:$I$27)*后果有效剂量!$T6+SUMPRODUCT(FS$5:FS$27,后果有效剂量!$J$5:$J$27)*后果有效剂量!$Q6*后果有效剂量!$Q$3+SUMPRODUCT(FT$5:FT$27,后果有效剂量!$J$5:$J$27)*后果有效剂量!$R6*后果有效剂量!$R$3+SUMPRODUCT(FU$5:FU$27,后果有效剂量!$J$5:$J$27)*后果有效剂量!$S6*后果有效剂量!$S$3+SUMPRODUCT(FV$5:FV$27,后果有效剂量!$J$5:$J$27)*后果有效剂量!$T6*后果有效剂量!$T$3+SUMPRODUCT(FS$5:FS$27,后果有效剂量!$K$5:$K$27)*后果有效剂量!$Q6+SUMPRODUCT(FT$5:FT$27,后果有效剂量!$K$5:$K$27)*后果有效剂量!$R6+SUMPRODUCT(FU$5:FU$27,后果有效剂量!$K$5:$K$27)*后果有效剂量!$S6+SUMPRODUCT(FV$5:FV$27,后果有效剂量!$K$5:$K$27)*后果有效剂量!$T6</f>
        <v>0</v>
      </c>
      <c r="FT32" s="453">
        <f>SUMPRODUCT(FS$5:FS$27,后果甲状腺剂量!$I$5:$I$27)*后果甲状腺剂量!$Q6+SUMPRODUCT(FT$5:FT$27,后果甲状腺剂量!$I$5:$I$27)*后果甲状腺剂量!$R6+SUMPRODUCT(FU$5:FU$27,后果甲状腺剂量!$I$5:$I$27)*后果甲状腺剂量!$S6+SUMPRODUCT(FV$5:FV$27,后果甲状腺剂量!$I$5:$I$27)*后果甲状腺剂量!$T6+SUMPRODUCT(FS$5:FS$27,后果甲状腺剂量!$J$5:$J$27)*后果甲状腺剂量!$Q6*后果甲状腺剂量!$Q$3+SUMPRODUCT(FT$5:FT$27,后果甲状腺剂量!$J$5:$J$27)*后果甲状腺剂量!$R6*后果甲状腺剂量!$R$3+SUMPRODUCT(FU$5:FU$27,后果甲状腺剂量!$J$5:$J$27)*后果甲状腺剂量!$S6*后果甲状腺剂量!$S$3+SUMPRODUCT(FV$5:FV$27,后果甲状腺剂量!$J$5:$J$27)*后果甲状腺剂量!$T6*后果甲状腺剂量!$T$3+SUMPRODUCT(FS$5:FS$27,后果甲状腺剂量!$K$5:$K$27)*后果甲状腺剂量!$Q6+SUMPRODUCT(FT$5:FT$27,后果甲状腺剂量!$K$5:$K$27)*后果甲状腺剂量!$R6+SUMPRODUCT(FU$5:FU$27,后果甲状腺剂量!$K$5:$K$27)*后果甲状腺剂量!$S6+SUMPRODUCT(FV$5:FV$27,后果甲状腺剂量!$K$5:$K$27)*后果甲状腺剂量!$T6</f>
        <v>0</v>
      </c>
      <c r="FU32" s="454">
        <f t="shared" si="257"/>
        <v>0</v>
      </c>
      <c r="FV32" s="454">
        <f t="shared" si="258"/>
        <v>0</v>
      </c>
      <c r="FW32" s="436"/>
      <c r="FX32" s="436"/>
      <c r="GD32" s="440">
        <f>后果有效剂量!$P6</f>
        <v>0</v>
      </c>
      <c r="GE32" s="441">
        <f>SUMPRODUCT(GE$5:GE$27,后果有效剂量!$I$5:$I$27)*后果有效剂量!$Q6+SUMPRODUCT(GF$5:GF$27,后果有效剂量!$I$5:$I$27)*后果有效剂量!$R6+SUMPRODUCT(GG$5:GG$27,后果有效剂量!$I$5:$I$27)*后果有效剂量!$S6+(SUMPRODUCT(GH$5:GH$27,后果有效剂量!$I$5:$I$27)+SUMPRODUCT(GI$5:GI$27,后果有效剂量!$I$5:$I$27))*后果有效剂量!$T6+SUMPRODUCT(GJ$5:GJ$27,后果有效剂量!$I$5:$I$27)*后果有效剂量!$U6+SUMPRODUCT(GE$5:GE$27,后果有效剂量!$J$5:$J$27)*后果有效剂量!$Q6*后果有效剂量!$Q$3+SUMPRODUCT(GF$5:GF$27,后果有效剂量!$J$5:$J$27)*后果有效剂量!$R6*后果有效剂量!$R$3+SUMPRODUCT(GG$5:GG$27,后果有效剂量!$J$5:$J$27)*后果有效剂量!$S6*后果有效剂量!$S$3+(SUMPRODUCT(GH$5:GH$27,后果有效剂量!$J$5:$J$27)+SUMPRODUCT(GI$5:GI$27,后果有效剂量!$J$5:$J$27))*后果有效剂量!$T6*后果有效剂量!$T$3+SUMPRODUCT(GJ$5:GJ$27,后果有效剂量!$J$5:$J$27)*后果有效剂量!$U6*后果有效剂量!$U$3+SUMPRODUCT(GE$5:GE$27,后果有效剂量!$K$5:$K$27)*后果有效剂量!$Q6+SUMPRODUCT(GF$5:GF$27,后果有效剂量!$K$5:$K$27)*后果有效剂量!$R6+SUMPRODUCT(GG$5:GG$27,后果有效剂量!$K$5:$K$27)*后果有效剂量!$S6+(SUMPRODUCT(GH$5:GH$27,后果有效剂量!$K$5:$K$27)+SUMPRODUCT(GI$5:GI$27,后果有效剂量!$K$5:$K$27))*后果有效剂量!$T6+SUMPRODUCT(GJ$5:GJ$27,后果有效剂量!$K$5:$K$27)*后果有效剂量!$U6</f>
        <v>0</v>
      </c>
      <c r="GF32" s="453">
        <f>SUMPRODUCT(GE$5:GE$27,后果甲状腺剂量!$I$5:$I$27)*后果甲状腺剂量!$Q6+SUMPRODUCT(GF$5:GF$27,后果甲状腺剂量!$I$5:$I$27)*后果甲状腺剂量!$R6+SUMPRODUCT(GG$5:GG$27,后果甲状腺剂量!$I$5:$I$27)*后果甲状腺剂量!$S6+(SUMPRODUCT(GH$5:GH$27,后果甲状腺剂量!$I$5:$I$27)+SUMPRODUCT(GI$5:GI$27,后果甲状腺剂量!$I$5:$I$27))*后果甲状腺剂量!$T6+SUMPRODUCT(GJ$5:GJ$27,后果甲状腺剂量!$I$5:$I$27)*后果甲状腺剂量!$U6+SUMPRODUCT(GE$5:GE$27,后果甲状腺剂量!$J$5:$J$27)*后果甲状腺剂量!$Q6*后果甲状腺剂量!$Q$3+SUMPRODUCT(GF$5:GF$27,后果甲状腺剂量!$J$5:$J$27)*后果甲状腺剂量!$R6*后果甲状腺剂量!$R$3+SUMPRODUCT(GG$5:GG$27,后果甲状腺剂量!$J$5:$J$27)*后果甲状腺剂量!$S6*后果甲状腺剂量!$S$3+(SUMPRODUCT(GH$5:GH$27,后果甲状腺剂量!$J$5:$J$27)+SUMPRODUCT(GI$5:GI$27,后果甲状腺剂量!$J$5:$J$27))*后果甲状腺剂量!$T6*后果甲状腺剂量!$T$3+SUMPRODUCT(GJ$5:GJ$27,后果甲状腺剂量!$J$5:$J$27)*后果甲状腺剂量!$U6*后果甲状腺剂量!$U$3+SUMPRODUCT(GE$5:GE$27,后果甲状腺剂量!$K$5:$K$27)*后果甲状腺剂量!$Q6+SUMPRODUCT(GF$5:GF$27,后果甲状腺剂量!$K$5:$K$27)*后果甲状腺剂量!$R6+SUMPRODUCT(GG$5:GG$27,后果甲状腺剂量!$K$5:$K$27)*后果甲状腺剂量!$S6+(SUMPRODUCT(GH$5:GH$27,后果甲状腺剂量!$K$5:$K$27)+SUMPRODUCT(GI$5:GI$27,后果甲状腺剂量!$K$5:$K$27))*后果甲状腺剂量!$T6+SUMPRODUCT(GJ$5:GJ$27,后果甲状腺剂量!$K$5:$K$27)*后果甲状腺剂量!$U6</f>
        <v>0</v>
      </c>
      <c r="GG32" s="454">
        <f t="shared" si="259"/>
        <v>0</v>
      </c>
      <c r="GH32" s="454">
        <f t="shared" si="260"/>
        <v>0</v>
      </c>
      <c r="GI32" s="436"/>
      <c r="GJ32" s="436"/>
    </row>
    <row r="33" spans="1:192">
      <c r="A33" s="430"/>
      <c r="B33" s="407" t="s">
        <v>270</v>
      </c>
      <c r="C33" s="437">
        <f ca="1">IF(96&lt;=$C$13-$C$12,MAX(1%,INDIRECT("'"&amp;$B$2&amp;"-事故进程'!$AE$23")*150%),0.000000000000001)</f>
        <v>1e-15</v>
      </c>
      <c r="D33" s="410"/>
      <c r="E33" s="409" t="s">
        <v>271</v>
      </c>
      <c r="G33" s="440">
        <f>后果有效剂量!$P7</f>
        <v>0</v>
      </c>
      <c r="H33" s="441">
        <f ca="1">SUMPRODUCT(H$5:H$27,后果有效剂量!$I$5:$I$27)*后果有效剂量!$Q7+SUMPRODUCT(I$5:I$27,后果有效剂量!$I$5:$I$27)*后果有效剂量!$Q7+SUMPRODUCT(J$5:J$27,后果有效剂量!$I$5:$I$27)*后果有效剂量!$R7+SUMPRODUCT(K$5:K$27,后果有效剂量!$I$5:$I$27)*后果有效剂量!$S7+SUMPRODUCT(L$5:L$27,后果有效剂量!$I$5:$I$27)*后果有效剂量!$T7+SUMPRODUCT(M$5:M$27,后果有效剂量!$I$5:$I$27)*后果有效剂量!$U7+SUMPRODUCT(H$5:H$27,后果有效剂量!$J$5:$J$27)*后果有效剂量!$Q7*后果有效剂量!$Q$3+SUMPRODUCT(I$5:I$27,后果有效剂量!$J$5:$J$27)*后果有效剂量!$Q7*后果有效剂量!$Q$3+SUMPRODUCT(J$5:J$27,后果有效剂量!$J$5:$J$27)*后果有效剂量!$R7*后果有效剂量!$R$3+SUMPRODUCT(K$5:K$27,后果有效剂量!$J$5:$J$27)*后果有效剂量!$S7*后果有效剂量!$S$3+SUMPRODUCT(L$5:L$27,后果有效剂量!$J$5:$J$27)*后果有效剂量!$T7*后果有效剂量!$T$3+SUMPRODUCT(M$5:M$27,后果有效剂量!$J$5:$J$27)*后果有效剂量!$U7*后果有效剂量!$U$3+SUMPRODUCT(H$5:H$27,后果有效剂量!$K$5:$K$27)*后果有效剂量!$Q7+SUMPRODUCT(I$5:I$27,后果有效剂量!$K$5:$K$27)*后果有效剂量!$Q7+SUMPRODUCT(J$5:J$27,后果有效剂量!$K$5:$K$27)*后果有效剂量!$R7+SUMPRODUCT(K$5:K$27,后果有效剂量!$K$5:$K$27)*后果有效剂量!$S7+SUMPRODUCT(L$5:L$27,后果有效剂量!$K$5:$K$27)*后果有效剂量!$T7+SUMPRODUCT(M$5:M$27,后果有效剂量!$K$5:$K$27)*后果有效剂量!$U7</f>
        <v>0</v>
      </c>
      <c r="I33" s="453">
        <f ca="1">SUMPRODUCT(H$5:H$27,后果甲状腺剂量!$I$5:$I$27)*后果甲状腺剂量!$Q7+SUMPRODUCT(I$5:I$27,后果甲状腺剂量!$I$5:$I$27)*后果甲状腺剂量!$Q7+SUMPRODUCT(J$5:J$27,后果甲状腺剂量!$I$5:$I$27)*后果甲状腺剂量!$R7+SUMPRODUCT(K$5:K$27,后果甲状腺剂量!$I$5:$I$27)*后果甲状腺剂量!$S7+SUMPRODUCT(L$5:L$27,后果甲状腺剂量!$I$5:$I$27)*后果甲状腺剂量!$T7+SUMPRODUCT(M$5:M$27,后果甲状腺剂量!$I$5:$I$27)*后果甲状腺剂量!$U7+SUMPRODUCT(H$5:H$27,后果甲状腺剂量!$J$5:$J$27)*后果甲状腺剂量!$Q7*后果甲状腺剂量!$Q$3+SUMPRODUCT(I$5:I$27,后果甲状腺剂量!$J$5:$J$27)*后果甲状腺剂量!$Q7*后果甲状腺剂量!$Q$3+SUMPRODUCT(J$5:J$27,后果甲状腺剂量!$J$5:$J$27)*后果甲状腺剂量!$R7*后果甲状腺剂量!$R$3+SUMPRODUCT(K$5:K$27,后果甲状腺剂量!$J$5:$J$27)*后果甲状腺剂量!$S7*后果甲状腺剂量!$S$3+SUMPRODUCT(L$5:L$27,后果甲状腺剂量!$J$5:$J$27)*后果甲状腺剂量!$T7*后果甲状腺剂量!$T$3+SUMPRODUCT(M$5:M$27,后果甲状腺剂量!$J$5:$J$27)*后果甲状腺剂量!$U7*后果甲状腺剂量!$U$3+SUMPRODUCT(H$5:H$27,后果甲状腺剂量!$K$5:$K$27)*后果甲状腺剂量!$Q7+SUMPRODUCT(I$5:I$27,后果甲状腺剂量!$K$5:$K$27)*后果甲状腺剂量!$Q7+SUMPRODUCT(J$5:J$27,后果甲状腺剂量!$K$5:$K$27)*后果甲状腺剂量!$R7+SUMPRODUCT(K$5:K$27,后果甲状腺剂量!$K$5:$K$27)*后果甲状腺剂量!$S7+SUMPRODUCT(L$5:L$27,后果甲状腺剂量!$K$5:$K$27)*后果甲状腺剂量!$T7+SUMPRODUCT(M$5:M$27,后果甲状腺剂量!$K$5:$K$27)*后果甲状腺剂量!$U7</f>
        <v>0</v>
      </c>
      <c r="J33" s="454">
        <f ca="1" t="shared" si="253"/>
        <v>0</v>
      </c>
      <c r="K33" s="454">
        <f ca="1" t="shared" si="254"/>
        <v>0</v>
      </c>
      <c r="L33" s="436"/>
      <c r="M33" s="436"/>
      <c r="N33" s="455"/>
      <c r="Q33" s="440">
        <f>后果有效剂量!$P7</f>
        <v>0</v>
      </c>
      <c r="R33" s="441">
        <f ca="1">SUMPRODUCT(R$5:R$27,后果有效剂量!$I$5:$I$27)*后果有效剂量!$Q7+SUMPRODUCT(S$5:S$27,后果有效剂量!$I$5:$I$27)*后果有效剂量!$Q7+SUMPRODUCT(T$5:T$27,后果有效剂量!$I$5:$I$27)*后果有效剂量!$R7+SUMPRODUCT(U$5:U$27,后果有效剂量!$I$5:$I$27)*后果有效剂量!$S7+SUMPRODUCT(V$5:V$27,后果有效剂量!$I$5:$I$27)*后果有效剂量!$T7+SUMPRODUCT(W$5:W$27,后果有效剂量!$I$5:$I$27)*后果有效剂量!$U7+SUMPRODUCT(R$5:R$27,后果有效剂量!$J$5:$J$27)*后果有效剂量!$Q7*后果有效剂量!$Q$3+SUMPRODUCT(S$5:S$27,后果有效剂量!$J$5:$J$27)*后果有效剂量!$Q7*后果有效剂量!$Q$3+SUMPRODUCT(T$5:T$27,后果有效剂量!$J$5:$J$27)*后果有效剂量!$R7*后果有效剂量!$R$3+SUMPRODUCT(U$5:U$27,后果有效剂量!$J$5:$J$27)*后果有效剂量!$S7*后果有效剂量!$S$3+SUMPRODUCT(V$5:V$27,后果有效剂量!$J$5:$J$27)*后果有效剂量!$T7*后果有效剂量!$T$3+SUMPRODUCT(W$5:W$27,后果有效剂量!$J$5:$J$27)*后果有效剂量!$U7*后果有效剂量!$U$3+SUMPRODUCT(R$5:R$27,后果有效剂量!$K$5:$K$27)*后果有效剂量!$Q7+SUMPRODUCT(S$5:S$27,后果有效剂量!$K$5:$K$27)*后果有效剂量!$Q7+SUMPRODUCT(T$5:T$27,后果有效剂量!$K$5:$K$27)*后果有效剂量!$R7+SUMPRODUCT(U$5:U$27,后果有效剂量!$K$5:$K$27)*后果有效剂量!$S7+SUMPRODUCT(V$5:V$27,后果有效剂量!$K$5:$K$27)*后果有效剂量!$T7+SUMPRODUCT(W$5:W$27,后果有效剂量!$K$5:$K$27)*后果有效剂量!$U7</f>
        <v>0</v>
      </c>
      <c r="S33" s="453">
        <f ca="1">SUMPRODUCT(R$5:R$27,后果甲状腺剂量!$I$5:$I$27)*后果甲状腺剂量!$Q7+SUMPRODUCT(S$5:S$27,后果甲状腺剂量!$I$5:$I$27)*后果甲状腺剂量!$Q7+SUMPRODUCT(T$5:T$27,后果甲状腺剂量!$I$5:$I$27)*后果甲状腺剂量!$R7+SUMPRODUCT(U$5:U$27,后果甲状腺剂量!$I$5:$I$27)*后果甲状腺剂量!$S7+SUMPRODUCT(V$5:V$27,后果甲状腺剂量!$I$5:$I$27)*后果甲状腺剂量!$T7+SUMPRODUCT(W$5:W$27,后果甲状腺剂量!$I$5:$I$27)*后果甲状腺剂量!$U7+SUMPRODUCT(R$5:R$27,后果甲状腺剂量!$J$5:$J$27)*后果甲状腺剂量!$Q7*后果甲状腺剂量!$Q$3+SUMPRODUCT(S$5:S$27,后果甲状腺剂量!$J$5:$J$27)*后果甲状腺剂量!$Q7*后果甲状腺剂量!$Q$3+SUMPRODUCT(T$5:T$27,后果甲状腺剂量!$J$5:$J$27)*后果甲状腺剂量!$R7*后果甲状腺剂量!$R$3+SUMPRODUCT(U$5:U$27,后果甲状腺剂量!$J$5:$J$27)*后果甲状腺剂量!$S7*后果甲状腺剂量!$S$3+SUMPRODUCT(V$5:V$27,后果甲状腺剂量!$J$5:$J$27)*后果甲状腺剂量!$T7*后果甲状腺剂量!$T$3+SUMPRODUCT(W$5:W$27,后果甲状腺剂量!$J$5:$J$27)*后果甲状腺剂量!$U7*后果甲状腺剂量!$U$3+SUMPRODUCT(R$5:R$27,后果甲状腺剂量!$K$5:$K$27)*后果甲状腺剂量!$Q7+SUMPRODUCT(S$5:S$27,后果甲状腺剂量!$K$5:$K$27)*后果甲状腺剂量!$Q7+SUMPRODUCT(T$5:T$27,后果甲状腺剂量!$K$5:$K$27)*后果甲状腺剂量!$R7+SUMPRODUCT(U$5:U$27,后果甲状腺剂量!$K$5:$K$27)*后果甲状腺剂量!$S7+SUMPRODUCT(V$5:V$27,后果甲状腺剂量!$K$5:$K$27)*后果甲状腺剂量!$T7+SUMPRODUCT(W$5:W$27,后果甲状腺剂量!$K$5:$K$27)*后果甲状腺剂量!$U7</f>
        <v>0</v>
      </c>
      <c r="T33" s="454">
        <f ca="1" t="shared" si="255"/>
        <v>0</v>
      </c>
      <c r="U33" s="454">
        <f ca="1" t="shared" si="256"/>
        <v>0</v>
      </c>
      <c r="V33" s="436"/>
      <c r="W33" s="436"/>
      <c r="AN33" s="533"/>
      <c r="AS33" s="572"/>
      <c r="BO33" s="600"/>
      <c r="BP33" s="600"/>
      <c r="CJ33" s="600"/>
      <c r="DZ33" s="600"/>
      <c r="EU33" s="603"/>
      <c r="FP33" s="603"/>
      <c r="FS33" s="441">
        <f>SUMPRODUCT(FS$5:FS$27,后果有效剂量!$I$5:$I$27)*后果有效剂量!$Q7+SUMPRODUCT(FT$5:FT$27,后果有效剂量!$I$5:$I$27)*后果有效剂量!$R7+SUMPRODUCT(FU$5:FU$27,后果有效剂量!$I$5:$I$27)*后果有效剂量!$S7+SUMPRODUCT(FV$5:FV$27,后果有效剂量!$I$5:$I$27)*后果有效剂量!$T7+SUMPRODUCT(FS$5:FS$27,后果有效剂量!$J$5:$J$27)*后果有效剂量!$Q7*后果有效剂量!$Q$3+SUMPRODUCT(FT$5:FT$27,后果有效剂量!$J$5:$J$27)*后果有效剂量!$R7*后果有效剂量!$R$3+SUMPRODUCT(FU$5:FU$27,后果有效剂量!$J$5:$J$27)*后果有效剂量!$S7*后果有效剂量!$S$3+SUMPRODUCT(FV$5:FV$27,后果有效剂量!$J$5:$J$27)*后果有效剂量!$T7*后果有效剂量!$T$3+SUMPRODUCT(FS$5:FS$27,后果有效剂量!$K$5:$K$27)*后果有效剂量!$Q7+SUMPRODUCT(FT$5:FT$27,后果有效剂量!$K$5:$K$27)*后果有效剂量!$R7+SUMPRODUCT(FU$5:FU$27,后果有效剂量!$K$5:$K$27)*后果有效剂量!$S7+SUMPRODUCT(FV$5:FV$27,后果有效剂量!$K$5:$K$27)*后果有效剂量!$T7</f>
        <v>0</v>
      </c>
      <c r="FT33" s="453">
        <f>SUMPRODUCT(FS$5:FS$27,后果甲状腺剂量!$I$5:$I$27)*后果甲状腺剂量!$Q7+SUMPRODUCT(FT$5:FT$27,后果甲状腺剂量!$I$5:$I$27)*后果甲状腺剂量!$R7+SUMPRODUCT(FU$5:FU$27,后果甲状腺剂量!$I$5:$I$27)*后果甲状腺剂量!$S7+SUMPRODUCT(FV$5:FV$27,后果甲状腺剂量!$I$5:$I$27)*后果甲状腺剂量!$T7+SUMPRODUCT(FS$5:FS$27,后果甲状腺剂量!$J$5:$J$27)*后果甲状腺剂量!$Q7*后果甲状腺剂量!$Q$3+SUMPRODUCT(FT$5:FT$27,后果甲状腺剂量!$J$5:$J$27)*后果甲状腺剂量!$R7*后果甲状腺剂量!$R$3+SUMPRODUCT(FU$5:FU$27,后果甲状腺剂量!$J$5:$J$27)*后果甲状腺剂量!$S7*后果甲状腺剂量!$S$3+SUMPRODUCT(FV$5:FV$27,后果甲状腺剂量!$J$5:$J$27)*后果甲状腺剂量!$T7*后果甲状腺剂量!$T$3+SUMPRODUCT(FS$5:FS$27,后果甲状腺剂量!$K$5:$K$27)*后果甲状腺剂量!$Q7+SUMPRODUCT(FT$5:FT$27,后果甲状腺剂量!$K$5:$K$27)*后果甲状腺剂量!$R7+SUMPRODUCT(FU$5:FU$27,后果甲状腺剂量!$K$5:$K$27)*后果甲状腺剂量!$S7+SUMPRODUCT(FV$5:FV$27,后果甲状腺剂量!$K$5:$K$27)*后果甲状腺剂量!$T7</f>
        <v>0</v>
      </c>
      <c r="FU33" s="454">
        <f t="shared" si="257"/>
        <v>0</v>
      </c>
      <c r="FV33" s="454">
        <f t="shared" si="258"/>
        <v>0</v>
      </c>
      <c r="FW33" s="436"/>
      <c r="FX33" s="436"/>
      <c r="GD33" s="440">
        <f>后果有效剂量!$P7</f>
        <v>0</v>
      </c>
      <c r="GE33" s="441">
        <f>SUMPRODUCT(GE$5:GE$27,后果有效剂量!$I$5:$I$27)*后果有效剂量!$Q7+SUMPRODUCT(GF$5:GF$27,后果有效剂量!$I$5:$I$27)*后果有效剂量!$R7+SUMPRODUCT(GG$5:GG$27,后果有效剂量!$I$5:$I$27)*后果有效剂量!$S7+(SUMPRODUCT(GH$5:GH$27,后果有效剂量!$I$5:$I$27)+SUMPRODUCT(GI$5:GI$27,后果有效剂量!$I$5:$I$27))*后果有效剂量!$T7+SUMPRODUCT(GJ$5:GJ$27,后果有效剂量!$I$5:$I$27)*后果有效剂量!$U7+SUMPRODUCT(GE$5:GE$27,后果有效剂量!$J$5:$J$27)*后果有效剂量!$Q7*后果有效剂量!$Q$3+SUMPRODUCT(GF$5:GF$27,后果有效剂量!$J$5:$J$27)*后果有效剂量!$R7*后果有效剂量!$R$3+SUMPRODUCT(GG$5:GG$27,后果有效剂量!$J$5:$J$27)*后果有效剂量!$S7*后果有效剂量!$S$3+(SUMPRODUCT(GH$5:GH$27,后果有效剂量!$J$5:$J$27)+SUMPRODUCT(GI$5:GI$27,后果有效剂量!$J$5:$J$27))*后果有效剂量!$T7*后果有效剂量!$T$3+SUMPRODUCT(GJ$5:GJ$27,后果有效剂量!$J$5:$J$27)*后果有效剂量!$U7*后果有效剂量!$U$3+SUMPRODUCT(GE$5:GE$27,后果有效剂量!$K$5:$K$27)*后果有效剂量!$Q7+SUMPRODUCT(GF$5:GF$27,后果有效剂量!$K$5:$K$27)*后果有效剂量!$R7+SUMPRODUCT(GG$5:GG$27,后果有效剂量!$K$5:$K$27)*后果有效剂量!$S7+(SUMPRODUCT(GH$5:GH$27,后果有效剂量!$K$5:$K$27)+SUMPRODUCT(GI$5:GI$27,后果有效剂量!$K$5:$K$27))*后果有效剂量!$T7+SUMPRODUCT(GJ$5:GJ$27,后果有效剂量!$K$5:$K$27)*后果有效剂量!$U7</f>
        <v>0</v>
      </c>
      <c r="GF33" s="453">
        <f>SUMPRODUCT(GE$5:GE$27,后果甲状腺剂量!$I$5:$I$27)*后果甲状腺剂量!$Q7+SUMPRODUCT(GF$5:GF$27,后果甲状腺剂量!$I$5:$I$27)*后果甲状腺剂量!$R7+SUMPRODUCT(GG$5:GG$27,后果甲状腺剂量!$I$5:$I$27)*后果甲状腺剂量!$S7+(SUMPRODUCT(GH$5:GH$27,后果甲状腺剂量!$I$5:$I$27)+SUMPRODUCT(GI$5:GI$27,后果甲状腺剂量!$I$5:$I$27))*后果甲状腺剂量!$T7+SUMPRODUCT(GJ$5:GJ$27,后果甲状腺剂量!$I$5:$I$27)*后果甲状腺剂量!$U7+SUMPRODUCT(GE$5:GE$27,后果甲状腺剂量!$J$5:$J$27)*后果甲状腺剂量!$Q7*后果甲状腺剂量!$Q$3+SUMPRODUCT(GF$5:GF$27,后果甲状腺剂量!$J$5:$J$27)*后果甲状腺剂量!$R7*后果甲状腺剂量!$R$3+SUMPRODUCT(GG$5:GG$27,后果甲状腺剂量!$J$5:$J$27)*后果甲状腺剂量!$S7*后果甲状腺剂量!$S$3+(SUMPRODUCT(GH$5:GH$27,后果甲状腺剂量!$J$5:$J$27)+SUMPRODUCT(GI$5:GI$27,后果甲状腺剂量!$J$5:$J$27))*后果甲状腺剂量!$T7*后果甲状腺剂量!$T$3+SUMPRODUCT(GJ$5:GJ$27,后果甲状腺剂量!$J$5:$J$27)*后果甲状腺剂量!$U7*后果甲状腺剂量!$U$3+SUMPRODUCT(GE$5:GE$27,后果甲状腺剂量!$K$5:$K$27)*后果甲状腺剂量!$Q7+SUMPRODUCT(GF$5:GF$27,后果甲状腺剂量!$K$5:$K$27)*后果甲状腺剂量!$R7+SUMPRODUCT(GG$5:GG$27,后果甲状腺剂量!$K$5:$K$27)*后果甲状腺剂量!$S7+(SUMPRODUCT(GH$5:GH$27,后果甲状腺剂量!$K$5:$K$27)+SUMPRODUCT(GI$5:GI$27,后果甲状腺剂量!$K$5:$K$27))*后果甲状腺剂量!$T7+SUMPRODUCT(GJ$5:GJ$27,后果甲状腺剂量!$K$5:$K$27)*后果甲状腺剂量!$U7</f>
        <v>0</v>
      </c>
      <c r="GG33" s="454">
        <f t="shared" si="259"/>
        <v>0</v>
      </c>
      <c r="GH33" s="454">
        <f t="shared" si="260"/>
        <v>0</v>
      </c>
      <c r="GI33" s="436"/>
      <c r="GJ33" s="436"/>
    </row>
    <row r="34" spans="1:192">
      <c r="A34" s="442"/>
      <c r="B34" s="407" t="s">
        <v>276</v>
      </c>
      <c r="C34" s="434">
        <f>C31</f>
        <v>1e+20</v>
      </c>
      <c r="D34" s="410" t="s">
        <v>273</v>
      </c>
      <c r="E34" s="409" t="s">
        <v>274</v>
      </c>
      <c r="G34" s="440" t="str">
        <f>后果有效剂量!$P8</f>
        <v>500m</v>
      </c>
      <c r="H34" s="443">
        <f ca="1">SUMPRODUCT(H$5:H$27,后果有效剂量!$I$5:$I$27)*后果有效剂量!$Q8+SUMPRODUCT(I$5:I$27,后果有效剂量!$I$5:$I$27)*后果有效剂量!$Q8+SUMPRODUCT(J$5:J$27,后果有效剂量!$I$5:$I$27)*后果有效剂量!$R8+SUMPRODUCT(K$5:K$27,后果有效剂量!$I$5:$I$27)*后果有效剂量!$S8+SUMPRODUCT(L$5:L$27,后果有效剂量!$I$5:$I$27)*后果有效剂量!$T8+SUMPRODUCT(M$5:M$27,后果有效剂量!$I$5:$I$27)*后果有效剂量!$U8+SUMPRODUCT(H$5:H$27,后果有效剂量!$J$5:$J$27)*后果有效剂量!$Q8*后果有效剂量!$Q$3+SUMPRODUCT(I$5:I$27,后果有效剂量!$J$5:$J$27)*后果有效剂量!$Q8*后果有效剂量!$Q$3+SUMPRODUCT(J$5:J$27,后果有效剂量!$J$5:$J$27)*后果有效剂量!$R8*后果有效剂量!$R$3+SUMPRODUCT(K$5:K$27,后果有效剂量!$J$5:$J$27)*后果有效剂量!$S8*后果有效剂量!$S$3+SUMPRODUCT(L$5:L$27,后果有效剂量!$J$5:$J$27)*后果有效剂量!$T8*后果有效剂量!$T$3+SUMPRODUCT(M$5:M$27,后果有效剂量!$J$5:$J$27)*后果有效剂量!$U8*后果有效剂量!$U$3+SUMPRODUCT(H$5:H$27,后果有效剂量!$K$5:$K$27)*后果有效剂量!$Q8+SUMPRODUCT(I$5:I$27,后果有效剂量!$K$5:$K$27)*后果有效剂量!$Q8+SUMPRODUCT(J$5:J$27,后果有效剂量!$K$5:$K$27)*后果有效剂量!$R8+SUMPRODUCT(K$5:K$27,后果有效剂量!$K$5:$K$27)*后果有效剂量!$S8+SUMPRODUCT(L$5:L$27,后果有效剂量!$K$5:$K$27)*后果有效剂量!$T8+SUMPRODUCT(M$5:M$27,后果有效剂量!$K$5:$K$27)*后果有效剂量!$U8</f>
        <v>0.00085193134320001</v>
      </c>
      <c r="I34" s="456">
        <f ca="1">SUMPRODUCT(H$5:H$27,后果甲状腺剂量!$I$5:$I$27)*后果甲状腺剂量!$Q8+SUMPRODUCT(I$5:I$27,后果甲状腺剂量!$I$5:$I$27)*后果甲状腺剂量!$Q8+SUMPRODUCT(J$5:J$27,后果甲状腺剂量!$I$5:$I$27)*后果甲状腺剂量!$R8+SUMPRODUCT(K$5:K$27,后果甲状腺剂量!$I$5:$I$27)*后果甲状腺剂量!$S8+SUMPRODUCT(L$5:L$27,后果甲状腺剂量!$I$5:$I$27)*后果甲状腺剂量!$T8+SUMPRODUCT(M$5:M$27,后果甲状腺剂量!$I$5:$I$27)*后果甲状腺剂量!$U8+SUMPRODUCT(H$5:H$27,后果甲状腺剂量!$J$5:$J$27)*后果甲状腺剂量!$Q8*后果甲状腺剂量!$Q$3+SUMPRODUCT(I$5:I$27,后果甲状腺剂量!$J$5:$J$27)*后果甲状腺剂量!$Q8*后果甲状腺剂量!$Q$3+SUMPRODUCT(J$5:J$27,后果甲状腺剂量!$J$5:$J$27)*后果甲状腺剂量!$R8*后果甲状腺剂量!$R$3+SUMPRODUCT(K$5:K$27,后果甲状腺剂量!$J$5:$J$27)*后果甲状腺剂量!$S8*后果甲状腺剂量!$S$3+SUMPRODUCT(L$5:L$27,后果甲状腺剂量!$J$5:$J$27)*后果甲状腺剂量!$T8*后果甲状腺剂量!$T$3+SUMPRODUCT(M$5:M$27,后果甲状腺剂量!$J$5:$J$27)*后果甲状腺剂量!$U8*后果甲状腺剂量!$U$3+SUMPRODUCT(H$5:H$27,后果甲状腺剂量!$K$5:$K$27)*后果甲状腺剂量!$Q8+SUMPRODUCT(I$5:I$27,后果甲状腺剂量!$K$5:$K$27)*后果甲状腺剂量!$Q8+SUMPRODUCT(J$5:J$27,后果甲状腺剂量!$K$5:$K$27)*后果甲状腺剂量!$R8+SUMPRODUCT(K$5:K$27,后果甲状腺剂量!$K$5:$K$27)*后果甲状腺剂量!$S8+SUMPRODUCT(L$5:L$27,后果甲状腺剂量!$K$5:$K$27)*后果甲状腺剂量!$T8+SUMPRODUCT(M$5:M$27,后果甲状腺剂量!$K$5:$K$27)*后果甲状腺剂量!$U8</f>
        <v>0.0607641739815759</v>
      </c>
      <c r="J34" s="457">
        <f ca="1" t="shared" si="253"/>
        <v>0.85193134320001</v>
      </c>
      <c r="K34" s="457">
        <f ca="1" t="shared" si="254"/>
        <v>60.7641739815759</v>
      </c>
      <c r="L34" s="458">
        <f ca="1">J34/$C$35</f>
        <v>0.170386268640002</v>
      </c>
      <c r="M34" s="458">
        <f ca="1">K34/$C$36</f>
        <v>1.21528347963152</v>
      </c>
      <c r="N34" s="455"/>
      <c r="Q34" s="440" t="str">
        <f>后果有效剂量!$P8</f>
        <v>500m</v>
      </c>
      <c r="R34" s="443">
        <f ca="1">SUMPRODUCT(R$5:R$27,后果有效剂量!$I$5:$I$27)*后果有效剂量!$Q8+SUMPRODUCT(S$5:S$27,后果有效剂量!$I$5:$I$27)*后果有效剂量!$Q8+SUMPRODUCT(T$5:T$27,后果有效剂量!$I$5:$I$27)*后果有效剂量!$R8+SUMPRODUCT(U$5:U$27,后果有效剂量!$I$5:$I$27)*后果有效剂量!$S8+SUMPRODUCT(V$5:V$27,后果有效剂量!$I$5:$I$27)*后果有效剂量!$T8+SUMPRODUCT(W$5:W$27,后果有效剂量!$I$5:$I$27)*后果有效剂量!$U8+SUMPRODUCT(R$5:R$27,后果有效剂量!$J$5:$J$27)*后果有效剂量!$Q8*后果有效剂量!$Q$3+SUMPRODUCT(S$5:S$27,后果有效剂量!$J$5:$J$27)*后果有效剂量!$Q8*后果有效剂量!$Q$3+SUMPRODUCT(T$5:T$27,后果有效剂量!$J$5:$J$27)*后果有效剂量!$R8*后果有效剂量!$R$3+SUMPRODUCT(U$5:U$27,后果有效剂量!$J$5:$J$27)*后果有效剂量!$S8*后果有效剂量!$S$3+SUMPRODUCT(V$5:V$27,后果有效剂量!$J$5:$J$27)*后果有效剂量!$T8*后果有效剂量!$T$3+SUMPRODUCT(W$5:W$27,后果有效剂量!$J$5:$J$27)*后果有效剂量!$U8*后果有效剂量!$U$3+SUMPRODUCT(R$5:R$27,后果有效剂量!$K$5:$K$27)*后果有效剂量!$Q8+SUMPRODUCT(S$5:S$27,后果有效剂量!$K$5:$K$27)*后果有效剂量!$Q8+SUMPRODUCT(T$5:T$27,后果有效剂量!$K$5:$K$27)*后果有效剂量!$R8+SUMPRODUCT(U$5:U$27,后果有效剂量!$K$5:$K$27)*后果有效剂量!$S8+SUMPRODUCT(V$5:V$27,后果有效剂量!$K$5:$K$27)*后果有效剂量!$T8+SUMPRODUCT(W$5:W$27,后果有效剂量!$K$5:$K$27)*后果有效剂量!$U8</f>
        <v>3.46791288611045e-5</v>
      </c>
      <c r="S34" s="456">
        <f ca="1">SUMPRODUCT(R$5:R$27,后果甲状腺剂量!$I$5:$I$27)*后果甲状腺剂量!$Q8+SUMPRODUCT(S$5:S$27,后果甲状腺剂量!$I$5:$I$27)*后果甲状腺剂量!$Q8+SUMPRODUCT(T$5:T$27,后果甲状腺剂量!$I$5:$I$27)*后果甲状腺剂量!$R8+SUMPRODUCT(U$5:U$27,后果甲状腺剂量!$I$5:$I$27)*后果甲状腺剂量!$S8+SUMPRODUCT(V$5:V$27,后果甲状腺剂量!$I$5:$I$27)*后果甲状腺剂量!$T8+SUMPRODUCT(W$5:W$27,后果甲状腺剂量!$I$5:$I$27)*后果甲状腺剂量!$U8+SUMPRODUCT(R$5:R$27,后果甲状腺剂量!$J$5:$J$27)*后果甲状腺剂量!$Q8*后果甲状腺剂量!$Q$3+SUMPRODUCT(S$5:S$27,后果甲状腺剂量!$J$5:$J$27)*后果甲状腺剂量!$Q8*后果甲状腺剂量!$Q$3+SUMPRODUCT(T$5:T$27,后果甲状腺剂量!$J$5:$J$27)*后果甲状腺剂量!$R8*后果甲状腺剂量!$R$3+SUMPRODUCT(U$5:U$27,后果甲状腺剂量!$J$5:$J$27)*后果甲状腺剂量!$S8*后果甲状腺剂量!$S$3+SUMPRODUCT(V$5:V$27,后果甲状腺剂量!$J$5:$J$27)*后果甲状腺剂量!$T8*后果甲状腺剂量!$T$3+SUMPRODUCT(W$5:W$27,后果甲状腺剂量!$J$5:$J$27)*后果甲状腺剂量!$U8*后果甲状腺剂量!$U$3+SUMPRODUCT(R$5:R$27,后果甲状腺剂量!$K$5:$K$27)*后果甲状腺剂量!$Q8+SUMPRODUCT(S$5:S$27,后果甲状腺剂量!$K$5:$K$27)*后果甲状腺剂量!$Q8+SUMPRODUCT(T$5:T$27,后果甲状腺剂量!$K$5:$K$27)*后果甲状腺剂量!$R8+SUMPRODUCT(U$5:U$27,后果甲状腺剂量!$K$5:$K$27)*后果甲状腺剂量!$S8+SUMPRODUCT(V$5:V$27,后果甲状腺剂量!$K$5:$K$27)*后果甲状腺剂量!$T8+SUMPRODUCT(W$5:W$27,后果甲状腺剂量!$K$5:$K$27)*后果甲状腺剂量!$U8</f>
        <v>0.00302014141315875</v>
      </c>
      <c r="T34" s="457">
        <f ca="1" t="shared" si="255"/>
        <v>0.0346791288611045</v>
      </c>
      <c r="U34" s="457">
        <f ca="1" t="shared" si="256"/>
        <v>3.02014141315875</v>
      </c>
      <c r="V34" s="458">
        <f ca="1">T34/$C$35</f>
        <v>0.00693582577222089</v>
      </c>
      <c r="W34" s="458">
        <f ca="1">U34/$C$36</f>
        <v>0.0604028282631749</v>
      </c>
      <c r="AN34" s="533"/>
      <c r="AS34" s="572"/>
      <c r="BO34" s="600"/>
      <c r="BP34" s="600"/>
      <c r="CJ34" s="600"/>
      <c r="DZ34" s="600"/>
      <c r="EU34" s="603"/>
      <c r="FP34" s="603"/>
      <c r="FS34" s="443">
        <f>SUMPRODUCT(FS$5:FS$27,后果有效剂量!$I$5:$I$27)*后果有效剂量!$Q8+SUMPRODUCT(FT$5:FT$27,后果有效剂量!$I$5:$I$27)*后果有效剂量!$R8+SUMPRODUCT(FU$5:FU$27,后果有效剂量!$I$5:$I$27)*后果有效剂量!$S8+SUMPRODUCT(FV$5:FV$27,后果有效剂量!$I$5:$I$27)*后果有效剂量!$T8+SUMPRODUCT(FS$5:FS$27,后果有效剂量!$J$5:$J$27)*后果有效剂量!$Q8*后果有效剂量!$Q$3+SUMPRODUCT(FT$5:FT$27,后果有效剂量!$J$5:$J$27)*后果有效剂量!$R8*后果有效剂量!$R$3+SUMPRODUCT(FU$5:FU$27,后果有效剂量!$J$5:$J$27)*后果有效剂量!$S8*后果有效剂量!$S$3+SUMPRODUCT(FV$5:FV$27,后果有效剂量!$J$5:$J$27)*后果有效剂量!$T8*后果有效剂量!$T$3+SUMPRODUCT(FS$5:FS$27,后果有效剂量!$K$5:$K$27)*后果有效剂量!$Q8+SUMPRODUCT(FT$5:FT$27,后果有效剂量!$K$5:$K$27)*后果有效剂量!$R8+SUMPRODUCT(FU$5:FU$27,后果有效剂量!$K$5:$K$27)*后果有效剂量!$S8+SUMPRODUCT(FV$5:FV$27,后果有效剂量!$K$5:$K$27)*后果有效剂量!$T8</f>
        <v>0.000430699305079664</v>
      </c>
      <c r="FT34" s="456">
        <f>SUMPRODUCT(FS$5:FS$27,后果甲状腺剂量!$I$5:$I$27)*后果甲状腺剂量!$Q8+SUMPRODUCT(FT$5:FT$27,后果甲状腺剂量!$I$5:$I$27)*后果甲状腺剂量!$R8+SUMPRODUCT(FU$5:FU$27,后果甲状腺剂量!$I$5:$I$27)*后果甲状腺剂量!$S8+SUMPRODUCT(FV$5:FV$27,后果甲状腺剂量!$I$5:$I$27)*后果甲状腺剂量!$T8+SUMPRODUCT(FS$5:FS$27,后果甲状腺剂量!$J$5:$J$27)*后果甲状腺剂量!$Q8*后果甲状腺剂量!$Q$3+SUMPRODUCT(FT$5:FT$27,后果甲状腺剂量!$J$5:$J$27)*后果甲状腺剂量!$R8*后果甲状腺剂量!$R$3+SUMPRODUCT(FU$5:FU$27,后果甲状腺剂量!$J$5:$J$27)*后果甲状腺剂量!$S8*后果甲状腺剂量!$S$3+SUMPRODUCT(FV$5:FV$27,后果甲状腺剂量!$J$5:$J$27)*后果甲状腺剂量!$T8*后果甲状腺剂量!$T$3+SUMPRODUCT(FS$5:FS$27,后果甲状腺剂量!$K$5:$K$27)*后果甲状腺剂量!$Q8+SUMPRODUCT(FT$5:FT$27,后果甲状腺剂量!$K$5:$K$27)*后果甲状腺剂量!$R8+SUMPRODUCT(FU$5:FU$27,后果甲状腺剂量!$K$5:$K$27)*后果甲状腺剂量!$S8+SUMPRODUCT(FV$5:FV$27,后果甲状腺剂量!$K$5:$K$27)*后果甲状腺剂量!$T8</f>
        <v>0.0235018831581312</v>
      </c>
      <c r="FU34" s="457">
        <f t="shared" si="257"/>
        <v>0.430699305079664</v>
      </c>
      <c r="FV34" s="457">
        <f t="shared" si="258"/>
        <v>23.5018831581312</v>
      </c>
      <c r="FW34" s="459">
        <f>FU34/10*100</f>
        <v>4.30699305079664</v>
      </c>
      <c r="FX34" s="459">
        <f>FV34/100*100</f>
        <v>23.5018831581312</v>
      </c>
      <c r="GD34" s="440" t="str">
        <f>后果有效剂量!$P8</f>
        <v>500m</v>
      </c>
      <c r="GE34" s="443">
        <f>SUMPRODUCT(GE$5:GE$27,后果有效剂量!$I$5:$I$27)*后果有效剂量!$Q8+SUMPRODUCT(GF$5:GF$27,后果有效剂量!$I$5:$I$27)*后果有效剂量!$R8+SUMPRODUCT(GG$5:GG$27,后果有效剂量!$I$5:$I$27)*后果有效剂量!$S8+(SUMPRODUCT(GH$5:GH$27,后果有效剂量!$I$5:$I$27)+SUMPRODUCT(GI$5:GI$27,后果有效剂量!$I$5:$I$27))*后果有效剂量!$T8+SUMPRODUCT(GJ$5:GJ$27,后果有效剂量!$I$5:$I$27)*后果有效剂量!$U8+SUMPRODUCT(GE$5:GE$27,后果有效剂量!$J$5:$J$27)*后果有效剂量!$Q8*后果有效剂量!$Q$3+SUMPRODUCT(GF$5:GF$27,后果有效剂量!$J$5:$J$27)*后果有效剂量!$R8*后果有效剂量!$R$3+SUMPRODUCT(GG$5:GG$27,后果有效剂量!$J$5:$J$27)*后果有效剂量!$S8*后果有效剂量!$S$3+(SUMPRODUCT(GH$5:GH$27,后果有效剂量!$J$5:$J$27)+SUMPRODUCT(GI$5:GI$27,后果有效剂量!$J$5:$J$27))*后果有效剂量!$T8*后果有效剂量!$T$3+SUMPRODUCT(GJ$5:GJ$27,后果有效剂量!$J$5:$J$27)*后果有效剂量!$U8*后果有效剂量!$U$3+SUMPRODUCT(GE$5:GE$27,后果有效剂量!$K$5:$K$27)*后果有效剂量!$Q8+SUMPRODUCT(GF$5:GF$27,后果有效剂量!$K$5:$K$27)*后果有效剂量!$R8+SUMPRODUCT(GG$5:GG$27,后果有效剂量!$K$5:$K$27)*后果有效剂量!$S8+(SUMPRODUCT(GH$5:GH$27,后果有效剂量!$K$5:$K$27)+SUMPRODUCT(GI$5:GI$27,后果有效剂量!$K$5:$K$27))*后果有效剂量!$T8+SUMPRODUCT(GJ$5:GJ$27,后果有效剂量!$K$5:$K$27)*后果有效剂量!$U8</f>
        <v>0.000177662497114534</v>
      </c>
      <c r="GF34" s="456">
        <f>SUMPRODUCT(GE$5:GE$27,后果甲状腺剂量!$I$5:$I$27)*后果甲状腺剂量!$Q8+SUMPRODUCT(GF$5:GF$27,后果甲状腺剂量!$I$5:$I$27)*后果甲状腺剂量!$R8+SUMPRODUCT(GG$5:GG$27,后果甲状腺剂量!$I$5:$I$27)*后果甲状腺剂量!$S8+(SUMPRODUCT(GH$5:GH$27,后果甲状腺剂量!$I$5:$I$27)+SUMPRODUCT(GI$5:GI$27,后果甲状腺剂量!$I$5:$I$27))*后果甲状腺剂量!$T8+SUMPRODUCT(GJ$5:GJ$27,后果甲状腺剂量!$I$5:$I$27)*后果甲状腺剂量!$U8+SUMPRODUCT(GE$5:GE$27,后果甲状腺剂量!$J$5:$J$27)*后果甲状腺剂量!$Q8*后果甲状腺剂量!$Q$3+SUMPRODUCT(GF$5:GF$27,后果甲状腺剂量!$J$5:$J$27)*后果甲状腺剂量!$R8*后果甲状腺剂量!$R$3+SUMPRODUCT(GG$5:GG$27,后果甲状腺剂量!$J$5:$J$27)*后果甲状腺剂量!$S8*后果甲状腺剂量!$S$3+(SUMPRODUCT(GH$5:GH$27,后果甲状腺剂量!$J$5:$J$27)+SUMPRODUCT(GI$5:GI$27,后果甲状腺剂量!$J$5:$J$27))*后果甲状腺剂量!$T8*后果甲状腺剂量!$T$3+SUMPRODUCT(GJ$5:GJ$27,后果甲状腺剂量!$J$5:$J$27)*后果甲状腺剂量!$U8*后果甲状腺剂量!$U$3+SUMPRODUCT(GE$5:GE$27,后果甲状腺剂量!$K$5:$K$27)*后果甲状腺剂量!$Q8+SUMPRODUCT(GF$5:GF$27,后果甲状腺剂量!$K$5:$K$27)*后果甲状腺剂量!$R8+SUMPRODUCT(GG$5:GG$27,后果甲状腺剂量!$K$5:$K$27)*后果甲状腺剂量!$S8+(SUMPRODUCT(GH$5:GH$27,后果甲状腺剂量!$K$5:$K$27)+SUMPRODUCT(GI$5:GI$27,后果甲状腺剂量!$K$5:$K$27))*后果甲状腺剂量!$T8+SUMPRODUCT(GJ$5:GJ$27,后果甲状腺剂量!$K$5:$K$27)*后果甲状腺剂量!$U8</f>
        <v>0.00783546060769133</v>
      </c>
      <c r="GG34" s="457">
        <f t="shared" si="259"/>
        <v>0.177662497114534</v>
      </c>
      <c r="GH34" s="457">
        <f t="shared" si="260"/>
        <v>7.83546060769133</v>
      </c>
      <c r="GI34" s="459">
        <f>GG34/10*100</f>
        <v>1.77662497114534</v>
      </c>
      <c r="GJ34" s="459">
        <f>GH34/100*100</f>
        <v>7.83546060769132</v>
      </c>
    </row>
    <row r="35" spans="1:192">
      <c r="A35" s="444" t="s">
        <v>294</v>
      </c>
      <c r="B35" s="445" t="s">
        <v>290</v>
      </c>
      <c r="C35" s="422">
        <v>5</v>
      </c>
      <c r="D35" s="410" t="s">
        <v>281</v>
      </c>
      <c r="E35" s="409" t="s">
        <v>295</v>
      </c>
      <c r="G35" s="440" t="str">
        <f>后果有效剂量!$P9</f>
        <v>1500m</v>
      </c>
      <c r="H35" s="441">
        <f ca="1">SUMPRODUCT(H$5:H$27,后果有效剂量!$I$5:$I$27)*后果有效剂量!$Q9+SUMPRODUCT(I$5:I$27,后果有效剂量!$I$5:$I$27)*后果有效剂量!$Q9+SUMPRODUCT(J$5:J$27,后果有效剂量!$I$5:$I$27)*后果有效剂量!$R9+SUMPRODUCT(K$5:K$27,后果有效剂量!$I$5:$I$27)*后果有效剂量!$S9+SUMPRODUCT(L$5:L$27,后果有效剂量!$I$5:$I$27)*后果有效剂量!$T9+SUMPRODUCT(M$5:M$27,后果有效剂量!$I$5:$I$27)*后果有效剂量!$U9+SUMPRODUCT(H$5:H$27,后果有效剂量!$J$5:$J$27)*后果有效剂量!$Q9*后果有效剂量!$Q$3+SUMPRODUCT(I$5:I$27,后果有效剂量!$J$5:$J$27)*后果有效剂量!$Q9*后果有效剂量!$Q$3+SUMPRODUCT(J$5:J$27,后果有效剂量!$J$5:$J$27)*后果有效剂量!$R9*后果有效剂量!$R$3+SUMPRODUCT(K$5:K$27,后果有效剂量!$J$5:$J$27)*后果有效剂量!$S9*后果有效剂量!$S$3+SUMPRODUCT(L$5:L$27,后果有效剂量!$J$5:$J$27)*后果有效剂量!$T9*后果有效剂量!$T$3+SUMPRODUCT(M$5:M$27,后果有效剂量!$J$5:$J$27)*后果有效剂量!$U9*后果有效剂量!$U$3+SUMPRODUCT(H$5:H$27,后果有效剂量!$K$5:$K$27)*后果有效剂量!$Q9+SUMPRODUCT(I$5:I$27,后果有效剂量!$K$5:$K$27)*后果有效剂量!$Q9+SUMPRODUCT(J$5:J$27,后果有效剂量!$K$5:$K$27)*后果有效剂量!$R9+SUMPRODUCT(K$5:K$27,后果有效剂量!$K$5:$K$27)*后果有效剂量!$S9+SUMPRODUCT(L$5:L$27,后果有效剂量!$K$5:$K$27)*后果有效剂量!$T9+SUMPRODUCT(M$5:M$27,后果有效剂量!$K$5:$K$27)*后果有效剂量!$U9</f>
        <v>0.000285908931504765</v>
      </c>
      <c r="I35" s="453">
        <f ca="1">SUMPRODUCT(H$5:H$27,后果甲状腺剂量!$I$5:$I$27)*后果甲状腺剂量!$Q9+SUMPRODUCT(I$5:I$27,后果甲状腺剂量!$I$5:$I$27)*后果甲状腺剂量!$Q9+SUMPRODUCT(J$5:J$27,后果甲状腺剂量!$I$5:$I$27)*后果甲状腺剂量!$R9+SUMPRODUCT(K$5:K$27,后果甲状腺剂量!$I$5:$I$27)*后果甲状腺剂量!$S9+SUMPRODUCT(L$5:L$27,后果甲状腺剂量!$I$5:$I$27)*后果甲状腺剂量!$T9+SUMPRODUCT(M$5:M$27,后果甲状腺剂量!$I$5:$I$27)*后果甲状腺剂量!$U9+SUMPRODUCT(H$5:H$27,后果甲状腺剂量!$J$5:$J$27)*后果甲状腺剂量!$Q9*后果甲状腺剂量!$Q$3+SUMPRODUCT(I$5:I$27,后果甲状腺剂量!$J$5:$J$27)*后果甲状腺剂量!$Q9*后果甲状腺剂量!$Q$3+SUMPRODUCT(J$5:J$27,后果甲状腺剂量!$J$5:$J$27)*后果甲状腺剂量!$R9*后果甲状腺剂量!$R$3+SUMPRODUCT(K$5:K$27,后果甲状腺剂量!$J$5:$J$27)*后果甲状腺剂量!$S9*后果甲状腺剂量!$S$3+SUMPRODUCT(L$5:L$27,后果甲状腺剂量!$J$5:$J$27)*后果甲状腺剂量!$T9*后果甲状腺剂量!$T$3+SUMPRODUCT(M$5:M$27,后果甲状腺剂量!$J$5:$J$27)*后果甲状腺剂量!$U9*后果甲状腺剂量!$U$3+SUMPRODUCT(H$5:H$27,后果甲状腺剂量!$K$5:$K$27)*后果甲状腺剂量!$Q9+SUMPRODUCT(I$5:I$27,后果甲状腺剂量!$K$5:$K$27)*后果甲状腺剂量!$Q9+SUMPRODUCT(J$5:J$27,后果甲状腺剂量!$K$5:$K$27)*后果甲状腺剂量!$R9+SUMPRODUCT(K$5:K$27,后果甲状腺剂量!$K$5:$K$27)*后果甲状腺剂量!$S9+SUMPRODUCT(L$5:L$27,后果甲状腺剂量!$K$5:$K$27)*后果甲状腺剂量!$T9+SUMPRODUCT(M$5:M$27,后果甲状腺剂量!$K$5:$K$27)*后果甲状腺剂量!$U9</f>
        <v>0.0223134015932344</v>
      </c>
      <c r="J35" s="454">
        <f ca="1" t="shared" si="253"/>
        <v>0.285908931504765</v>
      </c>
      <c r="K35" s="454">
        <f ca="1" t="shared" si="254"/>
        <v>22.3134015932344</v>
      </c>
      <c r="L35" s="436"/>
      <c r="M35" s="436"/>
      <c r="N35" s="455"/>
      <c r="Q35" s="440" t="str">
        <f>后果有效剂量!$P9</f>
        <v>1500m</v>
      </c>
      <c r="R35" s="441">
        <f ca="1">SUMPRODUCT(R$5:R$27,后果有效剂量!$I$5:$I$27)*后果有效剂量!$Q9+SUMPRODUCT(S$5:S$27,后果有效剂量!$I$5:$I$27)*后果有效剂量!$Q9+SUMPRODUCT(T$5:T$27,后果有效剂量!$I$5:$I$27)*后果有效剂量!$R9+SUMPRODUCT(U$5:U$27,后果有效剂量!$I$5:$I$27)*后果有效剂量!$S9+SUMPRODUCT(V$5:V$27,后果有效剂量!$I$5:$I$27)*后果有效剂量!$T9+SUMPRODUCT(W$5:W$27,后果有效剂量!$I$5:$I$27)*后果有效剂量!$U9+SUMPRODUCT(R$5:R$27,后果有效剂量!$J$5:$J$27)*后果有效剂量!$Q9*后果有效剂量!$Q$3+SUMPRODUCT(S$5:S$27,后果有效剂量!$J$5:$J$27)*后果有效剂量!$Q9*后果有效剂量!$Q$3+SUMPRODUCT(T$5:T$27,后果有效剂量!$J$5:$J$27)*后果有效剂量!$R9*后果有效剂量!$R$3+SUMPRODUCT(U$5:U$27,后果有效剂量!$J$5:$J$27)*后果有效剂量!$S9*后果有效剂量!$S$3+SUMPRODUCT(V$5:V$27,后果有效剂量!$J$5:$J$27)*后果有效剂量!$T9*后果有效剂量!$T$3+SUMPRODUCT(W$5:W$27,后果有效剂量!$J$5:$J$27)*后果有效剂量!$U9*后果有效剂量!$U$3+SUMPRODUCT(R$5:R$27,后果有效剂量!$K$5:$K$27)*后果有效剂量!$Q9+SUMPRODUCT(S$5:S$27,后果有效剂量!$K$5:$K$27)*后果有效剂量!$Q9+SUMPRODUCT(T$5:T$27,后果有效剂量!$K$5:$K$27)*后果有效剂量!$R9+SUMPRODUCT(U$5:U$27,后果有效剂量!$K$5:$K$27)*后果有效剂量!$S9+SUMPRODUCT(V$5:V$27,后果有效剂量!$K$5:$K$27)*后果有效剂量!$T9+SUMPRODUCT(W$5:W$27,后果有效剂量!$K$5:$K$27)*后果有效剂量!$U9</f>
        <v>1.16383471007788e-5</v>
      </c>
      <c r="S35" s="453">
        <f ca="1">SUMPRODUCT(R$5:R$27,后果甲状腺剂量!$I$5:$I$27)*后果甲状腺剂量!$Q9+SUMPRODUCT(S$5:S$27,后果甲状腺剂量!$I$5:$I$27)*后果甲状腺剂量!$Q9+SUMPRODUCT(T$5:T$27,后果甲状腺剂量!$I$5:$I$27)*后果甲状腺剂量!$R9+SUMPRODUCT(U$5:U$27,后果甲状腺剂量!$I$5:$I$27)*后果甲状腺剂量!$S9+SUMPRODUCT(V$5:V$27,后果甲状腺剂量!$I$5:$I$27)*后果甲状腺剂量!$T9+SUMPRODUCT(W$5:W$27,后果甲状腺剂量!$I$5:$I$27)*后果甲状腺剂量!$U9+SUMPRODUCT(R$5:R$27,后果甲状腺剂量!$J$5:$J$27)*后果甲状腺剂量!$Q9*后果甲状腺剂量!$Q$3+SUMPRODUCT(S$5:S$27,后果甲状腺剂量!$J$5:$J$27)*后果甲状腺剂量!$Q9*后果甲状腺剂量!$Q$3+SUMPRODUCT(T$5:T$27,后果甲状腺剂量!$J$5:$J$27)*后果甲状腺剂量!$R9*后果甲状腺剂量!$R$3+SUMPRODUCT(U$5:U$27,后果甲状腺剂量!$J$5:$J$27)*后果甲状腺剂量!$S9*后果甲状腺剂量!$S$3+SUMPRODUCT(V$5:V$27,后果甲状腺剂量!$J$5:$J$27)*后果甲状腺剂量!$T9*后果甲状腺剂量!$T$3+SUMPRODUCT(W$5:W$27,后果甲状腺剂量!$J$5:$J$27)*后果甲状腺剂量!$U9*后果甲状腺剂量!$U$3+SUMPRODUCT(R$5:R$27,后果甲状腺剂量!$K$5:$K$27)*后果甲状腺剂量!$Q9+SUMPRODUCT(S$5:S$27,后果甲状腺剂量!$K$5:$K$27)*后果甲状腺剂量!$Q9+SUMPRODUCT(T$5:T$27,后果甲状腺剂量!$K$5:$K$27)*后果甲状腺剂量!$R9+SUMPRODUCT(U$5:U$27,后果甲状腺剂量!$K$5:$K$27)*后果甲状腺剂量!$S9+SUMPRODUCT(V$5:V$27,后果甲状腺剂量!$K$5:$K$27)*后果甲状腺剂量!$T9+SUMPRODUCT(W$5:W$27,后果甲状腺剂量!$K$5:$K$27)*后果甲状腺剂量!$U9</f>
        <v>0.00110903553532386</v>
      </c>
      <c r="T35" s="454">
        <f ca="1" t="shared" si="255"/>
        <v>0.0116383471007788</v>
      </c>
      <c r="U35" s="454">
        <f ca="1" t="shared" si="256"/>
        <v>1.10903553532386</v>
      </c>
      <c r="V35" s="436"/>
      <c r="W35" s="436"/>
      <c r="AN35" s="533"/>
      <c r="AS35" s="572"/>
      <c r="BO35" s="600"/>
      <c r="BP35" s="600"/>
      <c r="CJ35" s="600"/>
      <c r="DZ35" s="600"/>
      <c r="EU35" s="603"/>
      <c r="FP35" s="603"/>
      <c r="FS35" s="441">
        <f>SUMPRODUCT(FS$5:FS$27,后果有效剂量!$I$5:$I$27)*后果有效剂量!$Q9+SUMPRODUCT(FT$5:FT$27,后果有效剂量!$I$5:$I$27)*后果有效剂量!$R9+SUMPRODUCT(FU$5:FU$27,后果有效剂量!$I$5:$I$27)*后果有效剂量!$S9+SUMPRODUCT(FV$5:FV$27,后果有效剂量!$I$5:$I$27)*后果有效剂量!$T9+SUMPRODUCT(FS$5:FS$27,后果有效剂量!$J$5:$J$27)*后果有效剂量!$Q9*后果有效剂量!$Q$3+SUMPRODUCT(FT$5:FT$27,后果有效剂量!$J$5:$J$27)*后果有效剂量!$R9*后果有效剂量!$R$3+SUMPRODUCT(FU$5:FU$27,后果有效剂量!$J$5:$J$27)*后果有效剂量!$S9*后果有效剂量!$S$3+SUMPRODUCT(FV$5:FV$27,后果有效剂量!$J$5:$J$27)*后果有效剂量!$T9*后果有效剂量!$T$3+SUMPRODUCT(FS$5:FS$27,后果有效剂量!$K$5:$K$27)*后果有效剂量!$Q9+SUMPRODUCT(FT$5:FT$27,后果有效剂量!$K$5:$K$27)*后果有效剂量!$R9+SUMPRODUCT(FU$5:FU$27,后果有效剂量!$K$5:$K$27)*后果有效剂量!$S9+SUMPRODUCT(FV$5:FV$27,后果有效剂量!$K$5:$K$27)*后果有效剂量!$T9</f>
        <v>0.000122787235560545</v>
      </c>
      <c r="FT35" s="453">
        <f>SUMPRODUCT(FS$5:FS$27,后果甲状腺剂量!$I$5:$I$27)*后果甲状腺剂量!$Q9+SUMPRODUCT(FT$5:FT$27,后果甲状腺剂量!$I$5:$I$27)*后果甲状腺剂量!$R9+SUMPRODUCT(FU$5:FU$27,后果甲状腺剂量!$I$5:$I$27)*后果甲状腺剂量!$S9+SUMPRODUCT(FV$5:FV$27,后果甲状腺剂量!$I$5:$I$27)*后果甲状腺剂量!$T9+SUMPRODUCT(FS$5:FS$27,后果甲状腺剂量!$J$5:$J$27)*后果甲状腺剂量!$Q9*后果甲状腺剂量!$Q$3+SUMPRODUCT(FT$5:FT$27,后果甲状腺剂量!$J$5:$J$27)*后果甲状腺剂量!$R9*后果甲状腺剂量!$R$3+SUMPRODUCT(FU$5:FU$27,后果甲状腺剂量!$J$5:$J$27)*后果甲状腺剂量!$S9*后果甲状腺剂量!$S$3+SUMPRODUCT(FV$5:FV$27,后果甲状腺剂量!$J$5:$J$27)*后果甲状腺剂量!$T9*后果甲状腺剂量!$T$3+SUMPRODUCT(FS$5:FS$27,后果甲状腺剂量!$K$5:$K$27)*后果甲状腺剂量!$Q9+SUMPRODUCT(FT$5:FT$27,后果甲状腺剂量!$K$5:$K$27)*后果甲状腺剂量!$R9+SUMPRODUCT(FU$5:FU$27,后果甲状腺剂量!$K$5:$K$27)*后果甲状腺剂量!$S9+SUMPRODUCT(FV$5:FV$27,后果甲状腺剂量!$K$5:$K$27)*后果甲状腺剂量!$T9</f>
        <v>0.00717817440586791</v>
      </c>
      <c r="FU35" s="454">
        <f t="shared" si="257"/>
        <v>0.122787235560545</v>
      </c>
      <c r="FV35" s="454">
        <f t="shared" si="258"/>
        <v>7.17817440586791</v>
      </c>
      <c r="FW35" s="436"/>
      <c r="FX35" s="436"/>
      <c r="GD35" s="440" t="str">
        <f>后果有效剂量!$P9</f>
        <v>1500m</v>
      </c>
      <c r="GE35" s="441">
        <f>SUMPRODUCT(GE$5:GE$27,后果有效剂量!$I$5:$I$27)*后果有效剂量!$Q9+SUMPRODUCT(GF$5:GF$27,后果有效剂量!$I$5:$I$27)*后果有效剂量!$R9+SUMPRODUCT(GG$5:GG$27,后果有效剂量!$I$5:$I$27)*后果有效剂量!$S9+(SUMPRODUCT(GH$5:GH$27,后果有效剂量!$I$5:$I$27)+SUMPRODUCT(GI$5:GI$27,后果有效剂量!$I$5:$I$27))*后果有效剂量!$T9+SUMPRODUCT(GJ$5:GJ$27,后果有效剂量!$I$5:$I$27)*后果有效剂量!$U9+SUMPRODUCT(GE$5:GE$27,后果有效剂量!$J$5:$J$27)*后果有效剂量!$Q9*后果有效剂量!$Q$3+SUMPRODUCT(GF$5:GF$27,后果有效剂量!$J$5:$J$27)*后果有效剂量!$R9*后果有效剂量!$R$3+SUMPRODUCT(GG$5:GG$27,后果有效剂量!$J$5:$J$27)*后果有效剂量!$S9*后果有效剂量!$S$3+(SUMPRODUCT(GH$5:GH$27,后果有效剂量!$J$5:$J$27)+SUMPRODUCT(GI$5:GI$27,后果有效剂量!$J$5:$J$27))*后果有效剂量!$T9*后果有效剂量!$T$3+SUMPRODUCT(GJ$5:GJ$27,后果有效剂量!$J$5:$J$27)*后果有效剂量!$U9*后果有效剂量!$U$3+SUMPRODUCT(GE$5:GE$27,后果有效剂量!$K$5:$K$27)*后果有效剂量!$Q9+SUMPRODUCT(GF$5:GF$27,后果有效剂量!$K$5:$K$27)*后果有效剂量!$R9+SUMPRODUCT(GG$5:GG$27,后果有效剂量!$K$5:$K$27)*后果有效剂量!$S9+(SUMPRODUCT(GH$5:GH$27,后果有效剂量!$K$5:$K$27)+SUMPRODUCT(GI$5:GI$27,后果有效剂量!$K$5:$K$27))*后果有效剂量!$T9+SUMPRODUCT(GJ$5:GJ$27,后果有效剂量!$K$5:$K$27)*后果有效剂量!$U9</f>
        <v>4.31227309385956e-5</v>
      </c>
      <c r="GF35" s="453">
        <f>SUMPRODUCT(GE$5:GE$27,后果甲状腺剂量!$I$5:$I$27)*后果甲状腺剂量!$Q9+SUMPRODUCT(GF$5:GF$27,后果甲状腺剂量!$I$5:$I$27)*后果甲状腺剂量!$R9+SUMPRODUCT(GG$5:GG$27,后果甲状腺剂量!$I$5:$I$27)*后果甲状腺剂量!$S9+(SUMPRODUCT(GH$5:GH$27,后果甲状腺剂量!$I$5:$I$27)+SUMPRODUCT(GI$5:GI$27,后果甲状腺剂量!$I$5:$I$27))*后果甲状腺剂量!$T9+SUMPRODUCT(GJ$5:GJ$27,后果甲状腺剂量!$I$5:$I$27)*后果甲状腺剂量!$U9+SUMPRODUCT(GE$5:GE$27,后果甲状腺剂量!$J$5:$J$27)*后果甲状腺剂量!$Q9*后果甲状腺剂量!$Q$3+SUMPRODUCT(GF$5:GF$27,后果甲状腺剂量!$J$5:$J$27)*后果甲状腺剂量!$R9*后果甲状腺剂量!$R$3+SUMPRODUCT(GG$5:GG$27,后果甲状腺剂量!$J$5:$J$27)*后果甲状腺剂量!$S9*后果甲状腺剂量!$S$3+(SUMPRODUCT(GH$5:GH$27,后果甲状腺剂量!$J$5:$J$27)+SUMPRODUCT(GI$5:GI$27,后果甲状腺剂量!$J$5:$J$27))*后果甲状腺剂量!$T9*后果甲状腺剂量!$T$3+SUMPRODUCT(GJ$5:GJ$27,后果甲状腺剂量!$J$5:$J$27)*后果甲状腺剂量!$U9*后果甲状腺剂量!$U$3+SUMPRODUCT(GE$5:GE$27,后果甲状腺剂量!$K$5:$K$27)*后果甲状腺剂量!$Q9+SUMPRODUCT(GF$5:GF$27,后果甲状腺剂量!$K$5:$K$27)*后果甲状腺剂量!$R9+SUMPRODUCT(GG$5:GG$27,后果甲状腺剂量!$K$5:$K$27)*后果甲状腺剂量!$S9+(SUMPRODUCT(GH$5:GH$27,后果甲状腺剂量!$K$5:$K$27)+SUMPRODUCT(GI$5:GI$27,后果甲状腺剂量!$K$5:$K$27))*后果甲状腺剂量!$T9+SUMPRODUCT(GJ$5:GJ$27,后果甲状腺剂量!$K$5:$K$27)*后果甲状腺剂量!$U9</f>
        <v>0.00196417473419171</v>
      </c>
      <c r="GG35" s="454">
        <f t="shared" si="259"/>
        <v>0.0431227309385956</v>
      </c>
      <c r="GH35" s="454">
        <f t="shared" si="260"/>
        <v>1.96417473419171</v>
      </c>
      <c r="GI35" s="436"/>
      <c r="GJ35" s="436"/>
    </row>
    <row r="36" spans="1:192">
      <c r="A36" s="446"/>
      <c r="B36" s="445" t="s">
        <v>291</v>
      </c>
      <c r="C36" s="422">
        <v>50</v>
      </c>
      <c r="D36" s="410" t="s">
        <v>281</v>
      </c>
      <c r="E36" s="410"/>
      <c r="G36" s="440" t="str">
        <f>后果有效剂量!$P10</f>
        <v>2500m</v>
      </c>
      <c r="H36" s="441">
        <f ca="1">SUMPRODUCT(H$5:H$27,后果有效剂量!$I$5:$I$27)*后果有效剂量!$Q10+SUMPRODUCT(I$5:I$27,后果有效剂量!$I$5:$I$27)*后果有效剂量!$Q10+SUMPRODUCT(J$5:J$27,后果有效剂量!$I$5:$I$27)*后果有效剂量!$R10+SUMPRODUCT(K$5:K$27,后果有效剂量!$I$5:$I$27)*后果有效剂量!$S10+SUMPRODUCT(L$5:L$27,后果有效剂量!$I$5:$I$27)*后果有效剂量!$T10+SUMPRODUCT(M$5:M$27,后果有效剂量!$I$5:$I$27)*后果有效剂量!$U10+SUMPRODUCT(H$5:H$27,后果有效剂量!$J$5:$J$27)*后果有效剂量!$Q10*后果有效剂量!$Q$3+SUMPRODUCT(I$5:I$27,后果有效剂量!$J$5:$J$27)*后果有效剂量!$Q10*后果有效剂量!$Q$3+SUMPRODUCT(J$5:J$27,后果有效剂量!$J$5:$J$27)*后果有效剂量!$R10*后果有效剂量!$R$3+SUMPRODUCT(K$5:K$27,后果有效剂量!$J$5:$J$27)*后果有效剂量!$S10*后果有效剂量!$S$3+SUMPRODUCT(L$5:L$27,后果有效剂量!$J$5:$J$27)*后果有效剂量!$T10*后果有效剂量!$T$3+SUMPRODUCT(M$5:M$27,后果有效剂量!$J$5:$J$27)*后果有效剂量!$U10*后果有效剂量!$U$3+SUMPRODUCT(H$5:H$27,后果有效剂量!$K$5:$K$27)*后果有效剂量!$Q10+SUMPRODUCT(I$5:I$27,后果有效剂量!$K$5:$K$27)*后果有效剂量!$Q10+SUMPRODUCT(J$5:J$27,后果有效剂量!$K$5:$K$27)*后果有效剂量!$R10+SUMPRODUCT(K$5:K$27,后果有效剂量!$K$5:$K$27)*后果有效剂量!$S10+SUMPRODUCT(L$5:L$27,后果有效剂量!$K$5:$K$27)*后果有效剂量!$T10+SUMPRODUCT(M$5:M$27,后果有效剂量!$K$5:$K$27)*后果有效剂量!$U10</f>
        <v>0.000193181710476192</v>
      </c>
      <c r="I36" s="453">
        <f ca="1">SUMPRODUCT(H$5:H$27,后果甲状腺剂量!$I$5:$I$27)*后果甲状腺剂量!$Q10+SUMPRODUCT(I$5:I$27,后果甲状腺剂量!$I$5:$I$27)*后果甲状腺剂量!$Q10+SUMPRODUCT(J$5:J$27,后果甲状腺剂量!$I$5:$I$27)*后果甲状腺剂量!$R10+SUMPRODUCT(K$5:K$27,后果甲状腺剂量!$I$5:$I$27)*后果甲状腺剂量!$S10+SUMPRODUCT(L$5:L$27,后果甲状腺剂量!$I$5:$I$27)*后果甲状腺剂量!$T10+SUMPRODUCT(M$5:M$27,后果甲状腺剂量!$I$5:$I$27)*后果甲状腺剂量!$U10+SUMPRODUCT(H$5:H$27,后果甲状腺剂量!$J$5:$J$27)*后果甲状腺剂量!$Q10*后果甲状腺剂量!$Q$3+SUMPRODUCT(I$5:I$27,后果甲状腺剂量!$J$5:$J$27)*后果甲状腺剂量!$Q10*后果甲状腺剂量!$Q$3+SUMPRODUCT(J$5:J$27,后果甲状腺剂量!$J$5:$J$27)*后果甲状腺剂量!$R10*后果甲状腺剂量!$R$3+SUMPRODUCT(K$5:K$27,后果甲状腺剂量!$J$5:$J$27)*后果甲状腺剂量!$S10*后果甲状腺剂量!$S$3+SUMPRODUCT(L$5:L$27,后果甲状腺剂量!$J$5:$J$27)*后果甲状腺剂量!$T10*后果甲状腺剂量!$T$3+SUMPRODUCT(M$5:M$27,后果甲状腺剂量!$J$5:$J$27)*后果甲状腺剂量!$U10*后果甲状腺剂量!$U$3+SUMPRODUCT(H$5:H$27,后果甲状腺剂量!$K$5:$K$27)*后果甲状腺剂量!$Q10+SUMPRODUCT(I$5:I$27,后果甲状腺剂量!$K$5:$K$27)*后果甲状腺剂量!$Q10+SUMPRODUCT(J$5:J$27,后果甲状腺剂量!$K$5:$K$27)*后果甲状腺剂量!$R10+SUMPRODUCT(K$5:K$27,后果甲状腺剂量!$K$5:$K$27)*后果甲状腺剂量!$S10+SUMPRODUCT(L$5:L$27,后果甲状腺剂量!$K$5:$K$27)*后果甲状腺剂量!$T10+SUMPRODUCT(M$5:M$27,后果甲状腺剂量!$K$5:$K$27)*后果甲状腺剂量!$U10</f>
        <v>0.0164760563550043</v>
      </c>
      <c r="J36" s="454">
        <f ca="1" t="shared" si="253"/>
        <v>0.193181710476192</v>
      </c>
      <c r="K36" s="454">
        <f ca="1" t="shared" si="254"/>
        <v>16.4760563550043</v>
      </c>
      <c r="L36" s="436"/>
      <c r="M36" s="436"/>
      <c r="N36" s="455"/>
      <c r="Q36" s="440" t="str">
        <f>后果有效剂量!$P10</f>
        <v>2500m</v>
      </c>
      <c r="R36" s="441">
        <f ca="1">SUMPRODUCT(R$5:R$27,后果有效剂量!$I$5:$I$27)*后果有效剂量!$Q10+SUMPRODUCT(S$5:S$27,后果有效剂量!$I$5:$I$27)*后果有效剂量!$Q10+SUMPRODUCT(T$5:T$27,后果有效剂量!$I$5:$I$27)*后果有效剂量!$R10+SUMPRODUCT(U$5:U$27,后果有效剂量!$I$5:$I$27)*后果有效剂量!$S10+SUMPRODUCT(V$5:V$27,后果有效剂量!$I$5:$I$27)*后果有效剂量!$T10+SUMPRODUCT(W$5:W$27,后果有效剂量!$I$5:$I$27)*后果有效剂量!$U10+SUMPRODUCT(R$5:R$27,后果有效剂量!$J$5:$J$27)*后果有效剂量!$Q10*后果有效剂量!$Q$3+SUMPRODUCT(S$5:S$27,后果有效剂量!$J$5:$J$27)*后果有效剂量!$Q10*后果有效剂量!$Q$3+SUMPRODUCT(T$5:T$27,后果有效剂量!$J$5:$J$27)*后果有效剂量!$R10*后果有效剂量!$R$3+SUMPRODUCT(U$5:U$27,后果有效剂量!$J$5:$J$27)*后果有效剂量!$S10*后果有效剂量!$S$3+SUMPRODUCT(V$5:V$27,后果有效剂量!$J$5:$J$27)*后果有效剂量!$T10*后果有效剂量!$T$3+SUMPRODUCT(W$5:W$27,后果有效剂量!$J$5:$J$27)*后果有效剂量!$U10*后果有效剂量!$U$3+SUMPRODUCT(R$5:R$27,后果有效剂量!$K$5:$K$27)*后果有效剂量!$Q10+SUMPRODUCT(S$5:S$27,后果有效剂量!$K$5:$K$27)*后果有效剂量!$Q10+SUMPRODUCT(T$5:T$27,后果有效剂量!$K$5:$K$27)*后果有效剂量!$R10+SUMPRODUCT(U$5:U$27,后果有效剂量!$K$5:$K$27)*后果有效剂量!$S10+SUMPRODUCT(V$5:V$27,后果有效剂量!$K$5:$K$27)*后果有效剂量!$T10+SUMPRODUCT(W$5:W$27,后果有效剂量!$K$5:$K$27)*后果有效剂量!$U10</f>
        <v>7.86374804106675e-6</v>
      </c>
      <c r="S36" s="453">
        <f ca="1">SUMPRODUCT(R$5:R$27,后果甲状腺剂量!$I$5:$I$27)*后果甲状腺剂量!$Q10+SUMPRODUCT(S$5:S$27,后果甲状腺剂量!$I$5:$I$27)*后果甲状腺剂量!$Q10+SUMPRODUCT(T$5:T$27,后果甲状腺剂量!$I$5:$I$27)*后果甲状腺剂量!$R10+SUMPRODUCT(U$5:U$27,后果甲状腺剂量!$I$5:$I$27)*后果甲状腺剂量!$S10+SUMPRODUCT(V$5:V$27,后果甲状腺剂量!$I$5:$I$27)*后果甲状腺剂量!$T10+SUMPRODUCT(W$5:W$27,后果甲状腺剂量!$I$5:$I$27)*后果甲状腺剂量!$U10+SUMPRODUCT(R$5:R$27,后果甲状腺剂量!$J$5:$J$27)*后果甲状腺剂量!$Q10*后果甲状腺剂量!$Q$3+SUMPRODUCT(S$5:S$27,后果甲状腺剂量!$J$5:$J$27)*后果甲状腺剂量!$Q10*后果甲状腺剂量!$Q$3+SUMPRODUCT(T$5:T$27,后果甲状腺剂量!$J$5:$J$27)*后果甲状腺剂量!$R10*后果甲状腺剂量!$R$3+SUMPRODUCT(U$5:U$27,后果甲状腺剂量!$J$5:$J$27)*后果甲状腺剂量!$S10*后果甲状腺剂量!$S$3+SUMPRODUCT(V$5:V$27,后果甲状腺剂量!$J$5:$J$27)*后果甲状腺剂量!$T10*后果甲状腺剂量!$T$3+SUMPRODUCT(W$5:W$27,后果甲状腺剂量!$J$5:$J$27)*后果甲状腺剂量!$U10*后果甲状腺剂量!$U$3+SUMPRODUCT(R$5:R$27,后果甲状腺剂量!$K$5:$K$27)*后果甲状腺剂量!$Q10+SUMPRODUCT(S$5:S$27,后果甲状腺剂量!$K$5:$K$27)*后果甲状腺剂量!$Q10+SUMPRODUCT(T$5:T$27,后果甲状腺剂量!$K$5:$K$27)*后果甲状腺剂量!$R10+SUMPRODUCT(U$5:U$27,后果甲状腺剂量!$K$5:$K$27)*后果甲状腺剂量!$S10+SUMPRODUCT(V$5:V$27,后果甲状腺剂量!$K$5:$K$27)*后果甲状腺剂量!$T10+SUMPRODUCT(W$5:W$27,后果甲状腺剂量!$K$5:$K$27)*后果甲状腺剂量!$U10</f>
        <v>0.000818903917600746</v>
      </c>
      <c r="T36" s="454">
        <f ca="1" t="shared" si="255"/>
        <v>0.00786374804106675</v>
      </c>
      <c r="U36" s="454">
        <f ca="1" t="shared" si="256"/>
        <v>0.818903917600746</v>
      </c>
      <c r="V36" s="436"/>
      <c r="W36" s="436"/>
      <c r="AN36" s="533"/>
      <c r="AS36" s="572"/>
      <c r="BO36" s="600"/>
      <c r="CJ36" s="600"/>
      <c r="DZ36" s="600"/>
      <c r="EU36" s="603"/>
      <c r="FP36" s="603"/>
      <c r="FS36" s="441">
        <f>SUMPRODUCT(FS$5:FS$27,后果有效剂量!$I$5:$I$27)*后果有效剂量!$Q10+SUMPRODUCT(FT$5:FT$27,后果有效剂量!$I$5:$I$27)*后果有效剂量!$R10+SUMPRODUCT(FU$5:FU$27,后果有效剂量!$I$5:$I$27)*后果有效剂量!$S10+SUMPRODUCT(FV$5:FV$27,后果有效剂量!$I$5:$I$27)*后果有效剂量!$T10+SUMPRODUCT(FS$5:FS$27,后果有效剂量!$J$5:$J$27)*后果有效剂量!$Q10*后果有效剂量!$Q$3+SUMPRODUCT(FT$5:FT$27,后果有效剂量!$J$5:$J$27)*后果有效剂量!$R10*后果有效剂量!$R$3+SUMPRODUCT(FU$5:FU$27,后果有效剂量!$J$5:$J$27)*后果有效剂量!$S10*后果有效剂量!$S$3+SUMPRODUCT(FV$5:FV$27,后果有效剂量!$J$5:$J$27)*后果有效剂量!$T10*后果有效剂量!$T$3+SUMPRODUCT(FS$5:FS$27,后果有效剂量!$K$5:$K$27)*后果有效剂量!$Q10+SUMPRODUCT(FT$5:FT$27,后果有效剂量!$K$5:$K$27)*后果有效剂量!$R10+SUMPRODUCT(FU$5:FU$27,后果有效剂量!$K$5:$K$27)*后果有效剂量!$S10+SUMPRODUCT(FV$5:FV$27,后果有效剂量!$K$5:$K$27)*后果有效剂量!$T10</f>
        <v>7.43271850862798e-5</v>
      </c>
      <c r="FT36" s="453">
        <f>SUMPRODUCT(FS$5:FS$27,后果甲状腺剂量!$I$5:$I$27)*后果甲状腺剂量!$Q10+SUMPRODUCT(FT$5:FT$27,后果甲状腺剂量!$I$5:$I$27)*后果甲状腺剂量!$R10+SUMPRODUCT(FU$5:FU$27,后果甲状腺剂量!$I$5:$I$27)*后果甲状腺剂量!$S10+SUMPRODUCT(FV$5:FV$27,后果甲状腺剂量!$I$5:$I$27)*后果甲状腺剂量!$T10+SUMPRODUCT(FS$5:FS$27,后果甲状腺剂量!$J$5:$J$27)*后果甲状腺剂量!$Q10*后果甲状腺剂量!$Q$3+SUMPRODUCT(FT$5:FT$27,后果甲状腺剂量!$J$5:$J$27)*后果甲状腺剂量!$R10*后果甲状腺剂量!$R$3+SUMPRODUCT(FU$5:FU$27,后果甲状腺剂量!$J$5:$J$27)*后果甲状腺剂量!$S10*后果甲状腺剂量!$S$3+SUMPRODUCT(FV$5:FV$27,后果甲状腺剂量!$J$5:$J$27)*后果甲状腺剂量!$T10*后果甲状腺剂量!$T$3+SUMPRODUCT(FS$5:FS$27,后果甲状腺剂量!$K$5:$K$27)*后果甲状腺剂量!$Q10+SUMPRODUCT(FT$5:FT$27,后果甲状腺剂量!$K$5:$K$27)*后果甲状腺剂量!$R10+SUMPRODUCT(FU$5:FU$27,后果甲状腺剂量!$K$5:$K$27)*后果甲状腺剂量!$S10+SUMPRODUCT(FV$5:FV$27,后果甲状腺剂量!$K$5:$K$27)*后果甲状腺剂量!$T10</f>
        <v>0.00447460799875152</v>
      </c>
      <c r="FU36" s="454">
        <f t="shared" si="257"/>
        <v>0.0743271850862798</v>
      </c>
      <c r="FV36" s="454">
        <f t="shared" si="258"/>
        <v>4.47460799875152</v>
      </c>
      <c r="FW36" s="436"/>
      <c r="FX36" s="436"/>
      <c r="GD36" s="440" t="str">
        <f>后果有效剂量!$P10</f>
        <v>2500m</v>
      </c>
      <c r="GE36" s="441">
        <f>SUMPRODUCT(GE$5:GE$27,后果有效剂量!$I$5:$I$27)*后果有效剂量!$Q10+SUMPRODUCT(GF$5:GF$27,后果有效剂量!$I$5:$I$27)*后果有效剂量!$R10+SUMPRODUCT(GG$5:GG$27,后果有效剂量!$I$5:$I$27)*后果有效剂量!$S10+(SUMPRODUCT(GH$5:GH$27,后果有效剂量!$I$5:$I$27)+SUMPRODUCT(GI$5:GI$27,后果有效剂量!$I$5:$I$27))*后果有效剂量!$T10+SUMPRODUCT(GJ$5:GJ$27,后果有效剂量!$I$5:$I$27)*后果有效剂量!$U10+SUMPRODUCT(GE$5:GE$27,后果有效剂量!$J$5:$J$27)*后果有效剂量!$Q10*后果有效剂量!$Q$3+SUMPRODUCT(GF$5:GF$27,后果有效剂量!$J$5:$J$27)*后果有效剂量!$R10*后果有效剂量!$R$3+SUMPRODUCT(GG$5:GG$27,后果有效剂量!$J$5:$J$27)*后果有效剂量!$S10*后果有效剂量!$S$3+(SUMPRODUCT(GH$5:GH$27,后果有效剂量!$J$5:$J$27)+SUMPRODUCT(GI$5:GI$27,后果有效剂量!$J$5:$J$27))*后果有效剂量!$T10*后果有效剂量!$T$3+SUMPRODUCT(GJ$5:GJ$27,后果有效剂量!$J$5:$J$27)*后果有效剂量!$U10*后果有效剂量!$U$3+SUMPRODUCT(GE$5:GE$27,后果有效剂量!$K$5:$K$27)*后果有效剂量!$Q10+SUMPRODUCT(GF$5:GF$27,后果有效剂量!$K$5:$K$27)*后果有效剂量!$R10+SUMPRODUCT(GG$5:GG$27,后果有效剂量!$K$5:$K$27)*后果有效剂量!$S10+(SUMPRODUCT(GH$5:GH$27,后果有效剂量!$K$5:$K$27)+SUMPRODUCT(GI$5:GI$27,后果有效剂量!$K$5:$K$27))*后果有效剂量!$T10+SUMPRODUCT(GJ$5:GJ$27,后果有效剂量!$K$5:$K$27)*后果有效剂量!$U10</f>
        <v>2.30543802500546e-5</v>
      </c>
      <c r="GF36" s="453">
        <f>SUMPRODUCT(GE$5:GE$27,后果甲状腺剂量!$I$5:$I$27)*后果甲状腺剂量!$Q10+SUMPRODUCT(GF$5:GF$27,后果甲状腺剂量!$I$5:$I$27)*后果甲状腺剂量!$R10+SUMPRODUCT(GG$5:GG$27,后果甲状腺剂量!$I$5:$I$27)*后果甲状腺剂量!$S10+(SUMPRODUCT(GH$5:GH$27,后果甲状腺剂量!$I$5:$I$27)+SUMPRODUCT(GI$5:GI$27,后果甲状腺剂量!$I$5:$I$27))*后果甲状腺剂量!$T10+SUMPRODUCT(GJ$5:GJ$27,后果甲状腺剂量!$I$5:$I$27)*后果甲状腺剂量!$U10+SUMPRODUCT(GE$5:GE$27,后果甲状腺剂量!$J$5:$J$27)*后果甲状腺剂量!$Q10*后果甲状腺剂量!$Q$3+SUMPRODUCT(GF$5:GF$27,后果甲状腺剂量!$J$5:$J$27)*后果甲状腺剂量!$R10*后果甲状腺剂量!$R$3+SUMPRODUCT(GG$5:GG$27,后果甲状腺剂量!$J$5:$J$27)*后果甲状腺剂量!$S10*后果甲状腺剂量!$S$3+(SUMPRODUCT(GH$5:GH$27,后果甲状腺剂量!$J$5:$J$27)+SUMPRODUCT(GI$5:GI$27,后果甲状腺剂量!$J$5:$J$27))*后果甲状腺剂量!$T10*后果甲状腺剂量!$T$3+SUMPRODUCT(GJ$5:GJ$27,后果甲状腺剂量!$J$5:$J$27)*后果甲状腺剂量!$U10*后果甲状腺剂量!$U$3+SUMPRODUCT(GE$5:GE$27,后果甲状腺剂量!$K$5:$K$27)*后果甲状腺剂量!$Q10+SUMPRODUCT(GF$5:GF$27,后果甲状腺剂量!$K$5:$K$27)*后果甲状腺剂量!$R10+SUMPRODUCT(GG$5:GG$27,后果甲状腺剂量!$K$5:$K$27)*后果甲状腺剂量!$S10+(SUMPRODUCT(GH$5:GH$27,后果甲状腺剂量!$K$5:$K$27)+SUMPRODUCT(GI$5:GI$27,后果甲状腺剂量!$K$5:$K$27))*后果甲状腺剂量!$T10+SUMPRODUCT(GJ$5:GJ$27,后果甲状腺剂量!$K$5:$K$27)*后果甲状腺剂量!$U10</f>
        <v>0.00101005182774948</v>
      </c>
      <c r="GG36" s="454">
        <f t="shared" si="259"/>
        <v>0.0230543802500546</v>
      </c>
      <c r="GH36" s="454">
        <f t="shared" si="260"/>
        <v>1.01005182774948</v>
      </c>
      <c r="GI36" s="436"/>
      <c r="GJ36" s="436"/>
    </row>
    <row r="37" spans="7:192">
      <c r="G37" s="440" t="str">
        <f>后果有效剂量!$P11</f>
        <v>4000m</v>
      </c>
      <c r="H37" s="441">
        <f ca="1">SUMPRODUCT(H$5:H$27,后果有效剂量!$I$5:$I$27)*后果有效剂量!$Q11+SUMPRODUCT(I$5:I$27,后果有效剂量!$I$5:$I$27)*后果有效剂量!$Q11+SUMPRODUCT(J$5:J$27,后果有效剂量!$I$5:$I$27)*后果有效剂量!$R11+SUMPRODUCT(K$5:K$27,后果有效剂量!$I$5:$I$27)*后果有效剂量!$S11+SUMPRODUCT(L$5:L$27,后果有效剂量!$I$5:$I$27)*后果有效剂量!$T11+SUMPRODUCT(M$5:M$27,后果有效剂量!$I$5:$I$27)*后果有效剂量!$U11+SUMPRODUCT(H$5:H$27,后果有效剂量!$J$5:$J$27)*后果有效剂量!$Q11*后果有效剂量!$Q$3+SUMPRODUCT(I$5:I$27,后果有效剂量!$J$5:$J$27)*后果有效剂量!$Q11*后果有效剂量!$Q$3+SUMPRODUCT(J$5:J$27,后果有效剂量!$J$5:$J$27)*后果有效剂量!$R11*后果有效剂量!$R$3+SUMPRODUCT(K$5:K$27,后果有效剂量!$J$5:$J$27)*后果有效剂量!$S11*后果有效剂量!$S$3+SUMPRODUCT(L$5:L$27,后果有效剂量!$J$5:$J$27)*后果有效剂量!$T11*后果有效剂量!$T$3+SUMPRODUCT(M$5:M$27,后果有效剂量!$J$5:$J$27)*后果有效剂量!$U11*后果有效剂量!$U$3+SUMPRODUCT(H$5:H$27,后果有效剂量!$K$5:$K$27)*后果有效剂量!$Q11+SUMPRODUCT(I$5:I$27,后果有效剂量!$K$5:$K$27)*后果有效剂量!$Q11+SUMPRODUCT(J$5:J$27,后果有效剂量!$K$5:$K$27)*后果有效剂量!$R11+SUMPRODUCT(K$5:K$27,后果有效剂量!$K$5:$K$27)*后果有效剂量!$S11+SUMPRODUCT(L$5:L$27,后果有效剂量!$K$5:$K$27)*后果有效剂量!$T11+SUMPRODUCT(M$5:M$27,后果有效剂量!$K$5:$K$27)*后果有效剂量!$U11</f>
        <v>0.00111272665234286</v>
      </c>
      <c r="I37" s="453">
        <f ca="1">SUMPRODUCT(H$5:H$27,后果甲状腺剂量!$I$5:$I$27)*后果甲状腺剂量!$Q11+SUMPRODUCT(I$5:I$27,后果甲状腺剂量!$I$5:$I$27)*后果甲状腺剂量!$Q11+SUMPRODUCT(J$5:J$27,后果甲状腺剂量!$I$5:$I$27)*后果甲状腺剂量!$R11+SUMPRODUCT(K$5:K$27,后果甲状腺剂量!$I$5:$I$27)*后果甲状腺剂量!$S11+SUMPRODUCT(L$5:L$27,后果甲状腺剂量!$I$5:$I$27)*后果甲状腺剂量!$T11+SUMPRODUCT(M$5:M$27,后果甲状腺剂量!$I$5:$I$27)*后果甲状腺剂量!$U11+SUMPRODUCT(H$5:H$27,后果甲状腺剂量!$J$5:$J$27)*后果甲状腺剂量!$Q11*后果甲状腺剂量!$Q$3+SUMPRODUCT(I$5:I$27,后果甲状腺剂量!$J$5:$J$27)*后果甲状腺剂量!$Q11*后果甲状腺剂量!$Q$3+SUMPRODUCT(J$5:J$27,后果甲状腺剂量!$J$5:$J$27)*后果甲状腺剂量!$R11*后果甲状腺剂量!$R$3+SUMPRODUCT(K$5:K$27,后果甲状腺剂量!$J$5:$J$27)*后果甲状腺剂量!$S11*后果甲状腺剂量!$S$3+SUMPRODUCT(L$5:L$27,后果甲状腺剂量!$J$5:$J$27)*后果甲状腺剂量!$T11*后果甲状腺剂量!$T$3+SUMPRODUCT(M$5:M$27,后果甲状腺剂量!$J$5:$J$27)*后果甲状腺剂量!$U11*后果甲状腺剂量!$U$3+SUMPRODUCT(H$5:H$27,后果甲状腺剂量!$K$5:$K$27)*后果甲状腺剂量!$Q11+SUMPRODUCT(I$5:I$27,后果甲状腺剂量!$K$5:$K$27)*后果甲状腺剂量!$Q11+SUMPRODUCT(J$5:J$27,后果甲状腺剂量!$K$5:$K$27)*后果甲状腺剂量!$R11+SUMPRODUCT(K$5:K$27,后果甲状腺剂量!$K$5:$K$27)*后果甲状腺剂量!$S11+SUMPRODUCT(L$5:L$27,后果甲状腺剂量!$K$5:$K$27)*后果甲状腺剂量!$T11+SUMPRODUCT(M$5:M$27,后果甲状腺剂量!$K$5:$K$27)*后果甲状腺剂量!$U11</f>
        <v>0.0114754636765205</v>
      </c>
      <c r="J37" s="454">
        <f ca="1" t="shared" si="253"/>
        <v>1.11272665234286</v>
      </c>
      <c r="K37" s="454">
        <f ca="1" t="shared" si="254"/>
        <v>11.4754636765205</v>
      </c>
      <c r="L37" s="436"/>
      <c r="M37" s="436"/>
      <c r="N37" s="455"/>
      <c r="Q37" s="440" t="str">
        <f>后果有效剂量!$P11</f>
        <v>4000m</v>
      </c>
      <c r="R37" s="441">
        <f ca="1">SUMPRODUCT(R$5:R$27,后果有效剂量!$I$5:$I$27)*后果有效剂量!$Q11+SUMPRODUCT(S$5:S$27,后果有效剂量!$I$5:$I$27)*后果有效剂量!$Q11+SUMPRODUCT(T$5:T$27,后果有效剂量!$I$5:$I$27)*后果有效剂量!$R11+SUMPRODUCT(U$5:U$27,后果有效剂量!$I$5:$I$27)*后果有效剂量!$S11+SUMPRODUCT(V$5:V$27,后果有效剂量!$I$5:$I$27)*后果有效剂量!$T11+SUMPRODUCT(W$5:W$27,后果有效剂量!$I$5:$I$27)*后果有效剂量!$U11+SUMPRODUCT(R$5:R$27,后果有效剂量!$J$5:$J$27)*后果有效剂量!$Q11*后果有效剂量!$Q$3+SUMPRODUCT(S$5:S$27,后果有效剂量!$J$5:$J$27)*后果有效剂量!$Q11*后果有效剂量!$Q$3+SUMPRODUCT(T$5:T$27,后果有效剂量!$J$5:$J$27)*后果有效剂量!$R11*后果有效剂量!$R$3+SUMPRODUCT(U$5:U$27,后果有效剂量!$J$5:$J$27)*后果有效剂量!$S11*后果有效剂量!$S$3+SUMPRODUCT(V$5:V$27,后果有效剂量!$J$5:$J$27)*后果有效剂量!$T11*后果有效剂量!$T$3+SUMPRODUCT(W$5:W$27,后果有效剂量!$J$5:$J$27)*后果有效剂量!$U11*后果有效剂量!$U$3+SUMPRODUCT(R$5:R$27,后果有效剂量!$K$5:$K$27)*后果有效剂量!$Q11+SUMPRODUCT(S$5:S$27,后果有效剂量!$K$5:$K$27)*后果有效剂量!$Q11+SUMPRODUCT(T$5:T$27,后果有效剂量!$K$5:$K$27)*后果有效剂量!$R11+SUMPRODUCT(U$5:U$27,后果有效剂量!$K$5:$K$27)*后果有效剂量!$S11+SUMPRODUCT(V$5:V$27,后果有效剂量!$K$5:$K$27)*后果有效剂量!$T11+SUMPRODUCT(W$5:W$27,后果有效剂量!$K$5:$K$27)*后果有效剂量!$U11</f>
        <v>4.52951887165444e-5</v>
      </c>
      <c r="S37" s="453">
        <f ca="1">SUMPRODUCT(R$5:R$27,后果甲状腺剂量!$I$5:$I$27)*后果甲状腺剂量!$Q11+SUMPRODUCT(S$5:S$27,后果甲状腺剂量!$I$5:$I$27)*后果甲状腺剂量!$Q11+SUMPRODUCT(T$5:T$27,后果甲状腺剂量!$I$5:$I$27)*后果甲状腺剂量!$R11+SUMPRODUCT(U$5:U$27,后果甲状腺剂量!$I$5:$I$27)*后果甲状腺剂量!$S11+SUMPRODUCT(V$5:V$27,后果甲状腺剂量!$I$5:$I$27)*后果甲状腺剂量!$T11+SUMPRODUCT(W$5:W$27,后果甲状腺剂量!$I$5:$I$27)*后果甲状腺剂量!$U11+SUMPRODUCT(R$5:R$27,后果甲状腺剂量!$J$5:$J$27)*后果甲状腺剂量!$Q11*后果甲状腺剂量!$Q$3+SUMPRODUCT(S$5:S$27,后果甲状腺剂量!$J$5:$J$27)*后果甲状腺剂量!$Q11*后果甲状腺剂量!$Q$3+SUMPRODUCT(T$5:T$27,后果甲状腺剂量!$J$5:$J$27)*后果甲状腺剂量!$R11*后果甲状腺剂量!$R$3+SUMPRODUCT(U$5:U$27,后果甲状腺剂量!$J$5:$J$27)*后果甲状腺剂量!$S11*后果甲状腺剂量!$S$3+SUMPRODUCT(V$5:V$27,后果甲状腺剂量!$J$5:$J$27)*后果甲状腺剂量!$T11*后果甲状腺剂量!$T$3+SUMPRODUCT(W$5:W$27,后果甲状腺剂量!$J$5:$J$27)*后果甲状腺剂量!$U11*后果甲状腺剂量!$U$3+SUMPRODUCT(R$5:R$27,后果甲状腺剂量!$K$5:$K$27)*后果甲状腺剂量!$Q11+SUMPRODUCT(S$5:S$27,后果甲状腺剂量!$K$5:$K$27)*后果甲状腺剂量!$Q11+SUMPRODUCT(T$5:T$27,后果甲状腺剂量!$K$5:$K$27)*后果甲状腺剂量!$R11+SUMPRODUCT(U$5:U$27,后果甲状腺剂量!$K$5:$K$27)*后果甲状腺剂量!$S11+SUMPRODUCT(V$5:V$27,后果甲状腺剂量!$K$5:$K$27)*后果甲状腺剂量!$T11+SUMPRODUCT(W$5:W$27,后果甲状腺剂量!$K$5:$K$27)*后果甲状腺剂量!$U11</f>
        <v>0.000570361132452272</v>
      </c>
      <c r="T37" s="454">
        <f ca="1" t="shared" si="255"/>
        <v>0.0452951887165444</v>
      </c>
      <c r="U37" s="454">
        <f ca="1" t="shared" si="256"/>
        <v>0.570361132452272</v>
      </c>
      <c r="V37" s="436"/>
      <c r="W37" s="436"/>
      <c r="AN37" s="533"/>
      <c r="AS37" s="572"/>
      <c r="BO37" s="600"/>
      <c r="CJ37" s="600"/>
      <c r="DZ37" s="600"/>
      <c r="EU37" s="603"/>
      <c r="FP37" s="603"/>
      <c r="FS37" s="441">
        <f>SUMPRODUCT(FS$5:FS$27,后果有效剂量!$I$5:$I$27)*后果有效剂量!$Q11+SUMPRODUCT(FT$5:FT$27,后果有效剂量!$I$5:$I$27)*后果有效剂量!$R11+SUMPRODUCT(FU$5:FU$27,后果有效剂量!$I$5:$I$27)*后果有效剂量!$S11+SUMPRODUCT(FV$5:FV$27,后果有效剂量!$I$5:$I$27)*后果有效剂量!$T11+SUMPRODUCT(FS$5:FS$27,后果有效剂量!$J$5:$J$27)*后果有效剂量!$Q11*后果有效剂量!$Q$3+SUMPRODUCT(FT$5:FT$27,后果有效剂量!$J$5:$J$27)*后果有效剂量!$R11*后果有效剂量!$R$3+SUMPRODUCT(FU$5:FU$27,后果有效剂量!$J$5:$J$27)*后果有效剂量!$S11*后果有效剂量!$S$3+SUMPRODUCT(FV$5:FV$27,后果有效剂量!$J$5:$J$27)*后果有效剂量!$T11*后果有效剂量!$T$3+SUMPRODUCT(FS$5:FS$27,后果有效剂量!$K$5:$K$27)*后果有效剂量!$Q11+SUMPRODUCT(FT$5:FT$27,后果有效剂量!$K$5:$K$27)*后果有效剂量!$R11+SUMPRODUCT(FU$5:FU$27,后果有效剂量!$K$5:$K$27)*后果有效剂量!$S11+SUMPRODUCT(FV$5:FV$27,后果有效剂量!$K$5:$K$27)*后果有效剂量!$T11</f>
        <v>0.000364720194815751</v>
      </c>
      <c r="FT37" s="453">
        <f>SUMPRODUCT(FS$5:FS$27,后果甲状腺剂量!$I$5:$I$27)*后果甲状腺剂量!$Q11+SUMPRODUCT(FT$5:FT$27,后果甲状腺剂量!$I$5:$I$27)*后果甲状腺剂量!$R11+SUMPRODUCT(FU$5:FU$27,后果甲状腺剂量!$I$5:$I$27)*后果甲状腺剂量!$S11+SUMPRODUCT(FV$5:FV$27,后果甲状腺剂量!$I$5:$I$27)*后果甲状腺剂量!$T11+SUMPRODUCT(FS$5:FS$27,后果甲状腺剂量!$J$5:$J$27)*后果甲状腺剂量!$Q11*后果甲状腺剂量!$Q$3+SUMPRODUCT(FT$5:FT$27,后果甲状腺剂量!$J$5:$J$27)*后果甲状腺剂量!$R11*后果甲状腺剂量!$R$3+SUMPRODUCT(FU$5:FU$27,后果甲状腺剂量!$J$5:$J$27)*后果甲状腺剂量!$S11*后果甲状腺剂量!$S$3+SUMPRODUCT(FV$5:FV$27,后果甲状腺剂量!$J$5:$J$27)*后果甲状腺剂量!$T11*后果甲状腺剂量!$T$3+SUMPRODUCT(FS$5:FS$27,后果甲状腺剂量!$K$5:$K$27)*后果甲状腺剂量!$Q11+SUMPRODUCT(FT$5:FT$27,后果甲状腺剂量!$K$5:$K$27)*后果甲状腺剂量!$R11+SUMPRODUCT(FU$5:FU$27,后果甲状腺剂量!$K$5:$K$27)*后果甲状腺剂量!$S11+SUMPRODUCT(FV$5:FV$27,后果甲状腺剂量!$K$5:$K$27)*后果甲状腺剂量!$T11</f>
        <v>0.00275749363591398</v>
      </c>
      <c r="FU37" s="454">
        <f t="shared" si="257"/>
        <v>0.364720194815751</v>
      </c>
      <c r="FV37" s="454">
        <f t="shared" si="258"/>
        <v>2.75749363591398</v>
      </c>
      <c r="FW37" s="436"/>
      <c r="FX37" s="436"/>
      <c r="GD37" s="440" t="str">
        <f>后果有效剂量!$P11</f>
        <v>4000m</v>
      </c>
      <c r="GE37" s="441">
        <f>SUMPRODUCT(GE$5:GE$27,后果有效剂量!$I$5:$I$27)*后果有效剂量!$Q11+SUMPRODUCT(GF$5:GF$27,后果有效剂量!$I$5:$I$27)*后果有效剂量!$R11+SUMPRODUCT(GG$5:GG$27,后果有效剂量!$I$5:$I$27)*后果有效剂量!$S11+(SUMPRODUCT(GH$5:GH$27,后果有效剂量!$I$5:$I$27)+SUMPRODUCT(GI$5:GI$27,后果有效剂量!$I$5:$I$27))*后果有效剂量!$T11+SUMPRODUCT(GJ$5:GJ$27,后果有效剂量!$I$5:$I$27)*后果有效剂量!$U11+SUMPRODUCT(GE$5:GE$27,后果有效剂量!$J$5:$J$27)*后果有效剂量!$Q11*后果有效剂量!$Q$3+SUMPRODUCT(GF$5:GF$27,后果有效剂量!$J$5:$J$27)*后果有效剂量!$R11*后果有效剂量!$R$3+SUMPRODUCT(GG$5:GG$27,后果有效剂量!$J$5:$J$27)*后果有效剂量!$S11*后果有效剂量!$S$3+(SUMPRODUCT(GH$5:GH$27,后果有效剂量!$J$5:$J$27)+SUMPRODUCT(GI$5:GI$27,后果有效剂量!$J$5:$J$27))*后果有效剂量!$T11*后果有效剂量!$T$3+SUMPRODUCT(GJ$5:GJ$27,后果有效剂量!$J$5:$J$27)*后果有效剂量!$U11*后果有效剂量!$U$3+SUMPRODUCT(GE$5:GE$27,后果有效剂量!$K$5:$K$27)*后果有效剂量!$Q11+SUMPRODUCT(GF$5:GF$27,后果有效剂量!$K$5:$K$27)*后果有效剂量!$R11+SUMPRODUCT(GG$5:GG$27,后果有效剂量!$K$5:$K$27)*后果有效剂量!$S11+(SUMPRODUCT(GH$5:GH$27,后果有效剂量!$K$5:$K$27)+SUMPRODUCT(GI$5:GI$27,后果有效剂量!$K$5:$K$27))*后果有效剂量!$T11+SUMPRODUCT(GJ$5:GJ$27,后果有效剂量!$K$5:$K$27)*后果有效剂量!$U11</f>
        <v>8.91871700666406e-5</v>
      </c>
      <c r="GF37" s="453">
        <f>SUMPRODUCT(GE$5:GE$27,后果甲状腺剂量!$I$5:$I$27)*后果甲状腺剂量!$Q11+SUMPRODUCT(GF$5:GF$27,后果甲状腺剂量!$I$5:$I$27)*后果甲状腺剂量!$R11+SUMPRODUCT(GG$5:GG$27,后果甲状腺剂量!$I$5:$I$27)*后果甲状腺剂量!$S11+(SUMPRODUCT(GH$5:GH$27,后果甲状腺剂量!$I$5:$I$27)+SUMPRODUCT(GI$5:GI$27,后果甲状腺剂量!$I$5:$I$27))*后果甲状腺剂量!$T11+SUMPRODUCT(GJ$5:GJ$27,后果甲状腺剂量!$I$5:$I$27)*后果甲状腺剂量!$U11+SUMPRODUCT(GE$5:GE$27,后果甲状腺剂量!$J$5:$J$27)*后果甲状腺剂量!$Q11*后果甲状腺剂量!$Q$3+SUMPRODUCT(GF$5:GF$27,后果甲状腺剂量!$J$5:$J$27)*后果甲状腺剂量!$R11*后果甲状腺剂量!$R$3+SUMPRODUCT(GG$5:GG$27,后果甲状腺剂量!$J$5:$J$27)*后果甲状腺剂量!$S11*后果甲状腺剂量!$S$3+(SUMPRODUCT(GH$5:GH$27,后果甲状腺剂量!$J$5:$J$27)+SUMPRODUCT(GI$5:GI$27,后果甲状腺剂量!$J$5:$J$27))*后果甲状腺剂量!$T11*后果甲状腺剂量!$T$3+SUMPRODUCT(GJ$5:GJ$27,后果甲状腺剂量!$J$5:$J$27)*后果甲状腺剂量!$U11*后果甲状腺剂量!$U$3+SUMPRODUCT(GE$5:GE$27,后果甲状腺剂量!$K$5:$K$27)*后果甲状腺剂量!$Q11+SUMPRODUCT(GF$5:GF$27,后果甲状腺剂量!$K$5:$K$27)*后果甲状腺剂量!$R11+SUMPRODUCT(GG$5:GG$27,后果甲状腺剂量!$K$5:$K$27)*后果甲状腺剂量!$S11+(SUMPRODUCT(GH$5:GH$27,后果甲状腺剂量!$K$5:$K$27)+SUMPRODUCT(GI$5:GI$27,后果甲状腺剂量!$K$5:$K$27))*后果甲状腺剂量!$T11+SUMPRODUCT(GJ$5:GJ$27,后果甲状腺剂量!$K$5:$K$27)*后果甲状腺剂量!$U11</f>
        <v>0.000539068281266805</v>
      </c>
      <c r="GG37" s="454">
        <f t="shared" si="259"/>
        <v>0.0891871700666406</v>
      </c>
      <c r="GH37" s="454">
        <f t="shared" si="260"/>
        <v>0.539068281266805</v>
      </c>
      <c r="GI37" s="436"/>
      <c r="GJ37" s="436"/>
    </row>
    <row r="38" spans="7:192">
      <c r="G38" s="440" t="str">
        <f>后果有效剂量!$P12</f>
        <v>5000m</v>
      </c>
      <c r="H38" s="441">
        <f ca="1">SUMPRODUCT(H$5:H$27,后果有效剂量!$I$5:$I$27)*后果有效剂量!$Q12+SUMPRODUCT(I$5:I$27,后果有效剂量!$I$5:$I$27)*后果有效剂量!$Q12+SUMPRODUCT(J$5:J$27,后果有效剂量!$I$5:$I$27)*后果有效剂量!$R12+SUMPRODUCT(K$5:K$27,后果有效剂量!$I$5:$I$27)*后果有效剂量!$S12+SUMPRODUCT(L$5:L$27,后果有效剂量!$I$5:$I$27)*后果有效剂量!$T12+SUMPRODUCT(M$5:M$27,后果有效剂量!$I$5:$I$27)*后果有效剂量!$U12+SUMPRODUCT(H$5:H$27,后果有效剂量!$J$5:$J$27)*后果有效剂量!$Q12*后果有效剂量!$Q$3+SUMPRODUCT(I$5:I$27,后果有效剂量!$J$5:$J$27)*后果有效剂量!$Q12*后果有效剂量!$Q$3+SUMPRODUCT(J$5:J$27,后果有效剂量!$J$5:$J$27)*后果有效剂量!$R12*后果有效剂量!$R$3+SUMPRODUCT(K$5:K$27,后果有效剂量!$J$5:$J$27)*后果有效剂量!$S12*后果有效剂量!$S$3+SUMPRODUCT(L$5:L$27,后果有效剂量!$J$5:$J$27)*后果有效剂量!$T12*后果有效剂量!$T$3+SUMPRODUCT(M$5:M$27,后果有效剂量!$J$5:$J$27)*后果有效剂量!$U12*后果有效剂量!$U$3+SUMPRODUCT(H$5:H$27,后果有效剂量!$K$5:$K$27)*后果有效剂量!$Q12+SUMPRODUCT(I$5:I$27,后果有效剂量!$K$5:$K$27)*后果有效剂量!$Q12+SUMPRODUCT(J$5:J$27,后果有效剂量!$K$5:$K$27)*后果有效剂量!$R12+SUMPRODUCT(K$5:K$27,后果有效剂量!$K$5:$K$27)*后果有效剂量!$S12+SUMPRODUCT(L$5:L$27,后果有效剂量!$K$5:$K$27)*后果有效剂量!$T12+SUMPRODUCT(M$5:M$27,后果有效剂量!$K$5:$K$27)*后果有效剂量!$U12</f>
        <v>0.000105477213920001</v>
      </c>
      <c r="I38" s="453">
        <f ca="1">SUMPRODUCT(H$5:H$27,后果甲状腺剂量!$I$5:$I$27)*后果甲状腺剂量!$Q12+SUMPRODUCT(I$5:I$27,后果甲状腺剂量!$I$5:$I$27)*后果甲状腺剂量!$Q12+SUMPRODUCT(J$5:J$27,后果甲状腺剂量!$I$5:$I$27)*后果甲状腺剂量!$R12+SUMPRODUCT(K$5:K$27,后果甲状腺剂量!$I$5:$I$27)*后果甲状腺剂量!$S12+SUMPRODUCT(L$5:L$27,后果甲状腺剂量!$I$5:$I$27)*后果甲状腺剂量!$T12+SUMPRODUCT(M$5:M$27,后果甲状腺剂量!$I$5:$I$27)*后果甲状腺剂量!$U12+SUMPRODUCT(H$5:H$27,后果甲状腺剂量!$J$5:$J$27)*后果甲状腺剂量!$Q12*后果甲状腺剂量!$Q$3+SUMPRODUCT(I$5:I$27,后果甲状腺剂量!$J$5:$J$27)*后果甲状腺剂量!$Q12*后果甲状腺剂量!$Q$3+SUMPRODUCT(J$5:J$27,后果甲状腺剂量!$J$5:$J$27)*后果甲状腺剂量!$R12*后果甲状腺剂量!$R$3+SUMPRODUCT(K$5:K$27,后果甲状腺剂量!$J$5:$J$27)*后果甲状腺剂量!$S12*后果甲状腺剂量!$S$3+SUMPRODUCT(L$5:L$27,后果甲状腺剂量!$J$5:$J$27)*后果甲状腺剂量!$T12*后果甲状腺剂量!$T$3+SUMPRODUCT(M$5:M$27,后果甲状腺剂量!$J$5:$J$27)*后果甲状腺剂量!$U12*后果甲状腺剂量!$U$3+SUMPRODUCT(H$5:H$27,后果甲状腺剂量!$K$5:$K$27)*后果甲状腺剂量!$Q12+SUMPRODUCT(I$5:I$27,后果甲状腺剂量!$K$5:$K$27)*后果甲状腺剂量!$Q12+SUMPRODUCT(J$5:J$27,后果甲状腺剂量!$K$5:$K$27)*后果甲状腺剂量!$R12+SUMPRODUCT(K$5:K$27,后果甲状腺剂量!$K$5:$K$27)*后果甲状腺剂量!$S12+SUMPRODUCT(L$5:L$27,后果甲状腺剂量!$K$5:$K$27)*后果甲状腺剂量!$T12+SUMPRODUCT(M$5:M$27,后果甲状腺剂量!$K$5:$K$27)*后果甲状腺剂量!$U12</f>
        <v>0.00910466475723936</v>
      </c>
      <c r="J38" s="454">
        <f ca="1" t="shared" si="253"/>
        <v>0.105477213920001</v>
      </c>
      <c r="K38" s="454">
        <f ca="1" t="shared" si="254"/>
        <v>9.10466475723936</v>
      </c>
      <c r="L38" s="436"/>
      <c r="M38" s="436"/>
      <c r="N38" s="455"/>
      <c r="Q38" s="440" t="str">
        <f>后果有效剂量!$P12</f>
        <v>5000m</v>
      </c>
      <c r="R38" s="441">
        <f ca="1">SUMPRODUCT(R$5:R$27,后果有效剂量!$I$5:$I$27)*后果有效剂量!$Q12+SUMPRODUCT(S$5:S$27,后果有效剂量!$I$5:$I$27)*后果有效剂量!$Q12+SUMPRODUCT(T$5:T$27,后果有效剂量!$I$5:$I$27)*后果有效剂量!$R12+SUMPRODUCT(U$5:U$27,后果有效剂量!$I$5:$I$27)*后果有效剂量!$S12+SUMPRODUCT(V$5:V$27,后果有效剂量!$I$5:$I$27)*后果有效剂量!$T12+SUMPRODUCT(W$5:W$27,后果有效剂量!$I$5:$I$27)*后果有效剂量!$U12+SUMPRODUCT(R$5:R$27,后果有效剂量!$J$5:$J$27)*后果有效剂量!$Q12*后果有效剂量!$Q$3+SUMPRODUCT(S$5:S$27,后果有效剂量!$J$5:$J$27)*后果有效剂量!$Q12*后果有效剂量!$Q$3+SUMPRODUCT(T$5:T$27,后果有效剂量!$J$5:$J$27)*后果有效剂量!$R12*后果有效剂量!$R$3+SUMPRODUCT(U$5:U$27,后果有效剂量!$J$5:$J$27)*后果有效剂量!$S12*后果有效剂量!$S$3+SUMPRODUCT(V$5:V$27,后果有效剂量!$J$5:$J$27)*后果有效剂量!$T12*后果有效剂量!$T$3+SUMPRODUCT(W$5:W$27,后果有效剂量!$J$5:$J$27)*后果有效剂量!$U12*后果有效剂量!$U$3+SUMPRODUCT(R$5:R$27,后果有效剂量!$K$5:$K$27)*后果有效剂量!$Q12+SUMPRODUCT(S$5:S$27,后果有效剂量!$K$5:$K$27)*后果有效剂量!$Q12+SUMPRODUCT(T$5:T$27,后果有效剂量!$K$5:$K$27)*后果有效剂量!$R12+SUMPRODUCT(U$5:U$27,后果有效剂量!$K$5:$K$27)*后果有效剂量!$S12+SUMPRODUCT(V$5:V$27,后果有效剂量!$K$5:$K$27)*后果有效剂量!$T12+SUMPRODUCT(W$5:W$27,后果有效剂量!$K$5:$K$27)*后果有效剂量!$U12</f>
        <v>4.29360643042244e-6</v>
      </c>
      <c r="S38" s="453">
        <f ca="1">SUMPRODUCT(R$5:R$27,后果甲状腺剂量!$I$5:$I$27)*后果甲状腺剂量!$Q12+SUMPRODUCT(S$5:S$27,后果甲状腺剂量!$I$5:$I$27)*后果甲状腺剂量!$Q12+SUMPRODUCT(T$5:T$27,后果甲状腺剂量!$I$5:$I$27)*后果甲状腺剂量!$R12+SUMPRODUCT(U$5:U$27,后果甲状腺剂量!$I$5:$I$27)*后果甲状腺剂量!$S12+SUMPRODUCT(V$5:V$27,后果甲状腺剂量!$I$5:$I$27)*后果甲状腺剂量!$T12+SUMPRODUCT(W$5:W$27,后果甲状腺剂量!$I$5:$I$27)*后果甲状腺剂量!$U12+SUMPRODUCT(R$5:R$27,后果甲状腺剂量!$J$5:$J$27)*后果甲状腺剂量!$Q12*后果甲状腺剂量!$Q$3+SUMPRODUCT(S$5:S$27,后果甲状腺剂量!$J$5:$J$27)*后果甲状腺剂量!$Q12*后果甲状腺剂量!$Q$3+SUMPRODUCT(T$5:T$27,后果甲状腺剂量!$J$5:$J$27)*后果甲状腺剂量!$R12*后果甲状腺剂量!$R$3+SUMPRODUCT(U$5:U$27,后果甲状腺剂量!$J$5:$J$27)*后果甲状腺剂量!$S12*后果甲状腺剂量!$S$3+SUMPRODUCT(V$5:V$27,后果甲状腺剂量!$J$5:$J$27)*后果甲状腺剂量!$T12*后果甲状腺剂量!$T$3+SUMPRODUCT(W$5:W$27,后果甲状腺剂量!$J$5:$J$27)*后果甲状腺剂量!$U12*后果甲状腺剂量!$U$3+SUMPRODUCT(R$5:R$27,后果甲状腺剂量!$K$5:$K$27)*后果甲状腺剂量!$Q12+SUMPRODUCT(S$5:S$27,后果甲状腺剂量!$K$5:$K$27)*后果甲状腺剂量!$Q12+SUMPRODUCT(T$5:T$27,后果甲状腺剂量!$K$5:$K$27)*后果甲状腺剂量!$R12+SUMPRODUCT(U$5:U$27,后果甲状腺剂量!$K$5:$K$27)*后果甲状腺剂量!$S12+SUMPRODUCT(V$5:V$27,后果甲状腺剂量!$K$5:$K$27)*后果甲状腺剂量!$T12+SUMPRODUCT(W$5:W$27,后果甲状腺剂量!$K$5:$K$27)*后果甲状腺剂量!$U12</f>
        <v>0.000452526106824112</v>
      </c>
      <c r="T38" s="454">
        <f ca="1" t="shared" si="255"/>
        <v>0.00429360643042244</v>
      </c>
      <c r="U38" s="454">
        <f ca="1" t="shared" si="256"/>
        <v>0.452526106824112</v>
      </c>
      <c r="V38" s="436"/>
      <c r="W38" s="436"/>
      <c r="AN38" s="533"/>
      <c r="AS38" s="572"/>
      <c r="BO38" s="600"/>
      <c r="CJ38" s="600"/>
      <c r="DZ38" s="600"/>
      <c r="EU38" s="603"/>
      <c r="FP38" s="603"/>
      <c r="FS38" s="441">
        <f>SUMPRODUCT(FS$5:FS$27,后果有效剂量!$I$5:$I$27)*后果有效剂量!$Q12+SUMPRODUCT(FT$5:FT$27,后果有效剂量!$I$5:$I$27)*后果有效剂量!$R12+SUMPRODUCT(FU$5:FU$27,后果有效剂量!$I$5:$I$27)*后果有效剂量!$S12+SUMPRODUCT(FV$5:FV$27,后果有效剂量!$I$5:$I$27)*后果有效剂量!$T12+SUMPRODUCT(FS$5:FS$27,后果有效剂量!$J$5:$J$27)*后果有效剂量!$Q12*后果有效剂量!$Q$3+SUMPRODUCT(FT$5:FT$27,后果有效剂量!$J$5:$J$27)*后果有效剂量!$R12*后果有效剂量!$R$3+SUMPRODUCT(FU$5:FU$27,后果有效剂量!$J$5:$J$27)*后果有效剂量!$S12*后果有效剂量!$S$3+SUMPRODUCT(FV$5:FV$27,后果有效剂量!$J$5:$J$27)*后果有效剂量!$T12*后果有效剂量!$T$3+SUMPRODUCT(FS$5:FS$27,后果有效剂量!$K$5:$K$27)*后果有效剂量!$Q12+SUMPRODUCT(FT$5:FT$27,后果有效剂量!$K$5:$K$27)*后果有效剂量!$R12+SUMPRODUCT(FU$5:FU$27,后果有效剂量!$K$5:$K$27)*后果有效剂量!$S12+SUMPRODUCT(FV$5:FV$27,后果有效剂量!$K$5:$K$27)*后果有效剂量!$T12</f>
        <v>3.76124270740873e-5</v>
      </c>
      <c r="FT38" s="453">
        <f>SUMPRODUCT(FS$5:FS$27,后果甲状腺剂量!$I$5:$I$27)*后果甲状腺剂量!$Q12+SUMPRODUCT(FT$5:FT$27,后果甲状腺剂量!$I$5:$I$27)*后果甲状腺剂量!$R12+SUMPRODUCT(FU$5:FU$27,后果甲状腺剂量!$I$5:$I$27)*后果甲状腺剂量!$S12+SUMPRODUCT(FV$5:FV$27,后果甲状腺剂量!$I$5:$I$27)*后果甲状腺剂量!$T12+SUMPRODUCT(FS$5:FS$27,后果甲状腺剂量!$J$5:$J$27)*后果甲状腺剂量!$Q12*后果甲状腺剂量!$Q$3+SUMPRODUCT(FT$5:FT$27,后果甲状腺剂量!$J$5:$J$27)*后果甲状腺剂量!$R12*后果甲状腺剂量!$R$3+SUMPRODUCT(FU$5:FU$27,后果甲状腺剂量!$J$5:$J$27)*后果甲状腺剂量!$S12*后果甲状腺剂量!$S$3+SUMPRODUCT(FV$5:FV$27,后果甲状腺剂量!$J$5:$J$27)*后果甲状腺剂量!$T12*后果甲状腺剂量!$T$3+SUMPRODUCT(FS$5:FS$27,后果甲状腺剂量!$K$5:$K$27)*后果甲状腺剂量!$Q12+SUMPRODUCT(FT$5:FT$27,后果甲状腺剂量!$K$5:$K$27)*后果甲状腺剂量!$R12+SUMPRODUCT(FU$5:FU$27,后果甲状腺剂量!$K$5:$K$27)*后果甲状腺剂量!$S12+SUMPRODUCT(FV$5:FV$27,后果甲状腺剂量!$K$5:$K$27)*后果甲状腺剂量!$T12</f>
        <v>0.00209817268079309</v>
      </c>
      <c r="FU38" s="454">
        <f t="shared" si="257"/>
        <v>0.0376124270740873</v>
      </c>
      <c r="FV38" s="454">
        <f t="shared" si="258"/>
        <v>2.09817268079309</v>
      </c>
      <c r="FW38" s="436"/>
      <c r="FX38" s="436"/>
      <c r="GD38" s="440" t="str">
        <f>后果有效剂量!$P12</f>
        <v>5000m</v>
      </c>
      <c r="GE38" s="441">
        <f>SUMPRODUCT(GE$5:GE$27,后果有效剂量!$I$5:$I$27)*后果有效剂量!$Q12+SUMPRODUCT(GF$5:GF$27,后果有效剂量!$I$5:$I$27)*后果有效剂量!$R12+SUMPRODUCT(GG$5:GG$27,后果有效剂量!$I$5:$I$27)*后果有效剂量!$S12+(SUMPRODUCT(GH$5:GH$27,后果有效剂量!$I$5:$I$27)+SUMPRODUCT(GI$5:GI$27,后果有效剂量!$I$5:$I$27))*后果有效剂量!$T12+SUMPRODUCT(GJ$5:GJ$27,后果有效剂量!$I$5:$I$27)*后果有效剂量!$U12+SUMPRODUCT(GE$5:GE$27,后果有效剂量!$J$5:$J$27)*后果有效剂量!$Q12*后果有效剂量!$Q$3+SUMPRODUCT(GF$5:GF$27,后果有效剂量!$J$5:$J$27)*后果有效剂量!$R12*后果有效剂量!$R$3+SUMPRODUCT(GG$5:GG$27,后果有效剂量!$J$5:$J$27)*后果有效剂量!$S12*后果有效剂量!$S$3+(SUMPRODUCT(GH$5:GH$27,后果有效剂量!$J$5:$J$27)+SUMPRODUCT(GI$5:GI$27,后果有效剂量!$J$5:$J$27))*后果有效剂量!$T12*后果有效剂量!$T$3+SUMPRODUCT(GJ$5:GJ$27,后果有效剂量!$J$5:$J$27)*后果有效剂量!$U12*后果有效剂量!$U$3+SUMPRODUCT(GE$5:GE$27,后果有效剂量!$K$5:$K$27)*后果有效剂量!$Q12+SUMPRODUCT(GF$5:GF$27,后果有效剂量!$K$5:$K$27)*后果有效剂量!$R12+SUMPRODUCT(GG$5:GG$27,后果有效剂量!$K$5:$K$27)*后果有效剂量!$S12+(SUMPRODUCT(GH$5:GH$27,后果有效剂量!$K$5:$K$27)+SUMPRODUCT(GI$5:GI$27,后果有效剂量!$K$5:$K$27))*后果有效剂量!$T12+SUMPRODUCT(GJ$5:GJ$27,后果有效剂量!$K$5:$K$27)*后果有效剂量!$U12</f>
        <v>9.96698491087919e-6</v>
      </c>
      <c r="GF38" s="453">
        <f>SUMPRODUCT(GE$5:GE$27,后果甲状腺剂量!$I$5:$I$27)*后果甲状腺剂量!$Q12+SUMPRODUCT(GF$5:GF$27,后果甲状腺剂量!$I$5:$I$27)*后果甲状腺剂量!$R12+SUMPRODUCT(GG$5:GG$27,后果甲状腺剂量!$I$5:$I$27)*后果甲状腺剂量!$S12+(SUMPRODUCT(GH$5:GH$27,后果甲状腺剂量!$I$5:$I$27)+SUMPRODUCT(GI$5:GI$27,后果甲状腺剂量!$I$5:$I$27))*后果甲状腺剂量!$T12+SUMPRODUCT(GJ$5:GJ$27,后果甲状腺剂量!$I$5:$I$27)*后果甲状腺剂量!$U12+SUMPRODUCT(GE$5:GE$27,后果甲状腺剂量!$J$5:$J$27)*后果甲状腺剂量!$Q12*后果甲状腺剂量!$Q$3+SUMPRODUCT(GF$5:GF$27,后果甲状腺剂量!$J$5:$J$27)*后果甲状腺剂量!$R12*后果甲状腺剂量!$R$3+SUMPRODUCT(GG$5:GG$27,后果甲状腺剂量!$J$5:$J$27)*后果甲状腺剂量!$S12*后果甲状腺剂量!$S$3+(SUMPRODUCT(GH$5:GH$27,后果甲状腺剂量!$J$5:$J$27)+SUMPRODUCT(GI$5:GI$27,后果甲状腺剂量!$J$5:$J$27))*后果甲状腺剂量!$T12*后果甲状腺剂量!$T$3+SUMPRODUCT(GJ$5:GJ$27,后果甲状腺剂量!$J$5:$J$27)*后果甲状腺剂量!$U12*后果甲状腺剂量!$U$3+SUMPRODUCT(GE$5:GE$27,后果甲状腺剂量!$K$5:$K$27)*后果甲状腺剂量!$Q12+SUMPRODUCT(GF$5:GF$27,后果甲状腺剂量!$K$5:$K$27)*后果甲状腺剂量!$R12+SUMPRODUCT(GG$5:GG$27,后果甲状腺剂量!$K$5:$K$27)*后果甲状腺剂量!$S12+(SUMPRODUCT(GH$5:GH$27,后果甲状腺剂量!$K$5:$K$27)+SUMPRODUCT(GI$5:GI$27,后果甲状腺剂量!$K$5:$K$27))*后果甲状腺剂量!$T12+SUMPRODUCT(GJ$5:GJ$27,后果甲状腺剂量!$K$5:$K$27)*后果甲状腺剂量!$U12</f>
        <v>0.000390031853238463</v>
      </c>
      <c r="GG38" s="454">
        <f t="shared" si="259"/>
        <v>0.00996698491087919</v>
      </c>
      <c r="GH38" s="454">
        <f t="shared" si="260"/>
        <v>0.390031853238463</v>
      </c>
      <c r="GI38" s="436"/>
      <c r="GJ38" s="436"/>
    </row>
    <row r="39" spans="7:192">
      <c r="G39" s="440" t="str">
        <f>后果有效剂量!$P13</f>
        <v>7500m</v>
      </c>
      <c r="H39" s="441">
        <f ca="1">SUMPRODUCT(H$5:H$27,后果有效剂量!$I$5:$I$27)*后果有效剂量!$Q13+SUMPRODUCT(I$5:I$27,后果有效剂量!$I$5:$I$27)*后果有效剂量!$Q13+SUMPRODUCT(J$5:J$27,后果有效剂量!$I$5:$I$27)*后果有效剂量!$R13+SUMPRODUCT(K$5:K$27,后果有效剂量!$I$5:$I$27)*后果有效剂量!$S13+SUMPRODUCT(L$5:L$27,后果有效剂量!$I$5:$I$27)*后果有效剂量!$T13+SUMPRODUCT(M$5:M$27,后果有效剂量!$I$5:$I$27)*后果有效剂量!$U13+SUMPRODUCT(H$5:H$27,后果有效剂量!$J$5:$J$27)*后果有效剂量!$Q13*后果有效剂量!$Q$3+SUMPRODUCT(I$5:I$27,后果有效剂量!$J$5:$J$27)*后果有效剂量!$Q13*后果有效剂量!$Q$3+SUMPRODUCT(J$5:J$27,后果有效剂量!$J$5:$J$27)*后果有效剂量!$R13*后果有效剂量!$R$3+SUMPRODUCT(K$5:K$27,后果有效剂量!$J$5:$J$27)*后果有效剂量!$S13*后果有效剂量!$S$3+SUMPRODUCT(L$5:L$27,后果有效剂量!$J$5:$J$27)*后果有效剂量!$T13*后果有效剂量!$T$3+SUMPRODUCT(M$5:M$27,后果有效剂量!$J$5:$J$27)*后果有效剂量!$U13*后果有效剂量!$U$3+SUMPRODUCT(H$5:H$27,后果有效剂量!$K$5:$K$27)*后果有效剂量!$Q13+SUMPRODUCT(I$5:I$27,后果有效剂量!$K$5:$K$27)*后果有效剂量!$Q13+SUMPRODUCT(J$5:J$27,后果有效剂量!$K$5:$K$27)*后果有效剂量!$R13+SUMPRODUCT(K$5:K$27,后果有效剂量!$K$5:$K$27)*后果有效剂量!$S13+SUMPRODUCT(L$5:L$27,后果有效剂量!$K$5:$K$27)*后果有效剂量!$T13+SUMPRODUCT(M$5:M$27,后果有效剂量!$K$5:$K$27)*后果有效剂量!$U13</f>
        <v>0.00060465875379048</v>
      </c>
      <c r="I39" s="453">
        <f ca="1">SUMPRODUCT(H$5:H$27,后果甲状腺剂量!$I$5:$I$27)*后果甲状腺剂量!$Q13+SUMPRODUCT(I$5:I$27,后果甲状腺剂量!$I$5:$I$27)*后果甲状腺剂量!$Q13+SUMPRODUCT(J$5:J$27,后果甲状腺剂量!$I$5:$I$27)*后果甲状腺剂量!$R13+SUMPRODUCT(K$5:K$27,后果甲状腺剂量!$I$5:$I$27)*后果甲状腺剂量!$S13+SUMPRODUCT(L$5:L$27,后果甲状腺剂量!$I$5:$I$27)*后果甲状腺剂量!$T13+SUMPRODUCT(M$5:M$27,后果甲状腺剂量!$I$5:$I$27)*后果甲状腺剂量!$U13+SUMPRODUCT(H$5:H$27,后果甲状腺剂量!$J$5:$J$27)*后果甲状腺剂量!$Q13*后果甲状腺剂量!$Q$3+SUMPRODUCT(I$5:I$27,后果甲状腺剂量!$J$5:$J$27)*后果甲状腺剂量!$Q13*后果甲状腺剂量!$Q$3+SUMPRODUCT(J$5:J$27,后果甲状腺剂量!$J$5:$J$27)*后果甲状腺剂量!$R13*后果甲状腺剂量!$R$3+SUMPRODUCT(K$5:K$27,后果甲状腺剂量!$J$5:$J$27)*后果甲状腺剂量!$S13*后果甲状腺剂量!$S$3+SUMPRODUCT(L$5:L$27,后果甲状腺剂量!$J$5:$J$27)*后果甲状腺剂量!$T13*后果甲状腺剂量!$T$3+SUMPRODUCT(M$5:M$27,后果甲状腺剂量!$J$5:$J$27)*后果甲状腺剂量!$U13*后果甲状腺剂量!$U$3+SUMPRODUCT(H$5:H$27,后果甲状腺剂量!$K$5:$K$27)*后果甲状腺剂量!$Q13+SUMPRODUCT(I$5:I$27,后果甲状腺剂量!$K$5:$K$27)*后果甲状腺剂量!$Q13+SUMPRODUCT(J$5:J$27,后果甲状腺剂量!$K$5:$K$27)*后果甲状腺剂量!$R13+SUMPRODUCT(K$5:K$27,后果甲状腺剂量!$K$5:$K$27)*后果甲状腺剂量!$S13+SUMPRODUCT(L$5:L$27,后果甲状腺剂量!$K$5:$K$27)*后果甲状腺剂量!$T13+SUMPRODUCT(M$5:M$27,后果甲状腺剂量!$K$5:$K$27)*后果甲状腺剂量!$U13</f>
        <v>0.00623579883810923</v>
      </c>
      <c r="J39" s="454">
        <f ca="1" t="shared" si="253"/>
        <v>0.60465875379048</v>
      </c>
      <c r="K39" s="454">
        <f ca="1" t="shared" si="254"/>
        <v>6.23579883810923</v>
      </c>
      <c r="L39" s="436"/>
      <c r="M39" s="436"/>
      <c r="N39" s="455"/>
      <c r="Q39" s="440" t="str">
        <f>后果有效剂量!$P13</f>
        <v>7500m</v>
      </c>
      <c r="R39" s="441">
        <f ca="1">SUMPRODUCT(R$5:R$27,后果有效剂量!$I$5:$I$27)*后果有效剂量!$Q13+SUMPRODUCT(S$5:S$27,后果有效剂量!$I$5:$I$27)*后果有效剂量!$Q13+SUMPRODUCT(T$5:T$27,后果有效剂量!$I$5:$I$27)*后果有效剂量!$R13+SUMPRODUCT(U$5:U$27,后果有效剂量!$I$5:$I$27)*后果有效剂量!$S13+SUMPRODUCT(V$5:V$27,后果有效剂量!$I$5:$I$27)*后果有效剂量!$T13+SUMPRODUCT(W$5:W$27,后果有效剂量!$I$5:$I$27)*后果有效剂量!$U13+SUMPRODUCT(R$5:R$27,后果有效剂量!$J$5:$J$27)*后果有效剂量!$Q13*后果有效剂量!$Q$3+SUMPRODUCT(S$5:S$27,后果有效剂量!$J$5:$J$27)*后果有效剂量!$Q13*后果有效剂量!$Q$3+SUMPRODUCT(T$5:T$27,后果有效剂量!$J$5:$J$27)*后果有效剂量!$R13*后果有效剂量!$R$3+SUMPRODUCT(U$5:U$27,后果有效剂量!$J$5:$J$27)*后果有效剂量!$S13*后果有效剂量!$S$3+SUMPRODUCT(V$5:V$27,后果有效剂量!$J$5:$J$27)*后果有效剂量!$T13*后果有效剂量!$T$3+SUMPRODUCT(W$5:W$27,后果有效剂量!$J$5:$J$27)*后果有效剂量!$U13*后果有效剂量!$U$3+SUMPRODUCT(R$5:R$27,后果有效剂量!$K$5:$K$27)*后果有效剂量!$Q13+SUMPRODUCT(S$5:S$27,后果有效剂量!$K$5:$K$27)*后果有效剂量!$Q13+SUMPRODUCT(T$5:T$27,后果有效剂量!$K$5:$K$27)*后果有效剂量!$R13+SUMPRODUCT(U$5:U$27,后果有效剂量!$K$5:$K$27)*后果有效剂量!$S13+SUMPRODUCT(V$5:V$27,后果有效剂量!$K$5:$K$27)*后果有效剂量!$T13+SUMPRODUCT(W$5:W$27,后果有效剂量!$K$5:$K$27)*后果有效剂量!$U13</f>
        <v>2.46135313685389e-5</v>
      </c>
      <c r="S39" s="453">
        <f ca="1">SUMPRODUCT(R$5:R$27,后果甲状腺剂量!$I$5:$I$27)*后果甲状腺剂量!$Q13+SUMPRODUCT(S$5:S$27,后果甲状腺剂量!$I$5:$I$27)*后果甲状腺剂量!$Q13+SUMPRODUCT(T$5:T$27,后果甲状腺剂量!$I$5:$I$27)*后果甲状腺剂量!$R13+SUMPRODUCT(U$5:U$27,后果甲状腺剂量!$I$5:$I$27)*后果甲状腺剂量!$S13+SUMPRODUCT(V$5:V$27,后果甲状腺剂量!$I$5:$I$27)*后果甲状腺剂量!$T13+SUMPRODUCT(W$5:W$27,后果甲状腺剂量!$I$5:$I$27)*后果甲状腺剂量!$U13+SUMPRODUCT(R$5:R$27,后果甲状腺剂量!$J$5:$J$27)*后果甲状腺剂量!$Q13*后果甲状腺剂量!$Q$3+SUMPRODUCT(S$5:S$27,后果甲状腺剂量!$J$5:$J$27)*后果甲状腺剂量!$Q13*后果甲状腺剂量!$Q$3+SUMPRODUCT(T$5:T$27,后果甲状腺剂量!$J$5:$J$27)*后果甲状腺剂量!$R13*后果甲状腺剂量!$R$3+SUMPRODUCT(U$5:U$27,后果甲状腺剂量!$J$5:$J$27)*后果甲状腺剂量!$S13*后果甲状腺剂量!$S$3+SUMPRODUCT(V$5:V$27,后果甲状腺剂量!$J$5:$J$27)*后果甲状腺剂量!$T13*后果甲状腺剂量!$T$3+SUMPRODUCT(W$5:W$27,后果甲状腺剂量!$J$5:$J$27)*后果甲状腺剂量!$U13*后果甲状腺剂量!$U$3+SUMPRODUCT(R$5:R$27,后果甲状腺剂量!$K$5:$K$27)*后果甲状腺剂量!$Q13+SUMPRODUCT(S$5:S$27,后果甲状腺剂量!$K$5:$K$27)*后果甲状腺剂量!$Q13+SUMPRODUCT(T$5:T$27,后果甲状腺剂量!$K$5:$K$27)*后果甲状腺剂量!$R13+SUMPRODUCT(U$5:U$27,后果甲状腺剂量!$K$5:$K$27)*后果甲状腺剂量!$S13+SUMPRODUCT(V$5:V$27,后果甲状腺剂量!$K$5:$K$27)*后果甲状腺剂量!$T13+SUMPRODUCT(W$5:W$27,后果甲状腺剂量!$K$5:$K$27)*后果甲状腺剂量!$U13</f>
        <v>0.000309935823711043</v>
      </c>
      <c r="T39" s="454">
        <f ca="1" t="shared" si="255"/>
        <v>0.0246135313685389</v>
      </c>
      <c r="U39" s="454">
        <f ca="1" t="shared" si="256"/>
        <v>0.309935823711044</v>
      </c>
      <c r="V39" s="436"/>
      <c r="W39" s="436"/>
      <c r="AN39" s="533"/>
      <c r="AS39" s="572"/>
      <c r="BO39" s="600"/>
      <c r="CJ39" s="600"/>
      <c r="DZ39" s="600"/>
      <c r="EU39" s="603"/>
      <c r="FP39" s="603"/>
      <c r="FS39" s="441">
        <f>SUMPRODUCT(FS$5:FS$27,后果有效剂量!$I$5:$I$27)*后果有效剂量!$Q13+SUMPRODUCT(FT$5:FT$27,后果有效剂量!$I$5:$I$27)*后果有效剂量!$R13+SUMPRODUCT(FU$5:FU$27,后果有效剂量!$I$5:$I$27)*后果有效剂量!$S13+SUMPRODUCT(FV$5:FV$27,后果有效剂量!$I$5:$I$27)*后果有效剂量!$T13+SUMPRODUCT(FS$5:FS$27,后果有效剂量!$J$5:$J$27)*后果有效剂量!$Q13*后果有效剂量!$Q$3+SUMPRODUCT(FT$5:FT$27,后果有效剂量!$J$5:$J$27)*后果有效剂量!$R13*后果有效剂量!$R$3+SUMPRODUCT(FU$5:FU$27,后果有效剂量!$J$5:$J$27)*后果有效剂量!$S13*后果有效剂量!$S$3+SUMPRODUCT(FV$5:FV$27,后果有效剂量!$J$5:$J$27)*后果有效剂量!$T13*后果有效剂量!$T$3+SUMPRODUCT(FS$5:FS$27,后果有效剂量!$K$5:$K$27)*后果有效剂量!$Q13+SUMPRODUCT(FT$5:FT$27,后果有效剂量!$K$5:$K$27)*后果有效剂量!$R13+SUMPRODUCT(FU$5:FU$27,后果有效剂量!$K$5:$K$27)*后果有效剂量!$S13+SUMPRODUCT(FV$5:FV$27,后果有效剂量!$K$5:$K$27)*后果有效剂量!$T13</f>
        <v>0.000180207217422311</v>
      </c>
      <c r="FT39" s="453">
        <f>SUMPRODUCT(FS$5:FS$27,后果甲状腺剂量!$I$5:$I$27)*后果甲状腺剂量!$Q13+SUMPRODUCT(FT$5:FT$27,后果甲状腺剂量!$I$5:$I$27)*后果甲状腺剂量!$R13+SUMPRODUCT(FU$5:FU$27,后果甲状腺剂量!$I$5:$I$27)*后果甲状腺剂量!$S13+SUMPRODUCT(FV$5:FV$27,后果甲状腺剂量!$I$5:$I$27)*后果甲状腺剂量!$T13+SUMPRODUCT(FS$5:FS$27,后果甲状腺剂量!$J$5:$J$27)*后果甲状腺剂量!$Q13*后果甲状腺剂量!$Q$3+SUMPRODUCT(FT$5:FT$27,后果甲状腺剂量!$J$5:$J$27)*后果甲状腺剂量!$R13*后果甲状腺剂量!$R$3+SUMPRODUCT(FU$5:FU$27,后果甲状腺剂量!$J$5:$J$27)*后果甲状腺剂量!$S13*后果甲状腺剂量!$S$3+SUMPRODUCT(FV$5:FV$27,后果甲状腺剂量!$J$5:$J$27)*后果甲状腺剂量!$T13*后果甲状腺剂量!$T$3+SUMPRODUCT(FS$5:FS$27,后果甲状腺剂量!$K$5:$K$27)*后果甲状腺剂量!$Q13+SUMPRODUCT(FT$5:FT$27,后果甲状腺剂量!$K$5:$K$27)*后果甲状腺剂量!$R13+SUMPRODUCT(FU$5:FU$27,后果甲状腺剂量!$K$5:$K$27)*后果甲状腺剂量!$S13+SUMPRODUCT(FV$5:FV$27,后果甲状腺剂量!$K$5:$K$27)*后果甲状腺剂量!$T13</f>
        <v>0.00133466805666965</v>
      </c>
      <c r="FU39" s="454">
        <f t="shared" si="257"/>
        <v>0.180207217422311</v>
      </c>
      <c r="FV39" s="454">
        <f t="shared" si="258"/>
        <v>1.33466805666965</v>
      </c>
      <c r="FW39" s="436"/>
      <c r="FX39" s="436"/>
      <c r="GD39" s="440" t="str">
        <f>后果有效剂量!$P13</f>
        <v>7500m</v>
      </c>
      <c r="GE39" s="441">
        <f>SUMPRODUCT(GE$5:GE$27,后果有效剂量!$I$5:$I$27)*后果有效剂量!$Q13+SUMPRODUCT(GF$5:GF$27,后果有效剂量!$I$5:$I$27)*后果有效剂量!$R13+SUMPRODUCT(GG$5:GG$27,后果有效剂量!$I$5:$I$27)*后果有效剂量!$S13+(SUMPRODUCT(GH$5:GH$27,后果有效剂量!$I$5:$I$27)+SUMPRODUCT(GI$5:GI$27,后果有效剂量!$I$5:$I$27))*后果有效剂量!$T13+SUMPRODUCT(GJ$5:GJ$27,后果有效剂量!$I$5:$I$27)*后果有效剂量!$U13+SUMPRODUCT(GE$5:GE$27,后果有效剂量!$J$5:$J$27)*后果有效剂量!$Q13*后果有效剂量!$Q$3+SUMPRODUCT(GF$5:GF$27,后果有效剂量!$J$5:$J$27)*后果有效剂量!$R13*后果有效剂量!$R$3+SUMPRODUCT(GG$5:GG$27,后果有效剂量!$J$5:$J$27)*后果有效剂量!$S13*后果有效剂量!$S$3+(SUMPRODUCT(GH$5:GH$27,后果有效剂量!$J$5:$J$27)+SUMPRODUCT(GI$5:GI$27,后果有效剂量!$J$5:$J$27))*后果有效剂量!$T13*后果有效剂量!$T$3+SUMPRODUCT(GJ$5:GJ$27,后果有效剂量!$J$5:$J$27)*后果有效剂量!$U13*后果有效剂量!$U$3+SUMPRODUCT(GE$5:GE$27,后果有效剂量!$K$5:$K$27)*后果有效剂量!$Q13+SUMPRODUCT(GF$5:GF$27,后果有效剂量!$K$5:$K$27)*后果有效剂量!$R13+SUMPRODUCT(GG$5:GG$27,后果有效剂量!$K$5:$K$27)*后果有效剂量!$S13+(SUMPRODUCT(GH$5:GH$27,后果有效剂量!$K$5:$K$27)+SUMPRODUCT(GI$5:GI$27,后果有效剂量!$K$5:$K$27))*后果有效剂量!$T13+SUMPRODUCT(GJ$5:GJ$27,后果有效剂量!$K$5:$K$27)*后果有效剂量!$U13</f>
        <v>4.04510808112764e-5</v>
      </c>
      <c r="GF39" s="453">
        <f>SUMPRODUCT(GE$5:GE$27,后果甲状腺剂量!$I$5:$I$27)*后果甲状腺剂量!$Q13+SUMPRODUCT(GF$5:GF$27,后果甲状腺剂量!$I$5:$I$27)*后果甲状腺剂量!$R13+SUMPRODUCT(GG$5:GG$27,后果甲状腺剂量!$I$5:$I$27)*后果甲状腺剂量!$S13+(SUMPRODUCT(GH$5:GH$27,后果甲状腺剂量!$I$5:$I$27)+SUMPRODUCT(GI$5:GI$27,后果甲状腺剂量!$I$5:$I$27))*后果甲状腺剂量!$T13+SUMPRODUCT(GJ$5:GJ$27,后果甲状腺剂量!$I$5:$I$27)*后果甲状腺剂量!$U13+SUMPRODUCT(GE$5:GE$27,后果甲状腺剂量!$J$5:$J$27)*后果甲状腺剂量!$Q13*后果甲状腺剂量!$Q$3+SUMPRODUCT(GF$5:GF$27,后果甲状腺剂量!$J$5:$J$27)*后果甲状腺剂量!$R13*后果甲状腺剂量!$R$3+SUMPRODUCT(GG$5:GG$27,后果甲状腺剂量!$J$5:$J$27)*后果甲状腺剂量!$S13*后果甲状腺剂量!$S$3+(SUMPRODUCT(GH$5:GH$27,后果甲状腺剂量!$J$5:$J$27)+SUMPRODUCT(GI$5:GI$27,后果甲状腺剂量!$J$5:$J$27))*后果甲状腺剂量!$T13*后果甲状腺剂量!$T$3+SUMPRODUCT(GJ$5:GJ$27,后果甲状腺剂量!$J$5:$J$27)*后果甲状腺剂量!$U13*后果甲状腺剂量!$U$3+SUMPRODUCT(GE$5:GE$27,后果甲状腺剂量!$K$5:$K$27)*后果甲状腺剂量!$Q13+SUMPRODUCT(GF$5:GF$27,后果甲状腺剂量!$K$5:$K$27)*后果甲状腺剂量!$R13+SUMPRODUCT(GG$5:GG$27,后果甲状腺剂量!$K$5:$K$27)*后果甲状腺剂量!$S13+(SUMPRODUCT(GH$5:GH$27,后果甲状腺剂量!$K$5:$K$27)+SUMPRODUCT(GI$5:GI$27,后果甲状腺剂量!$K$5:$K$27))*后果甲状腺剂量!$T13+SUMPRODUCT(GJ$5:GJ$27,后果甲状腺剂量!$K$5:$K$27)*后果甲状腺剂量!$U13</f>
        <v>0.000226352267715351</v>
      </c>
      <c r="GG39" s="454">
        <f t="shared" si="259"/>
        <v>0.0404510808112764</v>
      </c>
      <c r="GH39" s="454">
        <f t="shared" si="260"/>
        <v>0.226352267715351</v>
      </c>
      <c r="GI39" s="436"/>
      <c r="GJ39" s="436"/>
    </row>
    <row r="40" spans="7:192">
      <c r="G40" s="440" t="str">
        <f>后果有效剂量!$P14</f>
        <v>15000m</v>
      </c>
      <c r="H40" s="441">
        <f ca="1">SUMPRODUCT(H$5:H$27,后果有效剂量!$I$5:$I$27)*后果有效剂量!$Q14+SUMPRODUCT(I$5:I$27,后果有效剂量!$I$5:$I$27)*后果有效剂量!$Q14+SUMPRODUCT(J$5:J$27,后果有效剂量!$I$5:$I$27)*后果有效剂量!$R14+SUMPRODUCT(K$5:K$27,后果有效剂量!$I$5:$I$27)*后果有效剂量!$S14+SUMPRODUCT(L$5:L$27,后果有效剂量!$I$5:$I$27)*后果有效剂量!$T14+SUMPRODUCT(M$5:M$27,后果有效剂量!$I$5:$I$27)*后果有效剂量!$U14+SUMPRODUCT(H$5:H$27,后果有效剂量!$J$5:$J$27)*后果有效剂量!$Q14*后果有效剂量!$Q$3+SUMPRODUCT(I$5:I$27,后果有效剂量!$J$5:$J$27)*后果有效剂量!$Q14*后果有效剂量!$Q$3+SUMPRODUCT(J$5:J$27,后果有效剂量!$J$5:$J$27)*后果有效剂量!$R14*后果有效剂量!$R$3+SUMPRODUCT(K$5:K$27,后果有效剂量!$J$5:$J$27)*后果有效剂量!$S14*后果有效剂量!$S$3+SUMPRODUCT(L$5:L$27,后果有效剂量!$J$5:$J$27)*后果有效剂量!$T14*后果有效剂量!$T$3+SUMPRODUCT(M$5:M$27,后果有效剂量!$J$5:$J$27)*后果有效剂量!$U14*后果有效剂量!$U$3+SUMPRODUCT(H$5:H$27,后果有效剂量!$K$5:$K$27)*后果有效剂量!$Q14+SUMPRODUCT(I$5:I$27,后果有效剂量!$K$5:$K$27)*后果有效剂量!$Q14+SUMPRODUCT(J$5:J$27,后果有效剂量!$K$5:$K$27)*后果有效剂量!$R14+SUMPRODUCT(K$5:K$27,后果有效剂量!$K$5:$K$27)*后果有效剂量!$S14+SUMPRODUCT(L$5:L$27,后果有效剂量!$K$5:$K$27)*后果有效剂量!$T14+SUMPRODUCT(M$5:M$27,后果有效剂量!$K$5:$K$27)*后果有效剂量!$U14</f>
        <v>0.000274318028876192</v>
      </c>
      <c r="I40" s="453">
        <f ca="1">SUMPRODUCT(H$5:H$27,后果甲状腺剂量!$I$5:$I$27)*后果甲状腺剂量!$Q14+SUMPRODUCT(I$5:I$27,后果甲状腺剂量!$I$5:$I$27)*后果甲状腺剂量!$Q14+SUMPRODUCT(J$5:J$27,后果甲状腺剂量!$I$5:$I$27)*后果甲状腺剂量!$R14+SUMPRODUCT(K$5:K$27,后果甲状腺剂量!$I$5:$I$27)*后果甲状腺剂量!$S14+SUMPRODUCT(L$5:L$27,后果甲状腺剂量!$I$5:$I$27)*后果甲状腺剂量!$T14+SUMPRODUCT(M$5:M$27,后果甲状腺剂量!$I$5:$I$27)*后果甲状腺剂量!$U14+SUMPRODUCT(H$5:H$27,后果甲状腺剂量!$J$5:$J$27)*后果甲状腺剂量!$Q14*后果甲状腺剂量!$Q$3+SUMPRODUCT(I$5:I$27,后果甲状腺剂量!$J$5:$J$27)*后果甲状腺剂量!$Q14*后果甲状腺剂量!$Q$3+SUMPRODUCT(J$5:J$27,后果甲状腺剂量!$J$5:$J$27)*后果甲状腺剂量!$R14*后果甲状腺剂量!$R$3+SUMPRODUCT(K$5:K$27,后果甲状腺剂量!$J$5:$J$27)*后果甲状腺剂量!$S14*后果甲状腺剂量!$S$3+SUMPRODUCT(L$5:L$27,后果甲状腺剂量!$J$5:$J$27)*后果甲状腺剂量!$T14*后果甲状腺剂量!$T$3+SUMPRODUCT(M$5:M$27,后果甲状腺剂量!$J$5:$J$27)*后果甲状腺剂量!$U14*后果甲状腺剂量!$U$3+SUMPRODUCT(H$5:H$27,后果甲状腺剂量!$K$5:$K$27)*后果甲状腺剂量!$Q14+SUMPRODUCT(I$5:I$27,后果甲状腺剂量!$K$5:$K$27)*后果甲状腺剂量!$Q14+SUMPRODUCT(J$5:J$27,后果甲状腺剂量!$K$5:$K$27)*后果甲状腺剂量!$R14+SUMPRODUCT(K$5:K$27,后果甲状腺剂量!$K$5:$K$27)*后果甲状腺剂量!$S14+SUMPRODUCT(L$5:L$27,后果甲状腺剂量!$K$5:$K$27)*后果甲状腺剂量!$T14+SUMPRODUCT(M$5:M$27,后果甲状腺剂量!$K$5:$K$27)*后果甲状腺剂量!$U14</f>
        <v>0.00282902055914221</v>
      </c>
      <c r="J40" s="454">
        <f ca="1" t="shared" si="253"/>
        <v>0.274318028876192</v>
      </c>
      <c r="K40" s="454">
        <f ca="1" t="shared" si="254"/>
        <v>2.82902055914221</v>
      </c>
      <c r="L40" s="436"/>
      <c r="M40" s="436"/>
      <c r="N40" s="455"/>
      <c r="Q40" s="440" t="str">
        <f>后果有效剂量!$P14</f>
        <v>15000m</v>
      </c>
      <c r="R40" s="441">
        <f ca="1">SUMPRODUCT(R$5:R$27,后果有效剂量!$I$5:$I$27)*后果有效剂量!$Q14+SUMPRODUCT(S$5:S$27,后果有效剂量!$I$5:$I$27)*后果有效剂量!$Q14+SUMPRODUCT(T$5:T$27,后果有效剂量!$I$5:$I$27)*后果有效剂量!$R14+SUMPRODUCT(U$5:U$27,后果有效剂量!$I$5:$I$27)*后果有效剂量!$S14+SUMPRODUCT(V$5:V$27,后果有效剂量!$I$5:$I$27)*后果有效剂量!$T14+SUMPRODUCT(W$5:W$27,后果有效剂量!$I$5:$I$27)*后果有效剂量!$U14+SUMPRODUCT(R$5:R$27,后果有效剂量!$J$5:$J$27)*后果有效剂量!$Q14*后果有效剂量!$Q$3+SUMPRODUCT(S$5:S$27,后果有效剂量!$J$5:$J$27)*后果有效剂量!$Q14*后果有效剂量!$Q$3+SUMPRODUCT(T$5:T$27,后果有效剂量!$J$5:$J$27)*后果有效剂量!$R14*后果有效剂量!$R$3+SUMPRODUCT(U$5:U$27,后果有效剂量!$J$5:$J$27)*后果有效剂量!$S14*后果有效剂量!$S$3+SUMPRODUCT(V$5:V$27,后果有效剂量!$J$5:$J$27)*后果有效剂量!$T14*后果有效剂量!$T$3+SUMPRODUCT(W$5:W$27,后果有效剂量!$J$5:$J$27)*后果有效剂量!$U14*后果有效剂量!$U$3+SUMPRODUCT(R$5:R$27,后果有效剂量!$K$5:$K$27)*后果有效剂量!$Q14+SUMPRODUCT(S$5:S$27,后果有效剂量!$K$5:$K$27)*后果有效剂量!$Q14+SUMPRODUCT(T$5:T$27,后果有效剂量!$K$5:$K$27)*后果有效剂量!$R14+SUMPRODUCT(U$5:U$27,后果有效剂量!$K$5:$K$27)*后果有效剂量!$S14+SUMPRODUCT(V$5:V$27,后果有效剂量!$K$5:$K$27)*后果有效剂量!$T14+SUMPRODUCT(W$5:W$27,后果有效剂量!$K$5:$K$27)*后果有效剂量!$U14</f>
        <v>1.11665222183148e-5</v>
      </c>
      <c r="S40" s="453">
        <f ca="1">SUMPRODUCT(R$5:R$27,后果甲状腺剂量!$I$5:$I$27)*后果甲状腺剂量!$Q14+SUMPRODUCT(S$5:S$27,后果甲状腺剂量!$I$5:$I$27)*后果甲状腺剂量!$Q14+SUMPRODUCT(T$5:T$27,后果甲状腺剂量!$I$5:$I$27)*后果甲状腺剂量!$R14+SUMPRODUCT(U$5:U$27,后果甲状腺剂量!$I$5:$I$27)*后果甲状腺剂量!$S14+SUMPRODUCT(V$5:V$27,后果甲状腺剂量!$I$5:$I$27)*后果甲状腺剂量!$T14+SUMPRODUCT(W$5:W$27,后果甲状腺剂量!$I$5:$I$27)*后果甲状腺剂量!$U14+SUMPRODUCT(R$5:R$27,后果甲状腺剂量!$J$5:$J$27)*后果甲状腺剂量!$Q14*后果甲状腺剂量!$Q$3+SUMPRODUCT(S$5:S$27,后果甲状腺剂量!$J$5:$J$27)*后果甲状腺剂量!$Q14*后果甲状腺剂量!$Q$3+SUMPRODUCT(T$5:T$27,后果甲状腺剂量!$J$5:$J$27)*后果甲状腺剂量!$R14*后果甲状腺剂量!$R$3+SUMPRODUCT(U$5:U$27,后果甲状腺剂量!$J$5:$J$27)*后果甲状腺剂量!$S14*后果甲状腺剂量!$S$3+SUMPRODUCT(V$5:V$27,后果甲状腺剂量!$J$5:$J$27)*后果甲状腺剂量!$T14*后果甲状腺剂量!$T$3+SUMPRODUCT(W$5:W$27,后果甲状腺剂量!$J$5:$J$27)*后果甲状腺剂量!$U14*后果甲状腺剂量!$U$3+SUMPRODUCT(R$5:R$27,后果甲状腺剂量!$K$5:$K$27)*后果甲状腺剂量!$Q14+SUMPRODUCT(S$5:S$27,后果甲状腺剂量!$K$5:$K$27)*后果甲状腺剂量!$Q14+SUMPRODUCT(T$5:T$27,后果甲状腺剂量!$K$5:$K$27)*后果甲状腺剂量!$R14+SUMPRODUCT(U$5:U$27,后果甲状腺剂量!$K$5:$K$27)*后果甲状腺剂量!$S14+SUMPRODUCT(V$5:V$27,后果甲状腺剂量!$K$5:$K$27)*后果甲状腺剂量!$T14+SUMPRODUCT(W$5:W$27,后果甲状腺剂量!$K$5:$K$27)*后果甲状腺剂量!$U14</f>
        <v>0.000140609862514275</v>
      </c>
      <c r="T40" s="454">
        <f ca="1" t="shared" si="255"/>
        <v>0.0111665222183148</v>
      </c>
      <c r="U40" s="454">
        <f ca="1" t="shared" si="256"/>
        <v>0.140609862514275</v>
      </c>
      <c r="V40" s="436"/>
      <c r="W40" s="436"/>
      <c r="AN40" s="533"/>
      <c r="AS40" s="572"/>
      <c r="BO40" s="600"/>
      <c r="CJ40" s="600"/>
      <c r="DZ40" s="600"/>
      <c r="EU40" s="603"/>
      <c r="FP40" s="603"/>
      <c r="FS40" s="441">
        <f>SUMPRODUCT(FS$5:FS$27,后果有效剂量!$I$5:$I$27)*后果有效剂量!$Q14+SUMPRODUCT(FT$5:FT$27,后果有效剂量!$I$5:$I$27)*后果有效剂量!$R14+SUMPRODUCT(FU$5:FU$27,后果有效剂量!$I$5:$I$27)*后果有效剂量!$S14+SUMPRODUCT(FV$5:FV$27,后果有效剂量!$I$5:$I$27)*后果有效剂量!$T14+SUMPRODUCT(FS$5:FS$27,后果有效剂量!$J$5:$J$27)*后果有效剂量!$Q14*后果有效剂量!$Q$3+SUMPRODUCT(FT$5:FT$27,后果有效剂量!$J$5:$J$27)*后果有效剂量!$R14*后果有效剂量!$R$3+SUMPRODUCT(FU$5:FU$27,后果有效剂量!$J$5:$J$27)*后果有效剂量!$S14*后果有效剂量!$S$3+SUMPRODUCT(FV$5:FV$27,后果有效剂量!$J$5:$J$27)*后果有效剂量!$T14*后果有效剂量!$T$3+SUMPRODUCT(FS$5:FS$27,后果有效剂量!$K$5:$K$27)*后果有效剂量!$Q14+SUMPRODUCT(FT$5:FT$27,后果有效剂量!$K$5:$K$27)*后果有效剂量!$R14+SUMPRODUCT(FU$5:FU$27,后果有效剂量!$K$5:$K$27)*后果有效剂量!$S14+SUMPRODUCT(FV$5:FV$27,后果有效剂量!$K$5:$K$27)*后果有效剂量!$T14</f>
        <v>7.68902005784037e-5</v>
      </c>
      <c r="FT40" s="453">
        <f>SUMPRODUCT(FS$5:FS$27,后果甲状腺剂量!$I$5:$I$27)*后果甲状腺剂量!$Q14+SUMPRODUCT(FT$5:FT$27,后果甲状腺剂量!$I$5:$I$27)*后果甲状腺剂量!$R14+SUMPRODUCT(FU$5:FU$27,后果甲状腺剂量!$I$5:$I$27)*后果甲状腺剂量!$S14+SUMPRODUCT(FV$5:FV$27,后果甲状腺剂量!$I$5:$I$27)*后果甲状腺剂量!$T14+SUMPRODUCT(FS$5:FS$27,后果甲状腺剂量!$J$5:$J$27)*后果甲状腺剂量!$Q14*后果甲状腺剂量!$Q$3+SUMPRODUCT(FT$5:FT$27,后果甲状腺剂量!$J$5:$J$27)*后果甲状腺剂量!$R14*后果甲状腺剂量!$R$3+SUMPRODUCT(FU$5:FU$27,后果甲状腺剂量!$J$5:$J$27)*后果甲状腺剂量!$S14*后果甲状腺剂量!$S$3+SUMPRODUCT(FV$5:FV$27,后果甲状腺剂量!$J$5:$J$27)*后果甲状腺剂量!$T14*后果甲状腺剂量!$T$3+SUMPRODUCT(FS$5:FS$27,后果甲状腺剂量!$K$5:$K$27)*后果甲状腺剂量!$Q14+SUMPRODUCT(FT$5:FT$27,后果甲状腺剂量!$K$5:$K$27)*后果甲状腺剂量!$R14+SUMPRODUCT(FU$5:FU$27,后果甲状腺剂量!$K$5:$K$27)*后果甲状腺剂量!$S14+SUMPRODUCT(FV$5:FV$27,后果甲状腺剂量!$K$5:$K$27)*后果甲状腺剂量!$T14</f>
        <v>0.000561226102071427</v>
      </c>
      <c r="FU40" s="454">
        <f t="shared" si="257"/>
        <v>0.0768902005784037</v>
      </c>
      <c r="FV40" s="454">
        <f t="shared" si="258"/>
        <v>0.561226102071427</v>
      </c>
      <c r="FW40" s="436"/>
      <c r="FX40" s="436"/>
      <c r="GD40" s="440" t="str">
        <f>后果有效剂量!$P14</f>
        <v>15000m</v>
      </c>
      <c r="GE40" s="441">
        <f>SUMPRODUCT(GE$5:GE$27,后果有效剂量!$I$5:$I$27)*后果有效剂量!$Q14+SUMPRODUCT(GF$5:GF$27,后果有效剂量!$I$5:$I$27)*后果有效剂量!$R14+SUMPRODUCT(GG$5:GG$27,后果有效剂量!$I$5:$I$27)*后果有效剂量!$S14+(SUMPRODUCT(GH$5:GH$27,后果有效剂量!$I$5:$I$27)+SUMPRODUCT(GI$5:GI$27,后果有效剂量!$I$5:$I$27))*后果有效剂量!$T14+SUMPRODUCT(GJ$5:GJ$27,后果有效剂量!$I$5:$I$27)*后果有效剂量!$U14+SUMPRODUCT(GE$5:GE$27,后果有效剂量!$J$5:$J$27)*后果有效剂量!$Q14*后果有效剂量!$Q$3+SUMPRODUCT(GF$5:GF$27,后果有效剂量!$J$5:$J$27)*后果有效剂量!$R14*后果有效剂量!$R$3+SUMPRODUCT(GG$5:GG$27,后果有效剂量!$J$5:$J$27)*后果有效剂量!$S14*后果有效剂量!$S$3+(SUMPRODUCT(GH$5:GH$27,后果有效剂量!$J$5:$J$27)+SUMPRODUCT(GI$5:GI$27,后果有效剂量!$J$5:$J$27))*后果有效剂量!$T14*后果有效剂量!$T$3+SUMPRODUCT(GJ$5:GJ$27,后果有效剂量!$J$5:$J$27)*后果有效剂量!$U14*后果有效剂量!$U$3+SUMPRODUCT(GE$5:GE$27,后果有效剂量!$K$5:$K$27)*后果有效剂量!$Q14+SUMPRODUCT(GF$5:GF$27,后果有效剂量!$K$5:$K$27)*后果有效剂量!$R14+SUMPRODUCT(GG$5:GG$27,后果有效剂量!$K$5:$K$27)*后果有效剂量!$S14+(SUMPRODUCT(GH$5:GH$27,后果有效剂量!$K$5:$K$27)+SUMPRODUCT(GI$5:GI$27,后果有效剂量!$K$5:$K$27))*后果有效剂量!$T14+SUMPRODUCT(GJ$5:GJ$27,后果有效剂量!$K$5:$K$27)*后果有效剂量!$U14</f>
        <v>1.63999712876133e-5</v>
      </c>
      <c r="GF40" s="453">
        <f>SUMPRODUCT(GE$5:GE$27,后果甲状腺剂量!$I$5:$I$27)*后果甲状腺剂量!$Q14+SUMPRODUCT(GF$5:GF$27,后果甲状腺剂量!$I$5:$I$27)*后果甲状腺剂量!$R14+SUMPRODUCT(GG$5:GG$27,后果甲状腺剂量!$I$5:$I$27)*后果甲状腺剂量!$S14+(SUMPRODUCT(GH$5:GH$27,后果甲状腺剂量!$I$5:$I$27)+SUMPRODUCT(GI$5:GI$27,后果甲状腺剂量!$I$5:$I$27))*后果甲状腺剂量!$T14+SUMPRODUCT(GJ$5:GJ$27,后果甲状腺剂量!$I$5:$I$27)*后果甲状腺剂量!$U14+SUMPRODUCT(GE$5:GE$27,后果甲状腺剂量!$J$5:$J$27)*后果甲状腺剂量!$Q14*后果甲状腺剂量!$Q$3+SUMPRODUCT(GF$5:GF$27,后果甲状腺剂量!$J$5:$J$27)*后果甲状腺剂量!$R14*后果甲状腺剂量!$R$3+SUMPRODUCT(GG$5:GG$27,后果甲状腺剂量!$J$5:$J$27)*后果甲状腺剂量!$S14*后果甲状腺剂量!$S$3+(SUMPRODUCT(GH$5:GH$27,后果甲状腺剂量!$J$5:$J$27)+SUMPRODUCT(GI$5:GI$27,后果甲状腺剂量!$J$5:$J$27))*后果甲状腺剂量!$T14*后果甲状腺剂量!$T$3+SUMPRODUCT(GJ$5:GJ$27,后果甲状腺剂量!$J$5:$J$27)*后果甲状腺剂量!$U14*后果甲状腺剂量!$U$3+SUMPRODUCT(GE$5:GE$27,后果甲状腺剂量!$K$5:$K$27)*后果甲状腺剂量!$Q14+SUMPRODUCT(GF$5:GF$27,后果甲状腺剂量!$K$5:$K$27)*后果甲状腺剂量!$R14+SUMPRODUCT(GG$5:GG$27,后果甲状腺剂量!$K$5:$K$27)*后果甲状腺剂量!$S14+(SUMPRODUCT(GH$5:GH$27,后果甲状腺剂量!$K$5:$K$27)+SUMPRODUCT(GI$5:GI$27,后果甲状腺剂量!$K$5:$K$27))*后果甲状腺剂量!$T14+SUMPRODUCT(GJ$5:GJ$27,后果甲状腺剂量!$K$5:$K$27)*后果甲状腺剂量!$U14</f>
        <v>8.63559479091504e-5</v>
      </c>
      <c r="GG40" s="454">
        <f t="shared" si="259"/>
        <v>0.0163999712876133</v>
      </c>
      <c r="GH40" s="454">
        <f t="shared" si="260"/>
        <v>0.0863559479091504</v>
      </c>
      <c r="GI40" s="436"/>
      <c r="GJ40" s="436"/>
    </row>
    <row r="41" spans="7:192">
      <c r="G41" s="440" t="str">
        <f>后果有效剂量!$P15</f>
        <v>25000m</v>
      </c>
      <c r="H41" s="441">
        <f ca="1">SUMPRODUCT(H$5:H$27,后果有效剂量!$I$5:$I$27)*后果有效剂量!$Q15+SUMPRODUCT(I$5:I$27,后果有效剂量!$I$5:$I$27)*后果有效剂量!$Q15+SUMPRODUCT(J$5:J$27,后果有效剂量!$I$5:$I$27)*后果有效剂量!$R15+SUMPRODUCT(K$5:K$27,后果有效剂量!$I$5:$I$27)*后果有效剂量!$S15+SUMPRODUCT(L$5:L$27,后果有效剂量!$I$5:$I$27)*后果有效剂量!$T15+SUMPRODUCT(M$5:M$27,后果有效剂量!$I$5:$I$27)*后果有效剂量!$U15+SUMPRODUCT(H$5:H$27,后果有效剂量!$J$5:$J$27)*后果有效剂量!$Q15*后果有效剂量!$Q$3+SUMPRODUCT(I$5:I$27,后果有效剂量!$J$5:$J$27)*后果有效剂量!$Q15*后果有效剂量!$Q$3+SUMPRODUCT(J$5:J$27,后果有效剂量!$J$5:$J$27)*后果有效剂量!$R15*后果有效剂量!$R$3+SUMPRODUCT(K$5:K$27,后果有效剂量!$J$5:$J$27)*后果有效剂量!$S15*后果有效剂量!$S$3+SUMPRODUCT(L$5:L$27,后果有效剂量!$J$5:$J$27)*后果有效剂量!$T15*后果有效剂量!$T$3+SUMPRODUCT(M$5:M$27,后果有效剂量!$J$5:$J$27)*后果有效剂量!$U15*后果有效剂量!$U$3+SUMPRODUCT(H$5:H$27,后果有效剂量!$K$5:$K$27)*后果有效剂量!$Q15+SUMPRODUCT(I$5:I$27,后果有效剂量!$K$5:$K$27)*后果有效剂量!$Q15+SUMPRODUCT(J$5:J$27,后果有效剂量!$K$5:$K$27)*后果有效剂量!$R15+SUMPRODUCT(K$5:K$27,后果有效剂量!$K$5:$K$27)*后果有效剂量!$S15+SUMPRODUCT(L$5:L$27,后果有效剂量!$K$5:$K$27)*后果有效剂量!$T15+SUMPRODUCT(M$5:M$27,后果有效剂量!$K$5:$K$27)*后果有效剂量!$U15</f>
        <v>1.2730674720381e-5</v>
      </c>
      <c r="I41" s="453">
        <f ca="1">SUMPRODUCT(H$5:H$27,后果甲状腺剂量!$I$5:$I$27)*后果甲状腺剂量!$Q15+SUMPRODUCT(I$5:I$27,后果甲状腺剂量!$I$5:$I$27)*后果甲状腺剂量!$Q15+SUMPRODUCT(J$5:J$27,后果甲状腺剂量!$I$5:$I$27)*后果甲状腺剂量!$R15+SUMPRODUCT(K$5:K$27,后果甲状腺剂量!$I$5:$I$27)*后果甲状腺剂量!$S15+SUMPRODUCT(L$5:L$27,后果甲状腺剂量!$I$5:$I$27)*后果甲状腺剂量!$T15+SUMPRODUCT(M$5:M$27,后果甲状腺剂量!$I$5:$I$27)*后果甲状腺剂量!$U15+SUMPRODUCT(H$5:H$27,后果甲状腺剂量!$J$5:$J$27)*后果甲状腺剂量!$Q15*后果甲状腺剂量!$Q$3+SUMPRODUCT(I$5:I$27,后果甲状腺剂量!$J$5:$J$27)*后果甲状腺剂量!$Q15*后果甲状腺剂量!$Q$3+SUMPRODUCT(J$5:J$27,后果甲状腺剂量!$J$5:$J$27)*后果甲状腺剂量!$R15*后果甲状腺剂量!$R$3+SUMPRODUCT(K$5:K$27,后果甲状腺剂量!$J$5:$J$27)*后果甲状腺剂量!$S15*后果甲状腺剂量!$S$3+SUMPRODUCT(L$5:L$27,后果甲状腺剂量!$J$5:$J$27)*后果甲状腺剂量!$T15*后果甲状腺剂量!$T$3+SUMPRODUCT(M$5:M$27,后果甲状腺剂量!$J$5:$J$27)*后果甲状腺剂量!$U15*后果甲状腺剂量!$U$3+SUMPRODUCT(H$5:H$27,后果甲状腺剂量!$K$5:$K$27)*后果甲状腺剂量!$Q15+SUMPRODUCT(I$5:I$27,后果甲状腺剂量!$K$5:$K$27)*后果甲状腺剂量!$Q15+SUMPRODUCT(J$5:J$27,后果甲状腺剂量!$K$5:$K$27)*后果甲状腺剂量!$R15+SUMPRODUCT(K$5:K$27,后果甲状腺剂量!$K$5:$K$27)*后果甲状腺剂量!$S15+SUMPRODUCT(L$5:L$27,后果甲状腺剂量!$K$5:$K$27)*后果甲状腺剂量!$T15+SUMPRODUCT(M$5:M$27,后果甲状腺剂量!$K$5:$K$27)*后果甲状腺剂量!$U15</f>
        <v>0.000818822147751723</v>
      </c>
      <c r="J41" s="454">
        <f ca="1" t="shared" si="253"/>
        <v>0.012730674720381</v>
      </c>
      <c r="K41" s="454">
        <f ca="1" t="shared" si="254"/>
        <v>0.818822147751723</v>
      </c>
      <c r="L41" s="436"/>
      <c r="M41" s="436"/>
      <c r="N41" s="455"/>
      <c r="Q41" s="440" t="str">
        <f>后果有效剂量!$P15</f>
        <v>25000m</v>
      </c>
      <c r="R41" s="441">
        <f ca="1">SUMPRODUCT(R$5:R$27,后果有效剂量!$I$5:$I$27)*后果有效剂量!$Q15+SUMPRODUCT(S$5:S$27,后果有效剂量!$I$5:$I$27)*后果有效剂量!$Q15+SUMPRODUCT(T$5:T$27,后果有效剂量!$I$5:$I$27)*后果有效剂量!$R15+SUMPRODUCT(U$5:U$27,后果有效剂量!$I$5:$I$27)*后果有效剂量!$S15+SUMPRODUCT(V$5:V$27,后果有效剂量!$I$5:$I$27)*后果有效剂量!$T15+SUMPRODUCT(W$5:W$27,后果有效剂量!$I$5:$I$27)*后果有效剂量!$U15+SUMPRODUCT(R$5:R$27,后果有效剂量!$J$5:$J$27)*后果有效剂量!$Q15*后果有效剂量!$Q$3+SUMPRODUCT(S$5:S$27,后果有效剂量!$J$5:$J$27)*后果有效剂量!$Q15*后果有效剂量!$Q$3+SUMPRODUCT(T$5:T$27,后果有效剂量!$J$5:$J$27)*后果有效剂量!$R15*后果有效剂量!$R$3+SUMPRODUCT(U$5:U$27,后果有效剂量!$J$5:$J$27)*后果有效剂量!$S15*后果有效剂量!$S$3+SUMPRODUCT(V$5:V$27,后果有效剂量!$J$5:$J$27)*后果有效剂量!$T15*后果有效剂量!$T$3+SUMPRODUCT(W$5:W$27,后果有效剂量!$J$5:$J$27)*后果有效剂量!$U15*后果有效剂量!$U$3+SUMPRODUCT(R$5:R$27,后果有效剂量!$K$5:$K$27)*后果有效剂量!$Q15+SUMPRODUCT(S$5:S$27,后果有效剂量!$K$5:$K$27)*后果有效剂量!$Q15+SUMPRODUCT(T$5:T$27,后果有效剂量!$K$5:$K$27)*后果有效剂量!$R15+SUMPRODUCT(U$5:U$27,后果有效剂量!$K$5:$K$27)*后果有效剂量!$S15+SUMPRODUCT(V$5:V$27,后果有效剂量!$K$5:$K$27)*后果有效剂量!$T15+SUMPRODUCT(W$5:W$27,后果有效剂量!$K$5:$K$27)*后果有效剂量!$U15</f>
        <v>5.18220995906297e-7</v>
      </c>
      <c r="S41" s="453">
        <f ca="1">SUMPRODUCT(R$5:R$27,后果甲状腺剂量!$I$5:$I$27)*后果甲状腺剂量!$Q15+SUMPRODUCT(S$5:S$27,后果甲状腺剂量!$I$5:$I$27)*后果甲状腺剂量!$Q15+SUMPRODUCT(T$5:T$27,后果甲状腺剂量!$I$5:$I$27)*后果甲状腺剂量!$R15+SUMPRODUCT(U$5:U$27,后果甲状腺剂量!$I$5:$I$27)*后果甲状腺剂量!$S15+SUMPRODUCT(V$5:V$27,后果甲状腺剂量!$I$5:$I$27)*后果甲状腺剂量!$T15+SUMPRODUCT(W$5:W$27,后果甲状腺剂量!$I$5:$I$27)*后果甲状腺剂量!$U15+SUMPRODUCT(R$5:R$27,后果甲状腺剂量!$J$5:$J$27)*后果甲状腺剂量!$Q15*后果甲状腺剂量!$Q$3+SUMPRODUCT(S$5:S$27,后果甲状腺剂量!$J$5:$J$27)*后果甲状腺剂量!$Q15*后果甲状腺剂量!$Q$3+SUMPRODUCT(T$5:T$27,后果甲状腺剂量!$J$5:$J$27)*后果甲状腺剂量!$R15*后果甲状腺剂量!$R$3+SUMPRODUCT(U$5:U$27,后果甲状腺剂量!$J$5:$J$27)*后果甲状腺剂量!$S15*后果甲状腺剂量!$S$3+SUMPRODUCT(V$5:V$27,后果甲状腺剂量!$J$5:$J$27)*后果甲状腺剂量!$T15*后果甲状腺剂量!$T$3+SUMPRODUCT(W$5:W$27,后果甲状腺剂量!$J$5:$J$27)*后果甲状腺剂量!$U15*后果甲状腺剂量!$U$3+SUMPRODUCT(R$5:R$27,后果甲状腺剂量!$K$5:$K$27)*后果甲状腺剂量!$Q15+SUMPRODUCT(S$5:S$27,后果甲状腺剂量!$K$5:$K$27)*后果甲状腺剂量!$Q15+SUMPRODUCT(T$5:T$27,后果甲状腺剂量!$K$5:$K$27)*后果甲状腺剂量!$R15+SUMPRODUCT(U$5:U$27,后果甲状腺剂量!$K$5:$K$27)*后果甲状腺剂量!$S15+SUMPRODUCT(V$5:V$27,后果甲状腺剂量!$K$5:$K$27)*后果甲状腺剂量!$T15+SUMPRODUCT(W$5:W$27,后果甲状腺剂量!$K$5:$K$27)*后果甲状腺剂量!$U15</f>
        <v>4.06976433051881e-5</v>
      </c>
      <c r="T41" s="454">
        <f ca="1" t="shared" si="255"/>
        <v>0.000518220995906297</v>
      </c>
      <c r="U41" s="454">
        <f ca="1" t="shared" si="256"/>
        <v>0.0406976433051881</v>
      </c>
      <c r="V41" s="436"/>
      <c r="W41" s="436"/>
      <c r="AN41" s="533"/>
      <c r="AS41" s="572"/>
      <c r="BO41" s="600"/>
      <c r="CJ41" s="600"/>
      <c r="DZ41" s="600"/>
      <c r="EU41" s="603"/>
      <c r="FP41" s="603"/>
      <c r="FS41" s="441">
        <f>SUMPRODUCT(FS$5:FS$27,后果有效剂量!$I$5:$I$27)*后果有效剂量!$Q15+SUMPRODUCT(FT$5:FT$27,后果有效剂量!$I$5:$I$27)*后果有效剂量!$R15+SUMPRODUCT(FU$5:FU$27,后果有效剂量!$I$5:$I$27)*后果有效剂量!$S15+SUMPRODUCT(FV$5:FV$27,后果有效剂量!$I$5:$I$27)*后果有效剂量!$T15+SUMPRODUCT(FS$5:FS$27,后果有效剂量!$J$5:$J$27)*后果有效剂量!$Q15*后果有效剂量!$Q$3+SUMPRODUCT(FT$5:FT$27,后果有效剂量!$J$5:$J$27)*后果有效剂量!$R15*后果有效剂量!$R$3+SUMPRODUCT(FU$5:FU$27,后果有效剂量!$J$5:$J$27)*后果有效剂量!$S15*后果有效剂量!$S$3+SUMPRODUCT(FV$5:FV$27,后果有效剂量!$J$5:$J$27)*后果有效剂量!$T15*后果有效剂量!$T$3+SUMPRODUCT(FS$5:FS$27,后果有效剂量!$K$5:$K$27)*后果有效剂量!$Q15+SUMPRODUCT(FT$5:FT$27,后果有效剂量!$K$5:$K$27)*后果有效剂量!$R15+SUMPRODUCT(FU$5:FU$27,后果有效剂量!$K$5:$K$27)*后果有效剂量!$S15+SUMPRODUCT(FV$5:FV$27,后果有效剂量!$K$5:$K$27)*后果有效剂量!$T15</f>
        <v>3.76943273964564e-6</v>
      </c>
      <c r="FT41" s="453">
        <f>SUMPRODUCT(FS$5:FS$27,后果甲状腺剂量!$I$5:$I$27)*后果甲状腺剂量!$Q15+SUMPRODUCT(FT$5:FT$27,后果甲状腺剂量!$I$5:$I$27)*后果甲状腺剂量!$R15+SUMPRODUCT(FU$5:FU$27,后果甲状腺剂量!$I$5:$I$27)*后果甲状腺剂量!$S15+SUMPRODUCT(FV$5:FV$27,后果甲状腺剂量!$I$5:$I$27)*后果甲状腺剂量!$T15+SUMPRODUCT(FS$5:FS$27,后果甲状腺剂量!$J$5:$J$27)*后果甲状腺剂量!$Q15*后果甲状腺剂量!$Q$3+SUMPRODUCT(FT$5:FT$27,后果甲状腺剂量!$J$5:$J$27)*后果甲状腺剂量!$R15*后果甲状腺剂量!$R$3+SUMPRODUCT(FU$5:FU$27,后果甲状腺剂量!$J$5:$J$27)*后果甲状腺剂量!$S15*后果甲状腺剂量!$S$3+SUMPRODUCT(FV$5:FV$27,后果甲状腺剂量!$J$5:$J$27)*后果甲状腺剂量!$T15*后果甲状腺剂量!$T$3+SUMPRODUCT(FS$5:FS$27,后果甲状腺剂量!$K$5:$K$27)*后果甲状腺剂量!$Q15+SUMPRODUCT(FT$5:FT$27,后果甲状腺剂量!$K$5:$K$27)*后果甲状腺剂量!$R15+SUMPRODUCT(FU$5:FU$27,后果甲状腺剂量!$K$5:$K$27)*后果甲状腺剂量!$S15+SUMPRODUCT(FV$5:FV$27,后果甲状腺剂量!$K$5:$K$27)*后果甲状腺剂量!$T15</f>
        <v>0.000171617689718182</v>
      </c>
      <c r="FU41" s="454">
        <f t="shared" si="257"/>
        <v>0.00376943273964564</v>
      </c>
      <c r="FV41" s="454">
        <f t="shared" si="258"/>
        <v>0.171617689718182</v>
      </c>
      <c r="FW41" s="436"/>
      <c r="FX41" s="436"/>
      <c r="GD41" s="440" t="str">
        <f>后果有效剂量!$P15</f>
        <v>25000m</v>
      </c>
      <c r="GE41" s="441">
        <f>SUMPRODUCT(GE$5:GE$27,后果有效剂量!$I$5:$I$27)*后果有效剂量!$Q15+SUMPRODUCT(GF$5:GF$27,后果有效剂量!$I$5:$I$27)*后果有效剂量!$R15+SUMPRODUCT(GG$5:GG$27,后果有效剂量!$I$5:$I$27)*后果有效剂量!$S15+(SUMPRODUCT(GH$5:GH$27,后果有效剂量!$I$5:$I$27)+SUMPRODUCT(GI$5:GI$27,后果有效剂量!$I$5:$I$27))*后果有效剂量!$T15+SUMPRODUCT(GJ$5:GJ$27,后果有效剂量!$I$5:$I$27)*后果有效剂量!$U15+SUMPRODUCT(GE$5:GE$27,后果有效剂量!$J$5:$J$27)*后果有效剂量!$Q15*后果有效剂量!$Q$3+SUMPRODUCT(GF$5:GF$27,后果有效剂量!$J$5:$J$27)*后果有效剂量!$R15*后果有效剂量!$R$3+SUMPRODUCT(GG$5:GG$27,后果有效剂量!$J$5:$J$27)*后果有效剂量!$S15*后果有效剂量!$S$3+(SUMPRODUCT(GH$5:GH$27,后果有效剂量!$J$5:$J$27)+SUMPRODUCT(GI$5:GI$27,后果有效剂量!$J$5:$J$27))*后果有效剂量!$T15*后果有效剂量!$T$3+SUMPRODUCT(GJ$5:GJ$27,后果有效剂量!$J$5:$J$27)*后果有效剂量!$U15*后果有效剂量!$U$3+SUMPRODUCT(GE$5:GE$27,后果有效剂量!$K$5:$K$27)*后果有效剂量!$Q15+SUMPRODUCT(GF$5:GF$27,后果有效剂量!$K$5:$K$27)*后果有效剂量!$R15+SUMPRODUCT(GG$5:GG$27,后果有效剂量!$K$5:$K$27)*后果有效剂量!$S15+(SUMPRODUCT(GH$5:GH$27,后果有效剂量!$K$5:$K$27)+SUMPRODUCT(GI$5:GI$27,后果有效剂量!$K$5:$K$27))*后果有效剂量!$T15+SUMPRODUCT(GJ$5:GJ$27,后果有效剂量!$K$5:$K$27)*后果有效剂量!$U15</f>
        <v>8.72148870971164e-7</v>
      </c>
      <c r="GF41" s="453">
        <f>SUMPRODUCT(GE$5:GE$27,后果甲状腺剂量!$I$5:$I$27)*后果甲状腺剂量!$Q15+SUMPRODUCT(GF$5:GF$27,后果甲状腺剂量!$I$5:$I$27)*后果甲状腺剂量!$R15+SUMPRODUCT(GG$5:GG$27,后果甲状腺剂量!$I$5:$I$27)*后果甲状腺剂量!$S15+(SUMPRODUCT(GH$5:GH$27,后果甲状腺剂量!$I$5:$I$27)+SUMPRODUCT(GI$5:GI$27,后果甲状腺剂量!$I$5:$I$27))*后果甲状腺剂量!$T15+SUMPRODUCT(GJ$5:GJ$27,后果甲状腺剂量!$I$5:$I$27)*后果甲状腺剂量!$U15+SUMPRODUCT(GE$5:GE$27,后果甲状腺剂量!$J$5:$J$27)*后果甲状腺剂量!$Q15*后果甲状腺剂量!$Q$3+SUMPRODUCT(GF$5:GF$27,后果甲状腺剂量!$J$5:$J$27)*后果甲状腺剂量!$R15*后果甲状腺剂量!$R$3+SUMPRODUCT(GG$5:GG$27,后果甲状腺剂量!$J$5:$J$27)*后果甲状腺剂量!$S15*后果甲状腺剂量!$S$3+(SUMPRODUCT(GH$5:GH$27,后果甲状腺剂量!$J$5:$J$27)+SUMPRODUCT(GI$5:GI$27,后果甲状腺剂量!$J$5:$J$27))*后果甲状腺剂量!$T15*后果甲状腺剂量!$T$3+SUMPRODUCT(GJ$5:GJ$27,后果甲状腺剂量!$J$5:$J$27)*后果甲状腺剂量!$U15*后果甲状腺剂量!$U$3+SUMPRODUCT(GE$5:GE$27,后果甲状腺剂量!$K$5:$K$27)*后果甲状腺剂量!$Q15+SUMPRODUCT(GF$5:GF$27,后果甲状腺剂量!$K$5:$K$27)*后果甲状腺剂量!$R15+SUMPRODUCT(GG$5:GG$27,后果甲状腺剂量!$K$5:$K$27)*后果甲状腺剂量!$S15+(SUMPRODUCT(GH$5:GH$27,后果甲状腺剂量!$K$5:$K$27)+SUMPRODUCT(GI$5:GI$27,后果甲状腺剂量!$K$5:$K$27))*后果甲状腺剂量!$T15+SUMPRODUCT(GJ$5:GJ$27,后果甲状腺剂量!$K$5:$K$27)*后果甲状腺剂量!$U15</f>
        <v>2.83339292015822e-5</v>
      </c>
      <c r="GG41" s="454">
        <f t="shared" si="259"/>
        <v>0.000872148870971164</v>
      </c>
      <c r="GH41" s="454">
        <f t="shared" si="260"/>
        <v>0.0283339292015822</v>
      </c>
      <c r="GI41" s="436"/>
      <c r="GJ41" s="436"/>
    </row>
    <row r="42" spans="7:192">
      <c r="G42" s="440" t="str">
        <f>后果有效剂量!$P16</f>
        <v>35000m</v>
      </c>
      <c r="H42" s="441">
        <f ca="1">SUMPRODUCT(H$5:H$27,后果有效剂量!$I$5:$I$27)*后果有效剂量!$Q16+SUMPRODUCT(I$5:I$27,后果有效剂量!$I$5:$I$27)*后果有效剂量!$Q16+SUMPRODUCT(J$5:J$27,后果有效剂量!$I$5:$I$27)*后果有效剂量!$R16+SUMPRODUCT(K$5:K$27,后果有效剂量!$I$5:$I$27)*后果有效剂量!$S16+SUMPRODUCT(L$5:L$27,后果有效剂量!$I$5:$I$27)*后果有效剂量!$T16+SUMPRODUCT(M$5:M$27,后果有效剂量!$I$5:$I$27)*后果有效剂量!$U16+SUMPRODUCT(H$5:H$27,后果有效剂量!$J$5:$J$27)*后果有效剂量!$Q16*后果有效剂量!$Q$3+SUMPRODUCT(I$5:I$27,后果有效剂量!$J$5:$J$27)*后果有效剂量!$Q16*后果有效剂量!$Q$3+SUMPRODUCT(J$5:J$27,后果有效剂量!$J$5:$J$27)*后果有效剂量!$R16*后果有效剂量!$R$3+SUMPRODUCT(K$5:K$27,后果有效剂量!$J$5:$J$27)*后果有效剂量!$S16*后果有效剂量!$S$3+SUMPRODUCT(L$5:L$27,后果有效剂量!$J$5:$J$27)*后果有效剂量!$T16*后果有效剂量!$T$3+SUMPRODUCT(M$5:M$27,后果有效剂量!$J$5:$J$27)*后果有效剂量!$U16*后果有效剂量!$U$3+SUMPRODUCT(H$5:H$27,后果有效剂量!$K$5:$K$27)*后果有效剂量!$Q16+SUMPRODUCT(I$5:I$27,后果有效剂量!$K$5:$K$27)*后果有效剂量!$Q16+SUMPRODUCT(J$5:J$27,后果有效剂量!$K$5:$K$27)*后果有效剂量!$R16+SUMPRODUCT(K$5:K$27,后果有效剂量!$K$5:$K$27)*后果有效剂量!$S16+SUMPRODUCT(L$5:L$27,后果有效剂量!$K$5:$K$27)*后果有效剂量!$T16+SUMPRODUCT(M$5:M$27,后果有效剂量!$K$5:$K$27)*后果有效剂量!$U16</f>
        <v>7.10908694552385e-6</v>
      </c>
      <c r="I42" s="453">
        <f ca="1">SUMPRODUCT(H$5:H$27,后果甲状腺剂量!$I$5:$I$27)*后果甲状腺剂量!$Q16+SUMPRODUCT(I$5:I$27,后果甲状腺剂量!$I$5:$I$27)*后果甲状腺剂量!$Q16+SUMPRODUCT(J$5:J$27,后果甲状腺剂量!$I$5:$I$27)*后果甲状腺剂量!$R16+SUMPRODUCT(K$5:K$27,后果甲状腺剂量!$I$5:$I$27)*后果甲状腺剂量!$S16+SUMPRODUCT(L$5:L$27,后果甲状腺剂量!$I$5:$I$27)*后果甲状腺剂量!$T16+SUMPRODUCT(M$5:M$27,后果甲状腺剂量!$I$5:$I$27)*后果甲状腺剂量!$U16+SUMPRODUCT(H$5:H$27,后果甲状腺剂量!$J$5:$J$27)*后果甲状腺剂量!$Q16*后果甲状腺剂量!$Q$3+SUMPRODUCT(I$5:I$27,后果甲状腺剂量!$J$5:$J$27)*后果甲状腺剂量!$Q16*后果甲状腺剂量!$Q$3+SUMPRODUCT(J$5:J$27,后果甲状腺剂量!$J$5:$J$27)*后果甲状腺剂量!$R16*后果甲状腺剂量!$R$3+SUMPRODUCT(K$5:K$27,后果甲状腺剂量!$J$5:$J$27)*后果甲状腺剂量!$S16*后果甲状腺剂量!$S$3+SUMPRODUCT(L$5:L$27,后果甲状腺剂量!$J$5:$J$27)*后果甲状腺剂量!$T16*后果甲状腺剂量!$T$3+SUMPRODUCT(M$5:M$27,后果甲状腺剂量!$J$5:$J$27)*后果甲状腺剂量!$U16*后果甲状腺剂量!$U$3+SUMPRODUCT(H$5:H$27,后果甲状腺剂量!$K$5:$K$27)*后果甲状腺剂量!$Q16+SUMPRODUCT(I$5:I$27,后果甲状腺剂量!$K$5:$K$27)*后果甲状腺剂量!$Q16+SUMPRODUCT(J$5:J$27,后果甲状腺剂量!$K$5:$K$27)*后果甲状腺剂量!$R16+SUMPRODUCT(K$5:K$27,后果甲状腺剂量!$K$5:$K$27)*后果甲状腺剂量!$S16+SUMPRODUCT(L$5:L$27,后果甲状腺剂量!$K$5:$K$27)*后果甲状腺剂量!$T16+SUMPRODUCT(M$5:M$27,后果甲状腺剂量!$K$5:$K$27)*后果甲状腺剂量!$U16</f>
        <v>0.00041040720787556</v>
      </c>
      <c r="J42" s="454">
        <f ca="1" t="shared" si="253"/>
        <v>0.00710908694552385</v>
      </c>
      <c r="K42" s="454">
        <f ca="1" t="shared" si="254"/>
        <v>0.41040720787556</v>
      </c>
      <c r="L42" s="436"/>
      <c r="M42" s="436"/>
      <c r="N42" s="455"/>
      <c r="Q42" s="440" t="str">
        <f>后果有效剂量!$P16</f>
        <v>35000m</v>
      </c>
      <c r="R42" s="441">
        <f ca="1">SUMPRODUCT(R$5:R$27,后果有效剂量!$I$5:$I$27)*后果有效剂量!$Q16+SUMPRODUCT(S$5:S$27,后果有效剂量!$I$5:$I$27)*后果有效剂量!$Q16+SUMPRODUCT(T$5:T$27,后果有效剂量!$I$5:$I$27)*后果有效剂量!$R16+SUMPRODUCT(U$5:U$27,后果有效剂量!$I$5:$I$27)*后果有效剂量!$S16+SUMPRODUCT(V$5:V$27,后果有效剂量!$I$5:$I$27)*后果有效剂量!$T16+SUMPRODUCT(W$5:W$27,后果有效剂量!$I$5:$I$27)*后果有效剂量!$U16+SUMPRODUCT(R$5:R$27,后果有效剂量!$J$5:$J$27)*后果有效剂量!$Q16*后果有效剂量!$Q$3+SUMPRODUCT(S$5:S$27,后果有效剂量!$J$5:$J$27)*后果有效剂量!$Q16*后果有效剂量!$Q$3+SUMPRODUCT(T$5:T$27,后果有效剂量!$J$5:$J$27)*后果有效剂量!$R16*后果有效剂量!$R$3+SUMPRODUCT(U$5:U$27,后果有效剂量!$J$5:$J$27)*后果有效剂量!$S16*后果有效剂量!$S$3+SUMPRODUCT(V$5:V$27,后果有效剂量!$J$5:$J$27)*后果有效剂量!$T16*后果有效剂量!$T$3+SUMPRODUCT(W$5:W$27,后果有效剂量!$J$5:$J$27)*后果有效剂量!$U16*后果有效剂量!$U$3+SUMPRODUCT(R$5:R$27,后果有效剂量!$K$5:$K$27)*后果有效剂量!$Q16+SUMPRODUCT(S$5:S$27,后果有效剂量!$K$5:$K$27)*后果有效剂量!$Q16+SUMPRODUCT(T$5:T$27,后果有效剂量!$K$5:$K$27)*后果有效剂量!$R16+SUMPRODUCT(U$5:U$27,后果有效剂量!$K$5:$K$27)*后果有效剂量!$S16+SUMPRODUCT(V$5:V$27,后果有效剂量!$K$5:$K$27)*后果有效剂量!$T16+SUMPRODUCT(W$5:W$27,后果有效剂量!$K$5:$K$27)*后果有效剂量!$U16</f>
        <v>2.89385927911256e-7</v>
      </c>
      <c r="S42" s="453">
        <f ca="1">SUMPRODUCT(R$5:R$27,后果甲状腺剂量!$I$5:$I$27)*后果甲状腺剂量!$Q16+SUMPRODUCT(S$5:S$27,后果甲状腺剂量!$I$5:$I$27)*后果甲状腺剂量!$Q16+SUMPRODUCT(T$5:T$27,后果甲状腺剂量!$I$5:$I$27)*后果甲状腺剂量!$R16+SUMPRODUCT(U$5:U$27,后果甲状腺剂量!$I$5:$I$27)*后果甲状腺剂量!$S16+SUMPRODUCT(V$5:V$27,后果甲状腺剂量!$I$5:$I$27)*后果甲状腺剂量!$T16+SUMPRODUCT(W$5:W$27,后果甲状腺剂量!$I$5:$I$27)*后果甲状腺剂量!$U16+SUMPRODUCT(R$5:R$27,后果甲状腺剂量!$J$5:$J$27)*后果甲状腺剂量!$Q16*后果甲状腺剂量!$Q$3+SUMPRODUCT(S$5:S$27,后果甲状腺剂量!$J$5:$J$27)*后果甲状腺剂量!$Q16*后果甲状腺剂量!$Q$3+SUMPRODUCT(T$5:T$27,后果甲状腺剂量!$J$5:$J$27)*后果甲状腺剂量!$R16*后果甲状腺剂量!$R$3+SUMPRODUCT(U$5:U$27,后果甲状腺剂量!$J$5:$J$27)*后果甲状腺剂量!$S16*后果甲状腺剂量!$S$3+SUMPRODUCT(V$5:V$27,后果甲状腺剂量!$J$5:$J$27)*后果甲状腺剂量!$T16*后果甲状腺剂量!$T$3+SUMPRODUCT(W$5:W$27,后果甲状腺剂量!$J$5:$J$27)*后果甲状腺剂量!$U16*后果甲状腺剂量!$U$3+SUMPRODUCT(R$5:R$27,后果甲状腺剂量!$K$5:$K$27)*后果甲状腺剂量!$Q16+SUMPRODUCT(S$5:S$27,后果甲状腺剂量!$K$5:$K$27)*后果甲状腺剂量!$Q16+SUMPRODUCT(T$5:T$27,后果甲状腺剂量!$K$5:$K$27)*后果甲状腺剂量!$R16+SUMPRODUCT(U$5:U$27,后果甲状腺剂量!$K$5:$K$27)*后果甲状腺剂量!$S16+SUMPRODUCT(V$5:V$27,后果甲状腺剂量!$K$5:$K$27)*后果甲状腺剂量!$T16+SUMPRODUCT(W$5:W$27,后果甲状腺剂量!$K$5:$K$27)*后果甲状腺剂量!$U16</f>
        <v>2.03983321675639e-5</v>
      </c>
      <c r="T42" s="454">
        <f ca="1" t="shared" si="255"/>
        <v>0.000289385927911256</v>
      </c>
      <c r="U42" s="454">
        <f ca="1" t="shared" si="256"/>
        <v>0.0203983321675639</v>
      </c>
      <c r="V42" s="436"/>
      <c r="W42" s="436"/>
      <c r="AN42" s="533"/>
      <c r="AS42" s="572"/>
      <c r="BO42" s="600"/>
      <c r="CJ42" s="600"/>
      <c r="DZ42" s="600"/>
      <c r="EU42" s="603"/>
      <c r="FP42" s="603"/>
      <c r="FS42" s="441">
        <f>SUMPRODUCT(FS$5:FS$27,后果有效剂量!$I$5:$I$27)*后果有效剂量!$Q16+SUMPRODUCT(FT$5:FT$27,后果有效剂量!$I$5:$I$27)*后果有效剂量!$R16+SUMPRODUCT(FU$5:FU$27,后果有效剂量!$I$5:$I$27)*后果有效剂量!$S16+SUMPRODUCT(FV$5:FV$27,后果有效剂量!$I$5:$I$27)*后果有效剂量!$T16+SUMPRODUCT(FS$5:FS$27,后果有效剂量!$J$5:$J$27)*后果有效剂量!$Q16*后果有效剂量!$Q$3+SUMPRODUCT(FT$5:FT$27,后果有效剂量!$J$5:$J$27)*后果有效剂量!$R16*后果有效剂量!$R$3+SUMPRODUCT(FU$5:FU$27,后果有效剂量!$J$5:$J$27)*后果有效剂量!$S16*后果有效剂量!$S$3+SUMPRODUCT(FV$5:FV$27,后果有效剂量!$J$5:$J$27)*后果有效剂量!$T16*后果有效剂量!$T$3+SUMPRODUCT(FS$5:FS$27,后果有效剂量!$K$5:$K$27)*后果有效剂量!$Q16+SUMPRODUCT(FT$5:FT$27,后果有效剂量!$K$5:$K$27)*后果有效剂量!$R16+SUMPRODUCT(FU$5:FU$27,后果有效剂量!$K$5:$K$27)*后果有效剂量!$S16+SUMPRODUCT(FV$5:FV$27,后果有效剂量!$K$5:$K$27)*后果有效剂量!$T16</f>
        <v>2.12917624572601e-6</v>
      </c>
      <c r="FT42" s="453">
        <f>SUMPRODUCT(FS$5:FS$27,后果甲状腺剂量!$I$5:$I$27)*后果甲状腺剂量!$Q16+SUMPRODUCT(FT$5:FT$27,后果甲状腺剂量!$I$5:$I$27)*后果甲状腺剂量!$R16+SUMPRODUCT(FU$5:FU$27,后果甲状腺剂量!$I$5:$I$27)*后果甲状腺剂量!$S16+SUMPRODUCT(FV$5:FV$27,后果甲状腺剂量!$I$5:$I$27)*后果甲状腺剂量!$T16+SUMPRODUCT(FS$5:FS$27,后果甲状腺剂量!$J$5:$J$27)*后果甲状腺剂量!$Q16*后果甲状腺剂量!$Q$3+SUMPRODUCT(FT$5:FT$27,后果甲状腺剂量!$J$5:$J$27)*后果甲状腺剂量!$R16*后果甲状腺剂量!$R$3+SUMPRODUCT(FU$5:FU$27,后果甲状腺剂量!$J$5:$J$27)*后果甲状腺剂量!$S16*后果甲状腺剂量!$S$3+SUMPRODUCT(FV$5:FV$27,后果甲状腺剂量!$J$5:$J$27)*后果甲状腺剂量!$T16*后果甲状腺剂量!$T$3+SUMPRODUCT(FS$5:FS$27,后果甲状腺剂量!$K$5:$K$27)*后果甲状腺剂量!$Q16+SUMPRODUCT(FT$5:FT$27,后果甲状腺剂量!$K$5:$K$27)*后果甲状腺剂量!$R16+SUMPRODUCT(FU$5:FU$27,后果甲状腺剂量!$K$5:$K$27)*后果甲状腺剂量!$S16+SUMPRODUCT(FV$5:FV$27,后果甲状腺剂量!$K$5:$K$27)*后果甲状腺剂量!$T16</f>
        <v>8.77501626392143e-5</v>
      </c>
      <c r="FU42" s="454">
        <f t="shared" si="257"/>
        <v>0.00212917624572601</v>
      </c>
      <c r="FV42" s="454">
        <f t="shared" si="258"/>
        <v>0.0877501626392143</v>
      </c>
      <c r="FW42" s="436"/>
      <c r="FX42" s="436"/>
      <c r="GD42" s="440" t="str">
        <f>后果有效剂量!$P16</f>
        <v>35000m</v>
      </c>
      <c r="GE42" s="441">
        <f>SUMPRODUCT(GE$5:GE$27,后果有效剂量!$I$5:$I$27)*后果有效剂量!$Q16+SUMPRODUCT(GF$5:GF$27,后果有效剂量!$I$5:$I$27)*后果有效剂量!$R16+SUMPRODUCT(GG$5:GG$27,后果有效剂量!$I$5:$I$27)*后果有效剂量!$S16+(SUMPRODUCT(GH$5:GH$27,后果有效剂量!$I$5:$I$27)+SUMPRODUCT(GI$5:GI$27,后果有效剂量!$I$5:$I$27))*后果有效剂量!$T16+SUMPRODUCT(GJ$5:GJ$27,后果有效剂量!$I$5:$I$27)*后果有效剂量!$U16+SUMPRODUCT(GE$5:GE$27,后果有效剂量!$J$5:$J$27)*后果有效剂量!$Q16*后果有效剂量!$Q$3+SUMPRODUCT(GF$5:GF$27,后果有效剂量!$J$5:$J$27)*后果有效剂量!$R16*后果有效剂量!$R$3+SUMPRODUCT(GG$5:GG$27,后果有效剂量!$J$5:$J$27)*后果有效剂量!$S16*后果有效剂量!$S$3+(SUMPRODUCT(GH$5:GH$27,后果有效剂量!$J$5:$J$27)+SUMPRODUCT(GI$5:GI$27,后果有效剂量!$J$5:$J$27))*后果有效剂量!$T16*后果有效剂量!$T$3+SUMPRODUCT(GJ$5:GJ$27,后果有效剂量!$J$5:$J$27)*后果有效剂量!$U16*后果有效剂量!$U$3+SUMPRODUCT(GE$5:GE$27,后果有效剂量!$K$5:$K$27)*后果有效剂量!$Q16+SUMPRODUCT(GF$5:GF$27,后果有效剂量!$K$5:$K$27)*后果有效剂量!$R16+SUMPRODUCT(GG$5:GG$27,后果有效剂量!$K$5:$K$27)*后果有效剂量!$S16+(SUMPRODUCT(GH$5:GH$27,后果有效剂量!$K$5:$K$27)+SUMPRODUCT(GI$5:GI$27,后果有效剂量!$K$5:$K$27))*后果有效剂量!$T16+SUMPRODUCT(GJ$5:GJ$27,后果有效剂量!$K$5:$K$27)*后果有效剂量!$U16</f>
        <v>4.96553112111478e-7</v>
      </c>
      <c r="GF42" s="453">
        <f>SUMPRODUCT(GE$5:GE$27,后果甲状腺剂量!$I$5:$I$27)*后果甲状腺剂量!$Q16+SUMPRODUCT(GF$5:GF$27,后果甲状腺剂量!$I$5:$I$27)*后果甲状腺剂量!$R16+SUMPRODUCT(GG$5:GG$27,后果甲状腺剂量!$I$5:$I$27)*后果甲状腺剂量!$S16+(SUMPRODUCT(GH$5:GH$27,后果甲状腺剂量!$I$5:$I$27)+SUMPRODUCT(GI$5:GI$27,后果甲状腺剂量!$I$5:$I$27))*后果甲状腺剂量!$T16+SUMPRODUCT(GJ$5:GJ$27,后果甲状腺剂量!$I$5:$I$27)*后果甲状腺剂量!$U16+SUMPRODUCT(GE$5:GE$27,后果甲状腺剂量!$J$5:$J$27)*后果甲状腺剂量!$Q16*后果甲状腺剂量!$Q$3+SUMPRODUCT(GF$5:GF$27,后果甲状腺剂量!$J$5:$J$27)*后果甲状腺剂量!$R16*后果甲状腺剂量!$R$3+SUMPRODUCT(GG$5:GG$27,后果甲状腺剂量!$J$5:$J$27)*后果甲状腺剂量!$S16*后果甲状腺剂量!$S$3+(SUMPRODUCT(GH$5:GH$27,后果甲状腺剂量!$J$5:$J$27)+SUMPRODUCT(GI$5:GI$27,后果甲状腺剂量!$J$5:$J$27))*后果甲状腺剂量!$T16*后果甲状腺剂量!$T$3+SUMPRODUCT(GJ$5:GJ$27,后果甲状腺剂量!$J$5:$J$27)*后果甲状腺剂量!$U16*后果甲状腺剂量!$U$3+SUMPRODUCT(GE$5:GE$27,后果甲状腺剂量!$K$5:$K$27)*后果甲状腺剂量!$Q16+SUMPRODUCT(GF$5:GF$27,后果甲状腺剂量!$K$5:$K$27)*后果甲状腺剂量!$R16+SUMPRODUCT(GG$5:GG$27,后果甲状腺剂量!$K$5:$K$27)*后果甲状腺剂量!$S16+(SUMPRODUCT(GH$5:GH$27,后果甲状腺剂量!$K$5:$K$27)+SUMPRODUCT(GI$5:GI$27,后果甲状腺剂量!$K$5:$K$27))*后果甲状腺剂量!$T16+SUMPRODUCT(GJ$5:GJ$27,后果甲状腺剂量!$K$5:$K$27)*后果甲状腺剂量!$U16</f>
        <v>1.4854301916215e-5</v>
      </c>
      <c r="GG42" s="454">
        <f t="shared" si="259"/>
        <v>0.000496553112111478</v>
      </c>
      <c r="GH42" s="454">
        <f t="shared" si="260"/>
        <v>0.014854301916215</v>
      </c>
      <c r="GI42" s="436"/>
      <c r="GJ42" s="436"/>
    </row>
    <row r="43" spans="7:192">
      <c r="G43" s="440" t="str">
        <f>后果有效剂量!$P17</f>
        <v>45000m</v>
      </c>
      <c r="H43" s="441">
        <f ca="1">SUMPRODUCT(H$5:H$27,后果有效剂量!$I$5:$I$27)*后果有效剂量!$Q17+SUMPRODUCT(I$5:I$27,后果有效剂量!$I$5:$I$27)*后果有效剂量!$Q17+SUMPRODUCT(J$5:J$27,后果有效剂量!$I$5:$I$27)*后果有效剂量!$R17+SUMPRODUCT(K$5:K$27,后果有效剂量!$I$5:$I$27)*后果有效剂量!$S17+SUMPRODUCT(L$5:L$27,后果有效剂量!$I$5:$I$27)*后果有效剂量!$T17+SUMPRODUCT(M$5:M$27,后果有效剂量!$I$5:$I$27)*后果有效剂量!$U17+SUMPRODUCT(H$5:H$27,后果有效剂量!$J$5:$J$27)*后果有效剂量!$Q17*后果有效剂量!$Q$3+SUMPRODUCT(I$5:I$27,后果有效剂量!$J$5:$J$27)*后果有效剂量!$Q17*后果有效剂量!$Q$3+SUMPRODUCT(J$5:J$27,后果有效剂量!$J$5:$J$27)*后果有效剂量!$R17*后果有效剂量!$R$3+SUMPRODUCT(K$5:K$27,后果有效剂量!$J$5:$J$27)*后果有效剂量!$S17*后果有效剂量!$S$3+SUMPRODUCT(L$5:L$27,后果有效剂量!$J$5:$J$27)*后果有效剂量!$T17*后果有效剂量!$T$3+SUMPRODUCT(M$5:M$27,后果有效剂量!$J$5:$J$27)*后果有效剂量!$U17*后果有效剂量!$U$3+SUMPRODUCT(H$5:H$27,后果有效剂量!$K$5:$K$27)*后果有效剂量!$Q17+SUMPRODUCT(I$5:I$27,后果有效剂量!$K$5:$K$27)*后果有效剂量!$Q17+SUMPRODUCT(J$5:J$27,后果有效剂量!$K$5:$K$27)*后果有效剂量!$R17+SUMPRODUCT(K$5:K$27,后果有效剂量!$K$5:$K$27)*后果有效剂量!$S17+SUMPRODUCT(L$5:L$27,后果有效剂量!$K$5:$K$27)*后果有效剂量!$T17+SUMPRODUCT(M$5:M$27,后果有效剂量!$K$5:$K$27)*后果有效剂量!$U17</f>
        <v>6.06590570895242e-6</v>
      </c>
      <c r="I43" s="453">
        <f ca="1">SUMPRODUCT(H$5:H$27,后果甲状腺剂量!$I$5:$I$27)*后果甲状腺剂量!$Q17+SUMPRODUCT(I$5:I$27,后果甲状腺剂量!$I$5:$I$27)*后果甲状腺剂量!$Q17+SUMPRODUCT(J$5:J$27,后果甲状腺剂量!$I$5:$I$27)*后果甲状腺剂量!$R17+SUMPRODUCT(K$5:K$27,后果甲状腺剂量!$I$5:$I$27)*后果甲状腺剂量!$S17+SUMPRODUCT(L$5:L$27,后果甲状腺剂量!$I$5:$I$27)*后果甲状腺剂量!$T17+SUMPRODUCT(M$5:M$27,后果甲状腺剂量!$I$5:$I$27)*后果甲状腺剂量!$U17+SUMPRODUCT(H$5:H$27,后果甲状腺剂量!$J$5:$J$27)*后果甲状腺剂量!$Q17*后果甲状腺剂量!$Q$3+SUMPRODUCT(I$5:I$27,后果甲状腺剂量!$J$5:$J$27)*后果甲状腺剂量!$Q17*后果甲状腺剂量!$Q$3+SUMPRODUCT(J$5:J$27,后果甲状腺剂量!$J$5:$J$27)*后果甲状腺剂量!$R17*后果甲状腺剂量!$R$3+SUMPRODUCT(K$5:K$27,后果甲状腺剂量!$J$5:$J$27)*后果甲状腺剂量!$S17*后果甲状腺剂量!$S$3+SUMPRODUCT(L$5:L$27,后果甲状腺剂量!$J$5:$J$27)*后果甲状腺剂量!$T17*后果甲状腺剂量!$T$3+SUMPRODUCT(M$5:M$27,后果甲状腺剂量!$J$5:$J$27)*后果甲状腺剂量!$U17*后果甲状腺剂量!$U$3+SUMPRODUCT(H$5:H$27,后果甲状腺剂量!$K$5:$K$27)*后果甲状腺剂量!$Q17+SUMPRODUCT(I$5:I$27,后果甲状腺剂量!$K$5:$K$27)*后果甲状腺剂量!$Q17+SUMPRODUCT(J$5:J$27,后果甲状腺剂量!$K$5:$K$27)*后果甲状腺剂量!$R17+SUMPRODUCT(K$5:K$27,后果甲状腺剂量!$K$5:$K$27)*后果甲状腺剂量!$S17+SUMPRODUCT(L$5:L$27,后果甲状腺剂量!$K$5:$K$27)*后果甲状腺剂量!$T17+SUMPRODUCT(M$5:M$27,后果甲状腺剂量!$K$5:$K$27)*后果甲状腺剂量!$U17</f>
        <v>0.000352631435893078</v>
      </c>
      <c r="J43" s="454">
        <f ca="1" t="shared" si="253"/>
        <v>0.00606590570895242</v>
      </c>
      <c r="K43" s="454">
        <f ca="1" t="shared" si="254"/>
        <v>0.352631435893078</v>
      </c>
      <c r="L43" s="436"/>
      <c r="M43" s="436"/>
      <c r="N43" s="455"/>
      <c r="Q43" s="440" t="str">
        <f>后果有效剂量!$P17</f>
        <v>45000m</v>
      </c>
      <c r="R43" s="441">
        <f ca="1">SUMPRODUCT(R$5:R$27,后果有效剂量!$I$5:$I$27)*后果有效剂量!$Q17+SUMPRODUCT(S$5:S$27,后果有效剂量!$I$5:$I$27)*后果有效剂量!$Q17+SUMPRODUCT(T$5:T$27,后果有效剂量!$I$5:$I$27)*后果有效剂量!$R17+SUMPRODUCT(U$5:U$27,后果有效剂量!$I$5:$I$27)*后果有效剂量!$S17+SUMPRODUCT(V$5:V$27,后果有效剂量!$I$5:$I$27)*后果有效剂量!$T17+SUMPRODUCT(W$5:W$27,后果有效剂量!$I$5:$I$27)*后果有效剂量!$U17+SUMPRODUCT(R$5:R$27,后果有效剂量!$J$5:$J$27)*后果有效剂量!$Q17*后果有效剂量!$Q$3+SUMPRODUCT(S$5:S$27,后果有效剂量!$J$5:$J$27)*后果有效剂量!$Q17*后果有效剂量!$Q$3+SUMPRODUCT(T$5:T$27,后果有效剂量!$J$5:$J$27)*后果有效剂量!$R17*后果有效剂量!$R$3+SUMPRODUCT(U$5:U$27,后果有效剂量!$J$5:$J$27)*后果有效剂量!$S17*后果有效剂量!$S$3+SUMPRODUCT(V$5:V$27,后果有效剂量!$J$5:$J$27)*后果有效剂量!$T17*后果有效剂量!$T$3+SUMPRODUCT(W$5:W$27,后果有效剂量!$J$5:$J$27)*后果有效剂量!$U17*后果有效剂量!$U$3+SUMPRODUCT(R$5:R$27,后果有效剂量!$K$5:$K$27)*后果有效剂量!$Q17+SUMPRODUCT(S$5:S$27,后果有效剂量!$K$5:$K$27)*后果有效剂量!$Q17+SUMPRODUCT(T$5:T$27,后果有效剂量!$K$5:$K$27)*后果有效剂量!$R17+SUMPRODUCT(U$5:U$27,后果有效剂量!$K$5:$K$27)*后果有效剂量!$S17+SUMPRODUCT(V$5:V$27,后果有效剂量!$K$5:$K$27)*后果有效剂量!$T17+SUMPRODUCT(W$5:W$27,后果有效剂量!$K$5:$K$27)*后果有效剂量!$U17</f>
        <v>2.46921688489495e-7</v>
      </c>
      <c r="S43" s="453">
        <f ca="1">SUMPRODUCT(R$5:R$27,后果甲状腺剂量!$I$5:$I$27)*后果甲状腺剂量!$Q17+SUMPRODUCT(S$5:S$27,后果甲状腺剂量!$I$5:$I$27)*后果甲状腺剂量!$Q17+SUMPRODUCT(T$5:T$27,后果甲状腺剂量!$I$5:$I$27)*后果甲状腺剂量!$R17+SUMPRODUCT(U$5:U$27,后果甲状腺剂量!$I$5:$I$27)*后果甲状腺剂量!$S17+SUMPRODUCT(V$5:V$27,后果甲状腺剂量!$I$5:$I$27)*后果甲状腺剂量!$T17+SUMPRODUCT(W$5:W$27,后果甲状腺剂量!$I$5:$I$27)*后果甲状腺剂量!$U17+SUMPRODUCT(R$5:R$27,后果甲状腺剂量!$J$5:$J$27)*后果甲状腺剂量!$Q17*后果甲状腺剂量!$Q$3+SUMPRODUCT(S$5:S$27,后果甲状腺剂量!$J$5:$J$27)*后果甲状腺剂量!$Q17*后果甲状腺剂量!$Q$3+SUMPRODUCT(T$5:T$27,后果甲状腺剂量!$J$5:$J$27)*后果甲状腺剂量!$R17*后果甲状腺剂量!$R$3+SUMPRODUCT(U$5:U$27,后果甲状腺剂量!$J$5:$J$27)*后果甲状腺剂量!$S17*后果甲状腺剂量!$S$3+SUMPRODUCT(V$5:V$27,后果甲状腺剂量!$J$5:$J$27)*后果甲状腺剂量!$T17*后果甲状腺剂量!$T$3+SUMPRODUCT(W$5:W$27,后果甲状腺剂量!$J$5:$J$27)*后果甲状腺剂量!$U17*后果甲状腺剂量!$U$3+SUMPRODUCT(R$5:R$27,后果甲状腺剂量!$K$5:$K$27)*后果甲状腺剂量!$Q17+SUMPRODUCT(S$5:S$27,后果甲状腺剂量!$K$5:$K$27)*后果甲状腺剂量!$Q17+SUMPRODUCT(T$5:T$27,后果甲状腺剂量!$K$5:$K$27)*后果甲状腺剂量!$R17+SUMPRODUCT(U$5:U$27,后果甲状腺剂量!$K$5:$K$27)*后果甲状腺剂量!$S17+SUMPRODUCT(V$5:V$27,后果甲状腺剂量!$K$5:$K$27)*后果甲状腺剂量!$T17+SUMPRODUCT(W$5:W$27,后果甲状腺剂量!$K$5:$K$27)*后果甲状腺剂量!$U17</f>
        <v>1.75267222993146e-5</v>
      </c>
      <c r="T43" s="454">
        <f ca="1" t="shared" si="255"/>
        <v>0.000246921688489495</v>
      </c>
      <c r="U43" s="454">
        <f ca="1" t="shared" si="256"/>
        <v>0.0175267222993146</v>
      </c>
      <c r="V43" s="436"/>
      <c r="W43" s="436"/>
      <c r="AN43" s="533"/>
      <c r="AS43" s="572"/>
      <c r="BO43" s="600"/>
      <c r="CJ43" s="600"/>
      <c r="DZ43" s="600"/>
      <c r="EU43" s="603"/>
      <c r="FP43" s="603"/>
      <c r="FS43" s="441">
        <f>SUMPRODUCT(FS$5:FS$27,后果有效剂量!$I$5:$I$27)*后果有效剂量!$Q17+SUMPRODUCT(FT$5:FT$27,后果有效剂量!$I$5:$I$27)*后果有效剂量!$R17+SUMPRODUCT(FU$5:FU$27,后果有效剂量!$I$5:$I$27)*后果有效剂量!$S17+SUMPRODUCT(FV$5:FV$27,后果有效剂量!$I$5:$I$27)*后果有效剂量!$T17+SUMPRODUCT(FS$5:FS$27,后果有效剂量!$J$5:$J$27)*后果有效剂量!$Q17*后果有效剂量!$Q$3+SUMPRODUCT(FT$5:FT$27,后果有效剂量!$J$5:$J$27)*后果有效剂量!$R17*后果有效剂量!$R$3+SUMPRODUCT(FU$5:FU$27,后果有效剂量!$J$5:$J$27)*后果有效剂量!$S17*后果有效剂量!$S$3+SUMPRODUCT(FV$5:FV$27,后果有效剂量!$J$5:$J$27)*后果有效剂量!$T17*后果有效剂量!$T$3+SUMPRODUCT(FS$5:FS$27,后果有效剂量!$K$5:$K$27)*后果有效剂量!$Q17+SUMPRODUCT(FT$5:FT$27,后果有效剂量!$K$5:$K$27)*后果有效剂量!$R17+SUMPRODUCT(FU$5:FU$27,后果有效剂量!$K$5:$K$27)*后果有效剂量!$S17+SUMPRODUCT(FV$5:FV$27,后果有效剂量!$K$5:$K$27)*后果有效剂量!$T17</f>
        <v>1.74867432338742e-6</v>
      </c>
      <c r="FT43" s="453">
        <f>SUMPRODUCT(FS$5:FS$27,后果甲状腺剂量!$I$5:$I$27)*后果甲状腺剂量!$Q17+SUMPRODUCT(FT$5:FT$27,后果甲状腺剂量!$I$5:$I$27)*后果甲状腺剂量!$R17+SUMPRODUCT(FU$5:FU$27,后果甲状腺剂量!$I$5:$I$27)*后果甲状腺剂量!$S17+SUMPRODUCT(FV$5:FV$27,后果甲状腺剂量!$I$5:$I$27)*后果甲状腺剂量!$T17+SUMPRODUCT(FS$5:FS$27,后果甲状腺剂量!$J$5:$J$27)*后果甲状腺剂量!$Q17*后果甲状腺剂量!$Q$3+SUMPRODUCT(FT$5:FT$27,后果甲状腺剂量!$J$5:$J$27)*后果甲状腺剂量!$R17*后果甲状腺剂量!$R$3+SUMPRODUCT(FU$5:FU$27,后果甲状腺剂量!$J$5:$J$27)*后果甲状腺剂量!$S17*后果甲状腺剂量!$S$3+SUMPRODUCT(FV$5:FV$27,后果甲状腺剂量!$J$5:$J$27)*后果甲状腺剂量!$T17*后果甲状腺剂量!$T$3+SUMPRODUCT(FS$5:FS$27,后果甲状腺剂量!$K$5:$K$27)*后果甲状腺剂量!$Q17+SUMPRODUCT(FT$5:FT$27,后果甲状腺剂量!$K$5:$K$27)*后果甲状腺剂量!$R17+SUMPRODUCT(FU$5:FU$27,后果甲状腺剂量!$K$5:$K$27)*后果甲状腺剂量!$S17+SUMPRODUCT(FV$5:FV$27,后果甲状腺剂量!$K$5:$K$27)*后果甲状腺剂量!$T17</f>
        <v>7.24295071120302e-5</v>
      </c>
      <c r="FU43" s="454">
        <f t="shared" si="257"/>
        <v>0.00174867432338742</v>
      </c>
      <c r="FV43" s="454">
        <f t="shared" si="258"/>
        <v>0.0724295071120302</v>
      </c>
      <c r="FW43" s="436"/>
      <c r="FX43" s="436"/>
      <c r="GD43" s="440" t="str">
        <f>后果有效剂量!$P17</f>
        <v>45000m</v>
      </c>
      <c r="GE43" s="441">
        <f>SUMPRODUCT(GE$5:GE$27,后果有效剂量!$I$5:$I$27)*后果有效剂量!$Q17+SUMPRODUCT(GF$5:GF$27,后果有效剂量!$I$5:$I$27)*后果有效剂量!$R17+SUMPRODUCT(GG$5:GG$27,后果有效剂量!$I$5:$I$27)*后果有效剂量!$S17+(SUMPRODUCT(GH$5:GH$27,后果有效剂量!$I$5:$I$27)+SUMPRODUCT(GI$5:GI$27,后果有效剂量!$I$5:$I$27))*后果有效剂量!$T17+SUMPRODUCT(GJ$5:GJ$27,后果有效剂量!$I$5:$I$27)*后果有效剂量!$U17+SUMPRODUCT(GE$5:GE$27,后果有效剂量!$J$5:$J$27)*后果有效剂量!$Q17*后果有效剂量!$Q$3+SUMPRODUCT(GF$5:GF$27,后果有效剂量!$J$5:$J$27)*后果有效剂量!$R17*后果有效剂量!$R$3+SUMPRODUCT(GG$5:GG$27,后果有效剂量!$J$5:$J$27)*后果有效剂量!$S17*后果有效剂量!$S$3+(SUMPRODUCT(GH$5:GH$27,后果有效剂量!$J$5:$J$27)+SUMPRODUCT(GI$5:GI$27,后果有效剂量!$J$5:$J$27))*后果有效剂量!$T17*后果有效剂量!$T$3+SUMPRODUCT(GJ$5:GJ$27,后果有效剂量!$J$5:$J$27)*后果有效剂量!$U17*后果有效剂量!$U$3+SUMPRODUCT(GE$5:GE$27,后果有效剂量!$K$5:$K$27)*后果有效剂量!$Q17+SUMPRODUCT(GF$5:GF$27,后果有效剂量!$K$5:$K$27)*后果有效剂量!$R17+SUMPRODUCT(GG$5:GG$27,后果有效剂量!$K$5:$K$27)*后果有效剂量!$S17+(SUMPRODUCT(GH$5:GH$27,后果有效剂量!$K$5:$K$27)+SUMPRODUCT(GI$5:GI$27,后果有效剂量!$K$5:$K$27))*后果有效剂量!$T17+SUMPRODUCT(GJ$5:GJ$27,后果有效剂量!$K$5:$K$27)*后果有效剂量!$U17</f>
        <v>3.93766856413307e-7</v>
      </c>
      <c r="GF43" s="453">
        <f>SUMPRODUCT(GE$5:GE$27,后果甲状腺剂量!$I$5:$I$27)*后果甲状腺剂量!$Q17+SUMPRODUCT(GF$5:GF$27,后果甲状腺剂量!$I$5:$I$27)*后果甲状腺剂量!$R17+SUMPRODUCT(GG$5:GG$27,后果甲状腺剂量!$I$5:$I$27)*后果甲状腺剂量!$S17+(SUMPRODUCT(GH$5:GH$27,后果甲状腺剂量!$I$5:$I$27)+SUMPRODUCT(GI$5:GI$27,后果甲状腺剂量!$I$5:$I$27))*后果甲状腺剂量!$T17+SUMPRODUCT(GJ$5:GJ$27,后果甲状腺剂量!$I$5:$I$27)*后果甲状腺剂量!$U17+SUMPRODUCT(GE$5:GE$27,后果甲状腺剂量!$J$5:$J$27)*后果甲状腺剂量!$Q17*后果甲状腺剂量!$Q$3+SUMPRODUCT(GF$5:GF$27,后果甲状腺剂量!$J$5:$J$27)*后果甲状腺剂量!$R17*后果甲状腺剂量!$R$3+SUMPRODUCT(GG$5:GG$27,后果甲状腺剂量!$J$5:$J$27)*后果甲状腺剂量!$S17*后果甲状腺剂量!$S$3+(SUMPRODUCT(GH$5:GH$27,后果甲状腺剂量!$J$5:$J$27)+SUMPRODUCT(GI$5:GI$27,后果甲状腺剂量!$J$5:$J$27))*后果甲状腺剂量!$T17*后果甲状腺剂量!$T$3+SUMPRODUCT(GJ$5:GJ$27,后果甲状腺剂量!$J$5:$J$27)*后果甲状腺剂量!$U17*后果甲状腺剂量!$U$3+SUMPRODUCT(GE$5:GE$27,后果甲状腺剂量!$K$5:$K$27)*后果甲状腺剂量!$Q17+SUMPRODUCT(GF$5:GF$27,后果甲状腺剂量!$K$5:$K$27)*后果甲状腺剂量!$R17+SUMPRODUCT(GG$5:GG$27,后果甲状腺剂量!$K$5:$K$27)*后果甲状腺剂量!$S17+(SUMPRODUCT(GH$5:GH$27,后果甲状腺剂量!$K$5:$K$27)+SUMPRODUCT(GI$5:GI$27,后果甲状腺剂量!$K$5:$K$27))*后果甲状腺剂量!$T17+SUMPRODUCT(GJ$5:GJ$27,后果甲状腺剂量!$K$5:$K$27)*后果甲状腺剂量!$U17</f>
        <v>1.1660702699186e-5</v>
      </c>
      <c r="GG43" s="454">
        <f t="shared" si="259"/>
        <v>0.000393766856413307</v>
      </c>
      <c r="GH43" s="454">
        <f t="shared" si="260"/>
        <v>0.011660702699186</v>
      </c>
      <c r="GI43" s="436"/>
      <c r="GJ43" s="436"/>
    </row>
    <row r="44" spans="7:192">
      <c r="G44" s="440" t="str">
        <f>后果有效剂量!$P18</f>
        <v>55000m</v>
      </c>
      <c r="H44" s="441">
        <f ca="1">SUMPRODUCT(H$5:H$27,后果有效剂量!$I$5:$I$27)*后果有效剂量!$Q18+SUMPRODUCT(I$5:I$27,后果有效剂量!$I$5:$I$27)*后果有效剂量!$Q18+SUMPRODUCT(J$5:J$27,后果有效剂量!$I$5:$I$27)*后果有效剂量!$R18+SUMPRODUCT(K$5:K$27,后果有效剂量!$I$5:$I$27)*后果有效剂量!$S18+SUMPRODUCT(L$5:L$27,后果有效剂量!$I$5:$I$27)*后果有效剂量!$T18+SUMPRODUCT(M$5:M$27,后果有效剂量!$I$5:$I$27)*后果有效剂量!$U18+SUMPRODUCT(H$5:H$27,后果有效剂量!$J$5:$J$27)*后果有效剂量!$Q18*后果有效剂量!$Q$3+SUMPRODUCT(I$5:I$27,后果有效剂量!$J$5:$J$27)*后果有效剂量!$Q18*后果有效剂量!$Q$3+SUMPRODUCT(J$5:J$27,后果有效剂量!$J$5:$J$27)*后果有效剂量!$R18*后果有效剂量!$R$3+SUMPRODUCT(K$5:K$27,后果有效剂量!$J$5:$J$27)*后果有效剂量!$S18*后果有效剂量!$S$3+SUMPRODUCT(L$5:L$27,后果有效剂量!$J$5:$J$27)*后果有效剂量!$T18*后果有效剂量!$T$3+SUMPRODUCT(M$5:M$27,后果有效剂量!$J$5:$J$27)*后果有效剂量!$U18*后果有效剂量!$U$3+SUMPRODUCT(H$5:H$27,后果有效剂量!$K$5:$K$27)*后果有效剂量!$Q18+SUMPRODUCT(I$5:I$27,后果有效剂量!$K$5:$K$27)*后果有效剂量!$Q18+SUMPRODUCT(J$5:J$27,后果有效剂量!$K$5:$K$27)*后果有效剂量!$R18+SUMPRODUCT(K$5:K$27,后果有效剂量!$K$5:$K$27)*后果有效剂量!$S18+SUMPRODUCT(L$5:L$27,后果有效剂量!$K$5:$K$27)*后果有效剂量!$T18+SUMPRODUCT(M$5:M$27,后果有效剂量!$K$5:$K$27)*后果有效剂量!$U18</f>
        <v>3.03295285447621e-5</v>
      </c>
      <c r="I44" s="453">
        <f ca="1">SUMPRODUCT(H$5:H$27,后果甲状腺剂量!$I$5:$I$27)*后果甲状腺剂量!$Q18+SUMPRODUCT(I$5:I$27,后果甲状腺剂量!$I$5:$I$27)*后果甲状腺剂量!$Q18+SUMPRODUCT(J$5:J$27,后果甲状腺剂量!$I$5:$I$27)*后果甲状腺剂量!$R18+SUMPRODUCT(K$5:K$27,后果甲状腺剂量!$I$5:$I$27)*后果甲状腺剂量!$S18+SUMPRODUCT(L$5:L$27,后果甲状腺剂量!$I$5:$I$27)*后果甲状腺剂量!$T18+SUMPRODUCT(M$5:M$27,后果甲状腺剂量!$I$5:$I$27)*后果甲状腺剂量!$U18+SUMPRODUCT(H$5:H$27,后果甲状腺剂量!$J$5:$J$27)*后果甲状腺剂量!$Q18*后果甲状腺剂量!$Q$3+SUMPRODUCT(I$5:I$27,后果甲状腺剂量!$J$5:$J$27)*后果甲状腺剂量!$Q18*后果甲状腺剂量!$Q$3+SUMPRODUCT(J$5:J$27,后果甲状腺剂量!$J$5:$J$27)*后果甲状腺剂量!$R18*后果甲状腺剂量!$R$3+SUMPRODUCT(K$5:K$27,后果甲状腺剂量!$J$5:$J$27)*后果甲状腺剂量!$S18*后果甲状腺剂量!$S$3+SUMPRODUCT(L$5:L$27,后果甲状腺剂量!$J$5:$J$27)*后果甲状腺剂量!$T18*后果甲状腺剂量!$T$3+SUMPRODUCT(M$5:M$27,后果甲状腺剂量!$J$5:$J$27)*后果甲状腺剂量!$U18*后果甲状腺剂量!$U$3+SUMPRODUCT(H$5:H$27,后果甲状腺剂量!$K$5:$K$27)*后果甲状腺剂量!$Q18+SUMPRODUCT(I$5:I$27,后果甲状腺剂量!$K$5:$K$27)*后果甲状腺剂量!$Q18+SUMPRODUCT(J$5:J$27,后果甲状腺剂量!$K$5:$K$27)*后果甲状腺剂量!$R18+SUMPRODUCT(K$5:K$27,后果甲状腺剂量!$K$5:$K$27)*后果甲状腺剂量!$S18+SUMPRODUCT(L$5:L$27,后果甲状腺剂量!$K$5:$K$27)*后果甲状腺剂量!$T18+SUMPRODUCT(M$5:M$27,后果甲状腺剂量!$K$5:$K$27)*后果甲状腺剂量!$U18</f>
        <v>0.000312786075905159</v>
      </c>
      <c r="J44" s="454">
        <f ca="1" t="shared" si="253"/>
        <v>0.0303295285447621</v>
      </c>
      <c r="K44" s="454">
        <f ca="1" t="shared" si="254"/>
        <v>0.312786075905159</v>
      </c>
      <c r="L44" s="436"/>
      <c r="M44" s="436"/>
      <c r="N44" s="455"/>
      <c r="Q44" s="440" t="str">
        <f>后果有效剂量!$P18</f>
        <v>55000m</v>
      </c>
      <c r="R44" s="441">
        <f ca="1">SUMPRODUCT(R$5:R$27,后果有效剂量!$I$5:$I$27)*后果有效剂量!$Q18+SUMPRODUCT(S$5:S$27,后果有效剂量!$I$5:$I$27)*后果有效剂量!$Q18+SUMPRODUCT(T$5:T$27,后果有效剂量!$I$5:$I$27)*后果有效剂量!$R18+SUMPRODUCT(U$5:U$27,后果有效剂量!$I$5:$I$27)*后果有效剂量!$S18+SUMPRODUCT(V$5:V$27,后果有效剂量!$I$5:$I$27)*后果有效剂量!$T18+SUMPRODUCT(W$5:W$27,后果有效剂量!$I$5:$I$27)*后果有效剂量!$U18+SUMPRODUCT(R$5:R$27,后果有效剂量!$J$5:$J$27)*后果有效剂量!$Q18*后果有效剂量!$Q$3+SUMPRODUCT(S$5:S$27,后果有效剂量!$J$5:$J$27)*后果有效剂量!$Q18*后果有效剂量!$Q$3+SUMPRODUCT(T$5:T$27,后果有效剂量!$J$5:$J$27)*后果有效剂量!$R18*后果有效剂量!$R$3+SUMPRODUCT(U$5:U$27,后果有效剂量!$J$5:$J$27)*后果有效剂量!$S18*后果有效剂量!$S$3+SUMPRODUCT(V$5:V$27,后果有效剂量!$J$5:$J$27)*后果有效剂量!$T18*后果有效剂量!$T$3+SUMPRODUCT(W$5:W$27,后果有效剂量!$J$5:$J$27)*后果有效剂量!$U18*后果有效剂量!$U$3+SUMPRODUCT(R$5:R$27,后果有效剂量!$K$5:$K$27)*后果有效剂量!$Q18+SUMPRODUCT(S$5:S$27,后果有效剂量!$K$5:$K$27)*后果有效剂量!$Q18+SUMPRODUCT(T$5:T$27,后果有效剂量!$K$5:$K$27)*后果有效剂量!$R18+SUMPRODUCT(U$5:U$27,后果有效剂量!$K$5:$K$27)*后果有效剂量!$S18+SUMPRODUCT(V$5:V$27,后果有效剂量!$K$5:$K$27)*后果有效剂量!$T18+SUMPRODUCT(W$5:W$27,后果有效剂量!$K$5:$K$27)*后果有效剂量!$U18</f>
        <v>1.23460844244748e-6</v>
      </c>
      <c r="S44" s="453">
        <f ca="1">SUMPRODUCT(R$5:R$27,后果甲状腺剂量!$I$5:$I$27)*后果甲状腺剂量!$Q18+SUMPRODUCT(S$5:S$27,后果甲状腺剂量!$I$5:$I$27)*后果甲状腺剂量!$Q18+SUMPRODUCT(T$5:T$27,后果甲状腺剂量!$I$5:$I$27)*后果甲状腺剂量!$R18+SUMPRODUCT(U$5:U$27,后果甲状腺剂量!$I$5:$I$27)*后果甲状腺剂量!$S18+SUMPRODUCT(V$5:V$27,后果甲状腺剂量!$I$5:$I$27)*后果甲状腺剂量!$T18+SUMPRODUCT(W$5:W$27,后果甲状腺剂量!$I$5:$I$27)*后果甲状腺剂量!$U18+SUMPRODUCT(R$5:R$27,后果甲状腺剂量!$J$5:$J$27)*后果甲状腺剂量!$Q18*后果甲状腺剂量!$Q$3+SUMPRODUCT(S$5:S$27,后果甲状腺剂量!$J$5:$J$27)*后果甲状腺剂量!$Q18*后果甲状腺剂量!$Q$3+SUMPRODUCT(T$5:T$27,后果甲状腺剂量!$J$5:$J$27)*后果甲状腺剂量!$R18*后果甲状腺剂量!$R$3+SUMPRODUCT(U$5:U$27,后果甲状腺剂量!$J$5:$J$27)*后果甲状腺剂量!$S18*后果甲状腺剂量!$S$3+SUMPRODUCT(V$5:V$27,后果甲状腺剂量!$J$5:$J$27)*后果甲状腺剂量!$T18*后果甲状腺剂量!$T$3+SUMPRODUCT(W$5:W$27,后果甲状腺剂量!$J$5:$J$27)*后果甲状腺剂量!$U18*后果甲状腺剂量!$U$3+SUMPRODUCT(R$5:R$27,后果甲状腺剂量!$K$5:$K$27)*后果甲状腺剂量!$Q18+SUMPRODUCT(S$5:S$27,后果甲状腺剂量!$K$5:$K$27)*后果甲状腺剂量!$Q18+SUMPRODUCT(T$5:T$27,后果甲状腺剂量!$K$5:$K$27)*后果甲状腺剂量!$R18+SUMPRODUCT(U$5:U$27,后果甲状腺剂量!$K$5:$K$27)*后果甲状腺剂量!$S18+SUMPRODUCT(V$5:V$27,后果甲状腺剂量!$K$5:$K$27)*后果甲状腺剂量!$T18+SUMPRODUCT(W$5:W$27,后果甲状腺剂量!$K$5:$K$27)*后果甲状腺剂量!$U18</f>
        <v>1.5546301700522e-5</v>
      </c>
      <c r="T44" s="454">
        <f ca="1" t="shared" si="255"/>
        <v>0.00123460844244748</v>
      </c>
      <c r="U44" s="454">
        <f ca="1" t="shared" si="256"/>
        <v>0.015546301700522</v>
      </c>
      <c r="V44" s="436"/>
      <c r="W44" s="436"/>
      <c r="AN44" s="533"/>
      <c r="AS44" s="572"/>
      <c r="BO44" s="600"/>
      <c r="CJ44" s="600"/>
      <c r="DZ44" s="600"/>
      <c r="EU44" s="603"/>
      <c r="FP44" s="603"/>
      <c r="FS44" s="441">
        <f>SUMPRODUCT(FS$5:FS$27,后果有效剂量!$I$5:$I$27)*后果有效剂量!$Q18+SUMPRODUCT(FT$5:FT$27,后果有效剂量!$I$5:$I$27)*后果有效剂量!$R18+SUMPRODUCT(FU$5:FU$27,后果有效剂量!$I$5:$I$27)*后果有效剂量!$S18+SUMPRODUCT(FV$5:FV$27,后果有效剂量!$I$5:$I$27)*后果有效剂量!$T18+SUMPRODUCT(FS$5:FS$27,后果有效剂量!$J$5:$J$27)*后果有效剂量!$Q18*后果有效剂量!$Q$3+SUMPRODUCT(FT$5:FT$27,后果有效剂量!$J$5:$J$27)*后果有效剂量!$R18*后果有效剂量!$R$3+SUMPRODUCT(FU$5:FU$27,后果有效剂量!$J$5:$J$27)*后果有效剂量!$S18*后果有效剂量!$S$3+SUMPRODUCT(FV$5:FV$27,后果有效剂量!$J$5:$J$27)*后果有效剂量!$T18*后果有效剂量!$T$3+SUMPRODUCT(FS$5:FS$27,后果有效剂量!$K$5:$K$27)*后果有效剂量!$Q18+SUMPRODUCT(FT$5:FT$27,后果有效剂量!$K$5:$K$27)*后果有效剂量!$R18+SUMPRODUCT(FU$5:FU$27,后果有效剂量!$K$5:$K$27)*后果有效剂量!$S18+SUMPRODUCT(FV$5:FV$27,后果有效剂量!$K$5:$K$27)*后果有效剂量!$T18</f>
        <v>8.5192424254057e-6</v>
      </c>
      <c r="FT44" s="453">
        <f>SUMPRODUCT(FS$5:FS$27,后果甲状腺剂量!$I$5:$I$27)*后果甲状腺剂量!$Q18+SUMPRODUCT(FT$5:FT$27,后果甲状腺剂量!$I$5:$I$27)*后果甲状腺剂量!$R18+SUMPRODUCT(FU$5:FU$27,后果甲状腺剂量!$I$5:$I$27)*后果甲状腺剂量!$S18+SUMPRODUCT(FV$5:FV$27,后果甲状腺剂量!$I$5:$I$27)*后果甲状腺剂量!$T18+SUMPRODUCT(FS$5:FS$27,后果甲状腺剂量!$J$5:$J$27)*后果甲状腺剂量!$Q18*后果甲状腺剂量!$Q$3+SUMPRODUCT(FT$5:FT$27,后果甲状腺剂量!$J$5:$J$27)*后果甲状腺剂量!$R18*后果甲状腺剂量!$R$3+SUMPRODUCT(FU$5:FU$27,后果甲状腺剂量!$J$5:$J$27)*后果甲状腺剂量!$S18*后果甲状腺剂量!$S$3+SUMPRODUCT(FV$5:FV$27,后果甲状腺剂量!$J$5:$J$27)*后果甲状腺剂量!$T18*后果甲状腺剂量!$T$3+SUMPRODUCT(FS$5:FS$27,后果甲状腺剂量!$K$5:$K$27)*后果甲状腺剂量!$Q18+SUMPRODUCT(FT$5:FT$27,后果甲状腺剂量!$K$5:$K$27)*后果甲状腺剂量!$R18+SUMPRODUCT(FU$5:FU$27,后果甲状腺剂量!$K$5:$K$27)*后果甲状腺剂量!$S18+SUMPRODUCT(FV$5:FV$27,后果甲状腺剂量!$K$5:$K$27)*后果甲状腺剂量!$T18</f>
        <v>6.22166730994561e-5</v>
      </c>
      <c r="FU44" s="454">
        <f t="shared" si="257"/>
        <v>0.0085192424254057</v>
      </c>
      <c r="FV44" s="454">
        <f t="shared" si="258"/>
        <v>0.0622166730994561</v>
      </c>
      <c r="FW44" s="436"/>
      <c r="FX44" s="436"/>
      <c r="GD44" s="440" t="str">
        <f>后果有效剂量!$P18</f>
        <v>55000m</v>
      </c>
      <c r="GE44" s="441">
        <f>SUMPRODUCT(GE$5:GE$27,后果有效剂量!$I$5:$I$27)*后果有效剂量!$Q18+SUMPRODUCT(GF$5:GF$27,后果有效剂量!$I$5:$I$27)*后果有效剂量!$R18+SUMPRODUCT(GG$5:GG$27,后果有效剂量!$I$5:$I$27)*后果有效剂量!$S18+(SUMPRODUCT(GH$5:GH$27,后果有效剂量!$I$5:$I$27)+SUMPRODUCT(GI$5:GI$27,后果有效剂量!$I$5:$I$27))*后果有效剂量!$T18+SUMPRODUCT(GJ$5:GJ$27,后果有效剂量!$I$5:$I$27)*后果有效剂量!$U18+SUMPRODUCT(GE$5:GE$27,后果有效剂量!$J$5:$J$27)*后果有效剂量!$Q18*后果有效剂量!$Q$3+SUMPRODUCT(GF$5:GF$27,后果有效剂量!$J$5:$J$27)*后果有效剂量!$R18*后果有效剂量!$R$3+SUMPRODUCT(GG$5:GG$27,后果有效剂量!$J$5:$J$27)*后果有效剂量!$S18*后果有效剂量!$S$3+(SUMPRODUCT(GH$5:GH$27,后果有效剂量!$J$5:$J$27)+SUMPRODUCT(GI$5:GI$27,后果有效剂量!$J$5:$J$27))*后果有效剂量!$T18*后果有效剂量!$T$3+SUMPRODUCT(GJ$5:GJ$27,后果有效剂量!$J$5:$J$27)*后果有效剂量!$U18*后果有效剂量!$U$3+SUMPRODUCT(GE$5:GE$27,后果有效剂量!$K$5:$K$27)*后果有效剂量!$Q18+SUMPRODUCT(GF$5:GF$27,后果有效剂量!$K$5:$K$27)*后果有效剂量!$R18+SUMPRODUCT(GG$5:GG$27,后果有效剂量!$K$5:$K$27)*后果有效剂量!$S18+(SUMPRODUCT(GH$5:GH$27,后果有效剂量!$K$5:$K$27)+SUMPRODUCT(GI$5:GI$27,后果有效剂量!$K$5:$K$27))*后果有效剂量!$T18+SUMPRODUCT(GJ$5:GJ$27,后果有效剂量!$K$5:$K$27)*后果有效剂量!$U18</f>
        <v>1.82108446416472e-6</v>
      </c>
      <c r="GF44" s="453">
        <f>SUMPRODUCT(GE$5:GE$27,后果甲状腺剂量!$I$5:$I$27)*后果甲状腺剂量!$Q18+SUMPRODUCT(GF$5:GF$27,后果甲状腺剂量!$I$5:$I$27)*后果甲状腺剂量!$R18+SUMPRODUCT(GG$5:GG$27,后果甲状腺剂量!$I$5:$I$27)*后果甲状腺剂量!$S18+(SUMPRODUCT(GH$5:GH$27,后果甲状腺剂量!$I$5:$I$27)+SUMPRODUCT(GI$5:GI$27,后果甲状腺剂量!$I$5:$I$27))*后果甲状腺剂量!$T18+SUMPRODUCT(GJ$5:GJ$27,后果甲状腺剂量!$I$5:$I$27)*后果甲状腺剂量!$U18+SUMPRODUCT(GE$5:GE$27,后果甲状腺剂量!$J$5:$J$27)*后果甲状腺剂量!$Q18*后果甲状腺剂量!$Q$3+SUMPRODUCT(GF$5:GF$27,后果甲状腺剂量!$J$5:$J$27)*后果甲状腺剂量!$R18*后果甲状腺剂量!$R$3+SUMPRODUCT(GG$5:GG$27,后果甲状腺剂量!$J$5:$J$27)*后果甲状腺剂量!$S18*后果甲状腺剂量!$S$3+(SUMPRODUCT(GH$5:GH$27,后果甲状腺剂量!$J$5:$J$27)+SUMPRODUCT(GI$5:GI$27,后果甲状腺剂量!$J$5:$J$27))*后果甲状腺剂量!$T18*后果甲状腺剂量!$T$3+SUMPRODUCT(GJ$5:GJ$27,后果甲状腺剂量!$J$5:$J$27)*后果甲状腺剂量!$U18*后果甲状腺剂量!$U$3+SUMPRODUCT(GE$5:GE$27,后果甲状腺剂量!$K$5:$K$27)*后果甲状腺剂量!$Q18+SUMPRODUCT(GF$5:GF$27,后果甲状腺剂量!$K$5:$K$27)*后果甲状腺剂量!$R18+SUMPRODUCT(GG$5:GG$27,后果甲状腺剂量!$K$5:$K$27)*后果甲状腺剂量!$S18+(SUMPRODUCT(GH$5:GH$27,后果甲状腺剂量!$K$5:$K$27)+SUMPRODUCT(GI$5:GI$27,后果甲状腺剂量!$K$5:$K$27))*后果甲状腺剂量!$T18+SUMPRODUCT(GJ$5:GJ$27,后果甲状腺剂量!$K$5:$K$27)*后果甲状腺剂量!$U18</f>
        <v>9.61449584292275e-6</v>
      </c>
      <c r="GG44" s="454">
        <f t="shared" si="259"/>
        <v>0.00182108446416472</v>
      </c>
      <c r="GH44" s="454">
        <f t="shared" si="260"/>
        <v>0.00961449584292275</v>
      </c>
      <c r="GI44" s="436"/>
      <c r="GJ44" s="436"/>
    </row>
    <row r="45" spans="7:192">
      <c r="G45" s="440" t="str">
        <f>后果有效剂量!$P19</f>
        <v>65000m</v>
      </c>
      <c r="H45" s="441">
        <f ca="1">SUMPRODUCT(H$5:H$27,后果有效剂量!$I$5:$I$27)*后果有效剂量!$Q19+SUMPRODUCT(I$5:I$27,后果有效剂量!$I$5:$I$27)*后果有效剂量!$Q19+SUMPRODUCT(J$5:J$27,后果有效剂量!$I$5:$I$27)*后果有效剂量!$R19+SUMPRODUCT(K$5:K$27,后果有效剂量!$I$5:$I$27)*后果有效剂量!$S19+SUMPRODUCT(L$5:L$27,后果有效剂量!$I$5:$I$27)*后果有效剂量!$T19+SUMPRODUCT(M$5:M$27,后果有效剂量!$I$5:$I$27)*后果有效剂量!$U19+SUMPRODUCT(H$5:H$27,后果有效剂量!$J$5:$J$27)*后果有效剂量!$Q19*后果有效剂量!$Q$3+SUMPRODUCT(I$5:I$27,后果有效剂量!$J$5:$J$27)*后果有效剂量!$Q19*后果有效剂量!$Q$3+SUMPRODUCT(J$5:J$27,后果有效剂量!$J$5:$J$27)*后果有效剂量!$R19*后果有效剂量!$R$3+SUMPRODUCT(K$5:K$27,后果有效剂量!$J$5:$J$27)*后果有效剂量!$S19*后果有效剂量!$S$3+SUMPRODUCT(L$5:L$27,后果有效剂量!$J$5:$J$27)*后果有效剂量!$T19*后果有效剂量!$T$3+SUMPRODUCT(M$5:M$27,后果有效剂量!$J$5:$J$27)*后果有效剂量!$U19*后果有效剂量!$U$3+SUMPRODUCT(H$5:H$27,后果有效剂量!$K$5:$K$27)*后果有效剂量!$Q19+SUMPRODUCT(I$5:I$27,后果有效剂量!$K$5:$K$27)*后果有效剂量!$Q19+SUMPRODUCT(J$5:J$27,后果有效剂量!$K$5:$K$27)*后果有效剂量!$R19+SUMPRODUCT(K$5:K$27,后果有效剂量!$K$5:$K$27)*后果有效剂量!$S19+SUMPRODUCT(L$5:L$27,后果有效剂量!$K$5:$K$27)*后果有效剂量!$T19+SUMPRODUCT(M$5:M$27,后果有效剂量!$K$5:$K$27)*后果有效剂量!$U19</f>
        <v>2.74318028876192e-5</v>
      </c>
      <c r="I45" s="453">
        <f ca="1">SUMPRODUCT(H$5:H$27,后果甲状腺剂量!$I$5:$I$27)*后果甲状腺剂量!$Q19+SUMPRODUCT(I$5:I$27,后果甲状腺剂量!$I$5:$I$27)*后果甲状腺剂量!$Q19+SUMPRODUCT(J$5:J$27,后果甲状腺剂量!$I$5:$I$27)*后果甲状腺剂量!$R19+SUMPRODUCT(K$5:K$27,后果甲状腺剂量!$I$5:$I$27)*后果甲状腺剂量!$S19+SUMPRODUCT(L$5:L$27,后果甲状腺剂量!$I$5:$I$27)*后果甲状腺剂量!$T19+SUMPRODUCT(M$5:M$27,后果甲状腺剂量!$I$5:$I$27)*后果甲状腺剂量!$U19+SUMPRODUCT(H$5:H$27,后果甲状腺剂量!$J$5:$J$27)*后果甲状腺剂量!$Q19*后果甲状腺剂量!$Q$3+SUMPRODUCT(I$5:I$27,后果甲状腺剂量!$J$5:$J$27)*后果甲状腺剂量!$Q19*后果甲状腺剂量!$Q$3+SUMPRODUCT(J$5:J$27,后果甲状腺剂量!$J$5:$J$27)*后果甲状腺剂量!$R19*后果甲状腺剂量!$R$3+SUMPRODUCT(K$5:K$27,后果甲状腺剂量!$J$5:$J$27)*后果甲状腺剂量!$S19*后果甲状腺剂量!$S$3+SUMPRODUCT(L$5:L$27,后果甲状腺剂量!$J$5:$J$27)*后果甲状腺剂量!$T19*后果甲状腺剂量!$T$3+SUMPRODUCT(M$5:M$27,后果甲状腺剂量!$J$5:$J$27)*后果甲状腺剂量!$U19*后果甲状腺剂量!$U$3+SUMPRODUCT(H$5:H$27,后果甲状腺剂量!$K$5:$K$27)*后果甲状腺剂量!$Q19+SUMPRODUCT(I$5:I$27,后果甲状腺剂量!$K$5:$K$27)*后果甲状腺剂量!$Q19+SUMPRODUCT(J$5:J$27,后果甲状腺剂量!$K$5:$K$27)*后果甲状腺剂量!$R19+SUMPRODUCT(K$5:K$27,后果甲状腺剂量!$K$5:$K$27)*后果甲状腺剂量!$S19+SUMPRODUCT(L$5:L$27,后果甲状腺剂量!$K$5:$K$27)*后果甲状腺剂量!$T19+SUMPRODUCT(M$5:M$27,后果甲状腺剂量!$K$5:$K$27)*后果甲状腺剂量!$U19</f>
        <v>0.00028290205591422</v>
      </c>
      <c r="J45" s="454">
        <f ca="1" t="shared" si="253"/>
        <v>0.0274318028876192</v>
      </c>
      <c r="K45" s="454">
        <f ca="1" t="shared" si="254"/>
        <v>0.28290205591422</v>
      </c>
      <c r="L45" s="436"/>
      <c r="M45" s="436"/>
      <c r="N45" s="455"/>
      <c r="Q45" s="440" t="str">
        <f>后果有效剂量!$P19</f>
        <v>65000m</v>
      </c>
      <c r="R45" s="441">
        <f ca="1">SUMPRODUCT(R$5:R$27,后果有效剂量!$I$5:$I$27)*后果有效剂量!$Q19+SUMPRODUCT(S$5:S$27,后果有效剂量!$I$5:$I$27)*后果有效剂量!$Q19+SUMPRODUCT(T$5:T$27,后果有效剂量!$I$5:$I$27)*后果有效剂量!$R19+SUMPRODUCT(U$5:U$27,后果有效剂量!$I$5:$I$27)*后果有效剂量!$S19+SUMPRODUCT(V$5:V$27,后果有效剂量!$I$5:$I$27)*后果有效剂量!$T19+SUMPRODUCT(W$5:W$27,后果有效剂量!$I$5:$I$27)*后果有效剂量!$U19+SUMPRODUCT(R$5:R$27,后果有效剂量!$J$5:$J$27)*后果有效剂量!$Q19*后果有效剂量!$Q$3+SUMPRODUCT(S$5:S$27,后果有效剂量!$J$5:$J$27)*后果有效剂量!$Q19*后果有效剂量!$Q$3+SUMPRODUCT(T$5:T$27,后果有效剂量!$J$5:$J$27)*后果有效剂量!$R19*后果有效剂量!$R$3+SUMPRODUCT(U$5:U$27,后果有效剂量!$J$5:$J$27)*后果有效剂量!$S19*后果有效剂量!$S$3+SUMPRODUCT(V$5:V$27,后果有效剂量!$J$5:$J$27)*后果有效剂量!$T19*后果有效剂量!$T$3+SUMPRODUCT(W$5:W$27,后果有效剂量!$J$5:$J$27)*后果有效剂量!$U19*后果有效剂量!$U$3+SUMPRODUCT(R$5:R$27,后果有效剂量!$K$5:$K$27)*后果有效剂量!$Q19+SUMPRODUCT(S$5:S$27,后果有效剂量!$K$5:$K$27)*后果有效剂量!$Q19+SUMPRODUCT(T$5:T$27,后果有效剂量!$K$5:$K$27)*后果有效剂量!$R19+SUMPRODUCT(U$5:U$27,后果有效剂量!$K$5:$K$27)*后果有效剂量!$S19+SUMPRODUCT(V$5:V$27,后果有效剂量!$K$5:$K$27)*后果有效剂量!$T19+SUMPRODUCT(W$5:W$27,后果有效剂量!$K$5:$K$27)*后果有效剂量!$U19</f>
        <v>1.11665222183147e-6</v>
      </c>
      <c r="S45" s="453">
        <f ca="1">SUMPRODUCT(R$5:R$27,后果甲状腺剂量!$I$5:$I$27)*后果甲状腺剂量!$Q19+SUMPRODUCT(S$5:S$27,后果甲状腺剂量!$I$5:$I$27)*后果甲状腺剂量!$Q19+SUMPRODUCT(T$5:T$27,后果甲状腺剂量!$I$5:$I$27)*后果甲状腺剂量!$R19+SUMPRODUCT(U$5:U$27,后果甲状腺剂量!$I$5:$I$27)*后果甲状腺剂量!$S19+SUMPRODUCT(V$5:V$27,后果甲状腺剂量!$I$5:$I$27)*后果甲状腺剂量!$T19+SUMPRODUCT(W$5:W$27,后果甲状腺剂量!$I$5:$I$27)*后果甲状腺剂量!$U19+SUMPRODUCT(R$5:R$27,后果甲状腺剂量!$J$5:$J$27)*后果甲状腺剂量!$Q19*后果甲状腺剂量!$Q$3+SUMPRODUCT(S$5:S$27,后果甲状腺剂量!$J$5:$J$27)*后果甲状腺剂量!$Q19*后果甲状腺剂量!$Q$3+SUMPRODUCT(T$5:T$27,后果甲状腺剂量!$J$5:$J$27)*后果甲状腺剂量!$R19*后果甲状腺剂量!$R$3+SUMPRODUCT(U$5:U$27,后果甲状腺剂量!$J$5:$J$27)*后果甲状腺剂量!$S19*后果甲状腺剂量!$S$3+SUMPRODUCT(V$5:V$27,后果甲状腺剂量!$J$5:$J$27)*后果甲状腺剂量!$T19*后果甲状腺剂量!$T$3+SUMPRODUCT(W$5:W$27,后果甲状腺剂量!$J$5:$J$27)*后果甲状腺剂量!$U19*后果甲状腺剂量!$U$3+SUMPRODUCT(R$5:R$27,后果甲状腺剂量!$K$5:$K$27)*后果甲状腺剂量!$Q19+SUMPRODUCT(S$5:S$27,后果甲状腺剂量!$K$5:$K$27)*后果甲状腺剂量!$Q19+SUMPRODUCT(T$5:T$27,后果甲状腺剂量!$K$5:$K$27)*后果甲状腺剂量!$R19+SUMPRODUCT(U$5:U$27,后果甲状腺剂量!$K$5:$K$27)*后果甲状腺剂量!$S19+SUMPRODUCT(V$5:V$27,后果甲状腺剂量!$K$5:$K$27)*后果甲状腺剂量!$T19+SUMPRODUCT(W$5:W$27,后果甲状腺剂量!$K$5:$K$27)*后果甲状腺剂量!$U19</f>
        <v>1.40609862514275e-5</v>
      </c>
      <c r="T45" s="454">
        <f ca="1" t="shared" si="255"/>
        <v>0.00111665222183147</v>
      </c>
      <c r="U45" s="454">
        <f ca="1" t="shared" si="256"/>
        <v>0.0140609862514275</v>
      </c>
      <c r="V45" s="436"/>
      <c r="W45" s="436"/>
      <c r="AN45" s="533"/>
      <c r="AS45" s="572"/>
      <c r="BO45" s="600"/>
      <c r="CJ45" s="600"/>
      <c r="DZ45" s="600"/>
      <c r="EU45" s="603"/>
      <c r="FP45" s="603"/>
      <c r="FS45" s="441">
        <f>SUMPRODUCT(FS$5:FS$27,后果有效剂量!$I$5:$I$27)*后果有效剂量!$Q19+SUMPRODUCT(FT$5:FT$27,后果有效剂量!$I$5:$I$27)*后果有效剂量!$R19+SUMPRODUCT(FU$5:FU$27,后果有效剂量!$I$5:$I$27)*后果有效剂量!$S19+SUMPRODUCT(FV$5:FV$27,后果有效剂量!$I$5:$I$27)*后果有效剂量!$T19+SUMPRODUCT(FS$5:FS$27,后果有效剂量!$J$5:$J$27)*后果有效剂量!$Q19*后果有效剂量!$Q$3+SUMPRODUCT(FT$5:FT$27,后果有效剂量!$J$5:$J$27)*后果有效剂量!$R19*后果有效剂量!$R$3+SUMPRODUCT(FU$5:FU$27,后果有效剂量!$J$5:$J$27)*后果有效剂量!$S19*后果有效剂量!$S$3+SUMPRODUCT(FV$5:FV$27,后果有效剂量!$J$5:$J$27)*后果有效剂量!$T19*后果有效剂量!$T$3+SUMPRODUCT(FS$5:FS$27,后果有效剂量!$K$5:$K$27)*后果有效剂量!$Q19+SUMPRODUCT(FT$5:FT$27,后果有效剂量!$K$5:$K$27)*后果有效剂量!$R19+SUMPRODUCT(FU$5:FU$27,后果有效剂量!$K$5:$K$27)*后果有效剂量!$S19+SUMPRODUCT(FV$5:FV$27,后果有效剂量!$K$5:$K$27)*后果有效剂量!$T19</f>
        <v>7.54848529694084e-6</v>
      </c>
      <c r="FT45" s="453">
        <f>SUMPRODUCT(FS$5:FS$27,后果甲状腺剂量!$I$5:$I$27)*后果甲状腺剂量!$Q19+SUMPRODUCT(FT$5:FT$27,后果甲状腺剂量!$I$5:$I$27)*后果甲状腺剂量!$R19+SUMPRODUCT(FU$5:FU$27,后果甲状腺剂量!$I$5:$I$27)*后果甲状腺剂量!$S19+SUMPRODUCT(FV$5:FV$27,后果甲状腺剂量!$I$5:$I$27)*后果甲状腺剂量!$T19+SUMPRODUCT(FS$5:FS$27,后果甲状腺剂量!$J$5:$J$27)*后果甲状腺剂量!$Q19*后果甲状腺剂量!$Q$3+SUMPRODUCT(FT$5:FT$27,后果甲状腺剂量!$J$5:$J$27)*后果甲状腺剂量!$R19*后果甲状腺剂量!$R$3+SUMPRODUCT(FU$5:FU$27,后果甲状腺剂量!$J$5:$J$27)*后果甲状腺剂量!$S19*后果甲状腺剂量!$S$3+SUMPRODUCT(FV$5:FV$27,后果甲状腺剂量!$J$5:$J$27)*后果甲状腺剂量!$T19*后果甲状腺剂量!$T$3+SUMPRODUCT(FS$5:FS$27,后果甲状腺剂量!$K$5:$K$27)*后果甲状腺剂量!$Q19+SUMPRODUCT(FT$5:FT$27,后果甲状腺剂量!$K$5:$K$27)*后果甲状腺剂量!$R19+SUMPRODUCT(FU$5:FU$27,后果甲状腺剂量!$K$5:$K$27)*后果甲状腺剂量!$S19+SUMPRODUCT(FV$5:FV$27,后果甲状腺剂量!$K$5:$K$27)*后果甲状腺剂量!$T19</f>
        <v>5.48446351036151e-5</v>
      </c>
      <c r="FU45" s="454">
        <f t="shared" si="257"/>
        <v>0.00754848529694084</v>
      </c>
      <c r="FV45" s="454">
        <f t="shared" si="258"/>
        <v>0.0548446351036151</v>
      </c>
      <c r="FW45" s="436"/>
      <c r="FX45" s="436"/>
      <c r="GD45" s="440" t="str">
        <f>后果有效剂量!$P19</f>
        <v>65000m</v>
      </c>
      <c r="GE45" s="441">
        <f>SUMPRODUCT(GE$5:GE$27,后果有效剂量!$I$5:$I$27)*后果有效剂量!$Q19+SUMPRODUCT(GF$5:GF$27,后果有效剂量!$I$5:$I$27)*后果有效剂量!$R19+SUMPRODUCT(GG$5:GG$27,后果有效剂量!$I$5:$I$27)*后果有效剂量!$S19+(SUMPRODUCT(GH$5:GH$27,后果有效剂量!$I$5:$I$27)+SUMPRODUCT(GI$5:GI$27,后果有效剂量!$I$5:$I$27))*后果有效剂量!$T19+SUMPRODUCT(GJ$5:GJ$27,后果有效剂量!$I$5:$I$27)*后果有效剂量!$U19+SUMPRODUCT(GE$5:GE$27,后果有效剂量!$J$5:$J$27)*后果有效剂量!$Q19*后果有效剂量!$Q$3+SUMPRODUCT(GF$5:GF$27,后果有效剂量!$J$5:$J$27)*后果有效剂量!$R19*后果有效剂量!$R$3+SUMPRODUCT(GG$5:GG$27,后果有效剂量!$J$5:$J$27)*后果有效剂量!$S19*后果有效剂量!$S$3+(SUMPRODUCT(GH$5:GH$27,后果有效剂量!$J$5:$J$27)+SUMPRODUCT(GI$5:GI$27,后果有效剂量!$J$5:$J$27))*后果有效剂量!$T19*后果有效剂量!$T$3+SUMPRODUCT(GJ$5:GJ$27,后果有效剂量!$J$5:$J$27)*后果有效剂量!$U19*后果有效剂量!$U$3+SUMPRODUCT(GE$5:GE$27,后果有效剂量!$K$5:$K$27)*后果有效剂量!$Q19+SUMPRODUCT(GF$5:GF$27,后果有效剂量!$K$5:$K$27)*后果有效剂量!$R19+SUMPRODUCT(GG$5:GG$27,后果有效剂量!$K$5:$K$27)*后果有效剂量!$S19+(SUMPRODUCT(GH$5:GH$27,后果有效剂量!$K$5:$K$27)+SUMPRODUCT(GI$5:GI$27,后果有效剂量!$K$5:$K$27))*后果有效剂量!$T19+SUMPRODUCT(GJ$5:GJ$27,后果有效剂量!$K$5:$K$27)*后果有效剂量!$U19</f>
        <v>1.58742003517474e-6</v>
      </c>
      <c r="GF45" s="453">
        <f>SUMPRODUCT(GE$5:GE$27,后果甲状腺剂量!$I$5:$I$27)*后果甲状腺剂量!$Q19+SUMPRODUCT(GF$5:GF$27,后果甲状腺剂量!$I$5:$I$27)*后果甲状腺剂量!$R19+SUMPRODUCT(GG$5:GG$27,后果甲状腺剂量!$I$5:$I$27)*后果甲状腺剂量!$S19+(SUMPRODUCT(GH$5:GH$27,后果甲状腺剂量!$I$5:$I$27)+SUMPRODUCT(GI$5:GI$27,后果甲状腺剂量!$I$5:$I$27))*后果甲状腺剂量!$T19+SUMPRODUCT(GJ$5:GJ$27,后果甲状腺剂量!$I$5:$I$27)*后果甲状腺剂量!$U19+SUMPRODUCT(GE$5:GE$27,后果甲状腺剂量!$J$5:$J$27)*后果甲状腺剂量!$Q19*后果甲状腺剂量!$Q$3+SUMPRODUCT(GF$5:GF$27,后果甲状腺剂量!$J$5:$J$27)*后果甲状腺剂量!$R19*后果甲状腺剂量!$R$3+SUMPRODUCT(GG$5:GG$27,后果甲状腺剂量!$J$5:$J$27)*后果甲状腺剂量!$S19*后果甲状腺剂量!$S$3+(SUMPRODUCT(GH$5:GH$27,后果甲状腺剂量!$J$5:$J$27)+SUMPRODUCT(GI$5:GI$27,后果甲状腺剂量!$J$5:$J$27))*后果甲状腺剂量!$T19*后果甲状腺剂量!$T$3+SUMPRODUCT(GJ$5:GJ$27,后果甲状腺剂量!$J$5:$J$27)*后果甲状腺剂量!$U19*后果甲状腺剂量!$U$3+SUMPRODUCT(GE$5:GE$27,后果甲状腺剂量!$K$5:$K$27)*后果甲状腺剂量!$Q19+SUMPRODUCT(GF$5:GF$27,后果甲状腺剂量!$K$5:$K$27)*后果甲状腺剂量!$R19+SUMPRODUCT(GG$5:GG$27,后果甲状腺剂量!$K$5:$K$27)*后果甲状腺剂量!$S19+(SUMPRODUCT(GH$5:GH$27,后果甲状腺剂量!$K$5:$K$27)+SUMPRODUCT(GI$5:GI$27,后果甲状腺剂量!$K$5:$K$27))*后果甲状腺剂量!$T19+SUMPRODUCT(GJ$5:GJ$27,后果甲状腺剂量!$K$5:$K$27)*后果甲状腺剂量!$U19</f>
        <v>8.19467203079159e-6</v>
      </c>
      <c r="GG45" s="454">
        <f t="shared" si="259"/>
        <v>0.00158742003517474</v>
      </c>
      <c r="GH45" s="454">
        <f t="shared" si="260"/>
        <v>0.00819467203079159</v>
      </c>
      <c r="GI45" s="436"/>
      <c r="GJ45" s="436"/>
    </row>
    <row r="46" spans="7:192">
      <c r="G46" s="440" t="str">
        <f>后果有效剂量!$P20</f>
        <v>75000m</v>
      </c>
      <c r="H46" s="441">
        <f ca="1">SUMPRODUCT(H$5:H$27,后果有效剂量!$I$5:$I$27)*后果有效剂量!$Q20+SUMPRODUCT(I$5:I$27,后果有效剂量!$I$5:$I$27)*后果有效剂量!$Q20+SUMPRODUCT(J$5:J$27,后果有效剂量!$I$5:$I$27)*后果有效剂量!$R20+SUMPRODUCT(K$5:K$27,后果有效剂量!$I$5:$I$27)*后果有效剂量!$S20+SUMPRODUCT(L$5:L$27,后果有效剂量!$I$5:$I$27)*后果有效剂量!$T20+SUMPRODUCT(M$5:M$27,后果有效剂量!$I$5:$I$27)*后果有效剂量!$U20+SUMPRODUCT(H$5:H$27,后果有效剂量!$J$5:$J$27)*后果有效剂量!$Q20*后果有效剂量!$Q$3+SUMPRODUCT(I$5:I$27,后果有效剂量!$J$5:$J$27)*后果有效剂量!$Q20*后果有效剂量!$Q$3+SUMPRODUCT(J$5:J$27,后果有效剂量!$J$5:$J$27)*后果有效剂量!$R20*后果有效剂量!$R$3+SUMPRODUCT(K$5:K$27,后果有效剂量!$J$5:$J$27)*后果有效剂量!$S20*后果有效剂量!$S$3+SUMPRODUCT(L$5:L$27,后果有效剂量!$J$5:$J$27)*后果有效剂量!$T20*后果有效剂量!$T$3+SUMPRODUCT(M$5:M$27,后果有效剂量!$J$5:$J$27)*后果有效剂量!$U20*后果有效剂量!$U$3+SUMPRODUCT(H$5:H$27,后果有效剂量!$K$5:$K$27)*后果有效剂量!$Q20+SUMPRODUCT(I$5:I$27,后果有效剂量!$K$5:$K$27)*后果有效剂量!$Q20+SUMPRODUCT(J$5:J$27,后果有效剂量!$K$5:$K$27)*后果有效剂量!$R20+SUMPRODUCT(K$5:K$27,后果有效剂量!$K$5:$K$27)*后果有效剂量!$S20+SUMPRODUCT(L$5:L$27,后果有效剂量!$K$5:$K$27)*后果有效剂量!$T20+SUMPRODUCT(M$5:M$27,后果有效剂量!$K$5:$K$27)*后果有效剂量!$U20</f>
        <v>2.51136223619049e-5</v>
      </c>
      <c r="I46" s="453">
        <f ca="1">SUMPRODUCT(H$5:H$27,后果甲状腺剂量!$I$5:$I$27)*后果甲状腺剂量!$Q20+SUMPRODUCT(I$5:I$27,后果甲状腺剂量!$I$5:$I$27)*后果甲状腺剂量!$Q20+SUMPRODUCT(J$5:J$27,后果甲状腺剂量!$I$5:$I$27)*后果甲状腺剂量!$R20+SUMPRODUCT(K$5:K$27,后果甲状腺剂量!$I$5:$I$27)*后果甲状腺剂量!$S20+SUMPRODUCT(L$5:L$27,后果甲状腺剂量!$I$5:$I$27)*后果甲状腺剂量!$T20+SUMPRODUCT(M$5:M$27,后果甲状腺剂量!$I$5:$I$27)*后果甲状腺剂量!$U20+SUMPRODUCT(H$5:H$27,后果甲状腺剂量!$J$5:$J$27)*后果甲状腺剂量!$Q20*后果甲状腺剂量!$Q$3+SUMPRODUCT(I$5:I$27,后果甲状腺剂量!$J$5:$J$27)*后果甲状腺剂量!$Q20*后果甲状腺剂量!$Q$3+SUMPRODUCT(J$5:J$27,后果甲状腺剂量!$J$5:$J$27)*后果甲状腺剂量!$R20*后果甲状腺剂量!$R$3+SUMPRODUCT(K$5:K$27,后果甲状腺剂量!$J$5:$J$27)*后果甲状腺剂量!$S20*后果甲状腺剂量!$S$3+SUMPRODUCT(L$5:L$27,后果甲状腺剂量!$J$5:$J$27)*后果甲状腺剂量!$T20*后果甲状腺剂量!$T$3+SUMPRODUCT(M$5:M$27,后果甲状腺剂量!$J$5:$J$27)*后果甲状腺剂量!$U20*后果甲状腺剂量!$U$3+SUMPRODUCT(H$5:H$27,后果甲状腺剂量!$K$5:$K$27)*后果甲状腺剂量!$Q20+SUMPRODUCT(I$5:I$27,后果甲状腺剂量!$K$5:$K$27)*后果甲状腺剂量!$Q20+SUMPRODUCT(J$5:J$27,后果甲状腺剂量!$K$5:$K$27)*后果甲状腺剂量!$R20+SUMPRODUCT(K$5:K$27,后果甲状腺剂量!$K$5:$K$27)*后果甲状腺剂量!$S20+SUMPRODUCT(L$5:L$27,后果甲状腺剂量!$K$5:$K$27)*后果甲状腺剂量!$T20+SUMPRODUCT(M$5:M$27,后果甲状腺剂量!$K$5:$K$27)*后果甲状腺剂量!$U20</f>
        <v>0.000258994839921469</v>
      </c>
      <c r="J46" s="454">
        <f ca="1" t="shared" si="253"/>
        <v>0.0251136223619049</v>
      </c>
      <c r="K46" s="454">
        <f ca="1" t="shared" si="254"/>
        <v>0.258994839921469</v>
      </c>
      <c r="L46" s="436"/>
      <c r="M46" s="436"/>
      <c r="N46" s="455"/>
      <c r="Q46" s="440" t="str">
        <f>后果有效剂量!$P20</f>
        <v>75000m</v>
      </c>
      <c r="R46" s="441">
        <f ca="1">SUMPRODUCT(R$5:R$27,后果有效剂量!$I$5:$I$27)*后果有效剂量!$Q20+SUMPRODUCT(S$5:S$27,后果有效剂量!$I$5:$I$27)*后果有效剂量!$Q20+SUMPRODUCT(T$5:T$27,后果有效剂量!$I$5:$I$27)*后果有效剂量!$R20+SUMPRODUCT(U$5:U$27,后果有效剂量!$I$5:$I$27)*后果有效剂量!$S20+SUMPRODUCT(V$5:V$27,后果有效剂量!$I$5:$I$27)*后果有效剂量!$T20+SUMPRODUCT(W$5:W$27,后果有效剂量!$I$5:$I$27)*后果有效剂量!$U20+SUMPRODUCT(R$5:R$27,后果有效剂量!$J$5:$J$27)*后果有效剂量!$Q20*后果有效剂量!$Q$3+SUMPRODUCT(S$5:S$27,后果有效剂量!$J$5:$J$27)*后果有效剂量!$Q20*后果有效剂量!$Q$3+SUMPRODUCT(T$5:T$27,后果有效剂量!$J$5:$J$27)*后果有效剂量!$R20*后果有效剂量!$R$3+SUMPRODUCT(U$5:U$27,后果有效剂量!$J$5:$J$27)*后果有效剂量!$S20*后果有效剂量!$S$3+SUMPRODUCT(V$5:V$27,后果有效剂量!$J$5:$J$27)*后果有效剂量!$T20*后果有效剂量!$T$3+SUMPRODUCT(W$5:W$27,后果有效剂量!$J$5:$J$27)*后果有效剂量!$U20*后果有效剂量!$U$3+SUMPRODUCT(R$5:R$27,后果有效剂量!$K$5:$K$27)*后果有效剂量!$Q20+SUMPRODUCT(S$5:S$27,后果有效剂量!$K$5:$K$27)*后果有效剂量!$Q20+SUMPRODUCT(T$5:T$27,后果有效剂量!$K$5:$K$27)*后果有效剂量!$R20+SUMPRODUCT(U$5:U$27,后果有效剂量!$K$5:$K$27)*后果有效剂量!$S20+SUMPRODUCT(V$5:V$27,后果有效剂量!$K$5:$K$27)*后果有效剂量!$T20+SUMPRODUCT(W$5:W$27,后果有效剂量!$K$5:$K$27)*后果有效剂量!$U20</f>
        <v>1.02228724533867e-6</v>
      </c>
      <c r="S46" s="453">
        <f ca="1">SUMPRODUCT(R$5:R$27,后果甲状腺剂量!$I$5:$I$27)*后果甲状腺剂量!$Q20+SUMPRODUCT(S$5:S$27,后果甲状腺剂量!$I$5:$I$27)*后果甲状腺剂量!$Q20+SUMPRODUCT(T$5:T$27,后果甲状腺剂量!$I$5:$I$27)*后果甲状腺剂量!$R20+SUMPRODUCT(U$5:U$27,后果甲状腺剂量!$I$5:$I$27)*后果甲状腺剂量!$S20+SUMPRODUCT(V$5:V$27,后果甲状腺剂量!$I$5:$I$27)*后果甲状腺剂量!$T20+SUMPRODUCT(W$5:W$27,后果甲状腺剂量!$I$5:$I$27)*后果甲状腺剂量!$U20+SUMPRODUCT(R$5:R$27,后果甲状腺剂量!$J$5:$J$27)*后果甲状腺剂量!$Q20*后果甲状腺剂量!$Q$3+SUMPRODUCT(S$5:S$27,后果甲状腺剂量!$J$5:$J$27)*后果甲状腺剂量!$Q20*后果甲状腺剂量!$Q$3+SUMPRODUCT(T$5:T$27,后果甲状腺剂量!$J$5:$J$27)*后果甲状腺剂量!$R20*后果甲状腺剂量!$R$3+SUMPRODUCT(U$5:U$27,后果甲状腺剂量!$J$5:$J$27)*后果甲状腺剂量!$S20*后果甲状腺剂量!$S$3+SUMPRODUCT(V$5:V$27,后果甲状腺剂量!$J$5:$J$27)*后果甲状腺剂量!$T20*后果甲状腺剂量!$T$3+SUMPRODUCT(W$5:W$27,后果甲状腺剂量!$J$5:$J$27)*后果甲状腺剂量!$U20*后果甲状腺剂量!$U$3+SUMPRODUCT(R$5:R$27,后果甲状腺剂量!$K$5:$K$27)*后果甲状腺剂量!$Q20+SUMPRODUCT(S$5:S$27,后果甲状腺剂量!$K$5:$K$27)*后果甲状腺剂量!$Q20+SUMPRODUCT(T$5:T$27,后果甲状腺剂量!$K$5:$K$27)*后果甲状腺剂量!$R20+SUMPRODUCT(U$5:U$27,后果甲状腺剂量!$K$5:$K$27)*后果甲状腺剂量!$S20+SUMPRODUCT(V$5:V$27,后果甲状腺剂量!$K$5:$K$27)*后果甲状腺剂量!$T20+SUMPRODUCT(W$5:W$27,后果甲状腺剂量!$K$5:$K$27)*后果甲状腺剂量!$U20</f>
        <v>1.2872733892152e-5</v>
      </c>
      <c r="T46" s="454">
        <f ca="1" t="shared" si="255"/>
        <v>0.00102228724533867</v>
      </c>
      <c r="U46" s="454">
        <f ca="1" t="shared" si="256"/>
        <v>0.012872733892152</v>
      </c>
      <c r="V46" s="436"/>
      <c r="W46" s="436"/>
      <c r="AN46" s="533"/>
      <c r="AS46" s="572"/>
      <c r="BO46" s="600"/>
      <c r="CJ46" s="600"/>
      <c r="DZ46" s="600"/>
      <c r="EU46" s="603"/>
      <c r="FP46" s="603"/>
      <c r="FS46" s="441">
        <f>SUMPRODUCT(FS$5:FS$27,后果有效剂量!$I$5:$I$27)*后果有效剂量!$Q20+SUMPRODUCT(FT$5:FT$27,后果有效剂量!$I$5:$I$27)*后果有效剂量!$R20+SUMPRODUCT(FU$5:FU$27,后果有效剂量!$I$5:$I$27)*后果有效剂量!$S20+SUMPRODUCT(FV$5:FV$27,后果有效剂量!$I$5:$I$27)*后果有效剂量!$T20+SUMPRODUCT(FS$5:FS$27,后果有效剂量!$J$5:$J$27)*后果有效剂量!$Q20*后果有效剂量!$Q$3+SUMPRODUCT(FT$5:FT$27,后果有效剂量!$J$5:$J$27)*后果有效剂量!$R20*后果有效剂量!$R$3+SUMPRODUCT(FU$5:FU$27,后果有效剂量!$J$5:$J$27)*后果有效剂量!$S20*后果有效剂量!$S$3+SUMPRODUCT(FV$5:FV$27,后果有效剂量!$J$5:$J$27)*后果有效剂量!$T20*后果有效剂量!$T$3+SUMPRODUCT(FS$5:FS$27,后果有效剂量!$K$5:$K$27)*后果有效剂量!$Q20+SUMPRODUCT(FT$5:FT$27,后果有效剂量!$K$5:$K$27)*后果有效剂量!$R20+SUMPRODUCT(FU$5:FU$27,后果有效剂量!$K$5:$K$27)*后果有效剂量!$S20+SUMPRODUCT(FV$5:FV$27,后果有效剂量!$K$5:$K$27)*后果有效剂量!$T20</f>
        <v>6.80535169215879e-6</v>
      </c>
      <c r="FT46" s="453">
        <f>SUMPRODUCT(FS$5:FS$27,后果甲状腺剂量!$I$5:$I$27)*后果甲状腺剂量!$Q20+SUMPRODUCT(FT$5:FT$27,后果甲状腺剂量!$I$5:$I$27)*后果甲状腺剂量!$R20+SUMPRODUCT(FU$5:FU$27,后果甲状腺剂量!$I$5:$I$27)*后果甲状腺剂量!$S20+SUMPRODUCT(FV$5:FV$27,后果甲状腺剂量!$I$5:$I$27)*后果甲状腺剂量!$T20+SUMPRODUCT(FS$5:FS$27,后果甲状腺剂量!$J$5:$J$27)*后果甲状腺剂量!$Q20*后果甲状腺剂量!$Q$3+SUMPRODUCT(FT$5:FT$27,后果甲状腺剂量!$J$5:$J$27)*后果甲状腺剂量!$R20*后果甲状腺剂量!$R$3+SUMPRODUCT(FU$5:FU$27,后果甲状腺剂量!$J$5:$J$27)*后果甲状腺剂量!$S20*后果甲状腺剂量!$S$3+SUMPRODUCT(FV$5:FV$27,后果甲状腺剂量!$J$5:$J$27)*后果甲状腺剂量!$T20*后果甲状腺剂量!$T$3+SUMPRODUCT(FS$5:FS$27,后果甲状腺剂量!$K$5:$K$27)*后果甲状腺剂量!$Q20+SUMPRODUCT(FT$5:FT$27,后果甲状腺剂量!$K$5:$K$27)*后果甲状腺剂量!$R20+SUMPRODUCT(FU$5:FU$27,后果甲状腺剂量!$K$5:$K$27)*后果甲状腺剂量!$S20+SUMPRODUCT(FV$5:FV$27,后果甲状腺剂量!$K$5:$K$27)*后果甲状腺剂量!$T20</f>
        <v>4.92490927057719e-5</v>
      </c>
      <c r="FU46" s="454">
        <f t="shared" si="257"/>
        <v>0.00680535169215879</v>
      </c>
      <c r="FV46" s="454">
        <f t="shared" si="258"/>
        <v>0.0492490927057719</v>
      </c>
      <c r="FW46" s="436"/>
      <c r="FX46" s="436"/>
      <c r="GD46" s="440" t="str">
        <f>后果有效剂量!$P20</f>
        <v>75000m</v>
      </c>
      <c r="GE46" s="441">
        <f>SUMPRODUCT(GE$5:GE$27,后果有效剂量!$I$5:$I$27)*后果有效剂量!$Q20+SUMPRODUCT(GF$5:GF$27,后果有效剂量!$I$5:$I$27)*后果有效剂量!$R20+SUMPRODUCT(GG$5:GG$27,后果有效剂量!$I$5:$I$27)*后果有效剂量!$S20+(SUMPRODUCT(GH$5:GH$27,后果有效剂量!$I$5:$I$27)+SUMPRODUCT(GI$5:GI$27,后果有效剂量!$I$5:$I$27))*后果有效剂量!$T20+SUMPRODUCT(GJ$5:GJ$27,后果有效剂量!$I$5:$I$27)*后果有效剂量!$U20+SUMPRODUCT(GE$5:GE$27,后果有效剂量!$J$5:$J$27)*后果有效剂量!$Q20*后果有效剂量!$Q$3+SUMPRODUCT(GF$5:GF$27,后果有效剂量!$J$5:$J$27)*后果有效剂量!$R20*后果有效剂量!$R$3+SUMPRODUCT(GG$5:GG$27,后果有效剂量!$J$5:$J$27)*后果有效剂量!$S20*后果有效剂量!$S$3+(SUMPRODUCT(GH$5:GH$27,后果有效剂量!$J$5:$J$27)+SUMPRODUCT(GI$5:GI$27,后果有效剂量!$J$5:$J$27))*后果有效剂量!$T20*后果有效剂量!$T$3+SUMPRODUCT(GJ$5:GJ$27,后果有效剂量!$J$5:$J$27)*后果有效剂量!$U20*后果有效剂量!$U$3+SUMPRODUCT(GE$5:GE$27,后果有效剂量!$K$5:$K$27)*后果有效剂量!$Q20+SUMPRODUCT(GF$5:GF$27,后果有效剂量!$K$5:$K$27)*后果有效剂量!$R20+SUMPRODUCT(GG$5:GG$27,后果有效剂量!$K$5:$K$27)*后果有效剂量!$S20+(SUMPRODUCT(GH$5:GH$27,后果有效剂量!$K$5:$K$27)+SUMPRODUCT(GI$5:GI$27,后果有效剂量!$K$5:$K$27))*后果有效剂量!$T20+SUMPRODUCT(GJ$5:GJ$27,后果有效剂量!$K$5:$K$27)*后果有效剂量!$U20</f>
        <v>1.41335291296165e-6</v>
      </c>
      <c r="GF46" s="453">
        <f>SUMPRODUCT(GE$5:GE$27,后果甲状腺剂量!$I$5:$I$27)*后果甲状腺剂量!$Q20+SUMPRODUCT(GF$5:GF$27,后果甲状腺剂量!$I$5:$I$27)*后果甲状腺剂量!$R20+SUMPRODUCT(GG$5:GG$27,后果甲状腺剂量!$I$5:$I$27)*后果甲状腺剂量!$S20+(SUMPRODUCT(GH$5:GH$27,后果甲状腺剂量!$I$5:$I$27)+SUMPRODUCT(GI$5:GI$27,后果甲状腺剂量!$I$5:$I$27))*后果甲状腺剂量!$T20+SUMPRODUCT(GJ$5:GJ$27,后果甲状腺剂量!$I$5:$I$27)*后果甲状腺剂量!$U20+SUMPRODUCT(GE$5:GE$27,后果甲状腺剂量!$J$5:$J$27)*后果甲状腺剂量!$Q20*后果甲状腺剂量!$Q$3+SUMPRODUCT(GF$5:GF$27,后果甲状腺剂量!$J$5:$J$27)*后果甲状腺剂量!$R20*后果甲状腺剂量!$R$3+SUMPRODUCT(GG$5:GG$27,后果甲状腺剂量!$J$5:$J$27)*后果甲状腺剂量!$S20*后果甲状腺剂量!$S$3+(SUMPRODUCT(GH$5:GH$27,后果甲状腺剂量!$J$5:$J$27)+SUMPRODUCT(GI$5:GI$27,后果甲状腺剂量!$J$5:$J$27))*后果甲状腺剂量!$T20*后果甲状腺剂量!$T$3+SUMPRODUCT(GJ$5:GJ$27,后果甲状腺剂量!$J$5:$J$27)*后果甲状腺剂量!$U20*后果甲状腺剂量!$U$3+SUMPRODUCT(GE$5:GE$27,后果甲状腺剂量!$K$5:$K$27)*后果甲状腺剂量!$Q20+SUMPRODUCT(GF$5:GF$27,后果甲状腺剂量!$K$5:$K$27)*后果甲状腺剂量!$R20+SUMPRODUCT(GG$5:GG$27,后果甲状腺剂量!$K$5:$K$27)*后果甲状腺剂量!$S20+(SUMPRODUCT(GH$5:GH$27,后果甲状腺剂量!$K$5:$K$27)+SUMPRODUCT(GI$5:GI$27,后果甲状腺剂量!$K$5:$K$27))*后果甲状腺剂量!$T20+SUMPRODUCT(GJ$5:GJ$27,后果甲状腺剂量!$K$5:$K$27)*后果甲状腺剂量!$U20</f>
        <v>7.16623588196207e-6</v>
      </c>
      <c r="GG46" s="454">
        <f t="shared" si="259"/>
        <v>0.00141335291296165</v>
      </c>
      <c r="GH46" s="454">
        <f t="shared" si="260"/>
        <v>0.00716623588196207</v>
      </c>
      <c r="GI46" s="436"/>
      <c r="GJ46" s="436"/>
    </row>
    <row r="47" spans="7:192">
      <c r="G47" s="440">
        <f>后果有效剂量!$P21</f>
        <v>0</v>
      </c>
      <c r="H47" s="441">
        <f ca="1">SUMPRODUCT(H$5:H$27,后果有效剂量!$I$5:$I$27)*后果有效剂量!$Q21+SUMPRODUCT(I$5:I$27,后果有效剂量!$I$5:$I$27)*后果有效剂量!$Q21+SUMPRODUCT(J$5:J$27,后果有效剂量!$I$5:$I$27)*后果有效剂量!$R21+SUMPRODUCT(K$5:K$27,后果有效剂量!$I$5:$I$27)*后果有效剂量!$S21+SUMPRODUCT(L$5:L$27,后果有效剂量!$I$5:$I$27)*后果有效剂量!$T21+SUMPRODUCT(M$5:M$27,后果有效剂量!$I$5:$I$27)*后果有效剂量!$U21+SUMPRODUCT(H$5:H$27,后果有效剂量!$J$5:$J$27)*后果有效剂量!$Q21*后果有效剂量!$Q$3+SUMPRODUCT(I$5:I$27,后果有效剂量!$J$5:$J$27)*后果有效剂量!$Q21*后果有效剂量!$Q$3+SUMPRODUCT(J$5:J$27,后果有效剂量!$J$5:$J$27)*后果有效剂量!$R21*后果有效剂量!$R$3+SUMPRODUCT(K$5:K$27,后果有效剂量!$J$5:$J$27)*后果有效剂量!$S21*后果有效剂量!$S$3+SUMPRODUCT(L$5:L$27,后果有效剂量!$J$5:$J$27)*后果有效剂量!$T21*后果有效剂量!$T$3+SUMPRODUCT(M$5:M$27,后果有效剂量!$J$5:$J$27)*后果有效剂量!$U21*后果有效剂量!$U$3+SUMPRODUCT(H$5:H$27,后果有效剂量!$K$5:$K$27)*后果有效剂量!$Q21+SUMPRODUCT(I$5:I$27,后果有效剂量!$K$5:$K$27)*后果有效剂量!$Q21+SUMPRODUCT(J$5:J$27,后果有效剂量!$K$5:$K$27)*后果有效剂量!$R21+SUMPRODUCT(K$5:K$27,后果有效剂量!$K$5:$K$27)*后果有效剂量!$S21+SUMPRODUCT(L$5:L$27,后果有效剂量!$K$5:$K$27)*后果有效剂量!$T21+SUMPRODUCT(M$5:M$27,后果有效剂量!$K$5:$K$27)*后果有效剂量!$U21</f>
        <v>0</v>
      </c>
      <c r="I47" s="453">
        <f ca="1">SUMPRODUCT(H$5:H$27,后果甲状腺剂量!$I$5:$I$27)*后果甲状腺剂量!$Q21+SUMPRODUCT(I$5:I$27,后果甲状腺剂量!$I$5:$I$27)*后果甲状腺剂量!$Q21+SUMPRODUCT(J$5:J$27,后果甲状腺剂量!$I$5:$I$27)*后果甲状腺剂量!$R21+SUMPRODUCT(K$5:K$27,后果甲状腺剂量!$I$5:$I$27)*后果甲状腺剂量!$S21+SUMPRODUCT(L$5:L$27,后果甲状腺剂量!$I$5:$I$27)*后果甲状腺剂量!$T21+SUMPRODUCT(M$5:M$27,后果甲状腺剂量!$I$5:$I$27)*后果甲状腺剂量!$U21+SUMPRODUCT(H$5:H$27,后果甲状腺剂量!$J$5:$J$27)*后果甲状腺剂量!$Q21*后果甲状腺剂量!$Q$3+SUMPRODUCT(I$5:I$27,后果甲状腺剂量!$J$5:$J$27)*后果甲状腺剂量!$Q21*后果甲状腺剂量!$Q$3+SUMPRODUCT(J$5:J$27,后果甲状腺剂量!$J$5:$J$27)*后果甲状腺剂量!$R21*后果甲状腺剂量!$R$3+SUMPRODUCT(K$5:K$27,后果甲状腺剂量!$J$5:$J$27)*后果甲状腺剂量!$S21*后果甲状腺剂量!$S$3+SUMPRODUCT(L$5:L$27,后果甲状腺剂量!$J$5:$J$27)*后果甲状腺剂量!$T21*后果甲状腺剂量!$T$3+SUMPRODUCT(M$5:M$27,后果甲状腺剂量!$J$5:$J$27)*后果甲状腺剂量!$U21*后果甲状腺剂量!$U$3+SUMPRODUCT(H$5:H$27,后果甲状腺剂量!$K$5:$K$27)*后果甲状腺剂量!$Q21+SUMPRODUCT(I$5:I$27,后果甲状腺剂量!$K$5:$K$27)*后果甲状腺剂量!$Q21+SUMPRODUCT(J$5:J$27,后果甲状腺剂量!$K$5:$K$27)*后果甲状腺剂量!$R21+SUMPRODUCT(K$5:K$27,后果甲状腺剂量!$K$5:$K$27)*后果甲状腺剂量!$S21+SUMPRODUCT(L$5:L$27,后果甲状腺剂量!$K$5:$K$27)*后果甲状腺剂量!$T21+SUMPRODUCT(M$5:M$27,后果甲状腺剂量!$K$5:$K$27)*后果甲状腺剂量!$U21</f>
        <v>0</v>
      </c>
      <c r="J47" s="454">
        <f ca="1" t="shared" si="253"/>
        <v>0</v>
      </c>
      <c r="K47" s="454">
        <f ca="1" t="shared" si="254"/>
        <v>0</v>
      </c>
      <c r="L47" s="436"/>
      <c r="M47" s="436"/>
      <c r="N47" s="455"/>
      <c r="Q47" s="440">
        <f>后果有效剂量!$P21</f>
        <v>0</v>
      </c>
      <c r="R47" s="441">
        <f ca="1">SUMPRODUCT(R$5:R$27,后果有效剂量!$I$5:$I$27)*后果有效剂量!$Q21+SUMPRODUCT(S$5:S$27,后果有效剂量!$I$5:$I$27)*后果有效剂量!$Q21+SUMPRODUCT(T$5:T$27,后果有效剂量!$I$5:$I$27)*后果有效剂量!$R21+SUMPRODUCT(U$5:U$27,后果有效剂量!$I$5:$I$27)*后果有效剂量!$S21+SUMPRODUCT(V$5:V$27,后果有效剂量!$I$5:$I$27)*后果有效剂量!$T21+SUMPRODUCT(W$5:W$27,后果有效剂量!$I$5:$I$27)*后果有效剂量!$U21+SUMPRODUCT(R$5:R$27,后果有效剂量!$J$5:$J$27)*后果有效剂量!$Q21*后果有效剂量!$Q$3+SUMPRODUCT(S$5:S$27,后果有效剂量!$J$5:$J$27)*后果有效剂量!$Q21*后果有效剂量!$Q$3+SUMPRODUCT(T$5:T$27,后果有效剂量!$J$5:$J$27)*后果有效剂量!$R21*后果有效剂量!$R$3+SUMPRODUCT(U$5:U$27,后果有效剂量!$J$5:$J$27)*后果有效剂量!$S21*后果有效剂量!$S$3+SUMPRODUCT(V$5:V$27,后果有效剂量!$J$5:$J$27)*后果有效剂量!$T21*后果有效剂量!$T$3+SUMPRODUCT(W$5:W$27,后果有效剂量!$J$5:$J$27)*后果有效剂量!$U21*后果有效剂量!$U$3+SUMPRODUCT(R$5:R$27,后果有效剂量!$K$5:$K$27)*后果有效剂量!$Q21+SUMPRODUCT(S$5:S$27,后果有效剂量!$K$5:$K$27)*后果有效剂量!$Q21+SUMPRODUCT(T$5:T$27,后果有效剂量!$K$5:$K$27)*后果有效剂量!$R21+SUMPRODUCT(U$5:U$27,后果有效剂量!$K$5:$K$27)*后果有效剂量!$S21+SUMPRODUCT(V$5:V$27,后果有效剂量!$K$5:$K$27)*后果有效剂量!$T21+SUMPRODUCT(W$5:W$27,后果有效剂量!$K$5:$K$27)*后果有效剂量!$U21</f>
        <v>0</v>
      </c>
      <c r="S47" s="453">
        <f ca="1">SUMPRODUCT(R$5:R$27,后果甲状腺剂量!$I$5:$I$27)*后果甲状腺剂量!$Q21+SUMPRODUCT(S$5:S$27,后果甲状腺剂量!$I$5:$I$27)*后果甲状腺剂量!$Q21+SUMPRODUCT(T$5:T$27,后果甲状腺剂量!$I$5:$I$27)*后果甲状腺剂量!$R21+SUMPRODUCT(U$5:U$27,后果甲状腺剂量!$I$5:$I$27)*后果甲状腺剂量!$S21+SUMPRODUCT(V$5:V$27,后果甲状腺剂量!$I$5:$I$27)*后果甲状腺剂量!$T21+SUMPRODUCT(W$5:W$27,后果甲状腺剂量!$I$5:$I$27)*后果甲状腺剂量!$U21+SUMPRODUCT(R$5:R$27,后果甲状腺剂量!$J$5:$J$27)*后果甲状腺剂量!$Q21*后果甲状腺剂量!$Q$3+SUMPRODUCT(S$5:S$27,后果甲状腺剂量!$J$5:$J$27)*后果甲状腺剂量!$Q21*后果甲状腺剂量!$Q$3+SUMPRODUCT(T$5:T$27,后果甲状腺剂量!$J$5:$J$27)*后果甲状腺剂量!$R21*后果甲状腺剂量!$R$3+SUMPRODUCT(U$5:U$27,后果甲状腺剂量!$J$5:$J$27)*后果甲状腺剂量!$S21*后果甲状腺剂量!$S$3+SUMPRODUCT(V$5:V$27,后果甲状腺剂量!$J$5:$J$27)*后果甲状腺剂量!$T21*后果甲状腺剂量!$T$3+SUMPRODUCT(W$5:W$27,后果甲状腺剂量!$J$5:$J$27)*后果甲状腺剂量!$U21*后果甲状腺剂量!$U$3+SUMPRODUCT(R$5:R$27,后果甲状腺剂量!$K$5:$K$27)*后果甲状腺剂量!$Q21+SUMPRODUCT(S$5:S$27,后果甲状腺剂量!$K$5:$K$27)*后果甲状腺剂量!$Q21+SUMPRODUCT(T$5:T$27,后果甲状腺剂量!$K$5:$K$27)*后果甲状腺剂量!$R21+SUMPRODUCT(U$5:U$27,后果甲状腺剂量!$K$5:$K$27)*后果甲状腺剂量!$S21+SUMPRODUCT(V$5:V$27,后果甲状腺剂量!$K$5:$K$27)*后果甲状腺剂量!$T21+SUMPRODUCT(W$5:W$27,后果甲状腺剂量!$K$5:$K$27)*后果甲状腺剂量!$U21</f>
        <v>0</v>
      </c>
      <c r="T47" s="454">
        <f ca="1" t="shared" si="255"/>
        <v>0</v>
      </c>
      <c r="U47" s="454">
        <f ca="1" t="shared" si="256"/>
        <v>0</v>
      </c>
      <c r="V47" s="436"/>
      <c r="W47" s="436"/>
      <c r="AN47" s="533"/>
      <c r="AS47" s="572"/>
      <c r="BO47" s="600"/>
      <c r="CJ47" s="600"/>
      <c r="DZ47" s="600"/>
      <c r="EU47" s="603"/>
      <c r="FP47" s="603"/>
      <c r="FS47" s="441">
        <f>SUMPRODUCT(FS$5:FS$27,后果有效剂量!$I$5:$I$27)*后果有效剂量!$Q21+SUMPRODUCT(FT$5:FT$27,后果有效剂量!$I$5:$I$27)*后果有效剂量!$R21+SUMPRODUCT(FU$5:FU$27,后果有效剂量!$I$5:$I$27)*后果有效剂量!$S21+SUMPRODUCT(FV$5:FV$27,后果有效剂量!$I$5:$I$27)*后果有效剂量!$T21+SUMPRODUCT(FS$5:FS$27,后果有效剂量!$J$5:$J$27)*后果有效剂量!$Q21*后果有效剂量!$Q$3+SUMPRODUCT(FT$5:FT$27,后果有效剂量!$J$5:$J$27)*后果有效剂量!$R21*后果有效剂量!$R$3+SUMPRODUCT(FU$5:FU$27,后果有效剂量!$J$5:$J$27)*后果有效剂量!$S21*后果有效剂量!$S$3+SUMPRODUCT(FV$5:FV$27,后果有效剂量!$J$5:$J$27)*后果有效剂量!$T21*后果有效剂量!$T$3+SUMPRODUCT(FS$5:FS$27,后果有效剂量!$K$5:$K$27)*后果有效剂量!$Q21+SUMPRODUCT(FT$5:FT$27,后果有效剂量!$K$5:$K$27)*后果有效剂量!$R21+SUMPRODUCT(FU$5:FU$27,后果有效剂量!$K$5:$K$27)*后果有效剂量!$S21+SUMPRODUCT(FV$5:FV$27,后果有效剂量!$K$5:$K$27)*后果有效剂量!$T21</f>
        <v>0</v>
      </c>
      <c r="FT47" s="453">
        <f>SUMPRODUCT(FS$5:FS$27,后果甲状腺剂量!$I$5:$I$27)*后果甲状腺剂量!$Q21+SUMPRODUCT(FT$5:FT$27,后果甲状腺剂量!$I$5:$I$27)*后果甲状腺剂量!$R21+SUMPRODUCT(FU$5:FU$27,后果甲状腺剂量!$I$5:$I$27)*后果甲状腺剂量!$S21+SUMPRODUCT(FV$5:FV$27,后果甲状腺剂量!$I$5:$I$27)*后果甲状腺剂量!$T21+SUMPRODUCT(FS$5:FS$27,后果甲状腺剂量!$J$5:$J$27)*后果甲状腺剂量!$Q21*后果甲状腺剂量!$Q$3+SUMPRODUCT(FT$5:FT$27,后果甲状腺剂量!$J$5:$J$27)*后果甲状腺剂量!$R21*后果甲状腺剂量!$R$3+SUMPRODUCT(FU$5:FU$27,后果甲状腺剂量!$J$5:$J$27)*后果甲状腺剂量!$S21*后果甲状腺剂量!$S$3+SUMPRODUCT(FV$5:FV$27,后果甲状腺剂量!$J$5:$J$27)*后果甲状腺剂量!$T21*后果甲状腺剂量!$T$3+SUMPRODUCT(FS$5:FS$27,后果甲状腺剂量!$K$5:$K$27)*后果甲状腺剂量!$Q21+SUMPRODUCT(FT$5:FT$27,后果甲状腺剂量!$K$5:$K$27)*后果甲状腺剂量!$R21+SUMPRODUCT(FU$5:FU$27,后果甲状腺剂量!$K$5:$K$27)*后果甲状腺剂量!$S21+SUMPRODUCT(FV$5:FV$27,后果甲状腺剂量!$K$5:$K$27)*后果甲状腺剂量!$T21</f>
        <v>0</v>
      </c>
      <c r="FU47" s="454">
        <f t="shared" si="257"/>
        <v>0</v>
      </c>
      <c r="FV47" s="454">
        <f t="shared" si="258"/>
        <v>0</v>
      </c>
      <c r="FW47" s="436"/>
      <c r="FX47" s="436"/>
      <c r="GD47" s="440">
        <f>后果有效剂量!$P21</f>
        <v>0</v>
      </c>
      <c r="GE47" s="441">
        <f>SUMPRODUCT(GE$5:GE$27,后果有效剂量!$I$5:$I$27)*后果有效剂量!$Q21+SUMPRODUCT(GF$5:GF$27,后果有效剂量!$I$5:$I$27)*后果有效剂量!$R21+SUMPRODUCT(GG$5:GG$27,后果有效剂量!$I$5:$I$27)*后果有效剂量!$S21+(SUMPRODUCT(GH$5:GH$27,后果有效剂量!$I$5:$I$27)+SUMPRODUCT(GI$5:GI$27,后果有效剂量!$I$5:$I$27))*后果有效剂量!$T21+SUMPRODUCT(GJ$5:GJ$27,后果有效剂量!$I$5:$I$27)*后果有效剂量!$U21+SUMPRODUCT(GE$5:GE$27,后果有效剂量!$J$5:$J$27)*后果有效剂量!$Q21*后果有效剂量!$Q$3+SUMPRODUCT(GF$5:GF$27,后果有效剂量!$J$5:$J$27)*后果有效剂量!$R21*后果有效剂量!$R$3+SUMPRODUCT(GG$5:GG$27,后果有效剂量!$J$5:$J$27)*后果有效剂量!$S21*后果有效剂量!$S$3+(SUMPRODUCT(GH$5:GH$27,后果有效剂量!$J$5:$J$27)+SUMPRODUCT(GI$5:GI$27,后果有效剂量!$J$5:$J$27))*后果有效剂量!$T21*后果有效剂量!$T$3+SUMPRODUCT(GJ$5:GJ$27,后果有效剂量!$J$5:$J$27)*后果有效剂量!$U21*后果有效剂量!$U$3+SUMPRODUCT(GE$5:GE$27,后果有效剂量!$K$5:$K$27)*后果有效剂量!$Q21+SUMPRODUCT(GF$5:GF$27,后果有效剂量!$K$5:$K$27)*后果有效剂量!$R21+SUMPRODUCT(GG$5:GG$27,后果有效剂量!$K$5:$K$27)*后果有效剂量!$S21+(SUMPRODUCT(GH$5:GH$27,后果有效剂量!$K$5:$K$27)+SUMPRODUCT(GI$5:GI$27,后果有效剂量!$K$5:$K$27))*后果有效剂量!$T21+SUMPRODUCT(GJ$5:GJ$27,后果有效剂量!$K$5:$K$27)*后果有效剂量!$U21</f>
        <v>0</v>
      </c>
      <c r="GF47" s="453">
        <f>SUMPRODUCT(GE$5:GE$27,后果甲状腺剂量!$I$5:$I$27)*后果甲状腺剂量!$Q21+SUMPRODUCT(GF$5:GF$27,后果甲状腺剂量!$I$5:$I$27)*后果甲状腺剂量!$R21+SUMPRODUCT(GG$5:GG$27,后果甲状腺剂量!$I$5:$I$27)*后果甲状腺剂量!$S21+(SUMPRODUCT(GH$5:GH$27,后果甲状腺剂量!$I$5:$I$27)+SUMPRODUCT(GI$5:GI$27,后果甲状腺剂量!$I$5:$I$27))*后果甲状腺剂量!$T21+SUMPRODUCT(GJ$5:GJ$27,后果甲状腺剂量!$I$5:$I$27)*后果甲状腺剂量!$U21+SUMPRODUCT(GE$5:GE$27,后果甲状腺剂量!$J$5:$J$27)*后果甲状腺剂量!$Q21*后果甲状腺剂量!$Q$3+SUMPRODUCT(GF$5:GF$27,后果甲状腺剂量!$J$5:$J$27)*后果甲状腺剂量!$R21*后果甲状腺剂量!$R$3+SUMPRODUCT(GG$5:GG$27,后果甲状腺剂量!$J$5:$J$27)*后果甲状腺剂量!$S21*后果甲状腺剂量!$S$3+(SUMPRODUCT(GH$5:GH$27,后果甲状腺剂量!$J$5:$J$27)+SUMPRODUCT(GI$5:GI$27,后果甲状腺剂量!$J$5:$J$27))*后果甲状腺剂量!$T21*后果甲状腺剂量!$T$3+SUMPRODUCT(GJ$5:GJ$27,后果甲状腺剂量!$J$5:$J$27)*后果甲状腺剂量!$U21*后果甲状腺剂量!$U$3+SUMPRODUCT(GE$5:GE$27,后果甲状腺剂量!$K$5:$K$27)*后果甲状腺剂量!$Q21+SUMPRODUCT(GF$5:GF$27,后果甲状腺剂量!$K$5:$K$27)*后果甲状腺剂量!$R21+SUMPRODUCT(GG$5:GG$27,后果甲状腺剂量!$K$5:$K$27)*后果甲状腺剂量!$S21+(SUMPRODUCT(GH$5:GH$27,后果甲状腺剂量!$K$5:$K$27)+SUMPRODUCT(GI$5:GI$27,后果甲状腺剂量!$K$5:$K$27))*后果甲状腺剂量!$T21+SUMPRODUCT(GJ$5:GJ$27,后果甲状腺剂量!$K$5:$K$27)*后果甲状腺剂量!$U21</f>
        <v>0</v>
      </c>
      <c r="GG47" s="454">
        <f t="shared" si="259"/>
        <v>0</v>
      </c>
      <c r="GH47" s="454">
        <f t="shared" si="260"/>
        <v>0</v>
      </c>
      <c r="GI47" s="436"/>
      <c r="GJ47" s="436"/>
    </row>
    <row r="48" spans="7:192">
      <c r="G48" s="440">
        <f>后果有效剂量!$P22</f>
        <v>0</v>
      </c>
      <c r="H48" s="441">
        <f ca="1">SUMPRODUCT(H$5:H$27,后果有效剂量!$I$5:$I$27)*后果有效剂量!$Q22+SUMPRODUCT(I$5:I$27,后果有效剂量!$I$5:$I$27)*后果有效剂量!$Q22+SUMPRODUCT(J$5:J$27,后果有效剂量!$I$5:$I$27)*后果有效剂量!$R22+SUMPRODUCT(K$5:K$27,后果有效剂量!$I$5:$I$27)*后果有效剂量!$S22+SUMPRODUCT(L$5:L$27,后果有效剂量!$I$5:$I$27)*后果有效剂量!$T22+SUMPRODUCT(M$5:M$27,后果有效剂量!$I$5:$I$27)*后果有效剂量!$U22+SUMPRODUCT(H$5:H$27,后果有效剂量!$J$5:$J$27)*后果有效剂量!$Q22*后果有效剂量!$Q$3+SUMPRODUCT(I$5:I$27,后果有效剂量!$J$5:$J$27)*后果有效剂量!$Q22*后果有效剂量!$Q$3+SUMPRODUCT(J$5:J$27,后果有效剂量!$J$5:$J$27)*后果有效剂量!$R22*后果有效剂量!$R$3+SUMPRODUCT(K$5:K$27,后果有效剂量!$J$5:$J$27)*后果有效剂量!$S22*后果有效剂量!$S$3+SUMPRODUCT(L$5:L$27,后果有效剂量!$J$5:$J$27)*后果有效剂量!$T22*后果有效剂量!$T$3+SUMPRODUCT(M$5:M$27,后果有效剂量!$J$5:$J$27)*后果有效剂量!$U22*后果有效剂量!$U$3+SUMPRODUCT(H$5:H$27,后果有效剂量!$K$5:$K$27)*后果有效剂量!$Q22+SUMPRODUCT(I$5:I$27,后果有效剂量!$K$5:$K$27)*后果有效剂量!$Q22+SUMPRODUCT(J$5:J$27,后果有效剂量!$K$5:$K$27)*后果有效剂量!$R22+SUMPRODUCT(K$5:K$27,后果有效剂量!$K$5:$K$27)*后果有效剂量!$S22+SUMPRODUCT(L$5:L$27,后果有效剂量!$K$5:$K$27)*后果有效剂量!$T22+SUMPRODUCT(M$5:M$27,后果有效剂量!$K$5:$K$27)*后果有效剂量!$U22</f>
        <v>0</v>
      </c>
      <c r="I48" s="453">
        <f ca="1">SUMPRODUCT(H$5:H$27,后果甲状腺剂量!$I$5:$I$27)*后果甲状腺剂量!$Q22+SUMPRODUCT(I$5:I$27,后果甲状腺剂量!$I$5:$I$27)*后果甲状腺剂量!$Q22+SUMPRODUCT(J$5:J$27,后果甲状腺剂量!$I$5:$I$27)*后果甲状腺剂量!$R22+SUMPRODUCT(K$5:K$27,后果甲状腺剂量!$I$5:$I$27)*后果甲状腺剂量!$S22+SUMPRODUCT(L$5:L$27,后果甲状腺剂量!$I$5:$I$27)*后果甲状腺剂量!$T22+SUMPRODUCT(M$5:M$27,后果甲状腺剂量!$I$5:$I$27)*后果甲状腺剂量!$U22+SUMPRODUCT(H$5:H$27,后果甲状腺剂量!$J$5:$J$27)*后果甲状腺剂量!$Q22*后果甲状腺剂量!$Q$3+SUMPRODUCT(I$5:I$27,后果甲状腺剂量!$J$5:$J$27)*后果甲状腺剂量!$Q22*后果甲状腺剂量!$Q$3+SUMPRODUCT(J$5:J$27,后果甲状腺剂量!$J$5:$J$27)*后果甲状腺剂量!$R22*后果甲状腺剂量!$R$3+SUMPRODUCT(K$5:K$27,后果甲状腺剂量!$J$5:$J$27)*后果甲状腺剂量!$S22*后果甲状腺剂量!$S$3+SUMPRODUCT(L$5:L$27,后果甲状腺剂量!$J$5:$J$27)*后果甲状腺剂量!$T22*后果甲状腺剂量!$T$3+SUMPRODUCT(M$5:M$27,后果甲状腺剂量!$J$5:$J$27)*后果甲状腺剂量!$U22*后果甲状腺剂量!$U$3+SUMPRODUCT(H$5:H$27,后果甲状腺剂量!$K$5:$K$27)*后果甲状腺剂量!$Q22+SUMPRODUCT(I$5:I$27,后果甲状腺剂量!$K$5:$K$27)*后果甲状腺剂量!$Q22+SUMPRODUCT(J$5:J$27,后果甲状腺剂量!$K$5:$K$27)*后果甲状腺剂量!$R22+SUMPRODUCT(K$5:K$27,后果甲状腺剂量!$K$5:$K$27)*后果甲状腺剂量!$S22+SUMPRODUCT(L$5:L$27,后果甲状腺剂量!$K$5:$K$27)*后果甲状腺剂量!$T22+SUMPRODUCT(M$5:M$27,后果甲状腺剂量!$K$5:$K$27)*后果甲状腺剂量!$U22</f>
        <v>0</v>
      </c>
      <c r="J48" s="454">
        <f ca="1" t="shared" si="253"/>
        <v>0</v>
      </c>
      <c r="K48" s="454">
        <f ca="1" t="shared" si="254"/>
        <v>0</v>
      </c>
      <c r="L48" s="436"/>
      <c r="M48" s="436"/>
      <c r="N48" s="455"/>
      <c r="Q48" s="440">
        <f>后果有效剂量!$P22</f>
        <v>0</v>
      </c>
      <c r="R48" s="441">
        <f ca="1">SUMPRODUCT(R$5:R$27,后果有效剂量!$I$5:$I$27)*后果有效剂量!$Q22+SUMPRODUCT(S$5:S$27,后果有效剂量!$I$5:$I$27)*后果有效剂量!$Q22+SUMPRODUCT(T$5:T$27,后果有效剂量!$I$5:$I$27)*后果有效剂量!$R22+SUMPRODUCT(U$5:U$27,后果有效剂量!$I$5:$I$27)*后果有效剂量!$S22+SUMPRODUCT(V$5:V$27,后果有效剂量!$I$5:$I$27)*后果有效剂量!$T22+SUMPRODUCT(W$5:W$27,后果有效剂量!$I$5:$I$27)*后果有效剂量!$U22+SUMPRODUCT(R$5:R$27,后果有效剂量!$J$5:$J$27)*后果有效剂量!$Q22*后果有效剂量!$Q$3+SUMPRODUCT(S$5:S$27,后果有效剂量!$J$5:$J$27)*后果有效剂量!$Q22*后果有效剂量!$Q$3+SUMPRODUCT(T$5:T$27,后果有效剂量!$J$5:$J$27)*后果有效剂量!$R22*后果有效剂量!$R$3+SUMPRODUCT(U$5:U$27,后果有效剂量!$J$5:$J$27)*后果有效剂量!$S22*后果有效剂量!$S$3+SUMPRODUCT(V$5:V$27,后果有效剂量!$J$5:$J$27)*后果有效剂量!$T22*后果有效剂量!$T$3+SUMPRODUCT(W$5:W$27,后果有效剂量!$J$5:$J$27)*后果有效剂量!$U22*后果有效剂量!$U$3+SUMPRODUCT(R$5:R$27,后果有效剂量!$K$5:$K$27)*后果有效剂量!$Q22+SUMPRODUCT(S$5:S$27,后果有效剂量!$K$5:$K$27)*后果有效剂量!$Q22+SUMPRODUCT(T$5:T$27,后果有效剂量!$K$5:$K$27)*后果有效剂量!$R22+SUMPRODUCT(U$5:U$27,后果有效剂量!$K$5:$K$27)*后果有效剂量!$S22+SUMPRODUCT(V$5:V$27,后果有效剂量!$K$5:$K$27)*后果有效剂量!$T22+SUMPRODUCT(W$5:W$27,后果有效剂量!$K$5:$K$27)*后果有效剂量!$U22</f>
        <v>0</v>
      </c>
      <c r="S48" s="453">
        <f ca="1">SUMPRODUCT(R$5:R$27,后果甲状腺剂量!$I$5:$I$27)*后果甲状腺剂量!$Q22+SUMPRODUCT(S$5:S$27,后果甲状腺剂量!$I$5:$I$27)*后果甲状腺剂量!$Q22+SUMPRODUCT(T$5:T$27,后果甲状腺剂量!$I$5:$I$27)*后果甲状腺剂量!$R22+SUMPRODUCT(U$5:U$27,后果甲状腺剂量!$I$5:$I$27)*后果甲状腺剂量!$S22+SUMPRODUCT(V$5:V$27,后果甲状腺剂量!$I$5:$I$27)*后果甲状腺剂量!$T22+SUMPRODUCT(W$5:W$27,后果甲状腺剂量!$I$5:$I$27)*后果甲状腺剂量!$U22+SUMPRODUCT(R$5:R$27,后果甲状腺剂量!$J$5:$J$27)*后果甲状腺剂量!$Q22*后果甲状腺剂量!$Q$3+SUMPRODUCT(S$5:S$27,后果甲状腺剂量!$J$5:$J$27)*后果甲状腺剂量!$Q22*后果甲状腺剂量!$Q$3+SUMPRODUCT(T$5:T$27,后果甲状腺剂量!$J$5:$J$27)*后果甲状腺剂量!$R22*后果甲状腺剂量!$R$3+SUMPRODUCT(U$5:U$27,后果甲状腺剂量!$J$5:$J$27)*后果甲状腺剂量!$S22*后果甲状腺剂量!$S$3+SUMPRODUCT(V$5:V$27,后果甲状腺剂量!$J$5:$J$27)*后果甲状腺剂量!$T22*后果甲状腺剂量!$T$3+SUMPRODUCT(W$5:W$27,后果甲状腺剂量!$J$5:$J$27)*后果甲状腺剂量!$U22*后果甲状腺剂量!$U$3+SUMPRODUCT(R$5:R$27,后果甲状腺剂量!$K$5:$K$27)*后果甲状腺剂量!$Q22+SUMPRODUCT(S$5:S$27,后果甲状腺剂量!$K$5:$K$27)*后果甲状腺剂量!$Q22+SUMPRODUCT(T$5:T$27,后果甲状腺剂量!$K$5:$K$27)*后果甲状腺剂量!$R22+SUMPRODUCT(U$5:U$27,后果甲状腺剂量!$K$5:$K$27)*后果甲状腺剂量!$S22+SUMPRODUCT(V$5:V$27,后果甲状腺剂量!$K$5:$K$27)*后果甲状腺剂量!$T22+SUMPRODUCT(W$5:W$27,后果甲状腺剂量!$K$5:$K$27)*后果甲状腺剂量!$U22</f>
        <v>0</v>
      </c>
      <c r="T48" s="454">
        <f ca="1" t="shared" si="255"/>
        <v>0</v>
      </c>
      <c r="U48" s="454">
        <f ca="1" t="shared" si="256"/>
        <v>0</v>
      </c>
      <c r="V48" s="436"/>
      <c r="W48" s="436"/>
      <c r="AN48" s="533"/>
      <c r="AS48" s="572"/>
      <c r="BO48" s="600"/>
      <c r="FS48" s="441">
        <f>SUMPRODUCT(FS$5:FS$27,后果有效剂量!$I$5:$I$27)*后果有效剂量!$Q22+SUMPRODUCT(FT$5:FT$27,后果有效剂量!$I$5:$I$27)*后果有效剂量!$R22+SUMPRODUCT(FU$5:FU$27,后果有效剂量!$I$5:$I$27)*后果有效剂量!$S22+SUMPRODUCT(FV$5:FV$27,后果有效剂量!$I$5:$I$27)*后果有效剂量!$T22+SUMPRODUCT(FS$5:FS$27,后果有效剂量!$J$5:$J$27)*后果有效剂量!$Q22*后果有效剂量!$Q$3+SUMPRODUCT(FT$5:FT$27,后果有效剂量!$J$5:$J$27)*后果有效剂量!$R22*后果有效剂量!$R$3+SUMPRODUCT(FU$5:FU$27,后果有效剂量!$J$5:$J$27)*后果有效剂量!$S22*后果有效剂量!$S$3+SUMPRODUCT(FV$5:FV$27,后果有效剂量!$J$5:$J$27)*后果有效剂量!$T22*后果有效剂量!$T$3+SUMPRODUCT(FS$5:FS$27,后果有效剂量!$K$5:$K$27)*后果有效剂量!$Q22+SUMPRODUCT(FT$5:FT$27,后果有效剂量!$K$5:$K$27)*后果有效剂量!$R22+SUMPRODUCT(FU$5:FU$27,后果有效剂量!$K$5:$K$27)*后果有效剂量!$S22+SUMPRODUCT(FV$5:FV$27,后果有效剂量!$K$5:$K$27)*后果有效剂量!$T22</f>
        <v>0</v>
      </c>
      <c r="FT48" s="453">
        <f>SUMPRODUCT(FS$5:FS$27,后果甲状腺剂量!$I$5:$I$27)*后果甲状腺剂量!$Q22+SUMPRODUCT(FT$5:FT$27,后果甲状腺剂量!$I$5:$I$27)*后果甲状腺剂量!$R22+SUMPRODUCT(FU$5:FU$27,后果甲状腺剂量!$I$5:$I$27)*后果甲状腺剂量!$S22+SUMPRODUCT(FV$5:FV$27,后果甲状腺剂量!$I$5:$I$27)*后果甲状腺剂量!$T22+SUMPRODUCT(FS$5:FS$27,后果甲状腺剂量!$J$5:$J$27)*后果甲状腺剂量!$Q22*后果甲状腺剂量!$Q$3+SUMPRODUCT(FT$5:FT$27,后果甲状腺剂量!$J$5:$J$27)*后果甲状腺剂量!$R22*后果甲状腺剂量!$R$3+SUMPRODUCT(FU$5:FU$27,后果甲状腺剂量!$J$5:$J$27)*后果甲状腺剂量!$S22*后果甲状腺剂量!$S$3+SUMPRODUCT(FV$5:FV$27,后果甲状腺剂量!$J$5:$J$27)*后果甲状腺剂量!$T22*后果甲状腺剂量!$T$3+SUMPRODUCT(FS$5:FS$27,后果甲状腺剂量!$K$5:$K$27)*后果甲状腺剂量!$Q22+SUMPRODUCT(FT$5:FT$27,后果甲状腺剂量!$K$5:$K$27)*后果甲状腺剂量!$R22+SUMPRODUCT(FU$5:FU$27,后果甲状腺剂量!$K$5:$K$27)*后果甲状腺剂量!$S22+SUMPRODUCT(FV$5:FV$27,后果甲状腺剂量!$K$5:$K$27)*后果甲状腺剂量!$T22</f>
        <v>0</v>
      </c>
      <c r="FU48" s="454">
        <f t="shared" si="257"/>
        <v>0</v>
      </c>
      <c r="FV48" s="454">
        <f t="shared" si="258"/>
        <v>0</v>
      </c>
      <c r="FW48" s="436"/>
      <c r="FX48" s="436"/>
      <c r="GD48" s="440">
        <f>后果有效剂量!$P22</f>
        <v>0</v>
      </c>
      <c r="GE48" s="441">
        <f>SUMPRODUCT(GE$5:GE$27,后果有效剂量!$I$5:$I$27)*后果有效剂量!$Q22+SUMPRODUCT(GF$5:GF$27,后果有效剂量!$I$5:$I$27)*后果有效剂量!$R22+SUMPRODUCT(GG$5:GG$27,后果有效剂量!$I$5:$I$27)*后果有效剂量!$S22+(SUMPRODUCT(GH$5:GH$27,后果有效剂量!$I$5:$I$27)+SUMPRODUCT(GI$5:GI$27,后果有效剂量!$I$5:$I$27))*后果有效剂量!$T22+SUMPRODUCT(GJ$5:GJ$27,后果有效剂量!$I$5:$I$27)*后果有效剂量!$U22+SUMPRODUCT(GE$5:GE$27,后果有效剂量!$J$5:$J$27)*后果有效剂量!$Q22*后果有效剂量!$Q$3+SUMPRODUCT(GF$5:GF$27,后果有效剂量!$J$5:$J$27)*后果有效剂量!$R22*后果有效剂量!$R$3+SUMPRODUCT(GG$5:GG$27,后果有效剂量!$J$5:$J$27)*后果有效剂量!$S22*后果有效剂量!$S$3+(SUMPRODUCT(GH$5:GH$27,后果有效剂量!$J$5:$J$27)+SUMPRODUCT(GI$5:GI$27,后果有效剂量!$J$5:$J$27))*后果有效剂量!$T22*后果有效剂量!$T$3+SUMPRODUCT(GJ$5:GJ$27,后果有效剂量!$J$5:$J$27)*后果有效剂量!$U22*后果有效剂量!$U$3+SUMPRODUCT(GE$5:GE$27,后果有效剂量!$K$5:$K$27)*后果有效剂量!$Q22+SUMPRODUCT(GF$5:GF$27,后果有效剂量!$K$5:$K$27)*后果有效剂量!$R22+SUMPRODUCT(GG$5:GG$27,后果有效剂量!$K$5:$K$27)*后果有效剂量!$S22+(SUMPRODUCT(GH$5:GH$27,后果有效剂量!$K$5:$K$27)+SUMPRODUCT(GI$5:GI$27,后果有效剂量!$K$5:$K$27))*后果有效剂量!$T22+SUMPRODUCT(GJ$5:GJ$27,后果有效剂量!$K$5:$K$27)*后果有效剂量!$U22</f>
        <v>0</v>
      </c>
      <c r="GF48" s="453">
        <f>SUMPRODUCT(GE$5:GE$27,后果甲状腺剂量!$I$5:$I$27)*后果甲状腺剂量!$Q22+SUMPRODUCT(GF$5:GF$27,后果甲状腺剂量!$I$5:$I$27)*后果甲状腺剂量!$R22+SUMPRODUCT(GG$5:GG$27,后果甲状腺剂量!$I$5:$I$27)*后果甲状腺剂量!$S22+(SUMPRODUCT(GH$5:GH$27,后果甲状腺剂量!$I$5:$I$27)+SUMPRODUCT(GI$5:GI$27,后果甲状腺剂量!$I$5:$I$27))*后果甲状腺剂量!$T22+SUMPRODUCT(GJ$5:GJ$27,后果甲状腺剂量!$I$5:$I$27)*后果甲状腺剂量!$U22+SUMPRODUCT(GE$5:GE$27,后果甲状腺剂量!$J$5:$J$27)*后果甲状腺剂量!$Q22*后果甲状腺剂量!$Q$3+SUMPRODUCT(GF$5:GF$27,后果甲状腺剂量!$J$5:$J$27)*后果甲状腺剂量!$R22*后果甲状腺剂量!$R$3+SUMPRODUCT(GG$5:GG$27,后果甲状腺剂量!$J$5:$J$27)*后果甲状腺剂量!$S22*后果甲状腺剂量!$S$3+(SUMPRODUCT(GH$5:GH$27,后果甲状腺剂量!$J$5:$J$27)+SUMPRODUCT(GI$5:GI$27,后果甲状腺剂量!$J$5:$J$27))*后果甲状腺剂量!$T22*后果甲状腺剂量!$T$3+SUMPRODUCT(GJ$5:GJ$27,后果甲状腺剂量!$J$5:$J$27)*后果甲状腺剂量!$U22*后果甲状腺剂量!$U$3+SUMPRODUCT(GE$5:GE$27,后果甲状腺剂量!$K$5:$K$27)*后果甲状腺剂量!$Q22+SUMPRODUCT(GF$5:GF$27,后果甲状腺剂量!$K$5:$K$27)*后果甲状腺剂量!$R22+SUMPRODUCT(GG$5:GG$27,后果甲状腺剂量!$K$5:$K$27)*后果甲状腺剂量!$S22+(SUMPRODUCT(GH$5:GH$27,后果甲状腺剂量!$K$5:$K$27)+SUMPRODUCT(GI$5:GI$27,后果甲状腺剂量!$K$5:$K$27))*后果甲状腺剂量!$T22+SUMPRODUCT(GJ$5:GJ$27,后果甲状腺剂量!$K$5:$K$27)*后果甲状腺剂量!$U22</f>
        <v>0</v>
      </c>
      <c r="GG48" s="454">
        <f t="shared" si="259"/>
        <v>0</v>
      </c>
      <c r="GH48" s="454">
        <f t="shared" si="260"/>
        <v>0</v>
      </c>
      <c r="GI48" s="436"/>
      <c r="GJ48" s="436"/>
    </row>
    <row r="49" spans="7:192">
      <c r="G49" s="440">
        <f>后果有效剂量!$P23</f>
        <v>0</v>
      </c>
      <c r="H49" s="441">
        <f ca="1">SUMPRODUCT(H$5:H$27,后果有效剂量!$I$5:$I$27)*后果有效剂量!$Q23+SUMPRODUCT(I$5:I$27,后果有效剂量!$I$5:$I$27)*后果有效剂量!$Q23+SUMPRODUCT(J$5:J$27,后果有效剂量!$I$5:$I$27)*后果有效剂量!$R23+SUMPRODUCT(K$5:K$27,后果有效剂量!$I$5:$I$27)*后果有效剂量!$S23+SUMPRODUCT(L$5:L$27,后果有效剂量!$I$5:$I$27)*后果有效剂量!$T23+SUMPRODUCT(M$5:M$27,后果有效剂量!$I$5:$I$27)*后果有效剂量!$U23+SUMPRODUCT(H$5:H$27,后果有效剂量!$J$5:$J$27)*后果有效剂量!$Q23*后果有效剂量!$Q$3+SUMPRODUCT(I$5:I$27,后果有效剂量!$J$5:$J$27)*后果有效剂量!$Q23*后果有效剂量!$Q$3+SUMPRODUCT(J$5:J$27,后果有效剂量!$J$5:$J$27)*后果有效剂量!$R23*后果有效剂量!$R$3+SUMPRODUCT(K$5:K$27,后果有效剂量!$J$5:$J$27)*后果有效剂量!$S23*后果有效剂量!$S$3+SUMPRODUCT(L$5:L$27,后果有效剂量!$J$5:$J$27)*后果有效剂量!$T23*后果有效剂量!$T$3+SUMPRODUCT(M$5:M$27,后果有效剂量!$J$5:$J$27)*后果有效剂量!$U23*后果有效剂量!$U$3+SUMPRODUCT(H$5:H$27,后果有效剂量!$K$5:$K$27)*后果有效剂量!$Q23+SUMPRODUCT(I$5:I$27,后果有效剂量!$K$5:$K$27)*后果有效剂量!$Q23+SUMPRODUCT(J$5:J$27,后果有效剂量!$K$5:$K$27)*后果有效剂量!$R23+SUMPRODUCT(K$5:K$27,后果有效剂量!$K$5:$K$27)*后果有效剂量!$S23+SUMPRODUCT(L$5:L$27,后果有效剂量!$K$5:$K$27)*后果有效剂量!$T23+SUMPRODUCT(M$5:M$27,后果有效剂量!$K$5:$K$27)*后果有效剂量!$U23</f>
        <v>0</v>
      </c>
      <c r="I49" s="453">
        <f ca="1">SUMPRODUCT(H$5:H$27,后果甲状腺剂量!$I$5:$I$27)*后果甲状腺剂量!$Q23+SUMPRODUCT(I$5:I$27,后果甲状腺剂量!$I$5:$I$27)*后果甲状腺剂量!$Q23+SUMPRODUCT(J$5:J$27,后果甲状腺剂量!$I$5:$I$27)*后果甲状腺剂量!$R23+SUMPRODUCT(K$5:K$27,后果甲状腺剂量!$I$5:$I$27)*后果甲状腺剂量!$S23+SUMPRODUCT(L$5:L$27,后果甲状腺剂量!$I$5:$I$27)*后果甲状腺剂量!$T23+SUMPRODUCT(M$5:M$27,后果甲状腺剂量!$I$5:$I$27)*后果甲状腺剂量!$U23+SUMPRODUCT(H$5:H$27,后果甲状腺剂量!$J$5:$J$27)*后果甲状腺剂量!$Q23*后果甲状腺剂量!$Q$3+SUMPRODUCT(I$5:I$27,后果甲状腺剂量!$J$5:$J$27)*后果甲状腺剂量!$Q23*后果甲状腺剂量!$Q$3+SUMPRODUCT(J$5:J$27,后果甲状腺剂量!$J$5:$J$27)*后果甲状腺剂量!$R23*后果甲状腺剂量!$R$3+SUMPRODUCT(K$5:K$27,后果甲状腺剂量!$J$5:$J$27)*后果甲状腺剂量!$S23*后果甲状腺剂量!$S$3+SUMPRODUCT(L$5:L$27,后果甲状腺剂量!$J$5:$J$27)*后果甲状腺剂量!$T23*后果甲状腺剂量!$T$3+SUMPRODUCT(M$5:M$27,后果甲状腺剂量!$J$5:$J$27)*后果甲状腺剂量!$U23*后果甲状腺剂量!$U$3+SUMPRODUCT(H$5:H$27,后果甲状腺剂量!$K$5:$K$27)*后果甲状腺剂量!$Q23+SUMPRODUCT(I$5:I$27,后果甲状腺剂量!$K$5:$K$27)*后果甲状腺剂量!$Q23+SUMPRODUCT(J$5:J$27,后果甲状腺剂量!$K$5:$K$27)*后果甲状腺剂量!$R23+SUMPRODUCT(K$5:K$27,后果甲状腺剂量!$K$5:$K$27)*后果甲状腺剂量!$S23+SUMPRODUCT(L$5:L$27,后果甲状腺剂量!$K$5:$K$27)*后果甲状腺剂量!$T23+SUMPRODUCT(M$5:M$27,后果甲状腺剂量!$K$5:$K$27)*后果甲状腺剂量!$U23</f>
        <v>0</v>
      </c>
      <c r="J49" s="454">
        <f ca="1" t="shared" si="253"/>
        <v>0</v>
      </c>
      <c r="K49" s="454">
        <f ca="1" t="shared" si="254"/>
        <v>0</v>
      </c>
      <c r="L49" s="436"/>
      <c r="M49" s="436"/>
      <c r="N49" s="455"/>
      <c r="Q49" s="440">
        <f>后果有效剂量!$P23</f>
        <v>0</v>
      </c>
      <c r="R49" s="441">
        <f ca="1">SUMPRODUCT(R$5:R$27,后果有效剂量!$I$5:$I$27)*后果有效剂量!$Q23+SUMPRODUCT(S$5:S$27,后果有效剂量!$I$5:$I$27)*后果有效剂量!$Q23+SUMPRODUCT(T$5:T$27,后果有效剂量!$I$5:$I$27)*后果有效剂量!$R23+SUMPRODUCT(U$5:U$27,后果有效剂量!$I$5:$I$27)*后果有效剂量!$S23+SUMPRODUCT(V$5:V$27,后果有效剂量!$I$5:$I$27)*后果有效剂量!$T23+SUMPRODUCT(W$5:W$27,后果有效剂量!$I$5:$I$27)*后果有效剂量!$U23+SUMPRODUCT(R$5:R$27,后果有效剂量!$J$5:$J$27)*后果有效剂量!$Q23*后果有效剂量!$Q$3+SUMPRODUCT(S$5:S$27,后果有效剂量!$J$5:$J$27)*后果有效剂量!$Q23*后果有效剂量!$Q$3+SUMPRODUCT(T$5:T$27,后果有效剂量!$J$5:$J$27)*后果有效剂量!$R23*后果有效剂量!$R$3+SUMPRODUCT(U$5:U$27,后果有效剂量!$J$5:$J$27)*后果有效剂量!$S23*后果有效剂量!$S$3+SUMPRODUCT(V$5:V$27,后果有效剂量!$J$5:$J$27)*后果有效剂量!$T23*后果有效剂量!$T$3+SUMPRODUCT(W$5:W$27,后果有效剂量!$J$5:$J$27)*后果有效剂量!$U23*后果有效剂量!$U$3+SUMPRODUCT(R$5:R$27,后果有效剂量!$K$5:$K$27)*后果有效剂量!$Q23+SUMPRODUCT(S$5:S$27,后果有效剂量!$K$5:$K$27)*后果有效剂量!$Q23+SUMPRODUCT(T$5:T$27,后果有效剂量!$K$5:$K$27)*后果有效剂量!$R23+SUMPRODUCT(U$5:U$27,后果有效剂量!$K$5:$K$27)*后果有效剂量!$S23+SUMPRODUCT(V$5:V$27,后果有效剂量!$K$5:$K$27)*后果有效剂量!$T23+SUMPRODUCT(W$5:W$27,后果有效剂量!$K$5:$K$27)*后果有效剂量!$U23</f>
        <v>0</v>
      </c>
      <c r="S49" s="453">
        <f ca="1">SUMPRODUCT(R$5:R$27,后果甲状腺剂量!$I$5:$I$27)*后果甲状腺剂量!$Q23+SUMPRODUCT(S$5:S$27,后果甲状腺剂量!$I$5:$I$27)*后果甲状腺剂量!$Q23+SUMPRODUCT(T$5:T$27,后果甲状腺剂量!$I$5:$I$27)*后果甲状腺剂量!$R23+SUMPRODUCT(U$5:U$27,后果甲状腺剂量!$I$5:$I$27)*后果甲状腺剂量!$S23+SUMPRODUCT(V$5:V$27,后果甲状腺剂量!$I$5:$I$27)*后果甲状腺剂量!$T23+SUMPRODUCT(W$5:W$27,后果甲状腺剂量!$I$5:$I$27)*后果甲状腺剂量!$U23+SUMPRODUCT(R$5:R$27,后果甲状腺剂量!$J$5:$J$27)*后果甲状腺剂量!$Q23*后果甲状腺剂量!$Q$3+SUMPRODUCT(S$5:S$27,后果甲状腺剂量!$J$5:$J$27)*后果甲状腺剂量!$Q23*后果甲状腺剂量!$Q$3+SUMPRODUCT(T$5:T$27,后果甲状腺剂量!$J$5:$J$27)*后果甲状腺剂量!$R23*后果甲状腺剂量!$R$3+SUMPRODUCT(U$5:U$27,后果甲状腺剂量!$J$5:$J$27)*后果甲状腺剂量!$S23*后果甲状腺剂量!$S$3+SUMPRODUCT(V$5:V$27,后果甲状腺剂量!$J$5:$J$27)*后果甲状腺剂量!$T23*后果甲状腺剂量!$T$3+SUMPRODUCT(W$5:W$27,后果甲状腺剂量!$J$5:$J$27)*后果甲状腺剂量!$U23*后果甲状腺剂量!$U$3+SUMPRODUCT(R$5:R$27,后果甲状腺剂量!$K$5:$K$27)*后果甲状腺剂量!$Q23+SUMPRODUCT(S$5:S$27,后果甲状腺剂量!$K$5:$K$27)*后果甲状腺剂量!$Q23+SUMPRODUCT(T$5:T$27,后果甲状腺剂量!$K$5:$K$27)*后果甲状腺剂量!$R23+SUMPRODUCT(U$5:U$27,后果甲状腺剂量!$K$5:$K$27)*后果甲状腺剂量!$S23+SUMPRODUCT(V$5:V$27,后果甲状腺剂量!$K$5:$K$27)*后果甲状腺剂量!$T23+SUMPRODUCT(W$5:W$27,后果甲状腺剂量!$K$5:$K$27)*后果甲状腺剂量!$U23</f>
        <v>0</v>
      </c>
      <c r="T49" s="454">
        <f ca="1" t="shared" si="255"/>
        <v>0</v>
      </c>
      <c r="U49" s="454">
        <f ca="1" t="shared" si="256"/>
        <v>0</v>
      </c>
      <c r="V49" s="436"/>
      <c r="W49" s="436"/>
      <c r="AN49" s="533"/>
      <c r="AS49" s="572"/>
      <c r="BO49" s="600"/>
      <c r="FS49" s="441">
        <f>SUMPRODUCT(FS$5:FS$27,后果有效剂量!$I$5:$I$27)*后果有效剂量!$Q23+SUMPRODUCT(FT$5:FT$27,后果有效剂量!$I$5:$I$27)*后果有效剂量!$R23+SUMPRODUCT(FU$5:FU$27,后果有效剂量!$I$5:$I$27)*后果有效剂量!$S23+SUMPRODUCT(FV$5:FV$27,后果有效剂量!$I$5:$I$27)*后果有效剂量!$T23+SUMPRODUCT(FS$5:FS$27,后果有效剂量!$J$5:$J$27)*后果有效剂量!$Q23*后果有效剂量!$Q$3+SUMPRODUCT(FT$5:FT$27,后果有效剂量!$J$5:$J$27)*后果有效剂量!$R23*后果有效剂量!$R$3+SUMPRODUCT(FU$5:FU$27,后果有效剂量!$J$5:$J$27)*后果有效剂量!$S23*后果有效剂量!$S$3+SUMPRODUCT(FV$5:FV$27,后果有效剂量!$J$5:$J$27)*后果有效剂量!$T23*后果有效剂量!$T$3+SUMPRODUCT(FS$5:FS$27,后果有效剂量!$K$5:$K$27)*后果有效剂量!$Q23+SUMPRODUCT(FT$5:FT$27,后果有效剂量!$K$5:$K$27)*后果有效剂量!$R23+SUMPRODUCT(FU$5:FU$27,后果有效剂量!$K$5:$K$27)*后果有效剂量!$S23+SUMPRODUCT(FV$5:FV$27,后果有效剂量!$K$5:$K$27)*后果有效剂量!$T23</f>
        <v>0</v>
      </c>
      <c r="FT49" s="453">
        <f>SUMPRODUCT(FS$5:FS$27,后果甲状腺剂量!$I$5:$I$27)*后果甲状腺剂量!$Q23+SUMPRODUCT(FT$5:FT$27,后果甲状腺剂量!$I$5:$I$27)*后果甲状腺剂量!$R23+SUMPRODUCT(FU$5:FU$27,后果甲状腺剂量!$I$5:$I$27)*后果甲状腺剂量!$S23+SUMPRODUCT(FV$5:FV$27,后果甲状腺剂量!$I$5:$I$27)*后果甲状腺剂量!$T23+SUMPRODUCT(FS$5:FS$27,后果甲状腺剂量!$J$5:$J$27)*后果甲状腺剂量!$Q23*后果甲状腺剂量!$Q$3+SUMPRODUCT(FT$5:FT$27,后果甲状腺剂量!$J$5:$J$27)*后果甲状腺剂量!$R23*后果甲状腺剂量!$R$3+SUMPRODUCT(FU$5:FU$27,后果甲状腺剂量!$J$5:$J$27)*后果甲状腺剂量!$S23*后果甲状腺剂量!$S$3+SUMPRODUCT(FV$5:FV$27,后果甲状腺剂量!$J$5:$J$27)*后果甲状腺剂量!$T23*后果甲状腺剂量!$T$3+SUMPRODUCT(FS$5:FS$27,后果甲状腺剂量!$K$5:$K$27)*后果甲状腺剂量!$Q23+SUMPRODUCT(FT$5:FT$27,后果甲状腺剂量!$K$5:$K$27)*后果甲状腺剂量!$R23+SUMPRODUCT(FU$5:FU$27,后果甲状腺剂量!$K$5:$K$27)*后果甲状腺剂量!$S23+SUMPRODUCT(FV$5:FV$27,后果甲状腺剂量!$K$5:$K$27)*后果甲状腺剂量!$T23</f>
        <v>0</v>
      </c>
      <c r="FU49" s="454">
        <f t="shared" si="257"/>
        <v>0</v>
      </c>
      <c r="FV49" s="454">
        <f t="shared" si="258"/>
        <v>0</v>
      </c>
      <c r="FW49" s="436"/>
      <c r="FX49" s="436"/>
      <c r="GD49" s="440">
        <f>后果有效剂量!$P23</f>
        <v>0</v>
      </c>
      <c r="GE49" s="441">
        <f>SUMPRODUCT(GE$5:GE$27,后果有效剂量!$I$5:$I$27)*后果有效剂量!$Q23+SUMPRODUCT(GF$5:GF$27,后果有效剂量!$I$5:$I$27)*后果有效剂量!$R23+SUMPRODUCT(GG$5:GG$27,后果有效剂量!$I$5:$I$27)*后果有效剂量!$S23+(SUMPRODUCT(GH$5:GH$27,后果有效剂量!$I$5:$I$27)+SUMPRODUCT(GI$5:GI$27,后果有效剂量!$I$5:$I$27))*后果有效剂量!$T23+SUMPRODUCT(GJ$5:GJ$27,后果有效剂量!$I$5:$I$27)*后果有效剂量!$U23+SUMPRODUCT(GE$5:GE$27,后果有效剂量!$J$5:$J$27)*后果有效剂量!$Q23*后果有效剂量!$Q$3+SUMPRODUCT(GF$5:GF$27,后果有效剂量!$J$5:$J$27)*后果有效剂量!$R23*后果有效剂量!$R$3+SUMPRODUCT(GG$5:GG$27,后果有效剂量!$J$5:$J$27)*后果有效剂量!$S23*后果有效剂量!$S$3+(SUMPRODUCT(GH$5:GH$27,后果有效剂量!$J$5:$J$27)+SUMPRODUCT(GI$5:GI$27,后果有效剂量!$J$5:$J$27))*后果有效剂量!$T23*后果有效剂量!$T$3+SUMPRODUCT(GJ$5:GJ$27,后果有效剂量!$J$5:$J$27)*后果有效剂量!$U23*后果有效剂量!$U$3+SUMPRODUCT(GE$5:GE$27,后果有效剂量!$K$5:$K$27)*后果有效剂量!$Q23+SUMPRODUCT(GF$5:GF$27,后果有效剂量!$K$5:$K$27)*后果有效剂量!$R23+SUMPRODUCT(GG$5:GG$27,后果有效剂量!$K$5:$K$27)*后果有效剂量!$S23+(SUMPRODUCT(GH$5:GH$27,后果有效剂量!$K$5:$K$27)+SUMPRODUCT(GI$5:GI$27,后果有效剂量!$K$5:$K$27))*后果有效剂量!$T23+SUMPRODUCT(GJ$5:GJ$27,后果有效剂量!$K$5:$K$27)*后果有效剂量!$U23</f>
        <v>0</v>
      </c>
      <c r="GF49" s="453">
        <f>SUMPRODUCT(GE$5:GE$27,后果甲状腺剂量!$I$5:$I$27)*后果甲状腺剂量!$Q23+SUMPRODUCT(GF$5:GF$27,后果甲状腺剂量!$I$5:$I$27)*后果甲状腺剂量!$R23+SUMPRODUCT(GG$5:GG$27,后果甲状腺剂量!$I$5:$I$27)*后果甲状腺剂量!$S23+(SUMPRODUCT(GH$5:GH$27,后果甲状腺剂量!$I$5:$I$27)+SUMPRODUCT(GI$5:GI$27,后果甲状腺剂量!$I$5:$I$27))*后果甲状腺剂量!$T23+SUMPRODUCT(GJ$5:GJ$27,后果甲状腺剂量!$I$5:$I$27)*后果甲状腺剂量!$U23+SUMPRODUCT(GE$5:GE$27,后果甲状腺剂量!$J$5:$J$27)*后果甲状腺剂量!$Q23*后果甲状腺剂量!$Q$3+SUMPRODUCT(GF$5:GF$27,后果甲状腺剂量!$J$5:$J$27)*后果甲状腺剂量!$R23*后果甲状腺剂量!$R$3+SUMPRODUCT(GG$5:GG$27,后果甲状腺剂量!$J$5:$J$27)*后果甲状腺剂量!$S23*后果甲状腺剂量!$S$3+(SUMPRODUCT(GH$5:GH$27,后果甲状腺剂量!$J$5:$J$27)+SUMPRODUCT(GI$5:GI$27,后果甲状腺剂量!$J$5:$J$27))*后果甲状腺剂量!$T23*后果甲状腺剂量!$T$3+SUMPRODUCT(GJ$5:GJ$27,后果甲状腺剂量!$J$5:$J$27)*后果甲状腺剂量!$U23*后果甲状腺剂量!$U$3+SUMPRODUCT(GE$5:GE$27,后果甲状腺剂量!$K$5:$K$27)*后果甲状腺剂量!$Q23+SUMPRODUCT(GF$5:GF$27,后果甲状腺剂量!$K$5:$K$27)*后果甲状腺剂量!$R23+SUMPRODUCT(GG$5:GG$27,后果甲状腺剂量!$K$5:$K$27)*后果甲状腺剂量!$S23+(SUMPRODUCT(GH$5:GH$27,后果甲状腺剂量!$K$5:$K$27)+SUMPRODUCT(GI$5:GI$27,后果甲状腺剂量!$K$5:$K$27))*后果甲状腺剂量!$T23+SUMPRODUCT(GJ$5:GJ$27,后果甲状腺剂量!$K$5:$K$27)*后果甲状腺剂量!$U23</f>
        <v>0</v>
      </c>
      <c r="GG49" s="454">
        <f t="shared" si="259"/>
        <v>0</v>
      </c>
      <c r="GH49" s="454">
        <f t="shared" si="260"/>
        <v>0</v>
      </c>
      <c r="GI49" s="436"/>
      <c r="GJ49" s="436"/>
    </row>
    <row r="50" spans="7:192">
      <c r="G50" s="440">
        <f>后果有效剂量!$P24</f>
        <v>0</v>
      </c>
      <c r="H50" s="441">
        <f ca="1">SUMPRODUCT(H$5:H$27,后果有效剂量!$I$5:$I$27)*后果有效剂量!$Q24+SUMPRODUCT(I$5:I$27,后果有效剂量!$I$5:$I$27)*后果有效剂量!$Q24+SUMPRODUCT(J$5:J$27,后果有效剂量!$I$5:$I$27)*后果有效剂量!$R24+SUMPRODUCT(K$5:K$27,后果有效剂量!$I$5:$I$27)*后果有效剂量!$S24+SUMPRODUCT(L$5:L$27,后果有效剂量!$I$5:$I$27)*后果有效剂量!$T24+SUMPRODUCT(M$5:M$27,后果有效剂量!$I$5:$I$27)*后果有效剂量!$U24+SUMPRODUCT(H$5:H$27,后果有效剂量!$J$5:$J$27)*后果有效剂量!$Q24*后果有效剂量!$Q$3+SUMPRODUCT(I$5:I$27,后果有效剂量!$J$5:$J$27)*后果有效剂量!$Q24*后果有效剂量!$Q$3+SUMPRODUCT(J$5:J$27,后果有效剂量!$J$5:$J$27)*后果有效剂量!$R24*后果有效剂量!$R$3+SUMPRODUCT(K$5:K$27,后果有效剂量!$J$5:$J$27)*后果有效剂量!$S24*后果有效剂量!$S$3+SUMPRODUCT(L$5:L$27,后果有效剂量!$J$5:$J$27)*后果有效剂量!$T24*后果有效剂量!$T$3+SUMPRODUCT(M$5:M$27,后果有效剂量!$J$5:$J$27)*后果有效剂量!$U24*后果有效剂量!$U$3+SUMPRODUCT(H$5:H$27,后果有效剂量!$K$5:$K$27)*后果有效剂量!$Q24+SUMPRODUCT(I$5:I$27,后果有效剂量!$K$5:$K$27)*后果有效剂量!$Q24+SUMPRODUCT(J$5:J$27,后果有效剂量!$K$5:$K$27)*后果有效剂量!$R24+SUMPRODUCT(K$5:K$27,后果有效剂量!$K$5:$K$27)*后果有效剂量!$S24+SUMPRODUCT(L$5:L$27,后果有效剂量!$K$5:$K$27)*后果有效剂量!$T24+SUMPRODUCT(M$5:M$27,后果有效剂量!$K$5:$K$27)*后果有效剂量!$U24</f>
        <v>0</v>
      </c>
      <c r="I50" s="453">
        <f ca="1">SUMPRODUCT(H$5:H$27,后果甲状腺剂量!$I$5:$I$27)*后果甲状腺剂量!$Q24+SUMPRODUCT(I$5:I$27,后果甲状腺剂量!$I$5:$I$27)*后果甲状腺剂量!$Q24+SUMPRODUCT(J$5:J$27,后果甲状腺剂量!$I$5:$I$27)*后果甲状腺剂量!$R24+SUMPRODUCT(K$5:K$27,后果甲状腺剂量!$I$5:$I$27)*后果甲状腺剂量!$S24+SUMPRODUCT(L$5:L$27,后果甲状腺剂量!$I$5:$I$27)*后果甲状腺剂量!$T24+SUMPRODUCT(M$5:M$27,后果甲状腺剂量!$I$5:$I$27)*后果甲状腺剂量!$U24+SUMPRODUCT(H$5:H$27,后果甲状腺剂量!$J$5:$J$27)*后果甲状腺剂量!$Q24*后果甲状腺剂量!$Q$3+SUMPRODUCT(I$5:I$27,后果甲状腺剂量!$J$5:$J$27)*后果甲状腺剂量!$Q24*后果甲状腺剂量!$Q$3+SUMPRODUCT(J$5:J$27,后果甲状腺剂量!$J$5:$J$27)*后果甲状腺剂量!$R24*后果甲状腺剂量!$R$3+SUMPRODUCT(K$5:K$27,后果甲状腺剂量!$J$5:$J$27)*后果甲状腺剂量!$S24*后果甲状腺剂量!$S$3+SUMPRODUCT(L$5:L$27,后果甲状腺剂量!$J$5:$J$27)*后果甲状腺剂量!$T24*后果甲状腺剂量!$T$3+SUMPRODUCT(M$5:M$27,后果甲状腺剂量!$J$5:$J$27)*后果甲状腺剂量!$U24*后果甲状腺剂量!$U$3+SUMPRODUCT(H$5:H$27,后果甲状腺剂量!$K$5:$K$27)*后果甲状腺剂量!$Q24+SUMPRODUCT(I$5:I$27,后果甲状腺剂量!$K$5:$K$27)*后果甲状腺剂量!$Q24+SUMPRODUCT(J$5:J$27,后果甲状腺剂量!$K$5:$K$27)*后果甲状腺剂量!$R24+SUMPRODUCT(K$5:K$27,后果甲状腺剂量!$K$5:$K$27)*后果甲状腺剂量!$S24+SUMPRODUCT(L$5:L$27,后果甲状腺剂量!$K$5:$K$27)*后果甲状腺剂量!$T24+SUMPRODUCT(M$5:M$27,后果甲状腺剂量!$K$5:$K$27)*后果甲状腺剂量!$U24</f>
        <v>0</v>
      </c>
      <c r="J50" s="454">
        <f ca="1" t="shared" si="253"/>
        <v>0</v>
      </c>
      <c r="K50" s="454">
        <f ca="1" t="shared" si="254"/>
        <v>0</v>
      </c>
      <c r="L50" s="436"/>
      <c r="M50" s="436"/>
      <c r="N50" s="455"/>
      <c r="Q50" s="440">
        <f>后果有效剂量!$P24</f>
        <v>0</v>
      </c>
      <c r="R50" s="441">
        <f ca="1">SUMPRODUCT(R$5:R$27,后果有效剂量!$I$5:$I$27)*后果有效剂量!$Q24+SUMPRODUCT(S$5:S$27,后果有效剂量!$I$5:$I$27)*后果有效剂量!$Q24+SUMPRODUCT(T$5:T$27,后果有效剂量!$I$5:$I$27)*后果有效剂量!$R24+SUMPRODUCT(U$5:U$27,后果有效剂量!$I$5:$I$27)*后果有效剂量!$S24+SUMPRODUCT(V$5:V$27,后果有效剂量!$I$5:$I$27)*后果有效剂量!$T24+SUMPRODUCT(W$5:W$27,后果有效剂量!$I$5:$I$27)*后果有效剂量!$U24+SUMPRODUCT(R$5:R$27,后果有效剂量!$J$5:$J$27)*后果有效剂量!$Q24*后果有效剂量!$Q$3+SUMPRODUCT(S$5:S$27,后果有效剂量!$J$5:$J$27)*后果有效剂量!$Q24*后果有效剂量!$Q$3+SUMPRODUCT(T$5:T$27,后果有效剂量!$J$5:$J$27)*后果有效剂量!$R24*后果有效剂量!$R$3+SUMPRODUCT(U$5:U$27,后果有效剂量!$J$5:$J$27)*后果有效剂量!$S24*后果有效剂量!$S$3+SUMPRODUCT(V$5:V$27,后果有效剂量!$J$5:$J$27)*后果有效剂量!$T24*后果有效剂量!$T$3+SUMPRODUCT(W$5:W$27,后果有效剂量!$J$5:$J$27)*后果有效剂量!$U24*后果有效剂量!$U$3+SUMPRODUCT(R$5:R$27,后果有效剂量!$K$5:$K$27)*后果有效剂量!$Q24+SUMPRODUCT(S$5:S$27,后果有效剂量!$K$5:$K$27)*后果有效剂量!$Q24+SUMPRODUCT(T$5:T$27,后果有效剂量!$K$5:$K$27)*后果有效剂量!$R24+SUMPRODUCT(U$5:U$27,后果有效剂量!$K$5:$K$27)*后果有效剂量!$S24+SUMPRODUCT(V$5:V$27,后果有效剂量!$K$5:$K$27)*后果有效剂量!$T24+SUMPRODUCT(W$5:W$27,后果有效剂量!$K$5:$K$27)*后果有效剂量!$U24</f>
        <v>0</v>
      </c>
      <c r="S50" s="453">
        <f ca="1">SUMPRODUCT(R$5:R$27,后果甲状腺剂量!$I$5:$I$27)*后果甲状腺剂量!$Q24+SUMPRODUCT(S$5:S$27,后果甲状腺剂量!$I$5:$I$27)*后果甲状腺剂量!$Q24+SUMPRODUCT(T$5:T$27,后果甲状腺剂量!$I$5:$I$27)*后果甲状腺剂量!$R24+SUMPRODUCT(U$5:U$27,后果甲状腺剂量!$I$5:$I$27)*后果甲状腺剂量!$S24+SUMPRODUCT(V$5:V$27,后果甲状腺剂量!$I$5:$I$27)*后果甲状腺剂量!$T24+SUMPRODUCT(W$5:W$27,后果甲状腺剂量!$I$5:$I$27)*后果甲状腺剂量!$U24+SUMPRODUCT(R$5:R$27,后果甲状腺剂量!$J$5:$J$27)*后果甲状腺剂量!$Q24*后果甲状腺剂量!$Q$3+SUMPRODUCT(S$5:S$27,后果甲状腺剂量!$J$5:$J$27)*后果甲状腺剂量!$Q24*后果甲状腺剂量!$Q$3+SUMPRODUCT(T$5:T$27,后果甲状腺剂量!$J$5:$J$27)*后果甲状腺剂量!$R24*后果甲状腺剂量!$R$3+SUMPRODUCT(U$5:U$27,后果甲状腺剂量!$J$5:$J$27)*后果甲状腺剂量!$S24*后果甲状腺剂量!$S$3+SUMPRODUCT(V$5:V$27,后果甲状腺剂量!$J$5:$J$27)*后果甲状腺剂量!$T24*后果甲状腺剂量!$T$3+SUMPRODUCT(W$5:W$27,后果甲状腺剂量!$J$5:$J$27)*后果甲状腺剂量!$U24*后果甲状腺剂量!$U$3+SUMPRODUCT(R$5:R$27,后果甲状腺剂量!$K$5:$K$27)*后果甲状腺剂量!$Q24+SUMPRODUCT(S$5:S$27,后果甲状腺剂量!$K$5:$K$27)*后果甲状腺剂量!$Q24+SUMPRODUCT(T$5:T$27,后果甲状腺剂量!$K$5:$K$27)*后果甲状腺剂量!$R24+SUMPRODUCT(U$5:U$27,后果甲状腺剂量!$K$5:$K$27)*后果甲状腺剂量!$S24+SUMPRODUCT(V$5:V$27,后果甲状腺剂量!$K$5:$K$27)*后果甲状腺剂量!$T24+SUMPRODUCT(W$5:W$27,后果甲状腺剂量!$K$5:$K$27)*后果甲状腺剂量!$U24</f>
        <v>0</v>
      </c>
      <c r="T50" s="454">
        <f ca="1" t="shared" si="255"/>
        <v>0</v>
      </c>
      <c r="U50" s="454">
        <f ca="1" t="shared" si="256"/>
        <v>0</v>
      </c>
      <c r="V50" s="436"/>
      <c r="W50" s="436"/>
      <c r="AN50" s="533"/>
      <c r="AS50" s="572"/>
      <c r="BO50" s="600"/>
      <c r="FS50" s="441">
        <f>SUMPRODUCT(FS$5:FS$27,后果有效剂量!$I$5:$I$27)*后果有效剂量!$Q24+SUMPRODUCT(FT$5:FT$27,后果有效剂量!$I$5:$I$27)*后果有效剂量!$R24+SUMPRODUCT(FU$5:FU$27,后果有效剂量!$I$5:$I$27)*后果有效剂量!$S24+SUMPRODUCT(FV$5:FV$27,后果有效剂量!$I$5:$I$27)*后果有效剂量!$T24+SUMPRODUCT(FS$5:FS$27,后果有效剂量!$J$5:$J$27)*后果有效剂量!$Q24*后果有效剂量!$Q$3+SUMPRODUCT(FT$5:FT$27,后果有效剂量!$J$5:$J$27)*后果有效剂量!$R24*后果有效剂量!$R$3+SUMPRODUCT(FU$5:FU$27,后果有效剂量!$J$5:$J$27)*后果有效剂量!$S24*后果有效剂量!$S$3+SUMPRODUCT(FV$5:FV$27,后果有效剂量!$J$5:$J$27)*后果有效剂量!$T24*后果有效剂量!$T$3+SUMPRODUCT(FS$5:FS$27,后果有效剂量!$K$5:$K$27)*后果有效剂量!$Q24+SUMPRODUCT(FT$5:FT$27,后果有效剂量!$K$5:$K$27)*后果有效剂量!$R24+SUMPRODUCT(FU$5:FU$27,后果有效剂量!$K$5:$K$27)*后果有效剂量!$S24+SUMPRODUCT(FV$5:FV$27,后果有效剂量!$K$5:$K$27)*后果有效剂量!$T24</f>
        <v>0</v>
      </c>
      <c r="FT50" s="453">
        <f>SUMPRODUCT(FS$5:FS$27,后果甲状腺剂量!$I$5:$I$27)*后果甲状腺剂量!$Q24+SUMPRODUCT(FT$5:FT$27,后果甲状腺剂量!$I$5:$I$27)*后果甲状腺剂量!$R24+SUMPRODUCT(FU$5:FU$27,后果甲状腺剂量!$I$5:$I$27)*后果甲状腺剂量!$S24+SUMPRODUCT(FV$5:FV$27,后果甲状腺剂量!$I$5:$I$27)*后果甲状腺剂量!$T24+SUMPRODUCT(FS$5:FS$27,后果甲状腺剂量!$J$5:$J$27)*后果甲状腺剂量!$Q24*后果甲状腺剂量!$Q$3+SUMPRODUCT(FT$5:FT$27,后果甲状腺剂量!$J$5:$J$27)*后果甲状腺剂量!$R24*后果甲状腺剂量!$R$3+SUMPRODUCT(FU$5:FU$27,后果甲状腺剂量!$J$5:$J$27)*后果甲状腺剂量!$S24*后果甲状腺剂量!$S$3+SUMPRODUCT(FV$5:FV$27,后果甲状腺剂量!$J$5:$J$27)*后果甲状腺剂量!$T24*后果甲状腺剂量!$T$3+SUMPRODUCT(FS$5:FS$27,后果甲状腺剂量!$K$5:$K$27)*后果甲状腺剂量!$Q24+SUMPRODUCT(FT$5:FT$27,后果甲状腺剂量!$K$5:$K$27)*后果甲状腺剂量!$R24+SUMPRODUCT(FU$5:FU$27,后果甲状腺剂量!$K$5:$K$27)*后果甲状腺剂量!$S24+SUMPRODUCT(FV$5:FV$27,后果甲状腺剂量!$K$5:$K$27)*后果甲状腺剂量!$T24</f>
        <v>0</v>
      </c>
      <c r="FU50" s="454">
        <f t="shared" si="257"/>
        <v>0</v>
      </c>
      <c r="FV50" s="454">
        <f t="shared" si="258"/>
        <v>0</v>
      </c>
      <c r="FW50" s="436"/>
      <c r="FX50" s="436"/>
      <c r="GD50" s="440">
        <f>后果有效剂量!$P24</f>
        <v>0</v>
      </c>
      <c r="GE50" s="441">
        <f>SUMPRODUCT(GE$5:GE$27,后果有效剂量!$I$5:$I$27)*后果有效剂量!$Q24+SUMPRODUCT(GF$5:GF$27,后果有效剂量!$I$5:$I$27)*后果有效剂量!$R24+SUMPRODUCT(GG$5:GG$27,后果有效剂量!$I$5:$I$27)*后果有效剂量!$S24+(SUMPRODUCT(GH$5:GH$27,后果有效剂量!$I$5:$I$27)+SUMPRODUCT(GI$5:GI$27,后果有效剂量!$I$5:$I$27))*后果有效剂量!$T24+SUMPRODUCT(GJ$5:GJ$27,后果有效剂量!$I$5:$I$27)*后果有效剂量!$U24+SUMPRODUCT(GE$5:GE$27,后果有效剂量!$J$5:$J$27)*后果有效剂量!$Q24*后果有效剂量!$Q$3+SUMPRODUCT(GF$5:GF$27,后果有效剂量!$J$5:$J$27)*后果有效剂量!$R24*后果有效剂量!$R$3+SUMPRODUCT(GG$5:GG$27,后果有效剂量!$J$5:$J$27)*后果有效剂量!$S24*后果有效剂量!$S$3+(SUMPRODUCT(GH$5:GH$27,后果有效剂量!$J$5:$J$27)+SUMPRODUCT(GI$5:GI$27,后果有效剂量!$J$5:$J$27))*后果有效剂量!$T24*后果有效剂量!$T$3+SUMPRODUCT(GJ$5:GJ$27,后果有效剂量!$J$5:$J$27)*后果有效剂量!$U24*后果有效剂量!$U$3+SUMPRODUCT(GE$5:GE$27,后果有效剂量!$K$5:$K$27)*后果有效剂量!$Q24+SUMPRODUCT(GF$5:GF$27,后果有效剂量!$K$5:$K$27)*后果有效剂量!$R24+SUMPRODUCT(GG$5:GG$27,后果有效剂量!$K$5:$K$27)*后果有效剂量!$S24+(SUMPRODUCT(GH$5:GH$27,后果有效剂量!$K$5:$K$27)+SUMPRODUCT(GI$5:GI$27,后果有效剂量!$K$5:$K$27))*后果有效剂量!$T24+SUMPRODUCT(GJ$5:GJ$27,后果有效剂量!$K$5:$K$27)*后果有效剂量!$U24</f>
        <v>0</v>
      </c>
      <c r="GF50" s="453">
        <f>SUMPRODUCT(GE$5:GE$27,后果甲状腺剂量!$I$5:$I$27)*后果甲状腺剂量!$Q24+SUMPRODUCT(GF$5:GF$27,后果甲状腺剂量!$I$5:$I$27)*后果甲状腺剂量!$R24+SUMPRODUCT(GG$5:GG$27,后果甲状腺剂量!$I$5:$I$27)*后果甲状腺剂量!$S24+(SUMPRODUCT(GH$5:GH$27,后果甲状腺剂量!$I$5:$I$27)+SUMPRODUCT(GI$5:GI$27,后果甲状腺剂量!$I$5:$I$27))*后果甲状腺剂量!$T24+SUMPRODUCT(GJ$5:GJ$27,后果甲状腺剂量!$I$5:$I$27)*后果甲状腺剂量!$U24+SUMPRODUCT(GE$5:GE$27,后果甲状腺剂量!$J$5:$J$27)*后果甲状腺剂量!$Q24*后果甲状腺剂量!$Q$3+SUMPRODUCT(GF$5:GF$27,后果甲状腺剂量!$J$5:$J$27)*后果甲状腺剂量!$R24*后果甲状腺剂量!$R$3+SUMPRODUCT(GG$5:GG$27,后果甲状腺剂量!$J$5:$J$27)*后果甲状腺剂量!$S24*后果甲状腺剂量!$S$3+(SUMPRODUCT(GH$5:GH$27,后果甲状腺剂量!$J$5:$J$27)+SUMPRODUCT(GI$5:GI$27,后果甲状腺剂量!$J$5:$J$27))*后果甲状腺剂量!$T24*后果甲状腺剂量!$T$3+SUMPRODUCT(GJ$5:GJ$27,后果甲状腺剂量!$J$5:$J$27)*后果甲状腺剂量!$U24*后果甲状腺剂量!$U$3+SUMPRODUCT(GE$5:GE$27,后果甲状腺剂量!$K$5:$K$27)*后果甲状腺剂量!$Q24+SUMPRODUCT(GF$5:GF$27,后果甲状腺剂量!$K$5:$K$27)*后果甲状腺剂量!$R24+SUMPRODUCT(GG$5:GG$27,后果甲状腺剂量!$K$5:$K$27)*后果甲状腺剂量!$S24+(SUMPRODUCT(GH$5:GH$27,后果甲状腺剂量!$K$5:$K$27)+SUMPRODUCT(GI$5:GI$27,后果甲状腺剂量!$K$5:$K$27))*后果甲状腺剂量!$T24+SUMPRODUCT(GJ$5:GJ$27,后果甲状腺剂量!$K$5:$K$27)*后果甲状腺剂量!$U24</f>
        <v>0</v>
      </c>
      <c r="GG50" s="454">
        <f t="shared" si="259"/>
        <v>0</v>
      </c>
      <c r="GH50" s="454">
        <f t="shared" si="260"/>
        <v>0</v>
      </c>
      <c r="GI50" s="436"/>
      <c r="GJ50" s="436"/>
    </row>
    <row r="51" spans="7:192">
      <c r="G51" s="440">
        <f>后果有效剂量!$P25</f>
        <v>0</v>
      </c>
      <c r="H51" s="441">
        <f ca="1">SUMPRODUCT(H$5:H$27,后果有效剂量!$I$5:$I$27)*后果有效剂量!$Q25+SUMPRODUCT(I$5:I$27,后果有效剂量!$I$5:$I$27)*后果有效剂量!$Q25+SUMPRODUCT(J$5:J$27,后果有效剂量!$I$5:$I$27)*后果有效剂量!$R25+SUMPRODUCT(K$5:K$27,后果有效剂量!$I$5:$I$27)*后果有效剂量!$S25+SUMPRODUCT(L$5:L$27,后果有效剂量!$I$5:$I$27)*后果有效剂量!$T25+SUMPRODUCT(M$5:M$27,后果有效剂量!$I$5:$I$27)*后果有效剂量!$U25+SUMPRODUCT(H$5:H$27,后果有效剂量!$J$5:$J$27)*后果有效剂量!$Q25*后果有效剂量!$Q$3+SUMPRODUCT(I$5:I$27,后果有效剂量!$J$5:$J$27)*后果有效剂量!$Q25*后果有效剂量!$Q$3+SUMPRODUCT(J$5:J$27,后果有效剂量!$J$5:$J$27)*后果有效剂量!$R25*后果有效剂量!$R$3+SUMPRODUCT(K$5:K$27,后果有效剂量!$J$5:$J$27)*后果有效剂量!$S25*后果有效剂量!$S$3+SUMPRODUCT(L$5:L$27,后果有效剂量!$J$5:$J$27)*后果有效剂量!$T25*后果有效剂量!$T$3+SUMPRODUCT(M$5:M$27,后果有效剂量!$J$5:$J$27)*后果有效剂量!$U25*后果有效剂量!$U$3+SUMPRODUCT(H$5:H$27,后果有效剂量!$K$5:$K$27)*后果有效剂量!$Q25+SUMPRODUCT(I$5:I$27,后果有效剂量!$K$5:$K$27)*后果有效剂量!$Q25+SUMPRODUCT(J$5:J$27,后果有效剂量!$K$5:$K$27)*后果有效剂量!$R25+SUMPRODUCT(K$5:K$27,后果有效剂量!$K$5:$K$27)*后果有效剂量!$S25+SUMPRODUCT(L$5:L$27,后果有效剂量!$K$5:$K$27)*后果有效剂量!$T25+SUMPRODUCT(M$5:M$27,后果有效剂量!$K$5:$K$27)*后果有效剂量!$U25</f>
        <v>0</v>
      </c>
      <c r="I51" s="453">
        <f ca="1">SUMPRODUCT(H$5:H$27,后果甲状腺剂量!$I$5:$I$27)*后果甲状腺剂量!$Q25+SUMPRODUCT(I$5:I$27,后果甲状腺剂量!$I$5:$I$27)*后果甲状腺剂量!$Q25+SUMPRODUCT(J$5:J$27,后果甲状腺剂量!$I$5:$I$27)*后果甲状腺剂量!$R25+SUMPRODUCT(K$5:K$27,后果甲状腺剂量!$I$5:$I$27)*后果甲状腺剂量!$S25+SUMPRODUCT(L$5:L$27,后果甲状腺剂量!$I$5:$I$27)*后果甲状腺剂量!$T25+SUMPRODUCT(M$5:M$27,后果甲状腺剂量!$I$5:$I$27)*后果甲状腺剂量!$U25+SUMPRODUCT(H$5:H$27,后果甲状腺剂量!$J$5:$J$27)*后果甲状腺剂量!$Q25*后果甲状腺剂量!$Q$3+SUMPRODUCT(I$5:I$27,后果甲状腺剂量!$J$5:$J$27)*后果甲状腺剂量!$Q25*后果甲状腺剂量!$Q$3+SUMPRODUCT(J$5:J$27,后果甲状腺剂量!$J$5:$J$27)*后果甲状腺剂量!$R25*后果甲状腺剂量!$R$3+SUMPRODUCT(K$5:K$27,后果甲状腺剂量!$J$5:$J$27)*后果甲状腺剂量!$S25*后果甲状腺剂量!$S$3+SUMPRODUCT(L$5:L$27,后果甲状腺剂量!$J$5:$J$27)*后果甲状腺剂量!$T25*后果甲状腺剂量!$T$3+SUMPRODUCT(M$5:M$27,后果甲状腺剂量!$J$5:$J$27)*后果甲状腺剂量!$U25*后果甲状腺剂量!$U$3+SUMPRODUCT(H$5:H$27,后果甲状腺剂量!$K$5:$K$27)*后果甲状腺剂量!$Q25+SUMPRODUCT(I$5:I$27,后果甲状腺剂量!$K$5:$K$27)*后果甲状腺剂量!$Q25+SUMPRODUCT(J$5:J$27,后果甲状腺剂量!$K$5:$K$27)*后果甲状腺剂量!$R25+SUMPRODUCT(K$5:K$27,后果甲状腺剂量!$K$5:$K$27)*后果甲状腺剂量!$S25+SUMPRODUCT(L$5:L$27,后果甲状腺剂量!$K$5:$K$27)*后果甲状腺剂量!$T25+SUMPRODUCT(M$5:M$27,后果甲状腺剂量!$K$5:$K$27)*后果甲状腺剂量!$U25</f>
        <v>0</v>
      </c>
      <c r="J51" s="454">
        <f ca="1" t="shared" si="253"/>
        <v>0</v>
      </c>
      <c r="K51" s="454">
        <f ca="1" t="shared" si="254"/>
        <v>0</v>
      </c>
      <c r="L51" s="459">
        <f ca="1" t="shared" ref="L51:L56" si="261">J51/10*100</f>
        <v>0</v>
      </c>
      <c r="M51" s="459">
        <f ca="1" t="shared" ref="M51:M56" si="262">K51/100*100</f>
        <v>0</v>
      </c>
      <c r="N51" s="455"/>
      <c r="Q51" s="440">
        <f>后果有效剂量!$P25</f>
        <v>0</v>
      </c>
      <c r="R51" s="441">
        <f ca="1">SUMPRODUCT(R$5:R$27,后果有效剂量!$I$5:$I$27)*后果有效剂量!$Q25+SUMPRODUCT(S$5:S$27,后果有效剂量!$I$5:$I$27)*后果有效剂量!$Q25+SUMPRODUCT(T$5:T$27,后果有效剂量!$I$5:$I$27)*后果有效剂量!$R25+SUMPRODUCT(U$5:U$27,后果有效剂量!$I$5:$I$27)*后果有效剂量!$S25+SUMPRODUCT(V$5:V$27,后果有效剂量!$I$5:$I$27)*后果有效剂量!$T25+SUMPRODUCT(W$5:W$27,后果有效剂量!$I$5:$I$27)*后果有效剂量!$U25+SUMPRODUCT(R$5:R$27,后果有效剂量!$J$5:$J$27)*后果有效剂量!$Q25*后果有效剂量!$Q$3+SUMPRODUCT(S$5:S$27,后果有效剂量!$J$5:$J$27)*后果有效剂量!$Q25*后果有效剂量!$Q$3+SUMPRODUCT(T$5:T$27,后果有效剂量!$J$5:$J$27)*后果有效剂量!$R25*后果有效剂量!$R$3+SUMPRODUCT(U$5:U$27,后果有效剂量!$J$5:$J$27)*后果有效剂量!$S25*后果有效剂量!$S$3+SUMPRODUCT(V$5:V$27,后果有效剂量!$J$5:$J$27)*后果有效剂量!$T25*后果有效剂量!$T$3+SUMPRODUCT(W$5:W$27,后果有效剂量!$J$5:$J$27)*后果有效剂量!$U25*后果有效剂量!$U$3+SUMPRODUCT(R$5:R$27,后果有效剂量!$K$5:$K$27)*后果有效剂量!$Q25+SUMPRODUCT(S$5:S$27,后果有效剂量!$K$5:$K$27)*后果有效剂量!$Q25+SUMPRODUCT(T$5:T$27,后果有效剂量!$K$5:$K$27)*后果有效剂量!$R25+SUMPRODUCT(U$5:U$27,后果有效剂量!$K$5:$K$27)*后果有效剂量!$S25+SUMPRODUCT(V$5:V$27,后果有效剂量!$K$5:$K$27)*后果有效剂量!$T25+SUMPRODUCT(W$5:W$27,后果有效剂量!$K$5:$K$27)*后果有效剂量!$U25</f>
        <v>0</v>
      </c>
      <c r="S51" s="453">
        <f ca="1">SUMPRODUCT(R$5:R$27,后果甲状腺剂量!$I$5:$I$27)*后果甲状腺剂量!$Q25+SUMPRODUCT(S$5:S$27,后果甲状腺剂量!$I$5:$I$27)*后果甲状腺剂量!$Q25+SUMPRODUCT(T$5:T$27,后果甲状腺剂量!$I$5:$I$27)*后果甲状腺剂量!$R25+SUMPRODUCT(U$5:U$27,后果甲状腺剂量!$I$5:$I$27)*后果甲状腺剂量!$S25+SUMPRODUCT(V$5:V$27,后果甲状腺剂量!$I$5:$I$27)*后果甲状腺剂量!$T25+SUMPRODUCT(W$5:W$27,后果甲状腺剂量!$I$5:$I$27)*后果甲状腺剂量!$U25+SUMPRODUCT(R$5:R$27,后果甲状腺剂量!$J$5:$J$27)*后果甲状腺剂量!$Q25*后果甲状腺剂量!$Q$3+SUMPRODUCT(S$5:S$27,后果甲状腺剂量!$J$5:$J$27)*后果甲状腺剂量!$Q25*后果甲状腺剂量!$Q$3+SUMPRODUCT(T$5:T$27,后果甲状腺剂量!$J$5:$J$27)*后果甲状腺剂量!$R25*后果甲状腺剂量!$R$3+SUMPRODUCT(U$5:U$27,后果甲状腺剂量!$J$5:$J$27)*后果甲状腺剂量!$S25*后果甲状腺剂量!$S$3+SUMPRODUCT(V$5:V$27,后果甲状腺剂量!$J$5:$J$27)*后果甲状腺剂量!$T25*后果甲状腺剂量!$T$3+SUMPRODUCT(W$5:W$27,后果甲状腺剂量!$J$5:$J$27)*后果甲状腺剂量!$U25*后果甲状腺剂量!$U$3+SUMPRODUCT(R$5:R$27,后果甲状腺剂量!$K$5:$K$27)*后果甲状腺剂量!$Q25+SUMPRODUCT(S$5:S$27,后果甲状腺剂量!$K$5:$K$27)*后果甲状腺剂量!$Q25+SUMPRODUCT(T$5:T$27,后果甲状腺剂量!$K$5:$K$27)*后果甲状腺剂量!$R25+SUMPRODUCT(U$5:U$27,后果甲状腺剂量!$K$5:$K$27)*后果甲状腺剂量!$S25+SUMPRODUCT(V$5:V$27,后果甲状腺剂量!$K$5:$K$27)*后果甲状腺剂量!$T25+SUMPRODUCT(W$5:W$27,后果甲状腺剂量!$K$5:$K$27)*后果甲状腺剂量!$U25</f>
        <v>0</v>
      </c>
      <c r="T51" s="454">
        <f ca="1" t="shared" si="255"/>
        <v>0</v>
      </c>
      <c r="U51" s="454">
        <f ca="1" t="shared" si="256"/>
        <v>0</v>
      </c>
      <c r="V51" s="459">
        <f ca="1" t="shared" ref="V51:V56" si="263">T51/10*100</f>
        <v>0</v>
      </c>
      <c r="W51" s="459">
        <f ca="1" t="shared" ref="W51:W56" si="264">U51/100*100</f>
        <v>0</v>
      </c>
      <c r="AS51" s="572"/>
      <c r="FS51" s="441">
        <f>SUMPRODUCT(FS$5:FS$27,后果有效剂量!$I$5:$I$27)*后果有效剂量!$Q25+SUMPRODUCT(FT$5:FT$27,后果有效剂量!$I$5:$I$27)*后果有效剂量!$R25+SUMPRODUCT(FU$5:FU$27,后果有效剂量!$I$5:$I$27)*后果有效剂量!$S25+SUMPRODUCT(FV$5:FV$27,后果有效剂量!$I$5:$I$27)*后果有效剂量!$T25+SUMPRODUCT(FS$5:FS$27,后果有效剂量!$J$5:$J$27)*后果有效剂量!$Q25*后果有效剂量!$Q$3+SUMPRODUCT(FT$5:FT$27,后果有效剂量!$J$5:$J$27)*后果有效剂量!$R25*后果有效剂量!$R$3+SUMPRODUCT(FU$5:FU$27,后果有效剂量!$J$5:$J$27)*后果有效剂量!$S25*后果有效剂量!$S$3+SUMPRODUCT(FV$5:FV$27,后果有效剂量!$J$5:$J$27)*后果有效剂量!$T25*后果有效剂量!$T$3+SUMPRODUCT(FS$5:FS$27,后果有效剂量!$K$5:$K$27)*后果有效剂量!$Q25+SUMPRODUCT(FT$5:FT$27,后果有效剂量!$K$5:$K$27)*后果有效剂量!$R25+SUMPRODUCT(FU$5:FU$27,后果有效剂量!$K$5:$K$27)*后果有效剂量!$S25+SUMPRODUCT(FV$5:FV$27,后果有效剂量!$K$5:$K$27)*后果有效剂量!$T25</f>
        <v>0</v>
      </c>
      <c r="FT51" s="453">
        <f>SUMPRODUCT(FS$5:FS$27,后果甲状腺剂量!$I$5:$I$27)*后果甲状腺剂量!$Q25+SUMPRODUCT(FT$5:FT$27,后果甲状腺剂量!$I$5:$I$27)*后果甲状腺剂量!$R25+SUMPRODUCT(FU$5:FU$27,后果甲状腺剂量!$I$5:$I$27)*后果甲状腺剂量!$S25+SUMPRODUCT(FV$5:FV$27,后果甲状腺剂量!$I$5:$I$27)*后果甲状腺剂量!$T25+SUMPRODUCT(FS$5:FS$27,后果甲状腺剂量!$J$5:$J$27)*后果甲状腺剂量!$Q25*后果甲状腺剂量!$Q$3+SUMPRODUCT(FT$5:FT$27,后果甲状腺剂量!$J$5:$J$27)*后果甲状腺剂量!$R25*后果甲状腺剂量!$R$3+SUMPRODUCT(FU$5:FU$27,后果甲状腺剂量!$J$5:$J$27)*后果甲状腺剂量!$S25*后果甲状腺剂量!$S$3+SUMPRODUCT(FV$5:FV$27,后果甲状腺剂量!$J$5:$J$27)*后果甲状腺剂量!$T25*后果甲状腺剂量!$T$3+SUMPRODUCT(FS$5:FS$27,后果甲状腺剂量!$K$5:$K$27)*后果甲状腺剂量!$Q25+SUMPRODUCT(FT$5:FT$27,后果甲状腺剂量!$K$5:$K$27)*后果甲状腺剂量!$R25+SUMPRODUCT(FU$5:FU$27,后果甲状腺剂量!$K$5:$K$27)*后果甲状腺剂量!$S25+SUMPRODUCT(FV$5:FV$27,后果甲状腺剂量!$K$5:$K$27)*后果甲状腺剂量!$T25</f>
        <v>0</v>
      </c>
      <c r="FU51" s="454">
        <f t="shared" si="257"/>
        <v>0</v>
      </c>
      <c r="FV51" s="454">
        <f t="shared" si="258"/>
        <v>0</v>
      </c>
      <c r="FW51" s="459">
        <f t="shared" ref="FW51:FW56" si="265">FU51/10*100</f>
        <v>0</v>
      </c>
      <c r="FX51" s="459">
        <f t="shared" ref="FX51:FX56" si="266">FV51/100*100</f>
        <v>0</v>
      </c>
      <c r="GD51" s="440">
        <f>后果有效剂量!$P25</f>
        <v>0</v>
      </c>
      <c r="GE51" s="441">
        <f>SUMPRODUCT(GE$5:GE$27,后果有效剂量!$I$5:$I$27)*后果有效剂量!$Q25+SUMPRODUCT(GF$5:GF$27,后果有效剂量!$I$5:$I$27)*后果有效剂量!$R25+SUMPRODUCT(GG$5:GG$27,后果有效剂量!$I$5:$I$27)*后果有效剂量!$S25+(SUMPRODUCT(GH$5:GH$27,后果有效剂量!$I$5:$I$27)+SUMPRODUCT(GI$5:GI$27,后果有效剂量!$I$5:$I$27))*后果有效剂量!$T25+SUMPRODUCT(GJ$5:GJ$27,后果有效剂量!$I$5:$I$27)*后果有效剂量!$U25+SUMPRODUCT(GE$5:GE$27,后果有效剂量!$J$5:$J$27)*后果有效剂量!$Q25*后果有效剂量!$Q$3+SUMPRODUCT(GF$5:GF$27,后果有效剂量!$J$5:$J$27)*后果有效剂量!$R25*后果有效剂量!$R$3+SUMPRODUCT(GG$5:GG$27,后果有效剂量!$J$5:$J$27)*后果有效剂量!$S25*后果有效剂量!$S$3+(SUMPRODUCT(GH$5:GH$27,后果有效剂量!$J$5:$J$27)+SUMPRODUCT(GI$5:GI$27,后果有效剂量!$J$5:$J$27))*后果有效剂量!$T25*后果有效剂量!$T$3+SUMPRODUCT(GJ$5:GJ$27,后果有效剂量!$J$5:$J$27)*后果有效剂量!$U25*后果有效剂量!$U$3+SUMPRODUCT(GE$5:GE$27,后果有效剂量!$K$5:$K$27)*后果有效剂量!$Q25+SUMPRODUCT(GF$5:GF$27,后果有效剂量!$K$5:$K$27)*后果有效剂量!$R25+SUMPRODUCT(GG$5:GG$27,后果有效剂量!$K$5:$K$27)*后果有效剂量!$S25+(SUMPRODUCT(GH$5:GH$27,后果有效剂量!$K$5:$K$27)+SUMPRODUCT(GI$5:GI$27,后果有效剂量!$K$5:$K$27))*后果有效剂量!$T25+SUMPRODUCT(GJ$5:GJ$27,后果有效剂量!$K$5:$K$27)*后果有效剂量!$U25</f>
        <v>0</v>
      </c>
      <c r="GF51" s="453">
        <f>SUMPRODUCT(GE$5:GE$27,后果甲状腺剂量!$I$5:$I$27)*后果甲状腺剂量!$Q25+SUMPRODUCT(GF$5:GF$27,后果甲状腺剂量!$I$5:$I$27)*后果甲状腺剂量!$R25+SUMPRODUCT(GG$5:GG$27,后果甲状腺剂量!$I$5:$I$27)*后果甲状腺剂量!$S25+(SUMPRODUCT(GH$5:GH$27,后果甲状腺剂量!$I$5:$I$27)+SUMPRODUCT(GI$5:GI$27,后果甲状腺剂量!$I$5:$I$27))*后果甲状腺剂量!$T25+SUMPRODUCT(GJ$5:GJ$27,后果甲状腺剂量!$I$5:$I$27)*后果甲状腺剂量!$U25+SUMPRODUCT(GE$5:GE$27,后果甲状腺剂量!$J$5:$J$27)*后果甲状腺剂量!$Q25*后果甲状腺剂量!$Q$3+SUMPRODUCT(GF$5:GF$27,后果甲状腺剂量!$J$5:$J$27)*后果甲状腺剂量!$R25*后果甲状腺剂量!$R$3+SUMPRODUCT(GG$5:GG$27,后果甲状腺剂量!$J$5:$J$27)*后果甲状腺剂量!$S25*后果甲状腺剂量!$S$3+(SUMPRODUCT(GH$5:GH$27,后果甲状腺剂量!$J$5:$J$27)+SUMPRODUCT(GI$5:GI$27,后果甲状腺剂量!$J$5:$J$27))*后果甲状腺剂量!$T25*后果甲状腺剂量!$T$3+SUMPRODUCT(GJ$5:GJ$27,后果甲状腺剂量!$J$5:$J$27)*后果甲状腺剂量!$U25*后果甲状腺剂量!$U$3+SUMPRODUCT(GE$5:GE$27,后果甲状腺剂量!$K$5:$K$27)*后果甲状腺剂量!$Q25+SUMPRODUCT(GF$5:GF$27,后果甲状腺剂量!$K$5:$K$27)*后果甲状腺剂量!$R25+SUMPRODUCT(GG$5:GG$27,后果甲状腺剂量!$K$5:$K$27)*后果甲状腺剂量!$S25+(SUMPRODUCT(GH$5:GH$27,后果甲状腺剂量!$K$5:$K$27)+SUMPRODUCT(GI$5:GI$27,后果甲状腺剂量!$K$5:$K$27))*后果甲状腺剂量!$T25+SUMPRODUCT(GJ$5:GJ$27,后果甲状腺剂量!$K$5:$K$27)*后果甲状腺剂量!$U25</f>
        <v>0</v>
      </c>
      <c r="GG51" s="454">
        <f t="shared" si="259"/>
        <v>0</v>
      </c>
      <c r="GH51" s="454">
        <f t="shared" si="260"/>
        <v>0</v>
      </c>
      <c r="GI51" s="459">
        <f t="shared" ref="GI51:GI56" si="267">GG51/10*100</f>
        <v>0</v>
      </c>
      <c r="GJ51" s="459">
        <f t="shared" ref="GJ51:GJ56" si="268">GH51/100*100</f>
        <v>0</v>
      </c>
    </row>
    <row r="52" spans="7:192">
      <c r="G52" s="440">
        <f>后果有效剂量!$P26</f>
        <v>0</v>
      </c>
      <c r="H52" s="441">
        <f ca="1">SUMPRODUCT(H$5:H$27,后果有效剂量!$I$5:$I$27)*后果有效剂量!$Q26+SUMPRODUCT(I$5:I$27,后果有效剂量!$I$5:$I$27)*后果有效剂量!$Q26+SUMPRODUCT(J$5:J$27,后果有效剂量!$I$5:$I$27)*后果有效剂量!$R26+SUMPRODUCT(K$5:K$27,后果有效剂量!$I$5:$I$27)*后果有效剂量!$S26+SUMPRODUCT(L$5:L$27,后果有效剂量!$I$5:$I$27)*后果有效剂量!$T26+SUMPRODUCT(M$5:M$27,后果有效剂量!$I$5:$I$27)*后果有效剂量!$U26+SUMPRODUCT(H$5:H$27,后果有效剂量!$J$5:$J$27)*后果有效剂量!$Q26*后果有效剂量!$Q$3+SUMPRODUCT(I$5:I$27,后果有效剂量!$J$5:$J$27)*后果有效剂量!$Q26*后果有效剂量!$Q$3+SUMPRODUCT(J$5:J$27,后果有效剂量!$J$5:$J$27)*后果有效剂量!$R26*后果有效剂量!$R$3+SUMPRODUCT(K$5:K$27,后果有效剂量!$J$5:$J$27)*后果有效剂量!$S26*后果有效剂量!$S$3+SUMPRODUCT(L$5:L$27,后果有效剂量!$J$5:$J$27)*后果有效剂量!$T26*后果有效剂量!$T$3+SUMPRODUCT(M$5:M$27,后果有效剂量!$J$5:$J$27)*后果有效剂量!$U26*后果有效剂量!$U$3+SUMPRODUCT(H$5:H$27,后果有效剂量!$K$5:$K$27)*后果有效剂量!$Q26+SUMPRODUCT(I$5:I$27,后果有效剂量!$K$5:$K$27)*后果有效剂量!$Q26+SUMPRODUCT(J$5:J$27,后果有效剂量!$K$5:$K$27)*后果有效剂量!$R26+SUMPRODUCT(K$5:K$27,后果有效剂量!$K$5:$K$27)*后果有效剂量!$S26+SUMPRODUCT(L$5:L$27,后果有效剂量!$K$5:$K$27)*后果有效剂量!$T26+SUMPRODUCT(M$5:M$27,后果有效剂量!$K$5:$K$27)*后果有效剂量!$U26</f>
        <v>0</v>
      </c>
      <c r="I52" s="453">
        <f ca="1">SUMPRODUCT(H$5:H$27,后果甲状腺剂量!$I$5:$I$27)*后果甲状腺剂量!$Q26+SUMPRODUCT(I$5:I$27,后果甲状腺剂量!$I$5:$I$27)*后果甲状腺剂量!$Q26+SUMPRODUCT(J$5:J$27,后果甲状腺剂量!$I$5:$I$27)*后果甲状腺剂量!$R26+SUMPRODUCT(K$5:K$27,后果甲状腺剂量!$I$5:$I$27)*后果甲状腺剂量!$S26+SUMPRODUCT(L$5:L$27,后果甲状腺剂量!$I$5:$I$27)*后果甲状腺剂量!$T26+SUMPRODUCT(M$5:M$27,后果甲状腺剂量!$I$5:$I$27)*后果甲状腺剂量!$U26+SUMPRODUCT(H$5:H$27,后果甲状腺剂量!$J$5:$J$27)*后果甲状腺剂量!$Q26*后果甲状腺剂量!$Q$3+SUMPRODUCT(I$5:I$27,后果甲状腺剂量!$J$5:$J$27)*后果甲状腺剂量!$Q26*后果甲状腺剂量!$Q$3+SUMPRODUCT(J$5:J$27,后果甲状腺剂量!$J$5:$J$27)*后果甲状腺剂量!$R26*后果甲状腺剂量!$R$3+SUMPRODUCT(K$5:K$27,后果甲状腺剂量!$J$5:$J$27)*后果甲状腺剂量!$S26*后果甲状腺剂量!$S$3+SUMPRODUCT(L$5:L$27,后果甲状腺剂量!$J$5:$J$27)*后果甲状腺剂量!$T26*后果甲状腺剂量!$T$3+SUMPRODUCT(M$5:M$27,后果甲状腺剂量!$J$5:$J$27)*后果甲状腺剂量!$U26*后果甲状腺剂量!$U$3+SUMPRODUCT(H$5:H$27,后果甲状腺剂量!$K$5:$K$27)*后果甲状腺剂量!$Q26+SUMPRODUCT(I$5:I$27,后果甲状腺剂量!$K$5:$K$27)*后果甲状腺剂量!$Q26+SUMPRODUCT(J$5:J$27,后果甲状腺剂量!$K$5:$K$27)*后果甲状腺剂量!$R26+SUMPRODUCT(K$5:K$27,后果甲状腺剂量!$K$5:$K$27)*后果甲状腺剂量!$S26+SUMPRODUCT(L$5:L$27,后果甲状腺剂量!$K$5:$K$27)*后果甲状腺剂量!$T26+SUMPRODUCT(M$5:M$27,后果甲状腺剂量!$K$5:$K$27)*后果甲状腺剂量!$U26</f>
        <v>0</v>
      </c>
      <c r="J52" s="454">
        <f ca="1" t="shared" si="253"/>
        <v>0</v>
      </c>
      <c r="K52" s="454">
        <f ca="1" t="shared" si="254"/>
        <v>0</v>
      </c>
      <c r="L52" s="459">
        <f ca="1" t="shared" si="261"/>
        <v>0</v>
      </c>
      <c r="M52" s="459">
        <f ca="1" t="shared" si="262"/>
        <v>0</v>
      </c>
      <c r="N52" s="455"/>
      <c r="Q52" s="440">
        <f>后果有效剂量!$P26</f>
        <v>0</v>
      </c>
      <c r="R52" s="441">
        <f ca="1">SUMPRODUCT(R$5:R$27,后果有效剂量!$I$5:$I$27)*后果有效剂量!$Q26+SUMPRODUCT(S$5:S$27,后果有效剂量!$I$5:$I$27)*后果有效剂量!$Q26+SUMPRODUCT(T$5:T$27,后果有效剂量!$I$5:$I$27)*后果有效剂量!$R26+SUMPRODUCT(U$5:U$27,后果有效剂量!$I$5:$I$27)*后果有效剂量!$S26+SUMPRODUCT(V$5:V$27,后果有效剂量!$I$5:$I$27)*后果有效剂量!$T26+SUMPRODUCT(W$5:W$27,后果有效剂量!$I$5:$I$27)*后果有效剂量!$U26+SUMPRODUCT(R$5:R$27,后果有效剂量!$J$5:$J$27)*后果有效剂量!$Q26*后果有效剂量!$Q$3+SUMPRODUCT(S$5:S$27,后果有效剂量!$J$5:$J$27)*后果有效剂量!$Q26*后果有效剂量!$Q$3+SUMPRODUCT(T$5:T$27,后果有效剂量!$J$5:$J$27)*后果有效剂量!$R26*后果有效剂量!$R$3+SUMPRODUCT(U$5:U$27,后果有效剂量!$J$5:$J$27)*后果有效剂量!$S26*后果有效剂量!$S$3+SUMPRODUCT(V$5:V$27,后果有效剂量!$J$5:$J$27)*后果有效剂量!$T26*后果有效剂量!$T$3+SUMPRODUCT(W$5:W$27,后果有效剂量!$J$5:$J$27)*后果有效剂量!$U26*后果有效剂量!$U$3+SUMPRODUCT(R$5:R$27,后果有效剂量!$K$5:$K$27)*后果有效剂量!$Q26+SUMPRODUCT(S$5:S$27,后果有效剂量!$K$5:$K$27)*后果有效剂量!$Q26+SUMPRODUCT(T$5:T$27,后果有效剂量!$K$5:$K$27)*后果有效剂量!$R26+SUMPRODUCT(U$5:U$27,后果有效剂量!$K$5:$K$27)*后果有效剂量!$S26+SUMPRODUCT(V$5:V$27,后果有效剂量!$K$5:$K$27)*后果有效剂量!$T26+SUMPRODUCT(W$5:W$27,后果有效剂量!$K$5:$K$27)*后果有效剂量!$U26</f>
        <v>0</v>
      </c>
      <c r="S52" s="453">
        <f ca="1">SUMPRODUCT(R$5:R$27,后果甲状腺剂量!$I$5:$I$27)*后果甲状腺剂量!$Q26+SUMPRODUCT(S$5:S$27,后果甲状腺剂量!$I$5:$I$27)*后果甲状腺剂量!$Q26+SUMPRODUCT(T$5:T$27,后果甲状腺剂量!$I$5:$I$27)*后果甲状腺剂量!$R26+SUMPRODUCT(U$5:U$27,后果甲状腺剂量!$I$5:$I$27)*后果甲状腺剂量!$S26+SUMPRODUCT(V$5:V$27,后果甲状腺剂量!$I$5:$I$27)*后果甲状腺剂量!$T26+SUMPRODUCT(W$5:W$27,后果甲状腺剂量!$I$5:$I$27)*后果甲状腺剂量!$U26+SUMPRODUCT(R$5:R$27,后果甲状腺剂量!$J$5:$J$27)*后果甲状腺剂量!$Q26*后果甲状腺剂量!$Q$3+SUMPRODUCT(S$5:S$27,后果甲状腺剂量!$J$5:$J$27)*后果甲状腺剂量!$Q26*后果甲状腺剂量!$Q$3+SUMPRODUCT(T$5:T$27,后果甲状腺剂量!$J$5:$J$27)*后果甲状腺剂量!$R26*后果甲状腺剂量!$R$3+SUMPRODUCT(U$5:U$27,后果甲状腺剂量!$J$5:$J$27)*后果甲状腺剂量!$S26*后果甲状腺剂量!$S$3+SUMPRODUCT(V$5:V$27,后果甲状腺剂量!$J$5:$J$27)*后果甲状腺剂量!$T26*后果甲状腺剂量!$T$3+SUMPRODUCT(W$5:W$27,后果甲状腺剂量!$J$5:$J$27)*后果甲状腺剂量!$U26*后果甲状腺剂量!$U$3+SUMPRODUCT(R$5:R$27,后果甲状腺剂量!$K$5:$K$27)*后果甲状腺剂量!$Q26+SUMPRODUCT(S$5:S$27,后果甲状腺剂量!$K$5:$K$27)*后果甲状腺剂量!$Q26+SUMPRODUCT(T$5:T$27,后果甲状腺剂量!$K$5:$K$27)*后果甲状腺剂量!$R26+SUMPRODUCT(U$5:U$27,后果甲状腺剂量!$K$5:$K$27)*后果甲状腺剂量!$S26+SUMPRODUCT(V$5:V$27,后果甲状腺剂量!$K$5:$K$27)*后果甲状腺剂量!$T26+SUMPRODUCT(W$5:W$27,后果甲状腺剂量!$K$5:$K$27)*后果甲状腺剂量!$U26</f>
        <v>0</v>
      </c>
      <c r="T52" s="454">
        <f ca="1" t="shared" si="255"/>
        <v>0</v>
      </c>
      <c r="U52" s="454">
        <f ca="1" t="shared" si="256"/>
        <v>0</v>
      </c>
      <c r="V52" s="459">
        <f ca="1" t="shared" si="263"/>
        <v>0</v>
      </c>
      <c r="W52" s="459">
        <f ca="1" t="shared" si="264"/>
        <v>0</v>
      </c>
      <c r="AS52" s="572"/>
      <c r="FS52" s="441">
        <f>SUMPRODUCT(FS$5:FS$27,后果有效剂量!$I$5:$I$27)*后果有效剂量!$Q26+SUMPRODUCT(FT$5:FT$27,后果有效剂量!$I$5:$I$27)*后果有效剂量!$R26+SUMPRODUCT(FU$5:FU$27,后果有效剂量!$I$5:$I$27)*后果有效剂量!$S26+SUMPRODUCT(FV$5:FV$27,后果有效剂量!$I$5:$I$27)*后果有效剂量!$T26+SUMPRODUCT(FS$5:FS$27,后果有效剂量!$J$5:$J$27)*后果有效剂量!$Q26*后果有效剂量!$Q$3+SUMPRODUCT(FT$5:FT$27,后果有效剂量!$J$5:$J$27)*后果有效剂量!$R26*后果有效剂量!$R$3+SUMPRODUCT(FU$5:FU$27,后果有效剂量!$J$5:$J$27)*后果有效剂量!$S26*后果有效剂量!$S$3+SUMPRODUCT(FV$5:FV$27,后果有效剂量!$J$5:$J$27)*后果有效剂量!$T26*后果有效剂量!$T$3+SUMPRODUCT(FS$5:FS$27,后果有效剂量!$K$5:$K$27)*后果有效剂量!$Q26+SUMPRODUCT(FT$5:FT$27,后果有效剂量!$K$5:$K$27)*后果有效剂量!$R26+SUMPRODUCT(FU$5:FU$27,后果有效剂量!$K$5:$K$27)*后果有效剂量!$S26+SUMPRODUCT(FV$5:FV$27,后果有效剂量!$K$5:$K$27)*后果有效剂量!$T26</f>
        <v>0</v>
      </c>
      <c r="FT52" s="453">
        <f>SUMPRODUCT(FS$5:FS$27,后果甲状腺剂量!$I$5:$I$27)*后果甲状腺剂量!$Q26+SUMPRODUCT(FT$5:FT$27,后果甲状腺剂量!$I$5:$I$27)*后果甲状腺剂量!$R26+SUMPRODUCT(FU$5:FU$27,后果甲状腺剂量!$I$5:$I$27)*后果甲状腺剂量!$S26+SUMPRODUCT(FV$5:FV$27,后果甲状腺剂量!$I$5:$I$27)*后果甲状腺剂量!$T26+SUMPRODUCT(FS$5:FS$27,后果甲状腺剂量!$J$5:$J$27)*后果甲状腺剂量!$Q26*后果甲状腺剂量!$Q$3+SUMPRODUCT(FT$5:FT$27,后果甲状腺剂量!$J$5:$J$27)*后果甲状腺剂量!$R26*后果甲状腺剂量!$R$3+SUMPRODUCT(FU$5:FU$27,后果甲状腺剂量!$J$5:$J$27)*后果甲状腺剂量!$S26*后果甲状腺剂量!$S$3+SUMPRODUCT(FV$5:FV$27,后果甲状腺剂量!$J$5:$J$27)*后果甲状腺剂量!$T26*后果甲状腺剂量!$T$3+SUMPRODUCT(FS$5:FS$27,后果甲状腺剂量!$K$5:$K$27)*后果甲状腺剂量!$Q26+SUMPRODUCT(FT$5:FT$27,后果甲状腺剂量!$K$5:$K$27)*后果甲状腺剂量!$R26+SUMPRODUCT(FU$5:FU$27,后果甲状腺剂量!$K$5:$K$27)*后果甲状腺剂量!$S26+SUMPRODUCT(FV$5:FV$27,后果甲状腺剂量!$K$5:$K$27)*后果甲状腺剂量!$T26</f>
        <v>0</v>
      </c>
      <c r="FU52" s="454">
        <f t="shared" si="257"/>
        <v>0</v>
      </c>
      <c r="FV52" s="454">
        <f t="shared" si="258"/>
        <v>0</v>
      </c>
      <c r="FW52" s="459">
        <f t="shared" si="265"/>
        <v>0</v>
      </c>
      <c r="FX52" s="459">
        <f t="shared" si="266"/>
        <v>0</v>
      </c>
      <c r="GD52" s="440">
        <f>后果有效剂量!$P26</f>
        <v>0</v>
      </c>
      <c r="GE52" s="441">
        <f>SUMPRODUCT(GE$5:GE$27,后果有效剂量!$I$5:$I$27)*后果有效剂量!$Q26+SUMPRODUCT(GF$5:GF$27,后果有效剂量!$I$5:$I$27)*后果有效剂量!$R26+SUMPRODUCT(GG$5:GG$27,后果有效剂量!$I$5:$I$27)*后果有效剂量!$S26+(SUMPRODUCT(GH$5:GH$27,后果有效剂量!$I$5:$I$27)+SUMPRODUCT(GI$5:GI$27,后果有效剂量!$I$5:$I$27))*后果有效剂量!$T26+SUMPRODUCT(GJ$5:GJ$27,后果有效剂量!$I$5:$I$27)*后果有效剂量!$U26+SUMPRODUCT(GE$5:GE$27,后果有效剂量!$J$5:$J$27)*后果有效剂量!$Q26*后果有效剂量!$Q$3+SUMPRODUCT(GF$5:GF$27,后果有效剂量!$J$5:$J$27)*后果有效剂量!$R26*后果有效剂量!$R$3+SUMPRODUCT(GG$5:GG$27,后果有效剂量!$J$5:$J$27)*后果有效剂量!$S26*后果有效剂量!$S$3+(SUMPRODUCT(GH$5:GH$27,后果有效剂量!$J$5:$J$27)+SUMPRODUCT(GI$5:GI$27,后果有效剂量!$J$5:$J$27))*后果有效剂量!$T26*后果有效剂量!$T$3+SUMPRODUCT(GJ$5:GJ$27,后果有效剂量!$J$5:$J$27)*后果有效剂量!$U26*后果有效剂量!$U$3+SUMPRODUCT(GE$5:GE$27,后果有效剂量!$K$5:$K$27)*后果有效剂量!$Q26+SUMPRODUCT(GF$5:GF$27,后果有效剂量!$K$5:$K$27)*后果有效剂量!$R26+SUMPRODUCT(GG$5:GG$27,后果有效剂量!$K$5:$K$27)*后果有效剂量!$S26+(SUMPRODUCT(GH$5:GH$27,后果有效剂量!$K$5:$K$27)+SUMPRODUCT(GI$5:GI$27,后果有效剂量!$K$5:$K$27))*后果有效剂量!$T26+SUMPRODUCT(GJ$5:GJ$27,后果有效剂量!$K$5:$K$27)*后果有效剂量!$U26</f>
        <v>0</v>
      </c>
      <c r="GF52" s="453">
        <f>SUMPRODUCT(GE$5:GE$27,后果甲状腺剂量!$I$5:$I$27)*后果甲状腺剂量!$Q26+SUMPRODUCT(GF$5:GF$27,后果甲状腺剂量!$I$5:$I$27)*后果甲状腺剂量!$R26+SUMPRODUCT(GG$5:GG$27,后果甲状腺剂量!$I$5:$I$27)*后果甲状腺剂量!$S26+(SUMPRODUCT(GH$5:GH$27,后果甲状腺剂量!$I$5:$I$27)+SUMPRODUCT(GI$5:GI$27,后果甲状腺剂量!$I$5:$I$27))*后果甲状腺剂量!$T26+SUMPRODUCT(GJ$5:GJ$27,后果甲状腺剂量!$I$5:$I$27)*后果甲状腺剂量!$U26+SUMPRODUCT(GE$5:GE$27,后果甲状腺剂量!$J$5:$J$27)*后果甲状腺剂量!$Q26*后果甲状腺剂量!$Q$3+SUMPRODUCT(GF$5:GF$27,后果甲状腺剂量!$J$5:$J$27)*后果甲状腺剂量!$R26*后果甲状腺剂量!$R$3+SUMPRODUCT(GG$5:GG$27,后果甲状腺剂量!$J$5:$J$27)*后果甲状腺剂量!$S26*后果甲状腺剂量!$S$3+(SUMPRODUCT(GH$5:GH$27,后果甲状腺剂量!$J$5:$J$27)+SUMPRODUCT(GI$5:GI$27,后果甲状腺剂量!$J$5:$J$27))*后果甲状腺剂量!$T26*后果甲状腺剂量!$T$3+SUMPRODUCT(GJ$5:GJ$27,后果甲状腺剂量!$J$5:$J$27)*后果甲状腺剂量!$U26*后果甲状腺剂量!$U$3+SUMPRODUCT(GE$5:GE$27,后果甲状腺剂量!$K$5:$K$27)*后果甲状腺剂量!$Q26+SUMPRODUCT(GF$5:GF$27,后果甲状腺剂量!$K$5:$K$27)*后果甲状腺剂量!$R26+SUMPRODUCT(GG$5:GG$27,后果甲状腺剂量!$K$5:$K$27)*后果甲状腺剂量!$S26+(SUMPRODUCT(GH$5:GH$27,后果甲状腺剂量!$K$5:$K$27)+SUMPRODUCT(GI$5:GI$27,后果甲状腺剂量!$K$5:$K$27))*后果甲状腺剂量!$T26+SUMPRODUCT(GJ$5:GJ$27,后果甲状腺剂量!$K$5:$K$27)*后果甲状腺剂量!$U26</f>
        <v>0</v>
      </c>
      <c r="GG52" s="454">
        <f t="shared" si="259"/>
        <v>0</v>
      </c>
      <c r="GH52" s="454">
        <f t="shared" si="260"/>
        <v>0</v>
      </c>
      <c r="GI52" s="459">
        <f t="shared" si="267"/>
        <v>0</v>
      </c>
      <c r="GJ52" s="459">
        <f t="shared" si="268"/>
        <v>0</v>
      </c>
    </row>
    <row r="53" spans="7:192">
      <c r="G53" s="440">
        <f>后果有效剂量!$P27</f>
        <v>0</v>
      </c>
      <c r="H53" s="441">
        <f ca="1">SUMPRODUCT(H$5:H$27,后果有效剂量!$I$5:$I$27)*后果有效剂量!$Q27+SUMPRODUCT(I$5:I$27,后果有效剂量!$I$5:$I$27)*后果有效剂量!$Q27+SUMPRODUCT(J$5:J$27,后果有效剂量!$I$5:$I$27)*后果有效剂量!$R27+SUMPRODUCT(K$5:K$27,后果有效剂量!$I$5:$I$27)*后果有效剂量!$S27+SUMPRODUCT(L$5:L$27,后果有效剂量!$I$5:$I$27)*后果有效剂量!$T27+SUMPRODUCT(M$5:M$27,后果有效剂量!$I$5:$I$27)*后果有效剂量!$U27+SUMPRODUCT(H$5:H$27,后果有效剂量!$J$5:$J$27)*后果有效剂量!$Q27*后果有效剂量!$Q$3+SUMPRODUCT(I$5:I$27,后果有效剂量!$J$5:$J$27)*后果有效剂量!$Q27*后果有效剂量!$Q$3+SUMPRODUCT(J$5:J$27,后果有效剂量!$J$5:$J$27)*后果有效剂量!$R27*后果有效剂量!$R$3+SUMPRODUCT(K$5:K$27,后果有效剂量!$J$5:$J$27)*后果有效剂量!$S27*后果有效剂量!$S$3+SUMPRODUCT(L$5:L$27,后果有效剂量!$J$5:$J$27)*后果有效剂量!$T27*后果有效剂量!$T$3+SUMPRODUCT(M$5:M$27,后果有效剂量!$J$5:$J$27)*后果有效剂量!$U27*后果有效剂量!$U$3+SUMPRODUCT(H$5:H$27,后果有效剂量!$K$5:$K$27)*后果有效剂量!$Q27+SUMPRODUCT(I$5:I$27,后果有效剂量!$K$5:$K$27)*后果有效剂量!$Q27+SUMPRODUCT(J$5:J$27,后果有效剂量!$K$5:$K$27)*后果有效剂量!$R27+SUMPRODUCT(K$5:K$27,后果有效剂量!$K$5:$K$27)*后果有效剂量!$S27+SUMPRODUCT(L$5:L$27,后果有效剂量!$K$5:$K$27)*后果有效剂量!$T27+SUMPRODUCT(M$5:M$27,后果有效剂量!$K$5:$K$27)*后果有效剂量!$U27</f>
        <v>0</v>
      </c>
      <c r="I53" s="453">
        <f ca="1">SUMPRODUCT(H$5:H$27,后果甲状腺剂量!$I$5:$I$27)*后果甲状腺剂量!$Q27+SUMPRODUCT(I$5:I$27,后果甲状腺剂量!$I$5:$I$27)*后果甲状腺剂量!$Q27+SUMPRODUCT(J$5:J$27,后果甲状腺剂量!$I$5:$I$27)*后果甲状腺剂量!$R27+SUMPRODUCT(K$5:K$27,后果甲状腺剂量!$I$5:$I$27)*后果甲状腺剂量!$S27+SUMPRODUCT(L$5:L$27,后果甲状腺剂量!$I$5:$I$27)*后果甲状腺剂量!$T27+SUMPRODUCT(M$5:M$27,后果甲状腺剂量!$I$5:$I$27)*后果甲状腺剂量!$U27+SUMPRODUCT(H$5:H$27,后果甲状腺剂量!$J$5:$J$27)*后果甲状腺剂量!$Q27*后果甲状腺剂量!$Q$3+SUMPRODUCT(I$5:I$27,后果甲状腺剂量!$J$5:$J$27)*后果甲状腺剂量!$Q27*后果甲状腺剂量!$Q$3+SUMPRODUCT(J$5:J$27,后果甲状腺剂量!$J$5:$J$27)*后果甲状腺剂量!$R27*后果甲状腺剂量!$R$3+SUMPRODUCT(K$5:K$27,后果甲状腺剂量!$J$5:$J$27)*后果甲状腺剂量!$S27*后果甲状腺剂量!$S$3+SUMPRODUCT(L$5:L$27,后果甲状腺剂量!$J$5:$J$27)*后果甲状腺剂量!$T27*后果甲状腺剂量!$T$3+SUMPRODUCT(M$5:M$27,后果甲状腺剂量!$J$5:$J$27)*后果甲状腺剂量!$U27*后果甲状腺剂量!$U$3+SUMPRODUCT(H$5:H$27,后果甲状腺剂量!$K$5:$K$27)*后果甲状腺剂量!$Q27+SUMPRODUCT(I$5:I$27,后果甲状腺剂量!$K$5:$K$27)*后果甲状腺剂量!$Q27+SUMPRODUCT(J$5:J$27,后果甲状腺剂量!$K$5:$K$27)*后果甲状腺剂量!$R27+SUMPRODUCT(K$5:K$27,后果甲状腺剂量!$K$5:$K$27)*后果甲状腺剂量!$S27+SUMPRODUCT(L$5:L$27,后果甲状腺剂量!$K$5:$K$27)*后果甲状腺剂量!$T27+SUMPRODUCT(M$5:M$27,后果甲状腺剂量!$K$5:$K$27)*后果甲状腺剂量!$U27</f>
        <v>0</v>
      </c>
      <c r="J53" s="454">
        <f ca="1" t="shared" si="253"/>
        <v>0</v>
      </c>
      <c r="K53" s="454">
        <f ca="1" t="shared" si="254"/>
        <v>0</v>
      </c>
      <c r="L53" s="459">
        <f ca="1" t="shared" si="261"/>
        <v>0</v>
      </c>
      <c r="M53" s="459">
        <f ca="1" t="shared" si="262"/>
        <v>0</v>
      </c>
      <c r="Q53" s="440">
        <f>后果有效剂量!$P27</f>
        <v>0</v>
      </c>
      <c r="R53" s="441">
        <f ca="1">SUMPRODUCT(R$5:R$27,后果有效剂量!$I$5:$I$27)*后果有效剂量!$Q27+SUMPRODUCT(S$5:S$27,后果有效剂量!$I$5:$I$27)*后果有效剂量!$Q27+SUMPRODUCT(T$5:T$27,后果有效剂量!$I$5:$I$27)*后果有效剂量!$R27+SUMPRODUCT(U$5:U$27,后果有效剂量!$I$5:$I$27)*后果有效剂量!$S27+SUMPRODUCT(V$5:V$27,后果有效剂量!$I$5:$I$27)*后果有效剂量!$T27+SUMPRODUCT(W$5:W$27,后果有效剂量!$I$5:$I$27)*后果有效剂量!$U27+SUMPRODUCT(R$5:R$27,后果有效剂量!$J$5:$J$27)*后果有效剂量!$Q27*后果有效剂量!$Q$3+SUMPRODUCT(S$5:S$27,后果有效剂量!$J$5:$J$27)*后果有效剂量!$Q27*后果有效剂量!$Q$3+SUMPRODUCT(T$5:T$27,后果有效剂量!$J$5:$J$27)*后果有效剂量!$R27*后果有效剂量!$R$3+SUMPRODUCT(U$5:U$27,后果有效剂量!$J$5:$J$27)*后果有效剂量!$S27*后果有效剂量!$S$3+SUMPRODUCT(V$5:V$27,后果有效剂量!$J$5:$J$27)*后果有效剂量!$T27*后果有效剂量!$T$3+SUMPRODUCT(W$5:W$27,后果有效剂量!$J$5:$J$27)*后果有效剂量!$U27*后果有效剂量!$U$3+SUMPRODUCT(R$5:R$27,后果有效剂量!$K$5:$K$27)*后果有效剂量!$Q27+SUMPRODUCT(S$5:S$27,后果有效剂量!$K$5:$K$27)*后果有效剂量!$Q27+SUMPRODUCT(T$5:T$27,后果有效剂量!$K$5:$K$27)*后果有效剂量!$R27+SUMPRODUCT(U$5:U$27,后果有效剂量!$K$5:$K$27)*后果有效剂量!$S27+SUMPRODUCT(V$5:V$27,后果有效剂量!$K$5:$K$27)*后果有效剂量!$T27+SUMPRODUCT(W$5:W$27,后果有效剂量!$K$5:$K$27)*后果有效剂量!$U27</f>
        <v>0</v>
      </c>
      <c r="S53" s="453">
        <f ca="1">SUMPRODUCT(R$5:R$27,后果甲状腺剂量!$I$5:$I$27)*后果甲状腺剂量!$Q27+SUMPRODUCT(S$5:S$27,后果甲状腺剂量!$I$5:$I$27)*后果甲状腺剂量!$Q27+SUMPRODUCT(T$5:T$27,后果甲状腺剂量!$I$5:$I$27)*后果甲状腺剂量!$R27+SUMPRODUCT(U$5:U$27,后果甲状腺剂量!$I$5:$I$27)*后果甲状腺剂量!$S27+SUMPRODUCT(V$5:V$27,后果甲状腺剂量!$I$5:$I$27)*后果甲状腺剂量!$T27+SUMPRODUCT(W$5:W$27,后果甲状腺剂量!$I$5:$I$27)*后果甲状腺剂量!$U27+SUMPRODUCT(R$5:R$27,后果甲状腺剂量!$J$5:$J$27)*后果甲状腺剂量!$Q27*后果甲状腺剂量!$Q$3+SUMPRODUCT(S$5:S$27,后果甲状腺剂量!$J$5:$J$27)*后果甲状腺剂量!$Q27*后果甲状腺剂量!$Q$3+SUMPRODUCT(T$5:T$27,后果甲状腺剂量!$J$5:$J$27)*后果甲状腺剂量!$R27*后果甲状腺剂量!$R$3+SUMPRODUCT(U$5:U$27,后果甲状腺剂量!$J$5:$J$27)*后果甲状腺剂量!$S27*后果甲状腺剂量!$S$3+SUMPRODUCT(V$5:V$27,后果甲状腺剂量!$J$5:$J$27)*后果甲状腺剂量!$T27*后果甲状腺剂量!$T$3+SUMPRODUCT(W$5:W$27,后果甲状腺剂量!$J$5:$J$27)*后果甲状腺剂量!$U27*后果甲状腺剂量!$U$3+SUMPRODUCT(R$5:R$27,后果甲状腺剂量!$K$5:$K$27)*后果甲状腺剂量!$Q27+SUMPRODUCT(S$5:S$27,后果甲状腺剂量!$K$5:$K$27)*后果甲状腺剂量!$Q27+SUMPRODUCT(T$5:T$27,后果甲状腺剂量!$K$5:$K$27)*后果甲状腺剂量!$R27+SUMPRODUCT(U$5:U$27,后果甲状腺剂量!$K$5:$K$27)*后果甲状腺剂量!$S27+SUMPRODUCT(V$5:V$27,后果甲状腺剂量!$K$5:$K$27)*后果甲状腺剂量!$T27+SUMPRODUCT(W$5:W$27,后果甲状腺剂量!$K$5:$K$27)*后果甲状腺剂量!$U27</f>
        <v>0</v>
      </c>
      <c r="T53" s="454">
        <f ca="1" t="shared" si="255"/>
        <v>0</v>
      </c>
      <c r="U53" s="454">
        <f ca="1" t="shared" si="256"/>
        <v>0</v>
      </c>
      <c r="V53" s="459">
        <f ca="1" t="shared" si="263"/>
        <v>0</v>
      </c>
      <c r="W53" s="459">
        <f ca="1" t="shared" si="264"/>
        <v>0</v>
      </c>
      <c r="FS53" s="441">
        <f>SUMPRODUCT(FS$5:FS$27,后果有效剂量!$I$5:$I$27)*后果有效剂量!$Q27+SUMPRODUCT(FT$5:FT$27,后果有效剂量!$I$5:$I$27)*后果有效剂量!$R27+SUMPRODUCT(FU$5:FU$27,后果有效剂量!$I$5:$I$27)*后果有效剂量!$S27+SUMPRODUCT(FV$5:FV$27,后果有效剂量!$I$5:$I$27)*后果有效剂量!$T27+SUMPRODUCT(FS$5:FS$27,后果有效剂量!$J$5:$J$27)*后果有效剂量!$Q27*后果有效剂量!$Q$3+SUMPRODUCT(FT$5:FT$27,后果有效剂量!$J$5:$J$27)*后果有效剂量!$R27*后果有效剂量!$R$3+SUMPRODUCT(FU$5:FU$27,后果有效剂量!$J$5:$J$27)*后果有效剂量!$S27*后果有效剂量!$S$3+SUMPRODUCT(FV$5:FV$27,后果有效剂量!$J$5:$J$27)*后果有效剂量!$T27*后果有效剂量!$T$3+SUMPRODUCT(FS$5:FS$27,后果有效剂量!$K$5:$K$27)*后果有效剂量!$Q27+SUMPRODUCT(FT$5:FT$27,后果有效剂量!$K$5:$K$27)*后果有效剂量!$R27+SUMPRODUCT(FU$5:FU$27,后果有效剂量!$K$5:$K$27)*后果有效剂量!$S27+SUMPRODUCT(FV$5:FV$27,后果有效剂量!$K$5:$K$27)*后果有效剂量!$T27</f>
        <v>0</v>
      </c>
      <c r="FT53" s="453">
        <f>SUMPRODUCT(FS$5:FS$27,后果甲状腺剂量!$I$5:$I$27)*后果甲状腺剂量!$Q27+SUMPRODUCT(FT$5:FT$27,后果甲状腺剂量!$I$5:$I$27)*后果甲状腺剂量!$R27+SUMPRODUCT(FU$5:FU$27,后果甲状腺剂量!$I$5:$I$27)*后果甲状腺剂量!$S27+SUMPRODUCT(FV$5:FV$27,后果甲状腺剂量!$I$5:$I$27)*后果甲状腺剂量!$T27+SUMPRODUCT(FS$5:FS$27,后果甲状腺剂量!$J$5:$J$27)*后果甲状腺剂量!$Q27*后果甲状腺剂量!$Q$3+SUMPRODUCT(FT$5:FT$27,后果甲状腺剂量!$J$5:$J$27)*后果甲状腺剂量!$R27*后果甲状腺剂量!$R$3+SUMPRODUCT(FU$5:FU$27,后果甲状腺剂量!$J$5:$J$27)*后果甲状腺剂量!$S27*后果甲状腺剂量!$S$3+SUMPRODUCT(FV$5:FV$27,后果甲状腺剂量!$J$5:$J$27)*后果甲状腺剂量!$T27*后果甲状腺剂量!$T$3+SUMPRODUCT(FS$5:FS$27,后果甲状腺剂量!$K$5:$K$27)*后果甲状腺剂量!$Q27+SUMPRODUCT(FT$5:FT$27,后果甲状腺剂量!$K$5:$K$27)*后果甲状腺剂量!$R27+SUMPRODUCT(FU$5:FU$27,后果甲状腺剂量!$K$5:$K$27)*后果甲状腺剂量!$S27+SUMPRODUCT(FV$5:FV$27,后果甲状腺剂量!$K$5:$K$27)*后果甲状腺剂量!$T27</f>
        <v>0</v>
      </c>
      <c r="FU53" s="454">
        <f t="shared" si="257"/>
        <v>0</v>
      </c>
      <c r="FV53" s="454">
        <f t="shared" si="258"/>
        <v>0</v>
      </c>
      <c r="FW53" s="459">
        <f t="shared" si="265"/>
        <v>0</v>
      </c>
      <c r="FX53" s="459">
        <f t="shared" si="266"/>
        <v>0</v>
      </c>
      <c r="GD53" s="440">
        <f>后果有效剂量!$P27</f>
        <v>0</v>
      </c>
      <c r="GE53" s="441">
        <f>SUMPRODUCT(GE$5:GE$27,后果有效剂量!$I$5:$I$27)*后果有效剂量!$Q27+SUMPRODUCT(GF$5:GF$27,后果有效剂量!$I$5:$I$27)*后果有效剂量!$R27+SUMPRODUCT(GG$5:GG$27,后果有效剂量!$I$5:$I$27)*后果有效剂量!$S27+(SUMPRODUCT(GH$5:GH$27,后果有效剂量!$I$5:$I$27)+SUMPRODUCT(GI$5:GI$27,后果有效剂量!$I$5:$I$27))*后果有效剂量!$T27+SUMPRODUCT(GJ$5:GJ$27,后果有效剂量!$I$5:$I$27)*后果有效剂量!$U27+SUMPRODUCT(GE$5:GE$27,后果有效剂量!$J$5:$J$27)*后果有效剂量!$Q27*后果有效剂量!$Q$3+SUMPRODUCT(GF$5:GF$27,后果有效剂量!$J$5:$J$27)*后果有效剂量!$R27*后果有效剂量!$R$3+SUMPRODUCT(GG$5:GG$27,后果有效剂量!$J$5:$J$27)*后果有效剂量!$S27*后果有效剂量!$S$3+(SUMPRODUCT(GH$5:GH$27,后果有效剂量!$J$5:$J$27)+SUMPRODUCT(GI$5:GI$27,后果有效剂量!$J$5:$J$27))*后果有效剂量!$T27*后果有效剂量!$T$3+SUMPRODUCT(GJ$5:GJ$27,后果有效剂量!$J$5:$J$27)*后果有效剂量!$U27*后果有效剂量!$U$3+SUMPRODUCT(GE$5:GE$27,后果有效剂量!$K$5:$K$27)*后果有效剂量!$Q27+SUMPRODUCT(GF$5:GF$27,后果有效剂量!$K$5:$K$27)*后果有效剂量!$R27+SUMPRODUCT(GG$5:GG$27,后果有效剂量!$K$5:$K$27)*后果有效剂量!$S27+(SUMPRODUCT(GH$5:GH$27,后果有效剂量!$K$5:$K$27)+SUMPRODUCT(GI$5:GI$27,后果有效剂量!$K$5:$K$27))*后果有效剂量!$T27+SUMPRODUCT(GJ$5:GJ$27,后果有效剂量!$K$5:$K$27)*后果有效剂量!$U27</f>
        <v>0</v>
      </c>
      <c r="GF53" s="453">
        <f>SUMPRODUCT(GE$5:GE$27,后果甲状腺剂量!$I$5:$I$27)*后果甲状腺剂量!$Q27+SUMPRODUCT(GF$5:GF$27,后果甲状腺剂量!$I$5:$I$27)*后果甲状腺剂量!$R27+SUMPRODUCT(GG$5:GG$27,后果甲状腺剂量!$I$5:$I$27)*后果甲状腺剂量!$S27+(SUMPRODUCT(GH$5:GH$27,后果甲状腺剂量!$I$5:$I$27)+SUMPRODUCT(GI$5:GI$27,后果甲状腺剂量!$I$5:$I$27))*后果甲状腺剂量!$T27+SUMPRODUCT(GJ$5:GJ$27,后果甲状腺剂量!$I$5:$I$27)*后果甲状腺剂量!$U27+SUMPRODUCT(GE$5:GE$27,后果甲状腺剂量!$J$5:$J$27)*后果甲状腺剂量!$Q27*后果甲状腺剂量!$Q$3+SUMPRODUCT(GF$5:GF$27,后果甲状腺剂量!$J$5:$J$27)*后果甲状腺剂量!$R27*后果甲状腺剂量!$R$3+SUMPRODUCT(GG$5:GG$27,后果甲状腺剂量!$J$5:$J$27)*后果甲状腺剂量!$S27*后果甲状腺剂量!$S$3+(SUMPRODUCT(GH$5:GH$27,后果甲状腺剂量!$J$5:$J$27)+SUMPRODUCT(GI$5:GI$27,后果甲状腺剂量!$J$5:$J$27))*后果甲状腺剂量!$T27*后果甲状腺剂量!$T$3+SUMPRODUCT(GJ$5:GJ$27,后果甲状腺剂量!$J$5:$J$27)*后果甲状腺剂量!$U27*后果甲状腺剂量!$U$3+SUMPRODUCT(GE$5:GE$27,后果甲状腺剂量!$K$5:$K$27)*后果甲状腺剂量!$Q27+SUMPRODUCT(GF$5:GF$27,后果甲状腺剂量!$K$5:$K$27)*后果甲状腺剂量!$R27+SUMPRODUCT(GG$5:GG$27,后果甲状腺剂量!$K$5:$K$27)*后果甲状腺剂量!$S27+(SUMPRODUCT(GH$5:GH$27,后果甲状腺剂量!$K$5:$K$27)+SUMPRODUCT(GI$5:GI$27,后果甲状腺剂量!$K$5:$K$27))*后果甲状腺剂量!$T27+SUMPRODUCT(GJ$5:GJ$27,后果甲状腺剂量!$K$5:$K$27)*后果甲状腺剂量!$U27</f>
        <v>0</v>
      </c>
      <c r="GG53" s="454">
        <f t="shared" si="259"/>
        <v>0</v>
      </c>
      <c r="GH53" s="454">
        <f t="shared" si="260"/>
        <v>0</v>
      </c>
      <c r="GI53" s="459">
        <f t="shared" si="267"/>
        <v>0</v>
      </c>
      <c r="GJ53" s="459">
        <f t="shared" si="268"/>
        <v>0</v>
      </c>
    </row>
    <row r="54" spans="7:192">
      <c r="G54" s="440">
        <f>后果有效剂量!$P28</f>
        <v>0</v>
      </c>
      <c r="H54" s="441">
        <f ca="1">SUMPRODUCT(H$5:H$27,后果有效剂量!$I$5:$I$27)*后果有效剂量!$Q28+SUMPRODUCT(I$5:I$27,后果有效剂量!$I$5:$I$27)*后果有效剂量!$Q28+SUMPRODUCT(J$5:J$27,后果有效剂量!$I$5:$I$27)*后果有效剂量!$R28+SUMPRODUCT(K$5:K$27,后果有效剂量!$I$5:$I$27)*后果有效剂量!$S28+SUMPRODUCT(L$5:L$27,后果有效剂量!$I$5:$I$27)*后果有效剂量!$T28+SUMPRODUCT(M$5:M$27,后果有效剂量!$I$5:$I$27)*后果有效剂量!$U28+SUMPRODUCT(H$5:H$27,后果有效剂量!$J$5:$J$27)*后果有效剂量!$Q28*后果有效剂量!$Q$3+SUMPRODUCT(I$5:I$27,后果有效剂量!$J$5:$J$27)*后果有效剂量!$Q28*后果有效剂量!$Q$3+SUMPRODUCT(J$5:J$27,后果有效剂量!$J$5:$J$27)*后果有效剂量!$R28*后果有效剂量!$R$3+SUMPRODUCT(K$5:K$27,后果有效剂量!$J$5:$J$27)*后果有效剂量!$S28*后果有效剂量!$S$3+SUMPRODUCT(L$5:L$27,后果有效剂量!$J$5:$J$27)*后果有效剂量!$T28*后果有效剂量!$T$3+SUMPRODUCT(M$5:M$27,后果有效剂量!$J$5:$J$27)*后果有效剂量!$U28*后果有效剂量!$U$3+SUMPRODUCT(H$5:H$27,后果有效剂量!$K$5:$K$27)*后果有效剂量!$Q28+SUMPRODUCT(I$5:I$27,后果有效剂量!$K$5:$K$27)*后果有效剂量!$Q28+SUMPRODUCT(J$5:J$27,后果有效剂量!$K$5:$K$27)*后果有效剂量!$R28+SUMPRODUCT(K$5:K$27,后果有效剂量!$K$5:$K$27)*后果有效剂量!$S28+SUMPRODUCT(L$5:L$27,后果有效剂量!$K$5:$K$27)*后果有效剂量!$T28+SUMPRODUCT(M$5:M$27,后果有效剂量!$K$5:$K$27)*后果有效剂量!$U28</f>
        <v>0</v>
      </c>
      <c r="I54" s="453">
        <f ca="1">SUMPRODUCT(H$5:H$27,后果甲状腺剂量!$I$5:$I$27)*后果甲状腺剂量!$Q28+SUMPRODUCT(I$5:I$27,后果甲状腺剂量!$I$5:$I$27)*后果甲状腺剂量!$Q28+SUMPRODUCT(J$5:J$27,后果甲状腺剂量!$I$5:$I$27)*后果甲状腺剂量!$R28+SUMPRODUCT(K$5:K$27,后果甲状腺剂量!$I$5:$I$27)*后果甲状腺剂量!$S28+SUMPRODUCT(L$5:L$27,后果甲状腺剂量!$I$5:$I$27)*后果甲状腺剂量!$T28+SUMPRODUCT(M$5:M$27,后果甲状腺剂量!$I$5:$I$27)*后果甲状腺剂量!$U28+SUMPRODUCT(H$5:H$27,后果甲状腺剂量!$J$5:$J$27)*后果甲状腺剂量!$Q28*后果甲状腺剂量!$Q$3+SUMPRODUCT(I$5:I$27,后果甲状腺剂量!$J$5:$J$27)*后果甲状腺剂量!$Q28*后果甲状腺剂量!$Q$3+SUMPRODUCT(J$5:J$27,后果甲状腺剂量!$J$5:$J$27)*后果甲状腺剂量!$R28*后果甲状腺剂量!$R$3+SUMPRODUCT(K$5:K$27,后果甲状腺剂量!$J$5:$J$27)*后果甲状腺剂量!$S28*后果甲状腺剂量!$S$3+SUMPRODUCT(L$5:L$27,后果甲状腺剂量!$J$5:$J$27)*后果甲状腺剂量!$T28*后果甲状腺剂量!$T$3+SUMPRODUCT(M$5:M$27,后果甲状腺剂量!$J$5:$J$27)*后果甲状腺剂量!$U28*后果甲状腺剂量!$U$3+SUMPRODUCT(H$5:H$27,后果甲状腺剂量!$K$5:$K$27)*后果甲状腺剂量!$Q28+SUMPRODUCT(I$5:I$27,后果甲状腺剂量!$K$5:$K$27)*后果甲状腺剂量!$Q28+SUMPRODUCT(J$5:J$27,后果甲状腺剂量!$K$5:$K$27)*后果甲状腺剂量!$R28+SUMPRODUCT(K$5:K$27,后果甲状腺剂量!$K$5:$K$27)*后果甲状腺剂量!$S28+SUMPRODUCT(L$5:L$27,后果甲状腺剂量!$K$5:$K$27)*后果甲状腺剂量!$T28+SUMPRODUCT(M$5:M$27,后果甲状腺剂量!$K$5:$K$27)*后果甲状腺剂量!$U28</f>
        <v>0</v>
      </c>
      <c r="J54" s="454">
        <f ca="1" t="shared" si="253"/>
        <v>0</v>
      </c>
      <c r="K54" s="454">
        <f ca="1" t="shared" si="254"/>
        <v>0</v>
      </c>
      <c r="L54" s="459">
        <f ca="1" t="shared" si="261"/>
        <v>0</v>
      </c>
      <c r="M54" s="459">
        <f ca="1" t="shared" si="262"/>
        <v>0</v>
      </c>
      <c r="Q54" s="440">
        <f>后果有效剂量!$P28</f>
        <v>0</v>
      </c>
      <c r="R54" s="441">
        <f ca="1">SUMPRODUCT(R$5:R$27,后果有效剂量!$I$5:$I$27)*后果有效剂量!$Q28+SUMPRODUCT(S$5:S$27,后果有效剂量!$I$5:$I$27)*后果有效剂量!$Q28+SUMPRODUCT(T$5:T$27,后果有效剂量!$I$5:$I$27)*后果有效剂量!$R28+SUMPRODUCT(U$5:U$27,后果有效剂量!$I$5:$I$27)*后果有效剂量!$S28+SUMPRODUCT(V$5:V$27,后果有效剂量!$I$5:$I$27)*后果有效剂量!$T28+SUMPRODUCT(W$5:W$27,后果有效剂量!$I$5:$I$27)*后果有效剂量!$U28+SUMPRODUCT(R$5:R$27,后果有效剂量!$J$5:$J$27)*后果有效剂量!$Q28*后果有效剂量!$Q$3+SUMPRODUCT(S$5:S$27,后果有效剂量!$J$5:$J$27)*后果有效剂量!$Q28*后果有效剂量!$Q$3+SUMPRODUCT(T$5:T$27,后果有效剂量!$J$5:$J$27)*后果有效剂量!$R28*后果有效剂量!$R$3+SUMPRODUCT(U$5:U$27,后果有效剂量!$J$5:$J$27)*后果有效剂量!$S28*后果有效剂量!$S$3+SUMPRODUCT(V$5:V$27,后果有效剂量!$J$5:$J$27)*后果有效剂量!$T28*后果有效剂量!$T$3+SUMPRODUCT(W$5:W$27,后果有效剂量!$J$5:$J$27)*后果有效剂量!$U28*后果有效剂量!$U$3+SUMPRODUCT(R$5:R$27,后果有效剂量!$K$5:$K$27)*后果有效剂量!$Q28+SUMPRODUCT(S$5:S$27,后果有效剂量!$K$5:$K$27)*后果有效剂量!$Q28+SUMPRODUCT(T$5:T$27,后果有效剂量!$K$5:$K$27)*后果有效剂量!$R28+SUMPRODUCT(U$5:U$27,后果有效剂量!$K$5:$K$27)*后果有效剂量!$S28+SUMPRODUCT(V$5:V$27,后果有效剂量!$K$5:$K$27)*后果有效剂量!$T28+SUMPRODUCT(W$5:W$27,后果有效剂量!$K$5:$K$27)*后果有效剂量!$U28</f>
        <v>0</v>
      </c>
      <c r="S54" s="453">
        <f ca="1">SUMPRODUCT(R$5:R$27,后果甲状腺剂量!$I$5:$I$27)*后果甲状腺剂量!$Q28+SUMPRODUCT(S$5:S$27,后果甲状腺剂量!$I$5:$I$27)*后果甲状腺剂量!$Q28+SUMPRODUCT(T$5:T$27,后果甲状腺剂量!$I$5:$I$27)*后果甲状腺剂量!$R28+SUMPRODUCT(U$5:U$27,后果甲状腺剂量!$I$5:$I$27)*后果甲状腺剂量!$S28+SUMPRODUCT(V$5:V$27,后果甲状腺剂量!$I$5:$I$27)*后果甲状腺剂量!$T28+SUMPRODUCT(W$5:W$27,后果甲状腺剂量!$I$5:$I$27)*后果甲状腺剂量!$U28+SUMPRODUCT(R$5:R$27,后果甲状腺剂量!$J$5:$J$27)*后果甲状腺剂量!$Q28*后果甲状腺剂量!$Q$3+SUMPRODUCT(S$5:S$27,后果甲状腺剂量!$J$5:$J$27)*后果甲状腺剂量!$Q28*后果甲状腺剂量!$Q$3+SUMPRODUCT(T$5:T$27,后果甲状腺剂量!$J$5:$J$27)*后果甲状腺剂量!$R28*后果甲状腺剂量!$R$3+SUMPRODUCT(U$5:U$27,后果甲状腺剂量!$J$5:$J$27)*后果甲状腺剂量!$S28*后果甲状腺剂量!$S$3+SUMPRODUCT(V$5:V$27,后果甲状腺剂量!$J$5:$J$27)*后果甲状腺剂量!$T28*后果甲状腺剂量!$T$3+SUMPRODUCT(W$5:W$27,后果甲状腺剂量!$J$5:$J$27)*后果甲状腺剂量!$U28*后果甲状腺剂量!$U$3+SUMPRODUCT(R$5:R$27,后果甲状腺剂量!$K$5:$K$27)*后果甲状腺剂量!$Q28+SUMPRODUCT(S$5:S$27,后果甲状腺剂量!$K$5:$K$27)*后果甲状腺剂量!$Q28+SUMPRODUCT(T$5:T$27,后果甲状腺剂量!$K$5:$K$27)*后果甲状腺剂量!$R28+SUMPRODUCT(U$5:U$27,后果甲状腺剂量!$K$5:$K$27)*后果甲状腺剂量!$S28+SUMPRODUCT(V$5:V$27,后果甲状腺剂量!$K$5:$K$27)*后果甲状腺剂量!$T28+SUMPRODUCT(W$5:W$27,后果甲状腺剂量!$K$5:$K$27)*后果甲状腺剂量!$U28</f>
        <v>0</v>
      </c>
      <c r="T54" s="454">
        <f ca="1" t="shared" si="255"/>
        <v>0</v>
      </c>
      <c r="U54" s="454">
        <f ca="1" t="shared" si="256"/>
        <v>0</v>
      </c>
      <c r="V54" s="459">
        <f ca="1" t="shared" si="263"/>
        <v>0</v>
      </c>
      <c r="W54" s="459">
        <f ca="1" t="shared" si="264"/>
        <v>0</v>
      </c>
      <c r="FS54" s="441">
        <f>SUMPRODUCT(FS$5:FS$27,后果有效剂量!$I$5:$I$27)*后果有效剂量!$Q28+SUMPRODUCT(FT$5:FT$27,后果有效剂量!$I$5:$I$27)*后果有效剂量!$R28+SUMPRODUCT(FU$5:FU$27,后果有效剂量!$I$5:$I$27)*后果有效剂量!$S28+SUMPRODUCT(FV$5:FV$27,后果有效剂量!$I$5:$I$27)*后果有效剂量!$T28+SUMPRODUCT(FS$5:FS$27,后果有效剂量!$J$5:$J$27)*后果有效剂量!$Q28*后果有效剂量!$Q$3+SUMPRODUCT(FT$5:FT$27,后果有效剂量!$J$5:$J$27)*后果有效剂量!$R28*后果有效剂量!$R$3+SUMPRODUCT(FU$5:FU$27,后果有效剂量!$J$5:$J$27)*后果有效剂量!$S28*后果有效剂量!$S$3+SUMPRODUCT(FV$5:FV$27,后果有效剂量!$J$5:$J$27)*后果有效剂量!$T28*后果有效剂量!$T$3+SUMPRODUCT(FS$5:FS$27,后果有效剂量!$K$5:$K$27)*后果有效剂量!$Q28+SUMPRODUCT(FT$5:FT$27,后果有效剂量!$K$5:$K$27)*后果有效剂量!$R28+SUMPRODUCT(FU$5:FU$27,后果有效剂量!$K$5:$K$27)*后果有效剂量!$S28+SUMPRODUCT(FV$5:FV$27,后果有效剂量!$K$5:$K$27)*后果有效剂量!$T28</f>
        <v>0</v>
      </c>
      <c r="FT54" s="453">
        <f>SUMPRODUCT(FS$5:FS$27,后果甲状腺剂量!$I$5:$I$27)*后果甲状腺剂量!$Q28+SUMPRODUCT(FT$5:FT$27,后果甲状腺剂量!$I$5:$I$27)*后果甲状腺剂量!$R28+SUMPRODUCT(FU$5:FU$27,后果甲状腺剂量!$I$5:$I$27)*后果甲状腺剂量!$S28+SUMPRODUCT(FV$5:FV$27,后果甲状腺剂量!$I$5:$I$27)*后果甲状腺剂量!$T28+SUMPRODUCT(FS$5:FS$27,后果甲状腺剂量!$J$5:$J$27)*后果甲状腺剂量!$Q28*后果甲状腺剂量!$Q$3+SUMPRODUCT(FT$5:FT$27,后果甲状腺剂量!$J$5:$J$27)*后果甲状腺剂量!$R28*后果甲状腺剂量!$R$3+SUMPRODUCT(FU$5:FU$27,后果甲状腺剂量!$J$5:$J$27)*后果甲状腺剂量!$S28*后果甲状腺剂量!$S$3+SUMPRODUCT(FV$5:FV$27,后果甲状腺剂量!$J$5:$J$27)*后果甲状腺剂量!$T28*后果甲状腺剂量!$T$3+SUMPRODUCT(FS$5:FS$27,后果甲状腺剂量!$K$5:$K$27)*后果甲状腺剂量!$Q28+SUMPRODUCT(FT$5:FT$27,后果甲状腺剂量!$K$5:$K$27)*后果甲状腺剂量!$R28+SUMPRODUCT(FU$5:FU$27,后果甲状腺剂量!$K$5:$K$27)*后果甲状腺剂量!$S28+SUMPRODUCT(FV$5:FV$27,后果甲状腺剂量!$K$5:$K$27)*后果甲状腺剂量!$T28</f>
        <v>0</v>
      </c>
      <c r="FU54" s="454">
        <f t="shared" si="257"/>
        <v>0</v>
      </c>
      <c r="FV54" s="454">
        <f t="shared" si="258"/>
        <v>0</v>
      </c>
      <c r="FW54" s="459">
        <f t="shared" si="265"/>
        <v>0</v>
      </c>
      <c r="FX54" s="459">
        <f t="shared" si="266"/>
        <v>0</v>
      </c>
      <c r="GD54" s="440">
        <f>后果有效剂量!$P28</f>
        <v>0</v>
      </c>
      <c r="GE54" s="441">
        <f>SUMPRODUCT(GE$5:GE$27,后果有效剂量!$I$5:$I$27)*后果有效剂量!$Q28+SUMPRODUCT(GF$5:GF$27,后果有效剂量!$I$5:$I$27)*后果有效剂量!$R28+SUMPRODUCT(GG$5:GG$27,后果有效剂量!$I$5:$I$27)*后果有效剂量!$S28+(SUMPRODUCT(GH$5:GH$27,后果有效剂量!$I$5:$I$27)+SUMPRODUCT(GI$5:GI$27,后果有效剂量!$I$5:$I$27))*后果有效剂量!$T28+SUMPRODUCT(GJ$5:GJ$27,后果有效剂量!$I$5:$I$27)*后果有效剂量!$U28+SUMPRODUCT(GE$5:GE$27,后果有效剂量!$J$5:$J$27)*后果有效剂量!$Q28*后果有效剂量!$Q$3+SUMPRODUCT(GF$5:GF$27,后果有效剂量!$J$5:$J$27)*后果有效剂量!$R28*后果有效剂量!$R$3+SUMPRODUCT(GG$5:GG$27,后果有效剂量!$J$5:$J$27)*后果有效剂量!$S28*后果有效剂量!$S$3+(SUMPRODUCT(GH$5:GH$27,后果有效剂量!$J$5:$J$27)+SUMPRODUCT(GI$5:GI$27,后果有效剂量!$J$5:$J$27))*后果有效剂量!$T28*后果有效剂量!$T$3+SUMPRODUCT(GJ$5:GJ$27,后果有效剂量!$J$5:$J$27)*后果有效剂量!$U28*后果有效剂量!$U$3+SUMPRODUCT(GE$5:GE$27,后果有效剂量!$K$5:$K$27)*后果有效剂量!$Q28+SUMPRODUCT(GF$5:GF$27,后果有效剂量!$K$5:$K$27)*后果有效剂量!$R28+SUMPRODUCT(GG$5:GG$27,后果有效剂量!$K$5:$K$27)*后果有效剂量!$S28+(SUMPRODUCT(GH$5:GH$27,后果有效剂量!$K$5:$K$27)+SUMPRODUCT(GI$5:GI$27,后果有效剂量!$K$5:$K$27))*后果有效剂量!$T28+SUMPRODUCT(GJ$5:GJ$27,后果有效剂量!$K$5:$K$27)*后果有效剂量!$U28</f>
        <v>0</v>
      </c>
      <c r="GF54" s="453">
        <f>SUMPRODUCT(GE$5:GE$27,后果甲状腺剂量!$I$5:$I$27)*后果甲状腺剂量!$Q28+SUMPRODUCT(GF$5:GF$27,后果甲状腺剂量!$I$5:$I$27)*后果甲状腺剂量!$R28+SUMPRODUCT(GG$5:GG$27,后果甲状腺剂量!$I$5:$I$27)*后果甲状腺剂量!$S28+(SUMPRODUCT(GH$5:GH$27,后果甲状腺剂量!$I$5:$I$27)+SUMPRODUCT(GI$5:GI$27,后果甲状腺剂量!$I$5:$I$27))*后果甲状腺剂量!$T28+SUMPRODUCT(GJ$5:GJ$27,后果甲状腺剂量!$I$5:$I$27)*后果甲状腺剂量!$U28+SUMPRODUCT(GE$5:GE$27,后果甲状腺剂量!$J$5:$J$27)*后果甲状腺剂量!$Q28*后果甲状腺剂量!$Q$3+SUMPRODUCT(GF$5:GF$27,后果甲状腺剂量!$J$5:$J$27)*后果甲状腺剂量!$R28*后果甲状腺剂量!$R$3+SUMPRODUCT(GG$5:GG$27,后果甲状腺剂量!$J$5:$J$27)*后果甲状腺剂量!$S28*后果甲状腺剂量!$S$3+(SUMPRODUCT(GH$5:GH$27,后果甲状腺剂量!$J$5:$J$27)+SUMPRODUCT(GI$5:GI$27,后果甲状腺剂量!$J$5:$J$27))*后果甲状腺剂量!$T28*后果甲状腺剂量!$T$3+SUMPRODUCT(GJ$5:GJ$27,后果甲状腺剂量!$J$5:$J$27)*后果甲状腺剂量!$U28*后果甲状腺剂量!$U$3+SUMPRODUCT(GE$5:GE$27,后果甲状腺剂量!$K$5:$K$27)*后果甲状腺剂量!$Q28+SUMPRODUCT(GF$5:GF$27,后果甲状腺剂量!$K$5:$K$27)*后果甲状腺剂量!$R28+SUMPRODUCT(GG$5:GG$27,后果甲状腺剂量!$K$5:$K$27)*后果甲状腺剂量!$S28+(SUMPRODUCT(GH$5:GH$27,后果甲状腺剂量!$K$5:$K$27)+SUMPRODUCT(GI$5:GI$27,后果甲状腺剂量!$K$5:$K$27))*后果甲状腺剂量!$T28+SUMPRODUCT(GJ$5:GJ$27,后果甲状腺剂量!$K$5:$K$27)*后果甲状腺剂量!$U28</f>
        <v>0</v>
      </c>
      <c r="GG54" s="454">
        <f t="shared" si="259"/>
        <v>0</v>
      </c>
      <c r="GH54" s="454">
        <f t="shared" si="260"/>
        <v>0</v>
      </c>
      <c r="GI54" s="459">
        <f t="shared" si="267"/>
        <v>0</v>
      </c>
      <c r="GJ54" s="459">
        <f t="shared" si="268"/>
        <v>0</v>
      </c>
    </row>
    <row r="55" spans="7:192">
      <c r="G55" s="440">
        <f>后果有效剂量!$P29</f>
        <v>0</v>
      </c>
      <c r="H55" s="441">
        <f ca="1">SUMPRODUCT(H$5:H$27,后果有效剂量!$I$5:$I$27)*后果有效剂量!$Q29+SUMPRODUCT(I$5:I$27,后果有效剂量!$I$5:$I$27)*后果有效剂量!$Q29+SUMPRODUCT(J$5:J$27,后果有效剂量!$I$5:$I$27)*后果有效剂量!$R29+SUMPRODUCT(K$5:K$27,后果有效剂量!$I$5:$I$27)*后果有效剂量!$S29+SUMPRODUCT(L$5:L$27,后果有效剂量!$I$5:$I$27)*后果有效剂量!$T29+SUMPRODUCT(M$5:M$27,后果有效剂量!$I$5:$I$27)*后果有效剂量!$U29+SUMPRODUCT(H$5:H$27,后果有效剂量!$J$5:$J$27)*后果有效剂量!$Q29*后果有效剂量!$Q$3+SUMPRODUCT(I$5:I$27,后果有效剂量!$J$5:$J$27)*后果有效剂量!$Q29*后果有效剂量!$Q$3+SUMPRODUCT(J$5:J$27,后果有效剂量!$J$5:$J$27)*后果有效剂量!$R29*后果有效剂量!$R$3+SUMPRODUCT(K$5:K$27,后果有效剂量!$J$5:$J$27)*后果有效剂量!$S29*后果有效剂量!$S$3+SUMPRODUCT(L$5:L$27,后果有效剂量!$J$5:$J$27)*后果有效剂量!$T29*后果有效剂量!$T$3+SUMPRODUCT(M$5:M$27,后果有效剂量!$J$5:$J$27)*后果有效剂量!$U29*后果有效剂量!$U$3+SUMPRODUCT(H$5:H$27,后果有效剂量!$K$5:$K$27)*后果有效剂量!$Q29+SUMPRODUCT(I$5:I$27,后果有效剂量!$K$5:$K$27)*后果有效剂量!$Q29+SUMPRODUCT(J$5:J$27,后果有效剂量!$K$5:$K$27)*后果有效剂量!$R29+SUMPRODUCT(K$5:K$27,后果有效剂量!$K$5:$K$27)*后果有效剂量!$S29+SUMPRODUCT(L$5:L$27,后果有效剂量!$K$5:$K$27)*后果有效剂量!$T29+SUMPRODUCT(M$5:M$27,后果有效剂量!$K$5:$K$27)*后果有效剂量!$U29</f>
        <v>0</v>
      </c>
      <c r="I55" s="453">
        <f ca="1">SUMPRODUCT(H$5:H$27,后果甲状腺剂量!$I$5:$I$27)*后果甲状腺剂量!$Q29+SUMPRODUCT(I$5:I$27,后果甲状腺剂量!$I$5:$I$27)*后果甲状腺剂量!$Q29+SUMPRODUCT(J$5:J$27,后果甲状腺剂量!$I$5:$I$27)*后果甲状腺剂量!$R29+SUMPRODUCT(K$5:K$27,后果甲状腺剂量!$I$5:$I$27)*后果甲状腺剂量!$S29+SUMPRODUCT(L$5:L$27,后果甲状腺剂量!$I$5:$I$27)*后果甲状腺剂量!$T29+SUMPRODUCT(M$5:M$27,后果甲状腺剂量!$I$5:$I$27)*后果甲状腺剂量!$U29+SUMPRODUCT(H$5:H$27,后果甲状腺剂量!$J$5:$J$27)*后果甲状腺剂量!$Q29*后果甲状腺剂量!$Q$3+SUMPRODUCT(I$5:I$27,后果甲状腺剂量!$J$5:$J$27)*后果甲状腺剂量!$Q29*后果甲状腺剂量!$Q$3+SUMPRODUCT(J$5:J$27,后果甲状腺剂量!$J$5:$J$27)*后果甲状腺剂量!$R29*后果甲状腺剂量!$R$3+SUMPRODUCT(K$5:K$27,后果甲状腺剂量!$J$5:$J$27)*后果甲状腺剂量!$S29*后果甲状腺剂量!$S$3+SUMPRODUCT(L$5:L$27,后果甲状腺剂量!$J$5:$J$27)*后果甲状腺剂量!$T29*后果甲状腺剂量!$T$3+SUMPRODUCT(M$5:M$27,后果甲状腺剂量!$J$5:$J$27)*后果甲状腺剂量!$U29*后果甲状腺剂量!$U$3+SUMPRODUCT(H$5:H$27,后果甲状腺剂量!$K$5:$K$27)*后果甲状腺剂量!$Q29+SUMPRODUCT(I$5:I$27,后果甲状腺剂量!$K$5:$K$27)*后果甲状腺剂量!$Q29+SUMPRODUCT(J$5:J$27,后果甲状腺剂量!$K$5:$K$27)*后果甲状腺剂量!$R29+SUMPRODUCT(K$5:K$27,后果甲状腺剂量!$K$5:$K$27)*后果甲状腺剂量!$S29+SUMPRODUCT(L$5:L$27,后果甲状腺剂量!$K$5:$K$27)*后果甲状腺剂量!$T29+SUMPRODUCT(M$5:M$27,后果甲状腺剂量!$K$5:$K$27)*后果甲状腺剂量!$U29</f>
        <v>0</v>
      </c>
      <c r="J55" s="454">
        <f ca="1" t="shared" si="253"/>
        <v>0</v>
      </c>
      <c r="K55" s="454">
        <f ca="1" t="shared" si="254"/>
        <v>0</v>
      </c>
      <c r="L55" s="459">
        <f ca="1" t="shared" si="261"/>
        <v>0</v>
      </c>
      <c r="M55" s="459">
        <f ca="1" t="shared" si="262"/>
        <v>0</v>
      </c>
      <c r="Q55" s="440">
        <f>后果有效剂量!$P29</f>
        <v>0</v>
      </c>
      <c r="R55" s="441">
        <f ca="1">SUMPRODUCT(R$5:R$27,后果有效剂量!$I$5:$I$27)*后果有效剂量!$Q29+SUMPRODUCT(S$5:S$27,后果有效剂量!$I$5:$I$27)*后果有效剂量!$Q29+SUMPRODUCT(T$5:T$27,后果有效剂量!$I$5:$I$27)*后果有效剂量!$R29+SUMPRODUCT(U$5:U$27,后果有效剂量!$I$5:$I$27)*后果有效剂量!$S29+SUMPRODUCT(V$5:V$27,后果有效剂量!$I$5:$I$27)*后果有效剂量!$T29+SUMPRODUCT(W$5:W$27,后果有效剂量!$I$5:$I$27)*后果有效剂量!$U29+SUMPRODUCT(R$5:R$27,后果有效剂量!$J$5:$J$27)*后果有效剂量!$Q29*后果有效剂量!$Q$3+SUMPRODUCT(S$5:S$27,后果有效剂量!$J$5:$J$27)*后果有效剂量!$Q29*后果有效剂量!$Q$3+SUMPRODUCT(T$5:T$27,后果有效剂量!$J$5:$J$27)*后果有效剂量!$R29*后果有效剂量!$R$3+SUMPRODUCT(U$5:U$27,后果有效剂量!$J$5:$J$27)*后果有效剂量!$S29*后果有效剂量!$S$3+SUMPRODUCT(V$5:V$27,后果有效剂量!$J$5:$J$27)*后果有效剂量!$T29*后果有效剂量!$T$3+SUMPRODUCT(W$5:W$27,后果有效剂量!$J$5:$J$27)*后果有效剂量!$U29*后果有效剂量!$U$3+SUMPRODUCT(R$5:R$27,后果有效剂量!$K$5:$K$27)*后果有效剂量!$Q29+SUMPRODUCT(S$5:S$27,后果有效剂量!$K$5:$K$27)*后果有效剂量!$Q29+SUMPRODUCT(T$5:T$27,后果有效剂量!$K$5:$K$27)*后果有效剂量!$R29+SUMPRODUCT(U$5:U$27,后果有效剂量!$K$5:$K$27)*后果有效剂量!$S29+SUMPRODUCT(V$5:V$27,后果有效剂量!$K$5:$K$27)*后果有效剂量!$T29+SUMPRODUCT(W$5:W$27,后果有效剂量!$K$5:$K$27)*后果有效剂量!$U29</f>
        <v>0</v>
      </c>
      <c r="S55" s="453">
        <f ca="1">SUMPRODUCT(R$5:R$27,后果甲状腺剂量!$I$5:$I$27)*后果甲状腺剂量!$Q29+SUMPRODUCT(S$5:S$27,后果甲状腺剂量!$I$5:$I$27)*后果甲状腺剂量!$Q29+SUMPRODUCT(T$5:T$27,后果甲状腺剂量!$I$5:$I$27)*后果甲状腺剂量!$R29+SUMPRODUCT(U$5:U$27,后果甲状腺剂量!$I$5:$I$27)*后果甲状腺剂量!$S29+SUMPRODUCT(V$5:V$27,后果甲状腺剂量!$I$5:$I$27)*后果甲状腺剂量!$T29+SUMPRODUCT(W$5:W$27,后果甲状腺剂量!$I$5:$I$27)*后果甲状腺剂量!$U29+SUMPRODUCT(R$5:R$27,后果甲状腺剂量!$J$5:$J$27)*后果甲状腺剂量!$Q29*后果甲状腺剂量!$Q$3+SUMPRODUCT(S$5:S$27,后果甲状腺剂量!$J$5:$J$27)*后果甲状腺剂量!$Q29*后果甲状腺剂量!$Q$3+SUMPRODUCT(T$5:T$27,后果甲状腺剂量!$J$5:$J$27)*后果甲状腺剂量!$R29*后果甲状腺剂量!$R$3+SUMPRODUCT(U$5:U$27,后果甲状腺剂量!$J$5:$J$27)*后果甲状腺剂量!$S29*后果甲状腺剂量!$S$3+SUMPRODUCT(V$5:V$27,后果甲状腺剂量!$J$5:$J$27)*后果甲状腺剂量!$T29*后果甲状腺剂量!$T$3+SUMPRODUCT(W$5:W$27,后果甲状腺剂量!$J$5:$J$27)*后果甲状腺剂量!$U29*后果甲状腺剂量!$U$3+SUMPRODUCT(R$5:R$27,后果甲状腺剂量!$K$5:$K$27)*后果甲状腺剂量!$Q29+SUMPRODUCT(S$5:S$27,后果甲状腺剂量!$K$5:$K$27)*后果甲状腺剂量!$Q29+SUMPRODUCT(T$5:T$27,后果甲状腺剂量!$K$5:$K$27)*后果甲状腺剂量!$R29+SUMPRODUCT(U$5:U$27,后果甲状腺剂量!$K$5:$K$27)*后果甲状腺剂量!$S29+SUMPRODUCT(V$5:V$27,后果甲状腺剂量!$K$5:$K$27)*后果甲状腺剂量!$T29+SUMPRODUCT(W$5:W$27,后果甲状腺剂量!$K$5:$K$27)*后果甲状腺剂量!$U29</f>
        <v>0</v>
      </c>
      <c r="T55" s="454">
        <f ca="1" t="shared" si="255"/>
        <v>0</v>
      </c>
      <c r="U55" s="454">
        <f ca="1" t="shared" si="256"/>
        <v>0</v>
      </c>
      <c r="V55" s="459">
        <f ca="1" t="shared" si="263"/>
        <v>0</v>
      </c>
      <c r="W55" s="459">
        <f ca="1" t="shared" si="264"/>
        <v>0</v>
      </c>
      <c r="FS55" s="441">
        <f>SUMPRODUCT(FS$5:FS$27,后果有效剂量!$I$5:$I$27)*后果有效剂量!$Q29+SUMPRODUCT(FT$5:FT$27,后果有效剂量!$I$5:$I$27)*后果有效剂量!$R29+SUMPRODUCT(FU$5:FU$27,后果有效剂量!$I$5:$I$27)*后果有效剂量!$S29+SUMPRODUCT(FV$5:FV$27,后果有效剂量!$I$5:$I$27)*后果有效剂量!$T29+SUMPRODUCT(FS$5:FS$27,后果有效剂量!$J$5:$J$27)*后果有效剂量!$Q29*后果有效剂量!$Q$3+SUMPRODUCT(FT$5:FT$27,后果有效剂量!$J$5:$J$27)*后果有效剂量!$R29*后果有效剂量!$R$3+SUMPRODUCT(FU$5:FU$27,后果有效剂量!$J$5:$J$27)*后果有效剂量!$S29*后果有效剂量!$S$3+SUMPRODUCT(FV$5:FV$27,后果有效剂量!$J$5:$J$27)*后果有效剂量!$T29*后果有效剂量!$T$3+SUMPRODUCT(FS$5:FS$27,后果有效剂量!$K$5:$K$27)*后果有效剂量!$Q29+SUMPRODUCT(FT$5:FT$27,后果有效剂量!$K$5:$K$27)*后果有效剂量!$R29+SUMPRODUCT(FU$5:FU$27,后果有效剂量!$K$5:$K$27)*后果有效剂量!$S29+SUMPRODUCT(FV$5:FV$27,后果有效剂量!$K$5:$K$27)*后果有效剂量!$T29</f>
        <v>0</v>
      </c>
      <c r="FT55" s="453">
        <f>SUMPRODUCT(FS$5:FS$27,后果甲状腺剂量!$I$5:$I$27)*后果甲状腺剂量!$Q29+SUMPRODUCT(FT$5:FT$27,后果甲状腺剂量!$I$5:$I$27)*后果甲状腺剂量!$R29+SUMPRODUCT(FU$5:FU$27,后果甲状腺剂量!$I$5:$I$27)*后果甲状腺剂量!$S29+SUMPRODUCT(FV$5:FV$27,后果甲状腺剂量!$I$5:$I$27)*后果甲状腺剂量!$T29+SUMPRODUCT(FS$5:FS$27,后果甲状腺剂量!$J$5:$J$27)*后果甲状腺剂量!$Q29*后果甲状腺剂量!$Q$3+SUMPRODUCT(FT$5:FT$27,后果甲状腺剂量!$J$5:$J$27)*后果甲状腺剂量!$R29*后果甲状腺剂量!$R$3+SUMPRODUCT(FU$5:FU$27,后果甲状腺剂量!$J$5:$J$27)*后果甲状腺剂量!$S29*后果甲状腺剂量!$S$3+SUMPRODUCT(FV$5:FV$27,后果甲状腺剂量!$J$5:$J$27)*后果甲状腺剂量!$T29*后果甲状腺剂量!$T$3+SUMPRODUCT(FS$5:FS$27,后果甲状腺剂量!$K$5:$K$27)*后果甲状腺剂量!$Q29+SUMPRODUCT(FT$5:FT$27,后果甲状腺剂量!$K$5:$K$27)*后果甲状腺剂量!$R29+SUMPRODUCT(FU$5:FU$27,后果甲状腺剂量!$K$5:$K$27)*后果甲状腺剂量!$S29+SUMPRODUCT(FV$5:FV$27,后果甲状腺剂量!$K$5:$K$27)*后果甲状腺剂量!$T29</f>
        <v>0</v>
      </c>
      <c r="FU55" s="454">
        <f t="shared" si="257"/>
        <v>0</v>
      </c>
      <c r="FV55" s="454">
        <f t="shared" si="258"/>
        <v>0</v>
      </c>
      <c r="FW55" s="459">
        <f t="shared" si="265"/>
        <v>0</v>
      </c>
      <c r="FX55" s="459">
        <f t="shared" si="266"/>
        <v>0</v>
      </c>
      <c r="GD55" s="440">
        <f>后果有效剂量!$P29</f>
        <v>0</v>
      </c>
      <c r="GE55" s="441">
        <f>SUMPRODUCT(GE$5:GE$27,后果有效剂量!$I$5:$I$27)*后果有效剂量!$Q29+SUMPRODUCT(GF$5:GF$27,后果有效剂量!$I$5:$I$27)*后果有效剂量!$R29+SUMPRODUCT(GG$5:GG$27,后果有效剂量!$I$5:$I$27)*后果有效剂量!$S29+(SUMPRODUCT(GH$5:GH$27,后果有效剂量!$I$5:$I$27)+SUMPRODUCT(GI$5:GI$27,后果有效剂量!$I$5:$I$27))*后果有效剂量!$T29+SUMPRODUCT(GJ$5:GJ$27,后果有效剂量!$I$5:$I$27)*后果有效剂量!$U29+SUMPRODUCT(GE$5:GE$27,后果有效剂量!$J$5:$J$27)*后果有效剂量!$Q29*后果有效剂量!$Q$3+SUMPRODUCT(GF$5:GF$27,后果有效剂量!$J$5:$J$27)*后果有效剂量!$R29*后果有效剂量!$R$3+SUMPRODUCT(GG$5:GG$27,后果有效剂量!$J$5:$J$27)*后果有效剂量!$S29*后果有效剂量!$S$3+(SUMPRODUCT(GH$5:GH$27,后果有效剂量!$J$5:$J$27)+SUMPRODUCT(GI$5:GI$27,后果有效剂量!$J$5:$J$27))*后果有效剂量!$T29*后果有效剂量!$T$3+SUMPRODUCT(GJ$5:GJ$27,后果有效剂量!$J$5:$J$27)*后果有效剂量!$U29*后果有效剂量!$U$3+SUMPRODUCT(GE$5:GE$27,后果有效剂量!$K$5:$K$27)*后果有效剂量!$Q29+SUMPRODUCT(GF$5:GF$27,后果有效剂量!$K$5:$K$27)*后果有效剂量!$R29+SUMPRODUCT(GG$5:GG$27,后果有效剂量!$K$5:$K$27)*后果有效剂量!$S29+(SUMPRODUCT(GH$5:GH$27,后果有效剂量!$K$5:$K$27)+SUMPRODUCT(GI$5:GI$27,后果有效剂量!$K$5:$K$27))*后果有效剂量!$T29+SUMPRODUCT(GJ$5:GJ$27,后果有效剂量!$K$5:$K$27)*后果有效剂量!$U29</f>
        <v>0</v>
      </c>
      <c r="GF55" s="453">
        <f>SUMPRODUCT(GE$5:GE$27,后果甲状腺剂量!$I$5:$I$27)*后果甲状腺剂量!$Q29+SUMPRODUCT(GF$5:GF$27,后果甲状腺剂量!$I$5:$I$27)*后果甲状腺剂量!$R29+SUMPRODUCT(GG$5:GG$27,后果甲状腺剂量!$I$5:$I$27)*后果甲状腺剂量!$S29+(SUMPRODUCT(GH$5:GH$27,后果甲状腺剂量!$I$5:$I$27)+SUMPRODUCT(GI$5:GI$27,后果甲状腺剂量!$I$5:$I$27))*后果甲状腺剂量!$T29+SUMPRODUCT(GJ$5:GJ$27,后果甲状腺剂量!$I$5:$I$27)*后果甲状腺剂量!$U29+SUMPRODUCT(GE$5:GE$27,后果甲状腺剂量!$J$5:$J$27)*后果甲状腺剂量!$Q29*后果甲状腺剂量!$Q$3+SUMPRODUCT(GF$5:GF$27,后果甲状腺剂量!$J$5:$J$27)*后果甲状腺剂量!$R29*后果甲状腺剂量!$R$3+SUMPRODUCT(GG$5:GG$27,后果甲状腺剂量!$J$5:$J$27)*后果甲状腺剂量!$S29*后果甲状腺剂量!$S$3+(SUMPRODUCT(GH$5:GH$27,后果甲状腺剂量!$J$5:$J$27)+SUMPRODUCT(GI$5:GI$27,后果甲状腺剂量!$J$5:$J$27))*后果甲状腺剂量!$T29*后果甲状腺剂量!$T$3+SUMPRODUCT(GJ$5:GJ$27,后果甲状腺剂量!$J$5:$J$27)*后果甲状腺剂量!$U29*后果甲状腺剂量!$U$3+SUMPRODUCT(GE$5:GE$27,后果甲状腺剂量!$K$5:$K$27)*后果甲状腺剂量!$Q29+SUMPRODUCT(GF$5:GF$27,后果甲状腺剂量!$K$5:$K$27)*后果甲状腺剂量!$R29+SUMPRODUCT(GG$5:GG$27,后果甲状腺剂量!$K$5:$K$27)*后果甲状腺剂量!$S29+(SUMPRODUCT(GH$5:GH$27,后果甲状腺剂量!$K$5:$K$27)+SUMPRODUCT(GI$5:GI$27,后果甲状腺剂量!$K$5:$K$27))*后果甲状腺剂量!$T29+SUMPRODUCT(GJ$5:GJ$27,后果甲状腺剂量!$K$5:$K$27)*后果甲状腺剂量!$U29</f>
        <v>0</v>
      </c>
      <c r="GG55" s="454">
        <f t="shared" si="259"/>
        <v>0</v>
      </c>
      <c r="GH55" s="454">
        <f t="shared" si="260"/>
        <v>0</v>
      </c>
      <c r="GI55" s="459">
        <f t="shared" si="267"/>
        <v>0</v>
      </c>
      <c r="GJ55" s="459">
        <f t="shared" si="268"/>
        <v>0</v>
      </c>
    </row>
    <row r="56" spans="7:192">
      <c r="G56" s="440">
        <f>后果有效剂量!$P30</f>
        <v>0</v>
      </c>
      <c r="H56" s="441">
        <f ca="1">SUMPRODUCT(H$5:H$27,后果有效剂量!$I$5:$I$27)*后果有效剂量!$Q30+SUMPRODUCT(I$5:I$27,后果有效剂量!$I$5:$I$27)*后果有效剂量!$Q30+SUMPRODUCT(J$5:J$27,后果有效剂量!$I$5:$I$27)*后果有效剂量!$R30+SUMPRODUCT(K$5:K$27,后果有效剂量!$I$5:$I$27)*后果有效剂量!$S30+SUMPRODUCT(L$5:L$27,后果有效剂量!$I$5:$I$27)*后果有效剂量!$T30+SUMPRODUCT(M$5:M$27,后果有效剂量!$I$5:$I$27)*后果有效剂量!$U30+SUMPRODUCT(H$5:H$27,后果有效剂量!$J$5:$J$27)*后果有效剂量!$Q30*后果有效剂量!$Q$3+SUMPRODUCT(I$5:I$27,后果有效剂量!$J$5:$J$27)*后果有效剂量!$Q30*后果有效剂量!$Q$3+SUMPRODUCT(J$5:J$27,后果有效剂量!$J$5:$J$27)*后果有效剂量!$R30*后果有效剂量!$R$3+SUMPRODUCT(K$5:K$27,后果有效剂量!$J$5:$J$27)*后果有效剂量!$S30*后果有效剂量!$S$3+SUMPRODUCT(L$5:L$27,后果有效剂量!$J$5:$J$27)*后果有效剂量!$T30*后果有效剂量!$T$3+SUMPRODUCT(M$5:M$27,后果有效剂量!$J$5:$J$27)*后果有效剂量!$U30*后果有效剂量!$U$3+SUMPRODUCT(H$5:H$27,后果有效剂量!$K$5:$K$27)*后果有效剂量!$Q30+SUMPRODUCT(I$5:I$27,后果有效剂量!$K$5:$K$27)*后果有效剂量!$Q30+SUMPRODUCT(J$5:J$27,后果有效剂量!$K$5:$K$27)*后果有效剂量!$R30+SUMPRODUCT(K$5:K$27,后果有效剂量!$K$5:$K$27)*后果有效剂量!$S30+SUMPRODUCT(L$5:L$27,后果有效剂量!$K$5:$K$27)*后果有效剂量!$T30+SUMPRODUCT(M$5:M$27,后果有效剂量!$K$5:$K$27)*后果有效剂量!$U30</f>
        <v>0</v>
      </c>
      <c r="I56" s="453">
        <f ca="1">SUMPRODUCT(H$5:H$27,后果甲状腺剂量!$I$5:$I$27)*后果甲状腺剂量!$Q30+SUMPRODUCT(I$5:I$27,后果甲状腺剂量!$I$5:$I$27)*后果甲状腺剂量!$Q30+SUMPRODUCT(J$5:J$27,后果甲状腺剂量!$I$5:$I$27)*后果甲状腺剂量!$R30+SUMPRODUCT(K$5:K$27,后果甲状腺剂量!$I$5:$I$27)*后果甲状腺剂量!$S30+SUMPRODUCT(L$5:L$27,后果甲状腺剂量!$I$5:$I$27)*后果甲状腺剂量!$T30+SUMPRODUCT(M$5:M$27,后果甲状腺剂量!$I$5:$I$27)*后果甲状腺剂量!$U30+SUMPRODUCT(H$5:H$27,后果甲状腺剂量!$J$5:$J$27)*后果甲状腺剂量!$Q30*后果甲状腺剂量!$Q$3+SUMPRODUCT(I$5:I$27,后果甲状腺剂量!$J$5:$J$27)*后果甲状腺剂量!$Q30*后果甲状腺剂量!$Q$3+SUMPRODUCT(J$5:J$27,后果甲状腺剂量!$J$5:$J$27)*后果甲状腺剂量!$R30*后果甲状腺剂量!$R$3+SUMPRODUCT(K$5:K$27,后果甲状腺剂量!$J$5:$J$27)*后果甲状腺剂量!$S30*后果甲状腺剂量!$S$3+SUMPRODUCT(L$5:L$27,后果甲状腺剂量!$J$5:$J$27)*后果甲状腺剂量!$T30*后果甲状腺剂量!$T$3+SUMPRODUCT(M$5:M$27,后果甲状腺剂量!$J$5:$J$27)*后果甲状腺剂量!$U30*后果甲状腺剂量!$U$3+SUMPRODUCT(H$5:H$27,后果甲状腺剂量!$K$5:$K$27)*后果甲状腺剂量!$Q30+SUMPRODUCT(I$5:I$27,后果甲状腺剂量!$K$5:$K$27)*后果甲状腺剂量!$Q30+SUMPRODUCT(J$5:J$27,后果甲状腺剂量!$K$5:$K$27)*后果甲状腺剂量!$R30+SUMPRODUCT(K$5:K$27,后果甲状腺剂量!$K$5:$K$27)*后果甲状腺剂量!$S30+SUMPRODUCT(L$5:L$27,后果甲状腺剂量!$K$5:$K$27)*后果甲状腺剂量!$T30+SUMPRODUCT(M$5:M$27,后果甲状腺剂量!$K$5:$K$27)*后果甲状腺剂量!$U30</f>
        <v>0</v>
      </c>
      <c r="J56" s="454">
        <f ca="1" t="shared" si="253"/>
        <v>0</v>
      </c>
      <c r="K56" s="454">
        <f ca="1" t="shared" si="254"/>
        <v>0</v>
      </c>
      <c r="L56" s="459">
        <f ca="1" t="shared" si="261"/>
        <v>0</v>
      </c>
      <c r="M56" s="459">
        <f ca="1" t="shared" si="262"/>
        <v>0</v>
      </c>
      <c r="Q56" s="440">
        <f>后果有效剂量!$P30</f>
        <v>0</v>
      </c>
      <c r="R56" s="441">
        <f ca="1">SUMPRODUCT(R$5:R$27,后果有效剂量!$I$5:$I$27)*后果有效剂量!$Q30+SUMPRODUCT(S$5:S$27,后果有效剂量!$I$5:$I$27)*后果有效剂量!$Q30+SUMPRODUCT(T$5:T$27,后果有效剂量!$I$5:$I$27)*后果有效剂量!$R30+SUMPRODUCT(U$5:U$27,后果有效剂量!$I$5:$I$27)*后果有效剂量!$S30+SUMPRODUCT(V$5:V$27,后果有效剂量!$I$5:$I$27)*后果有效剂量!$T30+SUMPRODUCT(W$5:W$27,后果有效剂量!$I$5:$I$27)*后果有效剂量!$U30+SUMPRODUCT(R$5:R$27,后果有效剂量!$J$5:$J$27)*后果有效剂量!$Q30*后果有效剂量!$Q$3+SUMPRODUCT(S$5:S$27,后果有效剂量!$J$5:$J$27)*后果有效剂量!$Q30*后果有效剂量!$Q$3+SUMPRODUCT(T$5:T$27,后果有效剂量!$J$5:$J$27)*后果有效剂量!$R30*后果有效剂量!$R$3+SUMPRODUCT(U$5:U$27,后果有效剂量!$J$5:$J$27)*后果有效剂量!$S30*后果有效剂量!$S$3+SUMPRODUCT(V$5:V$27,后果有效剂量!$J$5:$J$27)*后果有效剂量!$T30*后果有效剂量!$T$3+SUMPRODUCT(W$5:W$27,后果有效剂量!$J$5:$J$27)*后果有效剂量!$U30*后果有效剂量!$U$3+SUMPRODUCT(R$5:R$27,后果有效剂量!$K$5:$K$27)*后果有效剂量!$Q30+SUMPRODUCT(S$5:S$27,后果有效剂量!$K$5:$K$27)*后果有效剂量!$Q30+SUMPRODUCT(T$5:T$27,后果有效剂量!$K$5:$K$27)*后果有效剂量!$R30+SUMPRODUCT(U$5:U$27,后果有效剂量!$K$5:$K$27)*后果有效剂量!$S30+SUMPRODUCT(V$5:V$27,后果有效剂量!$K$5:$K$27)*后果有效剂量!$T30+SUMPRODUCT(W$5:W$27,后果有效剂量!$K$5:$K$27)*后果有效剂量!$U30</f>
        <v>0</v>
      </c>
      <c r="S56" s="453">
        <f ca="1">SUMPRODUCT(R$5:R$27,后果甲状腺剂量!$I$5:$I$27)*后果甲状腺剂量!$Q30+SUMPRODUCT(S$5:S$27,后果甲状腺剂量!$I$5:$I$27)*后果甲状腺剂量!$Q30+SUMPRODUCT(T$5:T$27,后果甲状腺剂量!$I$5:$I$27)*后果甲状腺剂量!$R30+SUMPRODUCT(U$5:U$27,后果甲状腺剂量!$I$5:$I$27)*后果甲状腺剂量!$S30+SUMPRODUCT(V$5:V$27,后果甲状腺剂量!$I$5:$I$27)*后果甲状腺剂量!$T30+SUMPRODUCT(W$5:W$27,后果甲状腺剂量!$I$5:$I$27)*后果甲状腺剂量!$U30+SUMPRODUCT(R$5:R$27,后果甲状腺剂量!$J$5:$J$27)*后果甲状腺剂量!$Q30*后果甲状腺剂量!$Q$3+SUMPRODUCT(S$5:S$27,后果甲状腺剂量!$J$5:$J$27)*后果甲状腺剂量!$Q30*后果甲状腺剂量!$Q$3+SUMPRODUCT(T$5:T$27,后果甲状腺剂量!$J$5:$J$27)*后果甲状腺剂量!$R30*后果甲状腺剂量!$R$3+SUMPRODUCT(U$5:U$27,后果甲状腺剂量!$J$5:$J$27)*后果甲状腺剂量!$S30*后果甲状腺剂量!$S$3+SUMPRODUCT(V$5:V$27,后果甲状腺剂量!$J$5:$J$27)*后果甲状腺剂量!$T30*后果甲状腺剂量!$T$3+SUMPRODUCT(W$5:W$27,后果甲状腺剂量!$J$5:$J$27)*后果甲状腺剂量!$U30*后果甲状腺剂量!$U$3+SUMPRODUCT(R$5:R$27,后果甲状腺剂量!$K$5:$K$27)*后果甲状腺剂量!$Q30+SUMPRODUCT(S$5:S$27,后果甲状腺剂量!$K$5:$K$27)*后果甲状腺剂量!$Q30+SUMPRODUCT(T$5:T$27,后果甲状腺剂量!$K$5:$K$27)*后果甲状腺剂量!$R30+SUMPRODUCT(U$5:U$27,后果甲状腺剂量!$K$5:$K$27)*后果甲状腺剂量!$S30+SUMPRODUCT(V$5:V$27,后果甲状腺剂量!$K$5:$K$27)*后果甲状腺剂量!$T30+SUMPRODUCT(W$5:W$27,后果甲状腺剂量!$K$5:$K$27)*后果甲状腺剂量!$U30</f>
        <v>0</v>
      </c>
      <c r="T56" s="454">
        <f ca="1" t="shared" si="255"/>
        <v>0</v>
      </c>
      <c r="U56" s="454">
        <f ca="1" t="shared" si="256"/>
        <v>0</v>
      </c>
      <c r="V56" s="459">
        <f ca="1" t="shared" si="263"/>
        <v>0</v>
      </c>
      <c r="W56" s="459">
        <f ca="1" t="shared" si="264"/>
        <v>0</v>
      </c>
      <c r="FS56" s="441">
        <f>SUMPRODUCT(FS$5:FS$27,后果有效剂量!$I$5:$I$27)*后果有效剂量!$Q30+SUMPRODUCT(FT$5:FT$27,后果有效剂量!$I$5:$I$27)*后果有效剂量!$R30+SUMPRODUCT(FU$5:FU$27,后果有效剂量!$I$5:$I$27)*后果有效剂量!$S30+SUMPRODUCT(FV$5:FV$27,后果有效剂量!$I$5:$I$27)*后果有效剂量!$T30+SUMPRODUCT(FS$5:FS$27,后果有效剂量!$J$5:$J$27)*后果有效剂量!$Q30*后果有效剂量!$Q$3+SUMPRODUCT(FT$5:FT$27,后果有效剂量!$J$5:$J$27)*后果有效剂量!$R30*后果有效剂量!$R$3+SUMPRODUCT(FU$5:FU$27,后果有效剂量!$J$5:$J$27)*后果有效剂量!$S30*后果有效剂量!$S$3+SUMPRODUCT(FV$5:FV$27,后果有效剂量!$J$5:$J$27)*后果有效剂量!$T30*后果有效剂量!$T$3+SUMPRODUCT(FS$5:FS$27,后果有效剂量!$K$5:$K$27)*后果有效剂量!$Q30+SUMPRODUCT(FT$5:FT$27,后果有效剂量!$K$5:$K$27)*后果有效剂量!$R30+SUMPRODUCT(FU$5:FU$27,后果有效剂量!$K$5:$K$27)*后果有效剂量!$S30+SUMPRODUCT(FV$5:FV$27,后果有效剂量!$K$5:$K$27)*后果有效剂量!$T30</f>
        <v>0</v>
      </c>
      <c r="FT56" s="453">
        <f>SUMPRODUCT(FS$5:FS$27,后果甲状腺剂量!$I$5:$I$27)*后果甲状腺剂量!$Q30+SUMPRODUCT(FT$5:FT$27,后果甲状腺剂量!$I$5:$I$27)*后果甲状腺剂量!$R30+SUMPRODUCT(FU$5:FU$27,后果甲状腺剂量!$I$5:$I$27)*后果甲状腺剂量!$S30+SUMPRODUCT(FV$5:FV$27,后果甲状腺剂量!$I$5:$I$27)*后果甲状腺剂量!$T30+SUMPRODUCT(FS$5:FS$27,后果甲状腺剂量!$J$5:$J$27)*后果甲状腺剂量!$Q30*后果甲状腺剂量!$Q$3+SUMPRODUCT(FT$5:FT$27,后果甲状腺剂量!$J$5:$J$27)*后果甲状腺剂量!$R30*后果甲状腺剂量!$R$3+SUMPRODUCT(FU$5:FU$27,后果甲状腺剂量!$J$5:$J$27)*后果甲状腺剂量!$S30*后果甲状腺剂量!$S$3+SUMPRODUCT(FV$5:FV$27,后果甲状腺剂量!$J$5:$J$27)*后果甲状腺剂量!$T30*后果甲状腺剂量!$T$3+SUMPRODUCT(FS$5:FS$27,后果甲状腺剂量!$K$5:$K$27)*后果甲状腺剂量!$Q30+SUMPRODUCT(FT$5:FT$27,后果甲状腺剂量!$K$5:$K$27)*后果甲状腺剂量!$R30+SUMPRODUCT(FU$5:FU$27,后果甲状腺剂量!$K$5:$K$27)*后果甲状腺剂量!$S30+SUMPRODUCT(FV$5:FV$27,后果甲状腺剂量!$K$5:$K$27)*后果甲状腺剂量!$T30</f>
        <v>0</v>
      </c>
      <c r="FU56" s="454">
        <f t="shared" si="257"/>
        <v>0</v>
      </c>
      <c r="FV56" s="454">
        <f t="shared" si="258"/>
        <v>0</v>
      </c>
      <c r="FW56" s="459">
        <f t="shared" si="265"/>
        <v>0</v>
      </c>
      <c r="FX56" s="459">
        <f t="shared" si="266"/>
        <v>0</v>
      </c>
      <c r="GD56" s="440">
        <f>后果有效剂量!$P30</f>
        <v>0</v>
      </c>
      <c r="GE56" s="441">
        <f>SUMPRODUCT(GE$5:GE$27,后果有效剂量!$I$5:$I$27)*后果有效剂量!$Q30+SUMPRODUCT(GF$5:GF$27,后果有效剂量!$I$5:$I$27)*后果有效剂量!$R30+SUMPRODUCT(GG$5:GG$27,后果有效剂量!$I$5:$I$27)*后果有效剂量!$S30+(SUMPRODUCT(GH$5:GH$27,后果有效剂量!$I$5:$I$27)+SUMPRODUCT(GI$5:GI$27,后果有效剂量!$I$5:$I$27))*后果有效剂量!$T30+SUMPRODUCT(GJ$5:GJ$27,后果有效剂量!$I$5:$I$27)*后果有效剂量!$U30+SUMPRODUCT(GE$5:GE$27,后果有效剂量!$J$5:$J$27)*后果有效剂量!$Q30*后果有效剂量!$Q$3+SUMPRODUCT(GF$5:GF$27,后果有效剂量!$J$5:$J$27)*后果有效剂量!$R30*后果有效剂量!$R$3+SUMPRODUCT(GG$5:GG$27,后果有效剂量!$J$5:$J$27)*后果有效剂量!$S30*后果有效剂量!$S$3+(SUMPRODUCT(GH$5:GH$27,后果有效剂量!$J$5:$J$27)+SUMPRODUCT(GI$5:GI$27,后果有效剂量!$J$5:$J$27))*后果有效剂量!$T30*后果有效剂量!$T$3+SUMPRODUCT(GJ$5:GJ$27,后果有效剂量!$J$5:$J$27)*后果有效剂量!$U30*后果有效剂量!$U$3+SUMPRODUCT(GE$5:GE$27,后果有效剂量!$K$5:$K$27)*后果有效剂量!$Q30+SUMPRODUCT(GF$5:GF$27,后果有效剂量!$K$5:$K$27)*后果有效剂量!$R30+SUMPRODUCT(GG$5:GG$27,后果有效剂量!$K$5:$K$27)*后果有效剂量!$S30+(SUMPRODUCT(GH$5:GH$27,后果有效剂量!$K$5:$K$27)+SUMPRODUCT(GI$5:GI$27,后果有效剂量!$K$5:$K$27))*后果有效剂量!$T30+SUMPRODUCT(GJ$5:GJ$27,后果有效剂量!$K$5:$K$27)*后果有效剂量!$U30</f>
        <v>0</v>
      </c>
      <c r="GF56" s="453">
        <f>SUMPRODUCT(GE$5:GE$27,后果甲状腺剂量!$I$5:$I$27)*后果甲状腺剂量!$Q30+SUMPRODUCT(GF$5:GF$27,后果甲状腺剂量!$I$5:$I$27)*后果甲状腺剂量!$R30+SUMPRODUCT(GG$5:GG$27,后果甲状腺剂量!$I$5:$I$27)*后果甲状腺剂量!$S30+(SUMPRODUCT(GH$5:GH$27,后果甲状腺剂量!$I$5:$I$27)+SUMPRODUCT(GI$5:GI$27,后果甲状腺剂量!$I$5:$I$27))*后果甲状腺剂量!$T30+SUMPRODUCT(GJ$5:GJ$27,后果甲状腺剂量!$I$5:$I$27)*后果甲状腺剂量!$U30+SUMPRODUCT(GE$5:GE$27,后果甲状腺剂量!$J$5:$J$27)*后果甲状腺剂量!$Q30*后果甲状腺剂量!$Q$3+SUMPRODUCT(GF$5:GF$27,后果甲状腺剂量!$J$5:$J$27)*后果甲状腺剂量!$R30*后果甲状腺剂量!$R$3+SUMPRODUCT(GG$5:GG$27,后果甲状腺剂量!$J$5:$J$27)*后果甲状腺剂量!$S30*后果甲状腺剂量!$S$3+(SUMPRODUCT(GH$5:GH$27,后果甲状腺剂量!$J$5:$J$27)+SUMPRODUCT(GI$5:GI$27,后果甲状腺剂量!$J$5:$J$27))*后果甲状腺剂量!$T30*后果甲状腺剂量!$T$3+SUMPRODUCT(GJ$5:GJ$27,后果甲状腺剂量!$J$5:$J$27)*后果甲状腺剂量!$U30*后果甲状腺剂量!$U$3+SUMPRODUCT(GE$5:GE$27,后果甲状腺剂量!$K$5:$K$27)*后果甲状腺剂量!$Q30+SUMPRODUCT(GF$5:GF$27,后果甲状腺剂量!$K$5:$K$27)*后果甲状腺剂量!$R30+SUMPRODUCT(GG$5:GG$27,后果甲状腺剂量!$K$5:$K$27)*后果甲状腺剂量!$S30+(SUMPRODUCT(GH$5:GH$27,后果甲状腺剂量!$K$5:$K$27)+SUMPRODUCT(GI$5:GI$27,后果甲状腺剂量!$K$5:$K$27))*后果甲状腺剂量!$T30+SUMPRODUCT(GJ$5:GJ$27,后果甲状腺剂量!$K$5:$K$27)*后果甲状腺剂量!$U30</f>
        <v>0</v>
      </c>
      <c r="GG56" s="454">
        <f t="shared" si="259"/>
        <v>0</v>
      </c>
      <c r="GH56" s="454">
        <f t="shared" si="260"/>
        <v>0</v>
      </c>
      <c r="GI56" s="459">
        <f t="shared" si="267"/>
        <v>0</v>
      </c>
      <c r="GJ56" s="459">
        <f t="shared" si="268"/>
        <v>0</v>
      </c>
    </row>
    <row r="57" ht="13.5" spans="8:21">
      <c r="H57" s="447"/>
      <c r="I57" s="460"/>
      <c r="J57" s="461"/>
      <c r="K57" s="461"/>
      <c r="R57" s="447"/>
      <c r="S57" s="460"/>
      <c r="T57" s="461"/>
      <c r="U57" s="461"/>
    </row>
    <row r="58" ht="13.5" spans="9:25">
      <c r="I58" s="462" t="s">
        <v>296</v>
      </c>
      <c r="J58" s="462"/>
      <c r="K58" s="462" t="s">
        <v>297</v>
      </c>
      <c r="L58" s="462"/>
      <c r="M58" s="463" t="s">
        <v>298</v>
      </c>
      <c r="N58" s="464"/>
      <c r="O58" s="463" t="s">
        <v>299</v>
      </c>
      <c r="P58" s="464"/>
      <c r="S58" s="462" t="s">
        <v>296</v>
      </c>
      <c r="T58" s="462"/>
      <c r="U58" s="462" t="s">
        <v>297</v>
      </c>
      <c r="V58" s="462"/>
      <c r="W58" s="463" t="s">
        <v>298</v>
      </c>
      <c r="X58" s="464"/>
      <c r="Y58" s="505"/>
    </row>
    <row r="59" ht="36.75" spans="9:25">
      <c r="I59" s="465" t="s">
        <v>300</v>
      </c>
      <c r="J59" s="466" t="s">
        <v>301</v>
      </c>
      <c r="K59" s="465" t="s">
        <v>300</v>
      </c>
      <c r="L59" s="466" t="s">
        <v>301</v>
      </c>
      <c r="M59" s="466" t="s">
        <v>300</v>
      </c>
      <c r="N59" s="467" t="s">
        <v>301</v>
      </c>
      <c r="O59" s="466" t="s">
        <v>300</v>
      </c>
      <c r="P59" s="467" t="s">
        <v>301</v>
      </c>
      <c r="S59" s="465" t="s">
        <v>300</v>
      </c>
      <c r="T59" s="466" t="s">
        <v>301</v>
      </c>
      <c r="U59" s="465" t="s">
        <v>300</v>
      </c>
      <c r="V59" s="466" t="s">
        <v>301</v>
      </c>
      <c r="W59" s="466" t="s">
        <v>300</v>
      </c>
      <c r="X59" s="467" t="s">
        <v>301</v>
      </c>
      <c r="Y59" s="505"/>
    </row>
    <row r="60" ht="13.5" spans="9:25">
      <c r="I60" s="468">
        <f ca="1">J56</f>
        <v>0</v>
      </c>
      <c r="J60" s="468">
        <f ca="1">K56</f>
        <v>0</v>
      </c>
      <c r="K60" s="468">
        <f ca="1">J33</f>
        <v>0</v>
      </c>
      <c r="L60" s="468">
        <f ca="1">K33</f>
        <v>0</v>
      </c>
      <c r="M60" s="468">
        <f ca="1">J34</f>
        <v>0.85193134320001</v>
      </c>
      <c r="N60" s="468">
        <f ca="1">K34</f>
        <v>60.7641739815759</v>
      </c>
      <c r="O60" s="468">
        <f ca="1">J35</f>
        <v>0.285908931504765</v>
      </c>
      <c r="P60" s="468">
        <f ca="1">K35</f>
        <v>22.3134015932344</v>
      </c>
      <c r="S60" s="468">
        <f ca="1">T56</f>
        <v>0</v>
      </c>
      <c r="T60" s="468">
        <f ca="1">U56</f>
        <v>0</v>
      </c>
      <c r="U60" s="468">
        <f ca="1">T33</f>
        <v>0</v>
      </c>
      <c r="V60" s="468">
        <f ca="1">U33</f>
        <v>0</v>
      </c>
      <c r="W60" s="468">
        <f ca="1">T34</f>
        <v>0.0346791288611045</v>
      </c>
      <c r="X60" s="468">
        <f ca="1">U34</f>
        <v>3.02014141315875</v>
      </c>
      <c r="Y60" s="506"/>
    </row>
    <row r="61" ht="13.5" spans="9:24">
      <c r="I61" s="469"/>
      <c r="J61" s="470"/>
      <c r="K61" s="470"/>
      <c r="L61" s="470"/>
      <c r="M61" s="470"/>
      <c r="N61" s="470"/>
      <c r="O61" s="470"/>
      <c r="P61" s="471"/>
      <c r="S61" s="469"/>
      <c r="T61" s="470"/>
      <c r="U61" s="470"/>
      <c r="V61" s="470"/>
      <c r="W61" s="470"/>
      <c r="X61" s="470"/>
    </row>
    <row r="62" ht="13.5" spans="9:25">
      <c r="I62" s="472" t="s">
        <v>300</v>
      </c>
      <c r="J62" s="473"/>
      <c r="K62" s="473"/>
      <c r="L62" s="474"/>
      <c r="M62" s="472" t="s">
        <v>301</v>
      </c>
      <c r="N62" s="473"/>
      <c r="O62" s="473"/>
      <c r="P62" s="474"/>
      <c r="S62" s="472" t="s">
        <v>300</v>
      </c>
      <c r="T62" s="473"/>
      <c r="U62" s="473"/>
      <c r="V62" s="474"/>
      <c r="W62" s="472" t="s">
        <v>301</v>
      </c>
      <c r="X62" s="473"/>
      <c r="Y62" s="506"/>
    </row>
    <row r="63" ht="64.5" spans="9:25">
      <c r="I63" s="475" t="s">
        <v>296</v>
      </c>
      <c r="J63" s="475" t="s">
        <v>297</v>
      </c>
      <c r="K63" s="475" t="s">
        <v>298</v>
      </c>
      <c r="L63" s="475" t="s">
        <v>299</v>
      </c>
      <c r="M63" s="475" t="s">
        <v>296</v>
      </c>
      <c r="N63" s="475" t="s">
        <v>297</v>
      </c>
      <c r="O63" s="475" t="s">
        <v>298</v>
      </c>
      <c r="P63" s="475" t="s">
        <v>299</v>
      </c>
      <c r="S63" s="475" t="s">
        <v>296</v>
      </c>
      <c r="T63" s="475" t="s">
        <v>297</v>
      </c>
      <c r="U63" s="475" t="s">
        <v>298</v>
      </c>
      <c r="V63" s="475" t="s">
        <v>299</v>
      </c>
      <c r="W63" s="475" t="s">
        <v>296</v>
      </c>
      <c r="X63" s="475" t="s">
        <v>297</v>
      </c>
      <c r="Y63" s="506"/>
    </row>
    <row r="64" ht="13.5" spans="9:25">
      <c r="I64" s="475">
        <f ca="1">I60</f>
        <v>0</v>
      </c>
      <c r="J64" s="475">
        <f ca="1">K60</f>
        <v>0</v>
      </c>
      <c r="K64" s="475">
        <f ca="1">M60</f>
        <v>0.85193134320001</v>
      </c>
      <c r="L64" s="475">
        <f ca="1">O60</f>
        <v>0.285908931504765</v>
      </c>
      <c r="M64" s="475">
        <f ca="1">J60</f>
        <v>0</v>
      </c>
      <c r="N64" s="475">
        <f ca="1">L60</f>
        <v>0</v>
      </c>
      <c r="O64" s="475">
        <f ca="1">N60</f>
        <v>60.7641739815759</v>
      </c>
      <c r="P64" s="475">
        <f ca="1">P60</f>
        <v>22.3134015932344</v>
      </c>
      <c r="S64" s="475">
        <f ca="1">S60</f>
        <v>0</v>
      </c>
      <c r="T64" s="475">
        <f ca="1">U60</f>
        <v>0</v>
      </c>
      <c r="U64" s="475">
        <f ca="1">W60</f>
        <v>0.0346791288611045</v>
      </c>
      <c r="V64" s="475">
        <f>FS60</f>
        <v>0</v>
      </c>
      <c r="W64" s="475">
        <f ca="1">T60</f>
        <v>0</v>
      </c>
      <c r="X64" s="475">
        <f ca="1">V60</f>
        <v>0</v>
      </c>
      <c r="Y64" s="506"/>
    </row>
    <row r="65" ht="13.5" spans="7:17">
      <c r="G65" s="390"/>
      <c r="Q65" s="390"/>
    </row>
    <row r="66" ht="13.5" spans="7:25">
      <c r="G66" s="390"/>
      <c r="H66" s="618"/>
      <c r="I66" s="462" t="s">
        <v>296</v>
      </c>
      <c r="J66" s="462"/>
      <c r="K66" s="462" t="s">
        <v>297</v>
      </c>
      <c r="L66" s="462"/>
      <c r="M66" s="463" t="s">
        <v>298</v>
      </c>
      <c r="N66" s="464"/>
      <c r="O66" s="463" t="s">
        <v>299</v>
      </c>
      <c r="P66" s="464"/>
      <c r="Q66" s="390"/>
      <c r="R66" s="618"/>
      <c r="S66" s="462" t="s">
        <v>296</v>
      </c>
      <c r="T66" s="462"/>
      <c r="U66" s="462" t="s">
        <v>297</v>
      </c>
      <c r="V66" s="462"/>
      <c r="W66" s="463" t="s">
        <v>298</v>
      </c>
      <c r="X66" s="464"/>
      <c r="Y66" s="505"/>
    </row>
    <row r="67" ht="36.75" spans="7:25">
      <c r="G67" s="611" t="s">
        <v>173</v>
      </c>
      <c r="H67" s="619" t="s">
        <v>276</v>
      </c>
      <c r="I67" s="465" t="s">
        <v>300</v>
      </c>
      <c r="J67" s="466" t="s">
        <v>301</v>
      </c>
      <c r="K67" s="465" t="s">
        <v>300</v>
      </c>
      <c r="L67" s="466" t="s">
        <v>301</v>
      </c>
      <c r="M67" s="466" t="s">
        <v>300</v>
      </c>
      <c r="N67" s="467" t="s">
        <v>301</v>
      </c>
      <c r="O67" s="466" t="s">
        <v>300</v>
      </c>
      <c r="P67" s="467" t="s">
        <v>301</v>
      </c>
      <c r="Q67" s="611" t="s">
        <v>173</v>
      </c>
      <c r="R67" s="619" t="s">
        <v>276</v>
      </c>
      <c r="S67" s="465" t="s">
        <v>300</v>
      </c>
      <c r="T67" s="466" t="s">
        <v>301</v>
      </c>
      <c r="U67" s="465" t="s">
        <v>300</v>
      </c>
      <c r="V67" s="466" t="s">
        <v>301</v>
      </c>
      <c r="W67" s="466" t="s">
        <v>300</v>
      </c>
      <c r="X67" s="467" t="s">
        <v>301</v>
      </c>
      <c r="Y67" s="505"/>
    </row>
    <row r="68" ht="13.5" spans="7:174">
      <c r="G68" s="390" t="s">
        <v>302</v>
      </c>
      <c r="H68" s="620">
        <v>0.1</v>
      </c>
      <c r="I68" s="621"/>
      <c r="J68" s="622"/>
      <c r="K68" s="621"/>
      <c r="L68" s="622"/>
      <c r="M68" s="622"/>
      <c r="N68" s="622"/>
      <c r="O68" s="623"/>
      <c r="P68" s="622"/>
      <c r="Q68" s="390" t="s">
        <v>302</v>
      </c>
      <c r="R68" s="620">
        <v>0.1</v>
      </c>
      <c r="S68" s="621"/>
      <c r="T68" s="622"/>
      <c r="U68" s="621"/>
      <c r="V68" s="622"/>
      <c r="W68" s="622"/>
      <c r="X68" s="622"/>
      <c r="Y68" s="628"/>
      <c r="EV68" s="631"/>
      <c r="FQ68" s="631"/>
      <c r="FR68" s="632"/>
    </row>
    <row r="69" ht="13.5" spans="7:174">
      <c r="G69" s="390" t="s">
        <v>302</v>
      </c>
      <c r="H69" s="620">
        <v>0.1</v>
      </c>
      <c r="I69" s="621"/>
      <c r="J69" s="622"/>
      <c r="K69" s="621"/>
      <c r="L69" s="622"/>
      <c r="M69" s="622"/>
      <c r="N69" s="622"/>
      <c r="O69" s="623"/>
      <c r="P69" s="622"/>
      <c r="Q69" s="390" t="s">
        <v>302</v>
      </c>
      <c r="R69" s="620">
        <v>0.1</v>
      </c>
      <c r="S69" s="621"/>
      <c r="T69" s="622"/>
      <c r="U69" s="621"/>
      <c r="V69" s="622"/>
      <c r="W69" s="622"/>
      <c r="X69" s="622"/>
      <c r="Y69" s="628"/>
      <c r="EV69" s="631"/>
      <c r="FQ69" s="631"/>
      <c r="FR69" s="632"/>
    </row>
    <row r="70" s="390" customFormat="1" ht="13.5" spans="1:174">
      <c r="A70" s="391"/>
      <c r="G70" s="390" t="s">
        <v>302</v>
      </c>
      <c r="H70" s="620">
        <v>0.1</v>
      </c>
      <c r="I70" s="621"/>
      <c r="J70" s="622"/>
      <c r="K70" s="621"/>
      <c r="L70" s="622"/>
      <c r="M70" s="624"/>
      <c r="N70" s="624"/>
      <c r="O70" s="623"/>
      <c r="P70" s="622"/>
      <c r="Q70" s="390" t="s">
        <v>302</v>
      </c>
      <c r="R70" s="620">
        <v>0.1</v>
      </c>
      <c r="S70" s="621"/>
      <c r="T70" s="622"/>
      <c r="U70" s="621"/>
      <c r="V70" s="622"/>
      <c r="W70" s="624"/>
      <c r="X70" s="624"/>
      <c r="Y70" s="629"/>
      <c r="Z70" s="394"/>
      <c r="AV70" s="394"/>
      <c r="AW70" s="394"/>
      <c r="AX70" s="394"/>
      <c r="AY70" s="394"/>
      <c r="AZ70" s="394"/>
      <c r="BA70" s="394"/>
      <c r="BB70" s="394"/>
      <c r="BC70" s="394"/>
      <c r="BD70" s="394"/>
      <c r="BE70" s="394"/>
      <c r="BF70" s="394"/>
      <c r="BG70" s="394"/>
      <c r="BH70" s="394"/>
      <c r="BI70" s="394"/>
      <c r="BJ70" s="394"/>
      <c r="BK70" s="394"/>
      <c r="BL70" s="394"/>
      <c r="BM70" s="394"/>
      <c r="BN70" s="394"/>
      <c r="BO70" s="394"/>
      <c r="BP70" s="394"/>
      <c r="BQ70" s="394"/>
      <c r="BR70" s="394"/>
      <c r="BS70" s="394"/>
      <c r="BT70" s="394"/>
      <c r="BU70" s="394"/>
      <c r="BV70" s="394"/>
      <c r="BW70" s="394"/>
      <c r="BX70" s="394"/>
      <c r="BY70" s="394"/>
      <c r="BZ70" s="394"/>
      <c r="CA70" s="394"/>
      <c r="CB70" s="394"/>
      <c r="CC70" s="394"/>
      <c r="CD70" s="394"/>
      <c r="CE70" s="394"/>
      <c r="CF70" s="394"/>
      <c r="CG70" s="394"/>
      <c r="CH70" s="394"/>
      <c r="CI70" s="394"/>
      <c r="CJ70" s="394"/>
      <c r="CK70" s="394"/>
      <c r="CL70" s="394"/>
      <c r="CM70" s="394"/>
      <c r="CN70" s="394"/>
      <c r="CO70" s="394"/>
      <c r="CP70" s="394"/>
      <c r="CQ70" s="394"/>
      <c r="CR70" s="394"/>
      <c r="CS70" s="394"/>
      <c r="CT70" s="394"/>
      <c r="CU70" s="394"/>
      <c r="CV70" s="394"/>
      <c r="CW70" s="394"/>
      <c r="CX70" s="394"/>
      <c r="CY70" s="394"/>
      <c r="CZ70" s="394"/>
      <c r="DA70" s="394"/>
      <c r="DB70" s="394"/>
      <c r="DC70" s="394"/>
      <c r="DD70" s="394"/>
      <c r="DE70" s="394"/>
      <c r="DF70" s="394"/>
      <c r="DG70" s="394"/>
      <c r="DH70" s="394"/>
      <c r="DI70" s="394"/>
      <c r="DJ70" s="394"/>
      <c r="DK70" s="394"/>
      <c r="DL70" s="394"/>
      <c r="DM70" s="394"/>
      <c r="DN70" s="394"/>
      <c r="DO70" s="394"/>
      <c r="DP70" s="394"/>
      <c r="DQ70" s="394"/>
      <c r="DR70" s="394"/>
      <c r="DS70" s="394"/>
      <c r="DT70" s="394"/>
      <c r="DU70" s="394"/>
      <c r="DV70" s="394"/>
      <c r="DW70" s="394"/>
      <c r="DX70" s="394"/>
      <c r="DY70" s="394"/>
      <c r="DZ70" s="394"/>
      <c r="EA70" s="394"/>
      <c r="EB70" s="394"/>
      <c r="EC70" s="394"/>
      <c r="ED70" s="394"/>
      <c r="EE70" s="394"/>
      <c r="EF70" s="394"/>
      <c r="EG70" s="394"/>
      <c r="EH70" s="394"/>
      <c r="EI70" s="394"/>
      <c r="EJ70" s="394"/>
      <c r="EK70" s="394"/>
      <c r="EL70" s="394"/>
      <c r="EM70" s="394"/>
      <c r="EN70" s="394"/>
      <c r="EO70" s="394"/>
      <c r="EP70" s="394"/>
      <c r="EQ70" s="394"/>
      <c r="ER70" s="394"/>
      <c r="ES70" s="394"/>
      <c r="ET70" s="394"/>
      <c r="EU70" s="394"/>
      <c r="EV70" s="631"/>
      <c r="EW70" s="394"/>
      <c r="EX70" s="394"/>
      <c r="EY70" s="394"/>
      <c r="EZ70" s="394"/>
      <c r="FA70" s="394"/>
      <c r="FB70" s="394"/>
      <c r="FC70" s="394"/>
      <c r="FD70" s="394"/>
      <c r="FE70" s="394"/>
      <c r="FF70" s="394"/>
      <c r="FG70" s="394"/>
      <c r="FH70" s="394"/>
      <c r="FI70" s="394"/>
      <c r="FJ70" s="394"/>
      <c r="FK70" s="394"/>
      <c r="FL70" s="394"/>
      <c r="FM70" s="394"/>
      <c r="FN70" s="394"/>
      <c r="FO70" s="394"/>
      <c r="FP70" s="394"/>
      <c r="FQ70" s="631"/>
      <c r="FR70" s="632"/>
    </row>
    <row r="71" ht="13.5" spans="7:174">
      <c r="G71" s="390" t="s">
        <v>302</v>
      </c>
      <c r="H71" s="620">
        <v>0.1</v>
      </c>
      <c r="I71" s="621"/>
      <c r="J71" s="622"/>
      <c r="K71" s="621"/>
      <c r="L71" s="622"/>
      <c r="M71" s="624"/>
      <c r="N71" s="624"/>
      <c r="O71" s="623"/>
      <c r="P71" s="622"/>
      <c r="Q71" s="390" t="s">
        <v>302</v>
      </c>
      <c r="R71" s="620">
        <v>0.1</v>
      </c>
      <c r="S71" s="621"/>
      <c r="T71" s="622"/>
      <c r="U71" s="621"/>
      <c r="V71" s="622"/>
      <c r="W71" s="624"/>
      <c r="X71" s="624"/>
      <c r="Y71" s="629"/>
      <c r="EV71" s="631"/>
      <c r="FQ71" s="631"/>
      <c r="FR71" s="632"/>
    </row>
    <row r="72" ht="13.5" spans="7:174">
      <c r="G72" s="390" t="s">
        <v>303</v>
      </c>
      <c r="H72" s="620">
        <v>0.1</v>
      </c>
      <c r="I72" s="621"/>
      <c r="J72" s="622"/>
      <c r="K72" s="621"/>
      <c r="L72" s="622"/>
      <c r="M72" s="624"/>
      <c r="N72" s="624"/>
      <c r="O72" s="623"/>
      <c r="P72" s="622"/>
      <c r="Q72" s="390" t="s">
        <v>303</v>
      </c>
      <c r="R72" s="620">
        <v>0.1</v>
      </c>
      <c r="S72" s="621"/>
      <c r="T72" s="622"/>
      <c r="U72" s="621"/>
      <c r="V72" s="622"/>
      <c r="W72" s="624"/>
      <c r="X72" s="624"/>
      <c r="Y72" s="629"/>
      <c r="EV72" s="631"/>
      <c r="FQ72" s="631"/>
      <c r="FR72" s="632"/>
    </row>
    <row r="73" ht="13.5" spans="7:174">
      <c r="G73" s="390" t="s">
        <v>303</v>
      </c>
      <c r="H73" s="620">
        <v>0.1</v>
      </c>
      <c r="I73" s="621"/>
      <c r="J73" s="622"/>
      <c r="K73" s="621"/>
      <c r="L73" s="622"/>
      <c r="M73" s="624"/>
      <c r="N73" s="624"/>
      <c r="O73" s="623"/>
      <c r="P73" s="622"/>
      <c r="Q73" s="390" t="s">
        <v>303</v>
      </c>
      <c r="R73" s="620">
        <v>0.1</v>
      </c>
      <c r="S73" s="621"/>
      <c r="T73" s="622"/>
      <c r="U73" s="621"/>
      <c r="V73" s="622"/>
      <c r="W73" s="624"/>
      <c r="X73" s="624"/>
      <c r="Y73" s="629"/>
      <c r="EV73" s="631"/>
      <c r="FQ73" s="631"/>
      <c r="FR73" s="632"/>
    </row>
    <row r="74" ht="13.5" spans="7:174">
      <c r="G74" s="390" t="s">
        <v>303</v>
      </c>
      <c r="H74" s="620">
        <v>0.1</v>
      </c>
      <c r="I74" s="621"/>
      <c r="J74" s="622"/>
      <c r="K74" s="621"/>
      <c r="L74" s="622"/>
      <c r="M74" s="622"/>
      <c r="N74" s="622"/>
      <c r="O74" s="623"/>
      <c r="P74" s="622"/>
      <c r="Q74" s="390" t="s">
        <v>303</v>
      </c>
      <c r="R74" s="620">
        <v>0.1</v>
      </c>
      <c r="S74" s="621"/>
      <c r="T74" s="622"/>
      <c r="U74" s="621"/>
      <c r="V74" s="622"/>
      <c r="W74" s="622"/>
      <c r="X74" s="622"/>
      <c r="Y74" s="628"/>
      <c r="EV74" s="631"/>
      <c r="FQ74" s="631"/>
      <c r="FR74" s="632"/>
    </row>
    <row r="75" ht="13.5" spans="7:174">
      <c r="G75" s="390"/>
      <c r="H75" s="620"/>
      <c r="I75" s="625"/>
      <c r="J75" s="626"/>
      <c r="K75" s="626"/>
      <c r="L75" s="626"/>
      <c r="M75" s="627"/>
      <c r="N75" s="626"/>
      <c r="O75" s="623"/>
      <c r="P75" s="622"/>
      <c r="Q75" s="390"/>
      <c r="R75" s="620"/>
      <c r="S75" s="625"/>
      <c r="T75" s="626"/>
      <c r="U75" s="626"/>
      <c r="V75" s="626"/>
      <c r="W75" s="627"/>
      <c r="X75" s="626"/>
      <c r="Y75" s="630"/>
      <c r="EV75" s="631"/>
      <c r="FQ75" s="631"/>
      <c r="FR75" s="632"/>
    </row>
    <row r="76" ht="13.5" spans="7:174">
      <c r="G76" s="390"/>
      <c r="H76" s="620"/>
      <c r="I76" s="625"/>
      <c r="J76" s="626"/>
      <c r="K76" s="626"/>
      <c r="L76" s="626"/>
      <c r="M76" s="627"/>
      <c r="N76" s="626"/>
      <c r="O76" s="623"/>
      <c r="P76" s="622"/>
      <c r="Q76" s="390"/>
      <c r="R76" s="620"/>
      <c r="S76" s="625"/>
      <c r="T76" s="626"/>
      <c r="U76" s="626"/>
      <c r="V76" s="626"/>
      <c r="W76" s="627"/>
      <c r="X76" s="626"/>
      <c r="Y76" s="630"/>
      <c r="EV76" s="631"/>
      <c r="FQ76" s="631"/>
      <c r="FR76" s="632"/>
    </row>
    <row r="77" ht="13.5" spans="7:174">
      <c r="G77" s="390"/>
      <c r="H77" s="620"/>
      <c r="I77" s="625"/>
      <c r="J77" s="626"/>
      <c r="K77" s="626"/>
      <c r="L77" s="626"/>
      <c r="M77" s="627"/>
      <c r="N77" s="625"/>
      <c r="O77" s="623"/>
      <c r="P77" s="622"/>
      <c r="Q77" s="390"/>
      <c r="R77" s="620"/>
      <c r="S77" s="625"/>
      <c r="T77" s="626"/>
      <c r="U77" s="626"/>
      <c r="V77" s="626"/>
      <c r="W77" s="627"/>
      <c r="X77" s="625"/>
      <c r="Y77" s="630"/>
      <c r="EV77" s="631"/>
      <c r="FQ77" s="631"/>
      <c r="FR77" s="632"/>
    </row>
  </sheetData>
  <mergeCells count="17">
    <mergeCell ref="I58:J58"/>
    <mergeCell ref="K58:L58"/>
    <mergeCell ref="M58:N58"/>
    <mergeCell ref="O58:P58"/>
    <mergeCell ref="S58:T58"/>
    <mergeCell ref="U58:V58"/>
    <mergeCell ref="W58:X58"/>
    <mergeCell ref="I62:L62"/>
    <mergeCell ref="M62:P62"/>
    <mergeCell ref="S62:V62"/>
    <mergeCell ref="I66:J66"/>
    <mergeCell ref="K66:L66"/>
    <mergeCell ref="M66:N66"/>
    <mergeCell ref="O66:P66"/>
    <mergeCell ref="S66:T66"/>
    <mergeCell ref="U66:V66"/>
    <mergeCell ref="W66:X66"/>
  </mergeCells>
  <conditionalFormatting sqref="GP5:GP27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Q5:GQ27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R5:GR27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1200" verticalDpi="12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Z62"/>
  <sheetViews>
    <sheetView zoomScale="85" zoomScaleNormal="85" workbookViewId="0">
      <pane xSplit="1" topLeftCell="B1" activePane="topRight" state="frozen"/>
      <selection/>
      <selection pane="topRight" activeCell="M4" sqref="M4"/>
    </sheetView>
  </sheetViews>
  <sheetFormatPr defaultColWidth="9" defaultRowHeight="15"/>
  <cols>
    <col min="1" max="1" width="9" style="91"/>
    <col min="2" max="2" width="8.625" style="91" customWidth="1"/>
    <col min="3" max="7" width="11" style="91" customWidth="1"/>
    <col min="8" max="12" width="10" style="91" customWidth="1"/>
    <col min="13" max="15" width="11.125" style="166" customWidth="1"/>
    <col min="16" max="16" width="9.7" style="91" customWidth="1"/>
    <col min="17" max="17" width="9.7" style="91" hidden="1" customWidth="1"/>
    <col min="18" max="19" width="9.7" style="91" customWidth="1"/>
    <col min="20" max="20" width="9.375" style="91" customWidth="1"/>
    <col min="21" max="21" width="12.875" style="91" customWidth="1"/>
    <col min="22" max="22" width="13.125" style="91" customWidth="1"/>
    <col min="23" max="23" width="9.375" style="91" customWidth="1"/>
    <col min="24" max="24" width="10.625" style="91" customWidth="1"/>
    <col min="25" max="29" width="10.875" style="91" customWidth="1"/>
    <col min="30" max="30" width="10.875" style="166" customWidth="1"/>
    <col min="31" max="31" width="10.3833333333333" style="91" hidden="1" customWidth="1"/>
    <col min="32" max="32" width="8.625" style="91" hidden="1" customWidth="1"/>
    <col min="33" max="33" width="6.25" style="91" hidden="1" customWidth="1"/>
    <col min="34" max="34" width="9.50833333333333" style="91" hidden="1" customWidth="1"/>
    <col min="35" max="35" width="10.75" style="167" hidden="1" customWidth="1"/>
    <col min="36" max="36" width="10" style="91" hidden="1" customWidth="1"/>
    <col min="37" max="37" width="9.875" style="91" hidden="1" customWidth="1"/>
    <col min="38" max="38" width="8.75" style="91" hidden="1" customWidth="1"/>
    <col min="39" max="39" width="9.875" style="91" hidden="1" customWidth="1"/>
    <col min="40" max="40" width="13.4583333333333" style="167" hidden="1" customWidth="1"/>
    <col min="41" max="41" width="10" style="91" hidden="1" customWidth="1"/>
    <col min="42" max="42" width="9.875" style="91" hidden="1" customWidth="1"/>
    <col min="43" max="43" width="8.75" style="91" hidden="1" customWidth="1"/>
    <col min="44" max="44" width="9.875" style="91" hidden="1" customWidth="1"/>
    <col min="45" max="49" width="12.0583333333333" style="167" hidden="1" customWidth="1"/>
    <col min="50" max="54" width="15.8833333333333" style="167" hidden="1" customWidth="1"/>
    <col min="55" max="55" width="13.0833333333333" style="167" hidden="1" customWidth="1"/>
    <col min="56" max="57" width="11" style="167" hidden="1" customWidth="1"/>
    <col min="58" max="58" width="13.0833333333333" style="167" hidden="1" customWidth="1"/>
    <col min="59" max="59" width="12" style="167" customWidth="1"/>
    <col min="60" max="60" width="11.75" style="167" customWidth="1"/>
    <col min="61" max="61" width="9.25" style="91" customWidth="1"/>
    <col min="62" max="68" width="11.125" style="91"/>
    <col min="69" max="69" width="8.25" style="91" customWidth="1"/>
    <col min="70" max="70" width="9.375" style="91"/>
    <col min="71" max="71" width="9" style="91"/>
    <col min="72" max="73" width="11.125" style="91"/>
    <col min="74" max="77" width="9" style="91"/>
    <col min="78" max="78" width="10" style="91"/>
    <col min="79" max="245" width="9" style="91"/>
  </cols>
  <sheetData>
    <row r="1" s="91" customFormat="1" spans="1:71">
      <c r="A1" s="164"/>
      <c r="B1" s="169" t="s">
        <v>318</v>
      </c>
      <c r="C1" s="164"/>
      <c r="D1" s="164"/>
      <c r="E1" s="164"/>
      <c r="F1" s="164" t="s">
        <v>319</v>
      </c>
      <c r="G1" s="164"/>
      <c r="H1" s="164"/>
      <c r="I1" s="164"/>
      <c r="J1" s="164"/>
      <c r="K1" s="164"/>
      <c r="L1" s="164"/>
      <c r="O1" s="681"/>
      <c r="P1" s="682"/>
      <c r="Q1" s="764"/>
      <c r="R1" s="170"/>
      <c r="S1" s="170"/>
      <c r="T1" s="683" t="s">
        <v>320</v>
      </c>
      <c r="U1" s="681"/>
      <c r="V1" s="681"/>
      <c r="W1" s="696"/>
      <c r="X1" s="697" t="s">
        <v>321</v>
      </c>
      <c r="Y1" s="698"/>
      <c r="Z1" s="698"/>
      <c r="AA1" s="698"/>
      <c r="AB1" s="698"/>
      <c r="AC1" s="699"/>
      <c r="AD1" s="700"/>
      <c r="AE1" s="715" t="s">
        <v>161</v>
      </c>
      <c r="AF1" s="716"/>
      <c r="AG1" s="716"/>
      <c r="AH1" s="716"/>
      <c r="AI1" s="717"/>
      <c r="AJ1" s="716"/>
      <c r="AK1" s="716"/>
      <c r="AL1" s="716"/>
      <c r="AM1" s="716"/>
      <c r="AN1" s="717"/>
      <c r="AO1" s="716"/>
      <c r="AP1" s="716"/>
      <c r="AQ1" s="716"/>
      <c r="AR1" s="716"/>
      <c r="AS1" s="717"/>
      <c r="AT1" s="717"/>
      <c r="AU1" s="717"/>
      <c r="AV1" s="717"/>
      <c r="AW1" s="717"/>
      <c r="AX1" s="717"/>
      <c r="AY1" s="717"/>
      <c r="AZ1" s="717"/>
      <c r="BA1" s="717"/>
      <c r="BB1" s="717"/>
      <c r="BC1" s="727"/>
      <c r="BD1" s="721"/>
      <c r="BE1" s="721"/>
      <c r="BF1" s="721"/>
      <c r="BG1" s="721"/>
      <c r="BH1" s="721"/>
      <c r="BI1" s="728" t="s">
        <v>192</v>
      </c>
      <c r="BJ1" s="164"/>
      <c r="BK1" s="164"/>
      <c r="BL1" s="164"/>
      <c r="BM1" s="164"/>
      <c r="BN1" s="164"/>
      <c r="BO1" s="164"/>
      <c r="BP1" s="164"/>
      <c r="BR1" s="91" t="s">
        <v>322</v>
      </c>
      <c r="BS1" s="373" t="s">
        <v>163</v>
      </c>
    </row>
    <row r="2" s="91" customFormat="1" ht="15.75" spans="1:68">
      <c r="A2" s="164"/>
      <c r="B2" s="669" t="s">
        <v>245</v>
      </c>
      <c r="C2" s="164" t="s">
        <v>323</v>
      </c>
      <c r="D2" s="164"/>
      <c r="E2" s="164"/>
      <c r="F2" s="164"/>
      <c r="G2" s="164"/>
      <c r="H2" s="164"/>
      <c r="I2" s="164"/>
      <c r="J2" s="164"/>
      <c r="K2" s="164"/>
      <c r="L2" s="164"/>
      <c r="M2" s="755" t="s">
        <v>324</v>
      </c>
      <c r="N2" s="684"/>
      <c r="O2" s="684"/>
      <c r="P2" s="685"/>
      <c r="Q2" s="765"/>
      <c r="R2" s="170"/>
      <c r="S2" s="170"/>
      <c r="T2" s="686"/>
      <c r="U2" s="687"/>
      <c r="V2" s="687"/>
      <c r="W2" s="701"/>
      <c r="X2" s="702"/>
      <c r="Y2" s="703"/>
      <c r="Z2" s="703"/>
      <c r="AA2" s="703"/>
      <c r="AB2" s="703"/>
      <c r="AC2" s="704"/>
      <c r="AD2" s="700"/>
      <c r="AE2" s="718" t="s">
        <v>325</v>
      </c>
      <c r="AF2" s="719" t="s">
        <v>326</v>
      </c>
      <c r="AG2" s="720"/>
      <c r="AH2" s="720"/>
      <c r="AI2" s="721"/>
      <c r="AJ2" s="720"/>
      <c r="AK2" s="720"/>
      <c r="AL2" s="720"/>
      <c r="AM2" s="720"/>
      <c r="AN2" s="721"/>
      <c r="AO2" s="720"/>
      <c r="AP2" s="720"/>
      <c r="AQ2" s="720"/>
      <c r="AR2" s="720"/>
      <c r="AS2" s="721"/>
      <c r="AT2" s="721"/>
      <c r="AU2" s="721"/>
      <c r="AV2" s="721"/>
      <c r="AW2" s="721"/>
      <c r="AX2" s="721"/>
      <c r="AY2" s="721"/>
      <c r="AZ2" s="721"/>
      <c r="BA2" s="721"/>
      <c r="BB2" s="721"/>
      <c r="BC2" s="729"/>
      <c r="BD2" s="721"/>
      <c r="BE2" s="721"/>
      <c r="BF2" s="721"/>
      <c r="BG2" s="721"/>
      <c r="BH2" s="721"/>
      <c r="BI2" s="728"/>
      <c r="BJ2" s="164"/>
      <c r="BK2" s="164"/>
      <c r="BL2" s="164"/>
      <c r="BM2" s="164"/>
      <c r="BN2" s="164"/>
      <c r="BO2" s="164"/>
      <c r="BP2" s="164"/>
    </row>
    <row r="3" s="163" customFormat="1" ht="57" customHeight="1" spans="1:76">
      <c r="A3" s="670" t="s">
        <v>35</v>
      </c>
      <c r="B3" s="747" t="s">
        <v>327</v>
      </c>
      <c r="C3" s="672" t="s">
        <v>328</v>
      </c>
      <c r="D3" s="672" t="s">
        <v>40</v>
      </c>
      <c r="E3" s="672" t="s">
        <v>329</v>
      </c>
      <c r="F3" s="672" t="s">
        <v>42</v>
      </c>
      <c r="G3" s="673" t="s">
        <v>43</v>
      </c>
      <c r="H3" s="672" t="s">
        <v>44</v>
      </c>
      <c r="I3" s="672" t="s">
        <v>45</v>
      </c>
      <c r="J3" s="672" t="s">
        <v>330</v>
      </c>
      <c r="K3" s="672" t="s">
        <v>331</v>
      </c>
      <c r="L3" s="672" t="s">
        <v>332</v>
      </c>
      <c r="M3" s="756" t="s">
        <v>333</v>
      </c>
      <c r="N3" s="757" t="s">
        <v>334</v>
      </c>
      <c r="O3" s="688" t="s">
        <v>243</v>
      </c>
      <c r="P3" s="689" t="s">
        <v>193</v>
      </c>
      <c r="Q3" s="766"/>
      <c r="R3" s="674" t="s">
        <v>335</v>
      </c>
      <c r="S3" s="674" t="s">
        <v>336</v>
      </c>
      <c r="T3" s="690" t="s">
        <v>337</v>
      </c>
      <c r="U3" s="691" t="s">
        <v>338</v>
      </c>
      <c r="V3" s="691" t="s">
        <v>212</v>
      </c>
      <c r="W3" s="767" t="s">
        <v>339</v>
      </c>
      <c r="X3" s="706" t="s">
        <v>340</v>
      </c>
      <c r="Y3" s="707" t="s">
        <v>266</v>
      </c>
      <c r="Z3" s="707" t="s">
        <v>275</v>
      </c>
      <c r="AA3" s="707" t="s">
        <v>235</v>
      </c>
      <c r="AB3" s="707" t="s">
        <v>341</v>
      </c>
      <c r="AC3" s="708" t="s">
        <v>342</v>
      </c>
      <c r="AD3" s="709" t="s">
        <v>192</v>
      </c>
      <c r="AE3" s="722" t="s">
        <v>343</v>
      </c>
      <c r="AF3" s="234" t="s">
        <v>344</v>
      </c>
      <c r="AG3" s="723" t="s">
        <v>345</v>
      </c>
      <c r="AH3" s="724" t="s">
        <v>346</v>
      </c>
      <c r="AI3" s="707" t="s">
        <v>347</v>
      </c>
      <c r="AJ3" s="234" t="s">
        <v>348</v>
      </c>
      <c r="AK3" s="234" t="s">
        <v>349</v>
      </c>
      <c r="AL3" s="723" t="s">
        <v>350</v>
      </c>
      <c r="AM3" s="724" t="s">
        <v>351</v>
      </c>
      <c r="AN3" s="726" t="s">
        <v>352</v>
      </c>
      <c r="AO3" s="234" t="s">
        <v>353</v>
      </c>
      <c r="AP3" s="234" t="s">
        <v>354</v>
      </c>
      <c r="AQ3" s="723" t="s">
        <v>355</v>
      </c>
      <c r="AR3" s="724" t="s">
        <v>356</v>
      </c>
      <c r="AS3" s="726" t="s">
        <v>357</v>
      </c>
      <c r="AT3" s="234" t="s">
        <v>358</v>
      </c>
      <c r="AU3" s="234" t="s">
        <v>359</v>
      </c>
      <c r="AV3" s="723" t="s">
        <v>360</v>
      </c>
      <c r="AW3" s="724" t="s">
        <v>361</v>
      </c>
      <c r="AX3" s="726" t="s">
        <v>362</v>
      </c>
      <c r="AY3" s="234" t="s">
        <v>363</v>
      </c>
      <c r="AZ3" s="234" t="s">
        <v>364</v>
      </c>
      <c r="BA3" s="723" t="s">
        <v>365</v>
      </c>
      <c r="BB3" s="724" t="s">
        <v>366</v>
      </c>
      <c r="BC3" s="730" t="s">
        <v>367</v>
      </c>
      <c r="BD3" s="691" t="s">
        <v>368</v>
      </c>
      <c r="BE3" s="691" t="s">
        <v>369</v>
      </c>
      <c r="BF3" s="691" t="s">
        <v>370</v>
      </c>
      <c r="BG3" s="691" t="s">
        <v>371</v>
      </c>
      <c r="BH3" s="691" t="s">
        <v>372</v>
      </c>
      <c r="BI3" s="731" t="s">
        <v>239</v>
      </c>
      <c r="BJ3" s="732" t="s">
        <v>266</v>
      </c>
      <c r="BK3" s="732" t="s">
        <v>275</v>
      </c>
      <c r="BL3" s="732" t="s">
        <v>235</v>
      </c>
      <c r="BM3" s="732" t="s">
        <v>341</v>
      </c>
      <c r="BN3" s="732" t="s">
        <v>342</v>
      </c>
      <c r="BO3" s="786" t="s">
        <v>243</v>
      </c>
      <c r="BP3" s="742" t="s">
        <v>193</v>
      </c>
      <c r="BR3" s="743" t="s">
        <v>266</v>
      </c>
      <c r="BS3" s="743" t="s">
        <v>266</v>
      </c>
      <c r="BV3" s="163" t="s">
        <v>373</v>
      </c>
      <c r="BX3" s="163" t="s">
        <v>373</v>
      </c>
    </row>
    <row r="4" s="91" customFormat="1" ht="15.75" spans="1:78">
      <c r="A4" s="748" t="s">
        <v>46</v>
      </c>
      <c r="B4" s="749">
        <v>0.000105</v>
      </c>
      <c r="C4" s="183">
        <f>正常源项!C2</f>
        <v>2.35e+16</v>
      </c>
      <c r="D4" s="183"/>
      <c r="E4" s="183">
        <f>正常源项!I2</f>
        <v>4250000000</v>
      </c>
      <c r="F4" s="183">
        <f>正常源项!L2</f>
        <v>179000000</v>
      </c>
      <c r="G4" s="214"/>
      <c r="H4" s="183">
        <f>正常源项!R2</f>
        <v>6026574.42747006</v>
      </c>
      <c r="I4" s="183">
        <f>正常源项!S2</f>
        <v>39507824.6971652</v>
      </c>
      <c r="J4" s="182">
        <f>F4+H4+I4</f>
        <v>224534399.124635</v>
      </c>
      <c r="K4" s="758">
        <f>BR4</f>
        <v>217000000</v>
      </c>
      <c r="L4" s="759">
        <f>J4/K4</f>
        <v>1.03472073329325</v>
      </c>
      <c r="M4" s="760">
        <f>MAX(J4,K4)</f>
        <v>224534399.124635</v>
      </c>
      <c r="N4" s="760">
        <v>258000000</v>
      </c>
      <c r="O4" s="218">
        <f>M4</f>
        <v>224534399.124635</v>
      </c>
      <c r="P4" s="692">
        <f>O4</f>
        <v>224534399.124635</v>
      </c>
      <c r="Q4" s="768">
        <f>P4/M4</f>
        <v>1</v>
      </c>
      <c r="R4" s="353">
        <f>P4</f>
        <v>224534399.124635</v>
      </c>
      <c r="S4" s="678">
        <f t="shared" ref="S4:S30" si="0">P4-R4</f>
        <v>0</v>
      </c>
      <c r="T4" s="693">
        <v>1</v>
      </c>
      <c r="U4" s="247">
        <f t="shared" ref="U4:U17" si="1">R4*T4</f>
        <v>224534399.124635</v>
      </c>
      <c r="V4" s="247">
        <f>R4*0%</f>
        <v>0</v>
      </c>
      <c r="W4" s="710">
        <f t="shared" ref="W4:W30" si="2">U4-V4</f>
        <v>224534399.124635</v>
      </c>
      <c r="X4" s="711">
        <f t="shared" ref="X4:X30" si="3">0.1/24/3600</f>
        <v>1.15740740740741e-6</v>
      </c>
      <c r="Y4" s="712">
        <f t="shared" ref="Y4:Y30" si="4">($P4-$U4)*$X4/($B4+$X4)*(1-EXP(-($B4+$X4)*2*3600))</f>
        <v>0</v>
      </c>
      <c r="Z4" s="712">
        <f t="shared" ref="Z4:Z30" si="5">($P4-$U4)*$X4/($B4+$X4)*(EXP(-($B4+$X4)*2*3600)-EXP(-($B4+$X4)*8*3600))</f>
        <v>0</v>
      </c>
      <c r="AA4" s="712">
        <f t="shared" ref="AA4:AA30" si="6">($P4-$U4)*$X4/($B4+$X4)*(EXP(-($B4+$X4)*8*3600)-EXP(-($B4+$X4)*24*3600))</f>
        <v>0</v>
      </c>
      <c r="AB4" s="712">
        <f t="shared" ref="AB4:AB30" si="7">($P4-$U4)*$X4/($B4+$X4)*(EXP(-($B4+$X4)*24*3600)-EXP(-($B4+$X4)*96*3600))</f>
        <v>0</v>
      </c>
      <c r="AC4" s="713">
        <f t="shared" ref="AC4:AC30" si="8">($P4-$U4)*$X4/($B4+$X4)*(EXP(-($B4+$X4)*96*3600)-EXP(-($B4+$X4)*30*24*3600))</f>
        <v>0</v>
      </c>
      <c r="AD4" s="218">
        <f t="shared" ref="AD4:AD30" si="9">SUM(U4,Y4:AC4)</f>
        <v>224534399.124635</v>
      </c>
      <c r="AE4" s="215">
        <v>0</v>
      </c>
      <c r="AF4" s="216">
        <f t="shared" ref="AF4:AF24" si="10">$C4*AE4/($B4+AE4)*(1-EXP(-($B4+AE4)*2*3600))</f>
        <v>0</v>
      </c>
      <c r="AG4" s="771">
        <v>0</v>
      </c>
      <c r="AH4" s="772">
        <f t="shared" ref="AH4:AH24" si="11">AF4*AG4</f>
        <v>0</v>
      </c>
      <c r="AI4" s="773">
        <f t="shared" ref="AI4:AI24" si="12">AH4*$X4/($B4+$X4)*(1-EXP(-($B4+$X4)*2*3600))</f>
        <v>0</v>
      </c>
      <c r="AJ4" s="210">
        <f t="shared" ref="AJ4:AJ24" si="13">AE4</f>
        <v>0</v>
      </c>
      <c r="AK4" s="216">
        <f t="shared" ref="AK4:AK24" si="14">$C4*AJ4/($B4+AJ4)*(EXP(-($B4+AJ4)*2*3600)-EXP(-($B4+AJ4)*8*3600))</f>
        <v>0</v>
      </c>
      <c r="AL4" s="771">
        <v>0</v>
      </c>
      <c r="AM4" s="774">
        <f t="shared" ref="AM4:AM24" si="15">(AK4+AF4*(1-AG4)*EXP(-B4*2*3600))*AL4</f>
        <v>0</v>
      </c>
      <c r="AN4" s="775">
        <f t="shared" ref="AN4:AN24" si="16">AH4*$X4/($B4+$X4)*(EXP(-($B4+$X4)*2*3600)-EXP(-($B4+$X4)*8*3600))+AM4*$X4/($B4+$X4)*(1-EXP(-($B4+$X4)*6*3600))</f>
        <v>0</v>
      </c>
      <c r="AO4" s="210">
        <f t="shared" ref="AO4:AO24" si="17">$AE4</f>
        <v>0</v>
      </c>
      <c r="AP4" s="216">
        <f t="shared" ref="AP4:AP24" si="18">$C4*AO4/($B4+AO4)*(EXP(-($B4+AO4)*8*3600)-EXP(-($B4+AO4)*24*3600))</f>
        <v>0</v>
      </c>
      <c r="AQ4" s="771">
        <v>0</v>
      </c>
      <c r="AR4" s="778">
        <f t="shared" ref="AR4:AR24" si="19">(AP4+AF4*(1-AG4)*EXP(-B4*2*3600)*(1-AL4)*EXP(-B4*6*3600)+AK4*(1-AL4)*EXP(-B4*6*3600))*AQ4</f>
        <v>0</v>
      </c>
      <c r="AS4" s="773">
        <f t="shared" ref="AS4:AS24" si="20">AH4*$X4/($B4+$X4)*(EXP(-($B4+$X4)*8*3600)-EXP(-($B4+$X4)*24*3600))+AM4*$X4/($B4+$X4)*(EXP(-($B4+$X4)*8*3600)-EXP(-($B4+$X4)*22*3600))+AR4*$X4/($B4+$X4)*(1-EXP(-($B4+$X4)*16*3600))</f>
        <v>0</v>
      </c>
      <c r="AT4" s="210">
        <f t="shared" ref="AT4:AT24" si="21">$AE4</f>
        <v>0</v>
      </c>
      <c r="AU4" s="216">
        <f t="shared" ref="AU4:AU24" si="22">$C4*AT4/($B4+AT4)*(EXP(-($B4+AT4)*24*3600)-EXP(-($B4+AT4)*96*3600))</f>
        <v>0</v>
      </c>
      <c r="AV4" s="771">
        <v>0</v>
      </c>
      <c r="AW4" s="778">
        <f t="shared" ref="AW4:AW24" si="23">(AU4+$AF4*(1-$AG4)*EXP(-$B4*2*3600)*(1-$AL4)*EXP(-$B4*6*3600)*(1-$AQ4)*EXP(-$B4*16*3600)+$AK4*(1-$AL4)*EXP(-$B4*6*3600)*(1-$AQ4)*EXP(-$B4*16*3600)+$AP4*(1-$AQ4)*EXP(-$B4*16*3600))*AV4</f>
        <v>0</v>
      </c>
      <c r="AX4" s="773">
        <f t="shared" ref="AX4:AX24" si="24">AH4*$X4/($B4+$X4)*(EXP(-($B4+$X4)*24*3600)-EXP(-($B4+$X4)*96*3600))+AM4*$X4/($B4+$X4)*(EXP(-($B4+$X4)*22*3600)-EXP(-($B4+$X4)*94*3600))+AR4*$X4/($B4+$X4)*(EXP(-($B4+$X4)*16*3600)-EXP(-($B4+$X4)*88*3600))+AW4*$X4/($B4+$X4)*(1-EXP(-($B4+$X4)*72*3600))</f>
        <v>0</v>
      </c>
      <c r="AY4" s="210">
        <f t="shared" ref="AY4:AY24" si="25">$AE4</f>
        <v>0</v>
      </c>
      <c r="AZ4" s="216">
        <f t="shared" ref="AZ4:AZ24" si="26">$C4*AY4/($B4+AY4)*(EXP(-($B4+AY4)*96*3600)-EXP(-($B4+AY4)*30*24*3600))</f>
        <v>0</v>
      </c>
      <c r="BA4" s="771">
        <v>0</v>
      </c>
      <c r="BB4" s="778">
        <f t="shared" ref="BB4:BB24" si="27">(AZ4+$AF4*(1-$AG4)*EXP(-$B4*8*3600)*(1-$AL4)*EXP(-$B4*16*3600)*(1-$AQ4)*EXP(-$B4*24*3600)*(1-$AV4)*EXP(-$B4*48*3600)+$AK4*(1-$AL4)*EXP(-$B4*16*3600)*(1-$AQ4)*EXP(-$B4*24*3600)*(1-$AV4)*EXP(-$B4*48*3600)+$AP4*(1-$AQ4)*EXP(-$B4*24*3600)*(1-$AV4)*EXP(-$B4*48*3600)+AU4*(1-$AV4)*EXP(-$B4*48*3600))*BA4</f>
        <v>0</v>
      </c>
      <c r="BC4" s="783">
        <f t="shared" ref="BC4:BC24" si="28">AH4*$X4/($B4+$X4)*(EXP(-($B4+$X4)*96*3600)-EXP(-($B4+$X4)*30*24*3600))+AM4*$X4/($B4+$X4)*(EXP(-($B4+$X4)*(96-2)*3600)-EXP(-($B4+$X4)*(24*30-2)*3600))+AR4*$X4/($B4+$X4)*(EXP(-($B4+$X4)*(96-8)*3600)-EXP(-($B4+$X4)*(24*30-8)*3600))+AW4*$X4/($B4+$X4)*(EXP(-($B4+$X4)*(96-24)*3600)-EXP(-($B4+$X4)*(24*30-24)*3600))+BB4*$X4/($B4+$X4)*(1-EXP(-($B4+$X4)*(24*30-96)*3600))</f>
        <v>0</v>
      </c>
      <c r="BD4" s="275">
        <f t="shared" ref="BD4:BD24" si="29">C4</f>
        <v>2.35e+16</v>
      </c>
      <c r="BE4" s="275">
        <f t="shared" ref="BE4:BE24" si="30">BD4*AY4/(B4+AY4)*(1-EXP(-30*24*(B4+AY4)*3600))</f>
        <v>0</v>
      </c>
      <c r="BF4" s="275">
        <f t="shared" ref="BF4:BF24" si="31">AF4+AK4+AP4+AU4+AZ4</f>
        <v>0</v>
      </c>
      <c r="BG4" s="275">
        <f t="shared" ref="BG4:BG24" si="32">AH4+AM4+AR4+AW4+BB4</f>
        <v>0</v>
      </c>
      <c r="BH4" s="275">
        <f t="shared" ref="BH4:BH24" si="33">AI4+AN4+AS4+AX4+BC4</f>
        <v>0</v>
      </c>
      <c r="BI4" s="785">
        <f t="shared" ref="BI4:BI30" si="34">V4</f>
        <v>0</v>
      </c>
      <c r="BJ4" s="323">
        <f t="shared" ref="BJ4:BJ30" si="35">W4+Y4+AI4</f>
        <v>224534399.124635</v>
      </c>
      <c r="BK4" s="323">
        <f t="shared" ref="BK4:BK30" si="36">AA4+AN4</f>
        <v>0</v>
      </c>
      <c r="BL4" s="323">
        <f t="shared" ref="BL4:BL30" si="37">AB4+AS4</f>
        <v>0</v>
      </c>
      <c r="BM4" s="323">
        <f t="shared" ref="BM4:BM30" si="38">AB4+AX4</f>
        <v>0</v>
      </c>
      <c r="BN4" s="323">
        <f t="shared" ref="BN4:BN30" si="39">AC4+BC4</f>
        <v>0</v>
      </c>
      <c r="BO4" s="787">
        <f t="shared" ref="BO4:BO30" si="40">SUM(BI4:BN4)</f>
        <v>224534399.124635</v>
      </c>
      <c r="BP4" s="353">
        <f t="shared" ref="BP4:BP30" si="41">P4</f>
        <v>224534399.124635</v>
      </c>
      <c r="BQ4" s="126" t="str">
        <f>A4</f>
        <v>Kr-83m</v>
      </c>
      <c r="BR4" s="788">
        <v>217000000</v>
      </c>
      <c r="BS4" s="365">
        <f t="shared" ref="BS4:BS26" si="42">BJ4/BR4</f>
        <v>1.03472073329325</v>
      </c>
      <c r="BT4" s="369">
        <f t="shared" ref="BT4:BT26" si="43">P4/BR4</f>
        <v>1.03472073329325</v>
      </c>
      <c r="BU4" s="369">
        <f t="shared" ref="BU4:BU26" si="44">BO4/BR4</f>
        <v>1.03472073329325</v>
      </c>
      <c r="BV4" s="106" t="s">
        <v>46</v>
      </c>
      <c r="BW4" s="156">
        <v>217000000</v>
      </c>
      <c r="BX4" s="791" t="s">
        <v>46</v>
      </c>
      <c r="BY4" s="792">
        <v>180000000</v>
      </c>
      <c r="BZ4" s="369">
        <f>BW4/BY4</f>
        <v>1.20555555555556</v>
      </c>
    </row>
    <row r="5" s="91" customFormat="1" ht="15.75" spans="1:78">
      <c r="A5" s="675" t="s">
        <v>47</v>
      </c>
      <c r="B5" s="749">
        <v>2.04e-9</v>
      </c>
      <c r="C5" s="183">
        <f>正常源项!C3</f>
        <v>1860000000000000</v>
      </c>
      <c r="D5" s="183"/>
      <c r="E5" s="183">
        <f>正常源项!I3</f>
        <v>46200000</v>
      </c>
      <c r="F5" s="183">
        <f>正常源项!L3</f>
        <v>1030000000</v>
      </c>
      <c r="G5" s="217"/>
      <c r="H5" s="183">
        <f>正常源项!R3</f>
        <v>44071.4822244075</v>
      </c>
      <c r="I5" s="183">
        <f>正常源项!S3</f>
        <v>293809.78559652</v>
      </c>
      <c r="J5" s="182">
        <f t="shared" ref="J5:J30" si="45">F5+H5+I5</f>
        <v>1030337881.26782</v>
      </c>
      <c r="K5" s="758">
        <f t="shared" ref="K5:K30" si="46">BR5</f>
        <v>1630000000</v>
      </c>
      <c r="L5" s="759">
        <f t="shared" ref="L5:L25" si="47">J5/K5</f>
        <v>0.63210912961216</v>
      </c>
      <c r="M5" s="760">
        <f t="shared" ref="M5:M25" si="48">MAX(J5,K5)</f>
        <v>1630000000</v>
      </c>
      <c r="N5" s="760">
        <v>1630000000</v>
      </c>
      <c r="O5" s="218">
        <f t="shared" ref="O5:O29" si="49">M5</f>
        <v>1630000000</v>
      </c>
      <c r="P5" s="692">
        <f t="shared" ref="P5:P30" si="50">O5</f>
        <v>1630000000</v>
      </c>
      <c r="Q5" s="768">
        <f t="shared" ref="Q5:Q30" si="51">P5/M5</f>
        <v>1</v>
      </c>
      <c r="R5" s="353">
        <f t="shared" ref="R5:R30" si="52">P5</f>
        <v>1630000000</v>
      </c>
      <c r="S5" s="678">
        <f t="shared" si="0"/>
        <v>0</v>
      </c>
      <c r="T5" s="693">
        <v>1</v>
      </c>
      <c r="U5" s="247">
        <f t="shared" si="1"/>
        <v>1630000000</v>
      </c>
      <c r="V5" s="247">
        <f t="shared" ref="V5:V30" si="53">R5*0%</f>
        <v>0</v>
      </c>
      <c r="W5" s="710">
        <f t="shared" si="2"/>
        <v>1630000000</v>
      </c>
      <c r="X5" s="711">
        <f t="shared" si="3"/>
        <v>1.15740740740741e-6</v>
      </c>
      <c r="Y5" s="712">
        <f t="shared" si="4"/>
        <v>0</v>
      </c>
      <c r="Z5" s="712">
        <f t="shared" si="5"/>
        <v>0</v>
      </c>
      <c r="AA5" s="712">
        <f t="shared" si="6"/>
        <v>0</v>
      </c>
      <c r="AB5" s="712">
        <f t="shared" si="7"/>
        <v>0</v>
      </c>
      <c r="AC5" s="713">
        <f t="shared" si="8"/>
        <v>0</v>
      </c>
      <c r="AD5" s="218">
        <f t="shared" si="9"/>
        <v>1630000000</v>
      </c>
      <c r="AE5" s="215">
        <v>0</v>
      </c>
      <c r="AF5" s="216">
        <f t="shared" si="10"/>
        <v>0</v>
      </c>
      <c r="AG5" s="771">
        <v>0</v>
      </c>
      <c r="AH5" s="772">
        <f t="shared" si="11"/>
        <v>0</v>
      </c>
      <c r="AI5" s="773">
        <f t="shared" si="12"/>
        <v>0</v>
      </c>
      <c r="AJ5" s="210">
        <f t="shared" si="13"/>
        <v>0</v>
      </c>
      <c r="AK5" s="216">
        <f t="shared" si="14"/>
        <v>0</v>
      </c>
      <c r="AL5" s="771">
        <v>0</v>
      </c>
      <c r="AM5" s="774">
        <f t="shared" si="15"/>
        <v>0</v>
      </c>
      <c r="AN5" s="775">
        <f t="shared" si="16"/>
        <v>0</v>
      </c>
      <c r="AO5" s="210">
        <f t="shared" si="17"/>
        <v>0</v>
      </c>
      <c r="AP5" s="216">
        <f t="shared" si="18"/>
        <v>0</v>
      </c>
      <c r="AQ5" s="771">
        <v>0</v>
      </c>
      <c r="AR5" s="778">
        <f t="shared" si="19"/>
        <v>0</v>
      </c>
      <c r="AS5" s="773">
        <f t="shared" si="20"/>
        <v>0</v>
      </c>
      <c r="AT5" s="210">
        <f t="shared" si="21"/>
        <v>0</v>
      </c>
      <c r="AU5" s="216">
        <f t="shared" si="22"/>
        <v>0</v>
      </c>
      <c r="AV5" s="771">
        <v>0</v>
      </c>
      <c r="AW5" s="778">
        <f t="shared" si="23"/>
        <v>0</v>
      </c>
      <c r="AX5" s="773">
        <f t="shared" si="24"/>
        <v>0</v>
      </c>
      <c r="AY5" s="210">
        <f t="shared" si="25"/>
        <v>0</v>
      </c>
      <c r="AZ5" s="216">
        <f t="shared" si="26"/>
        <v>0</v>
      </c>
      <c r="BA5" s="771">
        <v>0</v>
      </c>
      <c r="BB5" s="778">
        <f t="shared" si="27"/>
        <v>0</v>
      </c>
      <c r="BC5" s="783">
        <f t="shared" si="28"/>
        <v>0</v>
      </c>
      <c r="BD5" s="275">
        <f t="shared" si="29"/>
        <v>1860000000000000</v>
      </c>
      <c r="BE5" s="275">
        <f t="shared" si="30"/>
        <v>0</v>
      </c>
      <c r="BF5" s="275">
        <f t="shared" si="31"/>
        <v>0</v>
      </c>
      <c r="BG5" s="275">
        <f t="shared" si="32"/>
        <v>0</v>
      </c>
      <c r="BH5" s="275">
        <f t="shared" si="33"/>
        <v>0</v>
      </c>
      <c r="BI5" s="785">
        <f t="shared" si="34"/>
        <v>0</v>
      </c>
      <c r="BJ5" s="323">
        <f t="shared" si="35"/>
        <v>1630000000</v>
      </c>
      <c r="BK5" s="323">
        <f t="shared" si="36"/>
        <v>0</v>
      </c>
      <c r="BL5" s="323">
        <f t="shared" si="37"/>
        <v>0</v>
      </c>
      <c r="BM5" s="323">
        <f t="shared" si="38"/>
        <v>0</v>
      </c>
      <c r="BN5" s="323">
        <f t="shared" si="39"/>
        <v>0</v>
      </c>
      <c r="BO5" s="787">
        <f t="shared" si="40"/>
        <v>1630000000</v>
      </c>
      <c r="BP5" s="353">
        <f t="shared" si="41"/>
        <v>1630000000</v>
      </c>
      <c r="BQ5" s="126" t="str">
        <f t="shared" ref="BQ5:BQ30" si="54">A5</f>
        <v>Kr-85</v>
      </c>
      <c r="BR5" s="789">
        <v>1630000000</v>
      </c>
      <c r="BS5" s="365">
        <f t="shared" si="42"/>
        <v>1</v>
      </c>
      <c r="BT5" s="369">
        <f t="shared" si="43"/>
        <v>1</v>
      </c>
      <c r="BU5" s="369">
        <f t="shared" si="44"/>
        <v>1</v>
      </c>
      <c r="BV5" s="106" t="s">
        <v>47</v>
      </c>
      <c r="BW5" s="156">
        <v>1630000000</v>
      </c>
      <c r="BX5" s="793" t="s">
        <v>47</v>
      </c>
      <c r="BY5" s="794">
        <v>1500000000</v>
      </c>
      <c r="BZ5" s="369">
        <f t="shared" ref="BZ5:BZ26" si="55">BW5/BY5</f>
        <v>1.08666666666667</v>
      </c>
    </row>
    <row r="6" s="91" customFormat="1" ht="15.75" spans="1:78">
      <c r="A6" s="675" t="s">
        <v>48</v>
      </c>
      <c r="B6" s="749">
        <v>4.3e-5</v>
      </c>
      <c r="C6" s="183">
        <f>正常源项!C4</f>
        <v>6.59e+16</v>
      </c>
      <c r="D6" s="183"/>
      <c r="E6" s="183">
        <f>正常源项!I4</f>
        <v>17900000000</v>
      </c>
      <c r="F6" s="183">
        <f>正常源项!L4</f>
        <v>1580000000</v>
      </c>
      <c r="G6" s="214"/>
      <c r="H6" s="183">
        <f>正常源项!R4</f>
        <v>24396955.9450058</v>
      </c>
      <c r="I6" s="183">
        <f>正常源项!S4</f>
        <v>161531206.492175</v>
      </c>
      <c r="J6" s="182">
        <f t="shared" si="45"/>
        <v>1765928162.43718</v>
      </c>
      <c r="K6" s="758">
        <f t="shared" si="46"/>
        <v>2120000000</v>
      </c>
      <c r="L6" s="759">
        <f t="shared" si="47"/>
        <v>0.832984982281689</v>
      </c>
      <c r="M6" s="760">
        <f t="shared" si="48"/>
        <v>2120000000</v>
      </c>
      <c r="N6" s="760">
        <v>2250000000</v>
      </c>
      <c r="O6" s="218">
        <f t="shared" si="49"/>
        <v>2120000000</v>
      </c>
      <c r="P6" s="692">
        <f t="shared" si="50"/>
        <v>2120000000</v>
      </c>
      <c r="Q6" s="768">
        <f t="shared" si="51"/>
        <v>1</v>
      </c>
      <c r="R6" s="353">
        <f t="shared" si="52"/>
        <v>2120000000</v>
      </c>
      <c r="S6" s="678">
        <f t="shared" si="0"/>
        <v>0</v>
      </c>
      <c r="T6" s="693">
        <v>1</v>
      </c>
      <c r="U6" s="247">
        <f t="shared" si="1"/>
        <v>2120000000</v>
      </c>
      <c r="V6" s="247">
        <f t="shared" si="53"/>
        <v>0</v>
      </c>
      <c r="W6" s="710">
        <f t="shared" si="2"/>
        <v>2120000000</v>
      </c>
      <c r="X6" s="711">
        <f t="shared" si="3"/>
        <v>1.15740740740741e-6</v>
      </c>
      <c r="Y6" s="712">
        <f t="shared" si="4"/>
        <v>0</v>
      </c>
      <c r="Z6" s="712">
        <f t="shared" si="5"/>
        <v>0</v>
      </c>
      <c r="AA6" s="712">
        <f t="shared" si="6"/>
        <v>0</v>
      </c>
      <c r="AB6" s="712">
        <f t="shared" si="7"/>
        <v>0</v>
      </c>
      <c r="AC6" s="713">
        <f t="shared" si="8"/>
        <v>0</v>
      </c>
      <c r="AD6" s="218">
        <f t="shared" si="9"/>
        <v>2120000000</v>
      </c>
      <c r="AE6" s="215">
        <v>0</v>
      </c>
      <c r="AF6" s="216">
        <f t="shared" si="10"/>
        <v>0</v>
      </c>
      <c r="AG6" s="771">
        <v>0</v>
      </c>
      <c r="AH6" s="772">
        <f t="shared" si="11"/>
        <v>0</v>
      </c>
      <c r="AI6" s="773">
        <f t="shared" si="12"/>
        <v>0</v>
      </c>
      <c r="AJ6" s="210">
        <f t="shared" si="13"/>
        <v>0</v>
      </c>
      <c r="AK6" s="216">
        <f t="shared" si="14"/>
        <v>0</v>
      </c>
      <c r="AL6" s="771">
        <v>0</v>
      </c>
      <c r="AM6" s="774">
        <f t="shared" si="15"/>
        <v>0</v>
      </c>
      <c r="AN6" s="775">
        <f t="shared" si="16"/>
        <v>0</v>
      </c>
      <c r="AO6" s="210">
        <f t="shared" si="17"/>
        <v>0</v>
      </c>
      <c r="AP6" s="216">
        <f t="shared" si="18"/>
        <v>0</v>
      </c>
      <c r="AQ6" s="771">
        <v>0</v>
      </c>
      <c r="AR6" s="778">
        <f t="shared" si="19"/>
        <v>0</v>
      </c>
      <c r="AS6" s="773">
        <f t="shared" si="20"/>
        <v>0</v>
      </c>
      <c r="AT6" s="210">
        <f t="shared" si="21"/>
        <v>0</v>
      </c>
      <c r="AU6" s="216">
        <f t="shared" si="22"/>
        <v>0</v>
      </c>
      <c r="AV6" s="771">
        <v>0</v>
      </c>
      <c r="AW6" s="778">
        <f t="shared" si="23"/>
        <v>0</v>
      </c>
      <c r="AX6" s="773">
        <f t="shared" si="24"/>
        <v>0</v>
      </c>
      <c r="AY6" s="210">
        <f t="shared" si="25"/>
        <v>0</v>
      </c>
      <c r="AZ6" s="216">
        <f t="shared" si="26"/>
        <v>0</v>
      </c>
      <c r="BA6" s="771">
        <v>0</v>
      </c>
      <c r="BB6" s="778">
        <f t="shared" si="27"/>
        <v>0</v>
      </c>
      <c r="BC6" s="783">
        <f t="shared" si="28"/>
        <v>0</v>
      </c>
      <c r="BD6" s="275">
        <f t="shared" si="29"/>
        <v>6.59e+16</v>
      </c>
      <c r="BE6" s="275">
        <f t="shared" si="30"/>
        <v>0</v>
      </c>
      <c r="BF6" s="275">
        <f t="shared" si="31"/>
        <v>0</v>
      </c>
      <c r="BG6" s="275">
        <f t="shared" si="32"/>
        <v>0</v>
      </c>
      <c r="BH6" s="275">
        <f t="shared" si="33"/>
        <v>0</v>
      </c>
      <c r="BI6" s="785">
        <f t="shared" si="34"/>
        <v>0</v>
      </c>
      <c r="BJ6" s="323">
        <f t="shared" si="35"/>
        <v>2120000000</v>
      </c>
      <c r="BK6" s="323">
        <f t="shared" si="36"/>
        <v>0</v>
      </c>
      <c r="BL6" s="323">
        <f t="shared" si="37"/>
        <v>0</v>
      </c>
      <c r="BM6" s="323">
        <f t="shared" si="38"/>
        <v>0</v>
      </c>
      <c r="BN6" s="323">
        <f t="shared" si="39"/>
        <v>0</v>
      </c>
      <c r="BO6" s="787">
        <f t="shared" si="40"/>
        <v>2120000000</v>
      </c>
      <c r="BP6" s="353">
        <f t="shared" si="41"/>
        <v>2120000000</v>
      </c>
      <c r="BQ6" s="126" t="str">
        <f t="shared" si="54"/>
        <v>Kr-85m</v>
      </c>
      <c r="BR6" s="789">
        <v>2120000000</v>
      </c>
      <c r="BS6" s="365">
        <f t="shared" si="42"/>
        <v>1</v>
      </c>
      <c r="BT6" s="369">
        <f t="shared" si="43"/>
        <v>1</v>
      </c>
      <c r="BU6" s="369">
        <f t="shared" si="44"/>
        <v>1</v>
      </c>
      <c r="BV6" s="106" t="s">
        <v>48</v>
      </c>
      <c r="BW6" s="156">
        <v>2120000000</v>
      </c>
      <c r="BX6" s="793" t="s">
        <v>48</v>
      </c>
      <c r="BY6" s="794">
        <v>1900000000</v>
      </c>
      <c r="BZ6" s="369">
        <f t="shared" si="55"/>
        <v>1.11578947368421</v>
      </c>
    </row>
    <row r="7" s="91" customFormat="1" ht="15.75" spans="1:78">
      <c r="A7" s="675" t="s">
        <v>49</v>
      </c>
      <c r="B7" s="749">
        <v>0.000151</v>
      </c>
      <c r="C7" s="183">
        <f>正常源项!C5</f>
        <v>1.29e+17</v>
      </c>
      <c r="D7" s="183"/>
      <c r="E7" s="183">
        <f>正常源项!I5</f>
        <v>19400000000</v>
      </c>
      <c r="F7" s="183">
        <f>正常源项!L5</f>
        <v>567000000</v>
      </c>
      <c r="G7" s="214"/>
      <c r="H7" s="183">
        <f>正常源项!R5</f>
        <v>26576418.3530928</v>
      </c>
      <c r="I7" s="183">
        <f>正常源项!S5</f>
        <v>172891508.520103</v>
      </c>
      <c r="J7" s="182">
        <f t="shared" si="45"/>
        <v>766467926.873196</v>
      </c>
      <c r="K7" s="758">
        <f t="shared" si="46"/>
        <v>797000000</v>
      </c>
      <c r="L7" s="759">
        <f t="shared" si="47"/>
        <v>0.961691250781927</v>
      </c>
      <c r="M7" s="760">
        <f t="shared" si="48"/>
        <v>797000000</v>
      </c>
      <c r="N7" s="760">
        <v>939000000</v>
      </c>
      <c r="O7" s="218">
        <f t="shared" si="49"/>
        <v>797000000</v>
      </c>
      <c r="P7" s="692">
        <f t="shared" si="50"/>
        <v>797000000</v>
      </c>
      <c r="Q7" s="768">
        <f t="shared" si="51"/>
        <v>1</v>
      </c>
      <c r="R7" s="353">
        <f t="shared" si="52"/>
        <v>797000000</v>
      </c>
      <c r="S7" s="678">
        <f t="shared" si="0"/>
        <v>0</v>
      </c>
      <c r="T7" s="693">
        <v>1</v>
      </c>
      <c r="U7" s="247">
        <f t="shared" si="1"/>
        <v>797000000</v>
      </c>
      <c r="V7" s="247">
        <f t="shared" si="53"/>
        <v>0</v>
      </c>
      <c r="W7" s="710">
        <f t="shared" si="2"/>
        <v>797000000</v>
      </c>
      <c r="X7" s="711">
        <f t="shared" si="3"/>
        <v>1.15740740740741e-6</v>
      </c>
      <c r="Y7" s="712">
        <f t="shared" si="4"/>
        <v>0</v>
      </c>
      <c r="Z7" s="712">
        <f t="shared" si="5"/>
        <v>0</v>
      </c>
      <c r="AA7" s="712">
        <f t="shared" si="6"/>
        <v>0</v>
      </c>
      <c r="AB7" s="712">
        <f t="shared" si="7"/>
        <v>0</v>
      </c>
      <c r="AC7" s="713">
        <f t="shared" si="8"/>
        <v>0</v>
      </c>
      <c r="AD7" s="218">
        <f t="shared" si="9"/>
        <v>797000000</v>
      </c>
      <c r="AE7" s="215">
        <v>0</v>
      </c>
      <c r="AF7" s="216">
        <f t="shared" si="10"/>
        <v>0</v>
      </c>
      <c r="AG7" s="771">
        <v>0</v>
      </c>
      <c r="AH7" s="772">
        <f t="shared" si="11"/>
        <v>0</v>
      </c>
      <c r="AI7" s="773">
        <f t="shared" si="12"/>
        <v>0</v>
      </c>
      <c r="AJ7" s="210">
        <f t="shared" si="13"/>
        <v>0</v>
      </c>
      <c r="AK7" s="216">
        <f t="shared" si="14"/>
        <v>0</v>
      </c>
      <c r="AL7" s="771">
        <v>0</v>
      </c>
      <c r="AM7" s="774">
        <f t="shared" si="15"/>
        <v>0</v>
      </c>
      <c r="AN7" s="775">
        <f t="shared" si="16"/>
        <v>0</v>
      </c>
      <c r="AO7" s="210">
        <f t="shared" si="17"/>
        <v>0</v>
      </c>
      <c r="AP7" s="216">
        <f t="shared" si="18"/>
        <v>0</v>
      </c>
      <c r="AQ7" s="771">
        <v>0</v>
      </c>
      <c r="AR7" s="778">
        <f t="shared" si="19"/>
        <v>0</v>
      </c>
      <c r="AS7" s="773">
        <f t="shared" si="20"/>
        <v>0</v>
      </c>
      <c r="AT7" s="210">
        <f t="shared" si="21"/>
        <v>0</v>
      </c>
      <c r="AU7" s="216">
        <f t="shared" si="22"/>
        <v>0</v>
      </c>
      <c r="AV7" s="771">
        <v>0</v>
      </c>
      <c r="AW7" s="778">
        <f t="shared" si="23"/>
        <v>0</v>
      </c>
      <c r="AX7" s="773">
        <f t="shared" si="24"/>
        <v>0</v>
      </c>
      <c r="AY7" s="210">
        <f t="shared" si="25"/>
        <v>0</v>
      </c>
      <c r="AZ7" s="216">
        <f t="shared" si="26"/>
        <v>0</v>
      </c>
      <c r="BA7" s="771">
        <v>0</v>
      </c>
      <c r="BB7" s="778">
        <f t="shared" si="27"/>
        <v>0</v>
      </c>
      <c r="BC7" s="783">
        <f t="shared" si="28"/>
        <v>0</v>
      </c>
      <c r="BD7" s="275">
        <f t="shared" si="29"/>
        <v>1.29e+17</v>
      </c>
      <c r="BE7" s="275">
        <f t="shared" si="30"/>
        <v>0</v>
      </c>
      <c r="BF7" s="275">
        <f t="shared" si="31"/>
        <v>0</v>
      </c>
      <c r="BG7" s="275">
        <f t="shared" si="32"/>
        <v>0</v>
      </c>
      <c r="BH7" s="275">
        <f t="shared" si="33"/>
        <v>0</v>
      </c>
      <c r="BI7" s="785">
        <f t="shared" si="34"/>
        <v>0</v>
      </c>
      <c r="BJ7" s="323">
        <f t="shared" si="35"/>
        <v>797000000</v>
      </c>
      <c r="BK7" s="323">
        <f t="shared" si="36"/>
        <v>0</v>
      </c>
      <c r="BL7" s="323">
        <f t="shared" si="37"/>
        <v>0</v>
      </c>
      <c r="BM7" s="323">
        <f t="shared" si="38"/>
        <v>0</v>
      </c>
      <c r="BN7" s="323">
        <f t="shared" si="39"/>
        <v>0</v>
      </c>
      <c r="BO7" s="787">
        <f t="shared" si="40"/>
        <v>797000000</v>
      </c>
      <c r="BP7" s="353">
        <f t="shared" si="41"/>
        <v>797000000</v>
      </c>
      <c r="BQ7" s="126" t="str">
        <f t="shared" si="54"/>
        <v>Kr-87</v>
      </c>
      <c r="BR7" s="789">
        <v>797000000</v>
      </c>
      <c r="BS7" s="365">
        <f t="shared" si="42"/>
        <v>1</v>
      </c>
      <c r="BT7" s="369">
        <f t="shared" si="43"/>
        <v>1</v>
      </c>
      <c r="BU7" s="369">
        <f t="shared" si="44"/>
        <v>1</v>
      </c>
      <c r="BV7" s="106" t="s">
        <v>49</v>
      </c>
      <c r="BW7" s="156">
        <v>797000000</v>
      </c>
      <c r="BX7" s="793" t="s">
        <v>49</v>
      </c>
      <c r="BY7" s="794">
        <v>680000000</v>
      </c>
      <c r="BZ7" s="369">
        <f t="shared" si="55"/>
        <v>1.17205882352941</v>
      </c>
    </row>
    <row r="8" s="91" customFormat="1" ht="15.75" spans="1:78">
      <c r="A8" s="675" t="s">
        <v>50</v>
      </c>
      <c r="B8" s="749">
        <v>6.88e-5</v>
      </c>
      <c r="C8" s="183">
        <f>正常源项!C6</f>
        <v>1.88e+17</v>
      </c>
      <c r="D8" s="183"/>
      <c r="E8" s="183">
        <f>正常源项!I6</f>
        <v>41500000000</v>
      </c>
      <c r="F8" s="183">
        <f>正常源项!L6</f>
        <v>2390000000</v>
      </c>
      <c r="G8" s="214"/>
      <c r="H8" s="183">
        <f>正常源项!R6</f>
        <v>56447944.0035002</v>
      </c>
      <c r="I8" s="183">
        <f>正常源项!S6</f>
        <v>372199817.272207</v>
      </c>
      <c r="J8" s="182">
        <f t="shared" si="45"/>
        <v>2818647761.27571</v>
      </c>
      <c r="K8" s="758">
        <f t="shared" si="46"/>
        <v>3170000000</v>
      </c>
      <c r="L8" s="759">
        <f t="shared" si="47"/>
        <v>0.889163331632715</v>
      </c>
      <c r="M8" s="760">
        <f t="shared" si="48"/>
        <v>3170000000</v>
      </c>
      <c r="N8" s="760">
        <v>3470000000</v>
      </c>
      <c r="O8" s="218">
        <f t="shared" si="49"/>
        <v>3170000000</v>
      </c>
      <c r="P8" s="692">
        <f t="shared" si="50"/>
        <v>3170000000</v>
      </c>
      <c r="Q8" s="768">
        <f t="shared" si="51"/>
        <v>1</v>
      </c>
      <c r="R8" s="353">
        <f t="shared" si="52"/>
        <v>3170000000</v>
      </c>
      <c r="S8" s="678">
        <f t="shared" si="0"/>
        <v>0</v>
      </c>
      <c r="T8" s="693">
        <v>1</v>
      </c>
      <c r="U8" s="247">
        <f t="shared" si="1"/>
        <v>3170000000</v>
      </c>
      <c r="V8" s="247">
        <f t="shared" si="53"/>
        <v>0</v>
      </c>
      <c r="W8" s="710">
        <f t="shared" si="2"/>
        <v>3170000000</v>
      </c>
      <c r="X8" s="711">
        <f t="shared" si="3"/>
        <v>1.15740740740741e-6</v>
      </c>
      <c r="Y8" s="712">
        <f t="shared" si="4"/>
        <v>0</v>
      </c>
      <c r="Z8" s="712">
        <f t="shared" si="5"/>
        <v>0</v>
      </c>
      <c r="AA8" s="712">
        <f t="shared" si="6"/>
        <v>0</v>
      </c>
      <c r="AB8" s="712">
        <f t="shared" si="7"/>
        <v>0</v>
      </c>
      <c r="AC8" s="713">
        <f t="shared" si="8"/>
        <v>0</v>
      </c>
      <c r="AD8" s="218">
        <f t="shared" si="9"/>
        <v>3170000000</v>
      </c>
      <c r="AE8" s="215">
        <v>0</v>
      </c>
      <c r="AF8" s="216">
        <f t="shared" si="10"/>
        <v>0</v>
      </c>
      <c r="AG8" s="771">
        <v>0</v>
      </c>
      <c r="AH8" s="772">
        <f t="shared" si="11"/>
        <v>0</v>
      </c>
      <c r="AI8" s="773">
        <f t="shared" si="12"/>
        <v>0</v>
      </c>
      <c r="AJ8" s="210">
        <f t="shared" si="13"/>
        <v>0</v>
      </c>
      <c r="AK8" s="216">
        <f t="shared" si="14"/>
        <v>0</v>
      </c>
      <c r="AL8" s="771">
        <v>0</v>
      </c>
      <c r="AM8" s="774">
        <f t="shared" si="15"/>
        <v>0</v>
      </c>
      <c r="AN8" s="775">
        <f t="shared" si="16"/>
        <v>0</v>
      </c>
      <c r="AO8" s="210">
        <f t="shared" si="17"/>
        <v>0</v>
      </c>
      <c r="AP8" s="216">
        <f t="shared" si="18"/>
        <v>0</v>
      </c>
      <c r="AQ8" s="771">
        <v>0</v>
      </c>
      <c r="AR8" s="778">
        <f t="shared" si="19"/>
        <v>0</v>
      </c>
      <c r="AS8" s="773">
        <f t="shared" si="20"/>
        <v>0</v>
      </c>
      <c r="AT8" s="210">
        <f t="shared" si="21"/>
        <v>0</v>
      </c>
      <c r="AU8" s="216">
        <f t="shared" si="22"/>
        <v>0</v>
      </c>
      <c r="AV8" s="771">
        <v>0</v>
      </c>
      <c r="AW8" s="778">
        <f t="shared" si="23"/>
        <v>0</v>
      </c>
      <c r="AX8" s="773">
        <f t="shared" si="24"/>
        <v>0</v>
      </c>
      <c r="AY8" s="210">
        <f t="shared" si="25"/>
        <v>0</v>
      </c>
      <c r="AZ8" s="216">
        <f t="shared" si="26"/>
        <v>0</v>
      </c>
      <c r="BA8" s="771">
        <v>0</v>
      </c>
      <c r="BB8" s="778">
        <f t="shared" si="27"/>
        <v>0</v>
      </c>
      <c r="BC8" s="783">
        <f t="shared" si="28"/>
        <v>0</v>
      </c>
      <c r="BD8" s="275">
        <f t="shared" si="29"/>
        <v>1.88e+17</v>
      </c>
      <c r="BE8" s="275">
        <f t="shared" si="30"/>
        <v>0</v>
      </c>
      <c r="BF8" s="275">
        <f t="shared" si="31"/>
        <v>0</v>
      </c>
      <c r="BG8" s="275">
        <f t="shared" si="32"/>
        <v>0</v>
      </c>
      <c r="BH8" s="275">
        <f t="shared" si="33"/>
        <v>0</v>
      </c>
      <c r="BI8" s="785">
        <f t="shared" si="34"/>
        <v>0</v>
      </c>
      <c r="BJ8" s="323">
        <f t="shared" si="35"/>
        <v>3170000000</v>
      </c>
      <c r="BK8" s="323">
        <f t="shared" si="36"/>
        <v>0</v>
      </c>
      <c r="BL8" s="323">
        <f t="shared" si="37"/>
        <v>0</v>
      </c>
      <c r="BM8" s="323">
        <f t="shared" si="38"/>
        <v>0</v>
      </c>
      <c r="BN8" s="323">
        <f t="shared" si="39"/>
        <v>0</v>
      </c>
      <c r="BO8" s="787">
        <f t="shared" si="40"/>
        <v>3170000000</v>
      </c>
      <c r="BP8" s="353">
        <f t="shared" si="41"/>
        <v>3170000000</v>
      </c>
      <c r="BQ8" s="126" t="str">
        <f t="shared" si="54"/>
        <v>Kr-88</v>
      </c>
      <c r="BR8" s="789">
        <v>3170000000</v>
      </c>
      <c r="BS8" s="365">
        <f t="shared" si="42"/>
        <v>1</v>
      </c>
      <c r="BT8" s="369">
        <f t="shared" si="43"/>
        <v>1</v>
      </c>
      <c r="BU8" s="369">
        <f t="shared" si="44"/>
        <v>1</v>
      </c>
      <c r="BV8" s="106" t="s">
        <v>50</v>
      </c>
      <c r="BW8" s="156">
        <v>3170000000</v>
      </c>
      <c r="BX8" s="793" t="s">
        <v>50</v>
      </c>
      <c r="BY8" s="794">
        <v>2700000000</v>
      </c>
      <c r="BZ8" s="369">
        <f t="shared" si="55"/>
        <v>1.17407407407407</v>
      </c>
    </row>
    <row r="9" s="91" customFormat="1" ht="15.75" spans="1:78">
      <c r="A9" s="675" t="s">
        <v>51</v>
      </c>
      <c r="B9" s="749">
        <v>6.68e-7</v>
      </c>
      <c r="C9" s="183">
        <f>正常源项!C7</f>
        <v>2500000000000000</v>
      </c>
      <c r="D9" s="183"/>
      <c r="E9" s="183">
        <f>正常源项!I7</f>
        <v>939000000</v>
      </c>
      <c r="F9" s="183">
        <f>正常源项!L7</f>
        <v>4820000000</v>
      </c>
      <c r="G9" s="214"/>
      <c r="H9" s="183">
        <f>正常源项!R7</f>
        <v>1071543.50413292</v>
      </c>
      <c r="I9" s="183">
        <f>正常源项!S7</f>
        <v>7142858.74836437</v>
      </c>
      <c r="J9" s="182">
        <f t="shared" si="45"/>
        <v>4828214402.2525</v>
      </c>
      <c r="K9" s="758">
        <f t="shared" si="46"/>
        <v>8210000000</v>
      </c>
      <c r="L9" s="759">
        <f t="shared" si="47"/>
        <v>0.588089452162302</v>
      </c>
      <c r="M9" s="760">
        <f t="shared" si="48"/>
        <v>8210000000</v>
      </c>
      <c r="N9" s="760">
        <v>8220000000</v>
      </c>
      <c r="O9" s="218">
        <f t="shared" si="49"/>
        <v>8210000000</v>
      </c>
      <c r="P9" s="692">
        <f t="shared" si="50"/>
        <v>8210000000</v>
      </c>
      <c r="Q9" s="768">
        <f t="shared" si="51"/>
        <v>1</v>
      </c>
      <c r="R9" s="353">
        <f t="shared" si="52"/>
        <v>8210000000</v>
      </c>
      <c r="S9" s="678">
        <f t="shared" si="0"/>
        <v>0</v>
      </c>
      <c r="T9" s="693">
        <v>1</v>
      </c>
      <c r="U9" s="247">
        <f t="shared" si="1"/>
        <v>8210000000</v>
      </c>
      <c r="V9" s="247">
        <f t="shared" si="53"/>
        <v>0</v>
      </c>
      <c r="W9" s="710">
        <f t="shared" si="2"/>
        <v>8210000000</v>
      </c>
      <c r="X9" s="711">
        <f t="shared" si="3"/>
        <v>1.15740740740741e-6</v>
      </c>
      <c r="Y9" s="712">
        <f t="shared" si="4"/>
        <v>0</v>
      </c>
      <c r="Z9" s="712">
        <f t="shared" si="5"/>
        <v>0</v>
      </c>
      <c r="AA9" s="712">
        <f t="shared" si="6"/>
        <v>0</v>
      </c>
      <c r="AB9" s="712">
        <f t="shared" si="7"/>
        <v>0</v>
      </c>
      <c r="AC9" s="713">
        <f t="shared" si="8"/>
        <v>0</v>
      </c>
      <c r="AD9" s="218">
        <f t="shared" si="9"/>
        <v>8210000000</v>
      </c>
      <c r="AE9" s="215">
        <v>0</v>
      </c>
      <c r="AF9" s="216">
        <f t="shared" si="10"/>
        <v>0</v>
      </c>
      <c r="AG9" s="771">
        <v>0</v>
      </c>
      <c r="AH9" s="772">
        <f t="shared" si="11"/>
        <v>0</v>
      </c>
      <c r="AI9" s="773">
        <f t="shared" si="12"/>
        <v>0</v>
      </c>
      <c r="AJ9" s="210">
        <f t="shared" si="13"/>
        <v>0</v>
      </c>
      <c r="AK9" s="216">
        <f t="shared" si="14"/>
        <v>0</v>
      </c>
      <c r="AL9" s="771">
        <v>0</v>
      </c>
      <c r="AM9" s="774">
        <f t="shared" si="15"/>
        <v>0</v>
      </c>
      <c r="AN9" s="775">
        <f t="shared" si="16"/>
        <v>0</v>
      </c>
      <c r="AO9" s="210">
        <f t="shared" si="17"/>
        <v>0</v>
      </c>
      <c r="AP9" s="216">
        <f t="shared" si="18"/>
        <v>0</v>
      </c>
      <c r="AQ9" s="771">
        <v>0</v>
      </c>
      <c r="AR9" s="778">
        <f t="shared" si="19"/>
        <v>0</v>
      </c>
      <c r="AS9" s="773">
        <f t="shared" si="20"/>
        <v>0</v>
      </c>
      <c r="AT9" s="210">
        <f t="shared" si="21"/>
        <v>0</v>
      </c>
      <c r="AU9" s="216">
        <f t="shared" si="22"/>
        <v>0</v>
      </c>
      <c r="AV9" s="771">
        <v>0</v>
      </c>
      <c r="AW9" s="778">
        <f t="shared" si="23"/>
        <v>0</v>
      </c>
      <c r="AX9" s="773">
        <f t="shared" si="24"/>
        <v>0</v>
      </c>
      <c r="AY9" s="210">
        <f t="shared" si="25"/>
        <v>0</v>
      </c>
      <c r="AZ9" s="216">
        <f t="shared" si="26"/>
        <v>0</v>
      </c>
      <c r="BA9" s="771">
        <v>0</v>
      </c>
      <c r="BB9" s="778">
        <f t="shared" si="27"/>
        <v>0</v>
      </c>
      <c r="BC9" s="783">
        <f t="shared" si="28"/>
        <v>0</v>
      </c>
      <c r="BD9" s="275">
        <f t="shared" si="29"/>
        <v>2500000000000000</v>
      </c>
      <c r="BE9" s="275">
        <f t="shared" si="30"/>
        <v>0</v>
      </c>
      <c r="BF9" s="275">
        <f t="shared" si="31"/>
        <v>0</v>
      </c>
      <c r="BG9" s="275">
        <f t="shared" si="32"/>
        <v>0</v>
      </c>
      <c r="BH9" s="275">
        <f t="shared" si="33"/>
        <v>0</v>
      </c>
      <c r="BI9" s="785">
        <f t="shared" si="34"/>
        <v>0</v>
      </c>
      <c r="BJ9" s="323">
        <f t="shared" si="35"/>
        <v>8210000000</v>
      </c>
      <c r="BK9" s="323">
        <f t="shared" si="36"/>
        <v>0</v>
      </c>
      <c r="BL9" s="323">
        <f t="shared" si="37"/>
        <v>0</v>
      </c>
      <c r="BM9" s="323">
        <f t="shared" si="38"/>
        <v>0</v>
      </c>
      <c r="BN9" s="323">
        <f t="shared" si="39"/>
        <v>0</v>
      </c>
      <c r="BO9" s="787">
        <f t="shared" si="40"/>
        <v>8210000000</v>
      </c>
      <c r="BP9" s="353">
        <f t="shared" si="41"/>
        <v>8210000000</v>
      </c>
      <c r="BQ9" s="126" t="str">
        <f t="shared" si="54"/>
        <v>Xe-131m</v>
      </c>
      <c r="BR9" s="789">
        <v>8210000000</v>
      </c>
      <c r="BS9" s="365">
        <f t="shared" si="42"/>
        <v>1</v>
      </c>
      <c r="BT9" s="369">
        <f t="shared" si="43"/>
        <v>1</v>
      </c>
      <c r="BU9" s="369">
        <f t="shared" si="44"/>
        <v>1</v>
      </c>
      <c r="BV9" s="106" t="s">
        <v>51</v>
      </c>
      <c r="BW9" s="156">
        <v>8210000000</v>
      </c>
      <c r="BX9" s="793" t="s">
        <v>51</v>
      </c>
      <c r="BY9" s="794">
        <v>7200000000</v>
      </c>
      <c r="BZ9" s="369">
        <f t="shared" si="55"/>
        <v>1.14027777777778</v>
      </c>
    </row>
    <row r="10" s="164" customFormat="1" ht="15.75" spans="1:78">
      <c r="A10" s="675" t="s">
        <v>52</v>
      </c>
      <c r="B10" s="749">
        <v>1.52e-6</v>
      </c>
      <c r="C10" s="183">
        <f>正常源项!C8</f>
        <v>4.58e+17</v>
      </c>
      <c r="D10" s="183"/>
      <c r="E10" s="183">
        <f>正常源项!I8</f>
        <v>216000000000</v>
      </c>
      <c r="F10" s="183">
        <f>正常源项!L8</f>
        <v>492000000000</v>
      </c>
      <c r="G10" s="214"/>
      <c r="H10" s="183">
        <f>正常源项!R8</f>
        <v>269568397.534947</v>
      </c>
      <c r="I10" s="183">
        <f>正常源项!S8</f>
        <v>1796682768.45193</v>
      </c>
      <c r="J10" s="182">
        <f t="shared" si="45"/>
        <v>494066251165.987</v>
      </c>
      <c r="K10" s="758">
        <f t="shared" si="46"/>
        <v>775000000000</v>
      </c>
      <c r="L10" s="759">
        <f t="shared" si="47"/>
        <v>0.637504840214177</v>
      </c>
      <c r="M10" s="760">
        <f t="shared" si="48"/>
        <v>775000000000</v>
      </c>
      <c r="N10" s="760">
        <v>777000000000</v>
      </c>
      <c r="O10" s="218">
        <f t="shared" si="49"/>
        <v>775000000000</v>
      </c>
      <c r="P10" s="692">
        <f t="shared" si="50"/>
        <v>775000000000</v>
      </c>
      <c r="Q10" s="768">
        <f t="shared" si="51"/>
        <v>1</v>
      </c>
      <c r="R10" s="353">
        <f t="shared" si="52"/>
        <v>775000000000</v>
      </c>
      <c r="S10" s="678">
        <f t="shared" si="0"/>
        <v>0</v>
      </c>
      <c r="T10" s="693">
        <v>1</v>
      </c>
      <c r="U10" s="247">
        <f t="shared" si="1"/>
        <v>775000000000</v>
      </c>
      <c r="V10" s="247">
        <f t="shared" si="53"/>
        <v>0</v>
      </c>
      <c r="W10" s="710">
        <f t="shared" si="2"/>
        <v>775000000000</v>
      </c>
      <c r="X10" s="711">
        <f t="shared" si="3"/>
        <v>1.15740740740741e-6</v>
      </c>
      <c r="Y10" s="712">
        <f t="shared" si="4"/>
        <v>0</v>
      </c>
      <c r="Z10" s="712">
        <f t="shared" si="5"/>
        <v>0</v>
      </c>
      <c r="AA10" s="712">
        <f t="shared" si="6"/>
        <v>0</v>
      </c>
      <c r="AB10" s="712">
        <f t="shared" si="7"/>
        <v>0</v>
      </c>
      <c r="AC10" s="713">
        <f t="shared" si="8"/>
        <v>0</v>
      </c>
      <c r="AD10" s="218">
        <f t="shared" si="9"/>
        <v>775000000000</v>
      </c>
      <c r="AE10" s="215">
        <v>0</v>
      </c>
      <c r="AF10" s="216">
        <f t="shared" si="10"/>
        <v>0</v>
      </c>
      <c r="AG10" s="771">
        <v>0</v>
      </c>
      <c r="AH10" s="772">
        <f t="shared" si="11"/>
        <v>0</v>
      </c>
      <c r="AI10" s="773">
        <f t="shared" si="12"/>
        <v>0</v>
      </c>
      <c r="AJ10" s="210">
        <f t="shared" si="13"/>
        <v>0</v>
      </c>
      <c r="AK10" s="216">
        <f t="shared" si="14"/>
        <v>0</v>
      </c>
      <c r="AL10" s="771">
        <v>0</v>
      </c>
      <c r="AM10" s="774">
        <f t="shared" si="15"/>
        <v>0</v>
      </c>
      <c r="AN10" s="775">
        <f t="shared" si="16"/>
        <v>0</v>
      </c>
      <c r="AO10" s="210">
        <f t="shared" si="17"/>
        <v>0</v>
      </c>
      <c r="AP10" s="216">
        <f t="shared" si="18"/>
        <v>0</v>
      </c>
      <c r="AQ10" s="771">
        <v>0</v>
      </c>
      <c r="AR10" s="778">
        <f t="shared" si="19"/>
        <v>0</v>
      </c>
      <c r="AS10" s="773">
        <f t="shared" si="20"/>
        <v>0</v>
      </c>
      <c r="AT10" s="210">
        <f t="shared" si="21"/>
        <v>0</v>
      </c>
      <c r="AU10" s="216">
        <f t="shared" si="22"/>
        <v>0</v>
      </c>
      <c r="AV10" s="771">
        <v>0</v>
      </c>
      <c r="AW10" s="778">
        <f t="shared" si="23"/>
        <v>0</v>
      </c>
      <c r="AX10" s="773">
        <f t="shared" si="24"/>
        <v>0</v>
      </c>
      <c r="AY10" s="210">
        <f t="shared" si="25"/>
        <v>0</v>
      </c>
      <c r="AZ10" s="216">
        <f t="shared" si="26"/>
        <v>0</v>
      </c>
      <c r="BA10" s="771">
        <v>0</v>
      </c>
      <c r="BB10" s="778">
        <f t="shared" si="27"/>
        <v>0</v>
      </c>
      <c r="BC10" s="783">
        <f t="shared" si="28"/>
        <v>0</v>
      </c>
      <c r="BD10" s="275">
        <f t="shared" si="29"/>
        <v>4.58e+17</v>
      </c>
      <c r="BE10" s="275">
        <f t="shared" si="30"/>
        <v>0</v>
      </c>
      <c r="BF10" s="275">
        <f t="shared" si="31"/>
        <v>0</v>
      </c>
      <c r="BG10" s="275">
        <f t="shared" si="32"/>
        <v>0</v>
      </c>
      <c r="BH10" s="275">
        <f t="shared" si="33"/>
        <v>0</v>
      </c>
      <c r="BI10" s="785">
        <f t="shared" si="34"/>
        <v>0</v>
      </c>
      <c r="BJ10" s="323">
        <f t="shared" si="35"/>
        <v>775000000000</v>
      </c>
      <c r="BK10" s="323">
        <f t="shared" si="36"/>
        <v>0</v>
      </c>
      <c r="BL10" s="323">
        <f t="shared" si="37"/>
        <v>0</v>
      </c>
      <c r="BM10" s="323">
        <f t="shared" si="38"/>
        <v>0</v>
      </c>
      <c r="BN10" s="323">
        <f t="shared" si="39"/>
        <v>0</v>
      </c>
      <c r="BO10" s="787">
        <f t="shared" si="40"/>
        <v>775000000000</v>
      </c>
      <c r="BP10" s="353">
        <f t="shared" si="41"/>
        <v>775000000000</v>
      </c>
      <c r="BQ10" s="126" t="str">
        <f t="shared" si="54"/>
        <v>Xe-133</v>
      </c>
      <c r="BR10" s="789">
        <v>775000000000</v>
      </c>
      <c r="BS10" s="365">
        <f t="shared" si="42"/>
        <v>1</v>
      </c>
      <c r="BT10" s="369">
        <f t="shared" si="43"/>
        <v>1</v>
      </c>
      <c r="BU10" s="369">
        <f t="shared" si="44"/>
        <v>1</v>
      </c>
      <c r="BV10" s="795" t="s">
        <v>52</v>
      </c>
      <c r="BW10" s="219">
        <v>775000000000</v>
      </c>
      <c r="BX10" s="793" t="s">
        <v>52</v>
      </c>
      <c r="BY10" s="794">
        <v>630000000000</v>
      </c>
      <c r="BZ10" s="369">
        <f t="shared" si="55"/>
        <v>1.23015873015873</v>
      </c>
    </row>
    <row r="11" s="91" customFormat="1" ht="15.75" spans="1:78">
      <c r="A11" s="675" t="s">
        <v>53</v>
      </c>
      <c r="B11" s="749">
        <v>3.65e-6</v>
      </c>
      <c r="C11" s="183">
        <f>正常源项!C9</f>
        <v>1.32e+16</v>
      </c>
      <c r="D11" s="183"/>
      <c r="E11" s="183">
        <f>正常源项!I9</f>
        <v>6770000000</v>
      </c>
      <c r="F11" s="183">
        <f>正常源项!L9</f>
        <v>6490000000</v>
      </c>
      <c r="G11" s="214"/>
      <c r="H11" s="183">
        <f>正常源项!R9</f>
        <v>8535811.69491106</v>
      </c>
      <c r="I11" s="183">
        <f>正常源项!S9</f>
        <v>56872188.2412855</v>
      </c>
      <c r="J11" s="182">
        <f t="shared" si="45"/>
        <v>6555407999.9362</v>
      </c>
      <c r="K11" s="758">
        <f t="shared" si="46"/>
        <v>10600000000</v>
      </c>
      <c r="L11" s="759">
        <f t="shared" si="47"/>
        <v>0.618434716975113</v>
      </c>
      <c r="M11" s="760">
        <f t="shared" si="48"/>
        <v>10600000000</v>
      </c>
      <c r="N11" s="760">
        <v>10600000000</v>
      </c>
      <c r="O11" s="218">
        <f t="shared" si="49"/>
        <v>10600000000</v>
      </c>
      <c r="P11" s="692">
        <f t="shared" si="50"/>
        <v>10600000000</v>
      </c>
      <c r="Q11" s="768">
        <f t="shared" si="51"/>
        <v>1</v>
      </c>
      <c r="R11" s="353">
        <f t="shared" si="52"/>
        <v>10600000000</v>
      </c>
      <c r="S11" s="678">
        <f t="shared" si="0"/>
        <v>0</v>
      </c>
      <c r="T11" s="693">
        <v>1</v>
      </c>
      <c r="U11" s="247">
        <f t="shared" si="1"/>
        <v>10600000000</v>
      </c>
      <c r="V11" s="247">
        <f t="shared" si="53"/>
        <v>0</v>
      </c>
      <c r="W11" s="710">
        <f t="shared" si="2"/>
        <v>10600000000</v>
      </c>
      <c r="X11" s="711">
        <f t="shared" si="3"/>
        <v>1.15740740740741e-6</v>
      </c>
      <c r="Y11" s="712">
        <f t="shared" si="4"/>
        <v>0</v>
      </c>
      <c r="Z11" s="712">
        <f t="shared" si="5"/>
        <v>0</v>
      </c>
      <c r="AA11" s="712">
        <f t="shared" si="6"/>
        <v>0</v>
      </c>
      <c r="AB11" s="712">
        <f t="shared" si="7"/>
        <v>0</v>
      </c>
      <c r="AC11" s="713">
        <f t="shared" si="8"/>
        <v>0</v>
      </c>
      <c r="AD11" s="218">
        <f t="shared" si="9"/>
        <v>10600000000</v>
      </c>
      <c r="AE11" s="215">
        <v>0</v>
      </c>
      <c r="AF11" s="216">
        <f t="shared" si="10"/>
        <v>0</v>
      </c>
      <c r="AG11" s="771">
        <v>0</v>
      </c>
      <c r="AH11" s="772">
        <f t="shared" si="11"/>
        <v>0</v>
      </c>
      <c r="AI11" s="773">
        <f t="shared" si="12"/>
        <v>0</v>
      </c>
      <c r="AJ11" s="210">
        <f t="shared" si="13"/>
        <v>0</v>
      </c>
      <c r="AK11" s="216">
        <f t="shared" si="14"/>
        <v>0</v>
      </c>
      <c r="AL11" s="771">
        <v>0</v>
      </c>
      <c r="AM11" s="774">
        <f t="shared" si="15"/>
        <v>0</v>
      </c>
      <c r="AN11" s="775">
        <f t="shared" si="16"/>
        <v>0</v>
      </c>
      <c r="AO11" s="210">
        <f t="shared" si="17"/>
        <v>0</v>
      </c>
      <c r="AP11" s="216">
        <f t="shared" si="18"/>
        <v>0</v>
      </c>
      <c r="AQ11" s="771">
        <v>0</v>
      </c>
      <c r="AR11" s="778">
        <f t="shared" si="19"/>
        <v>0</v>
      </c>
      <c r="AS11" s="773">
        <f t="shared" si="20"/>
        <v>0</v>
      </c>
      <c r="AT11" s="210">
        <f t="shared" si="21"/>
        <v>0</v>
      </c>
      <c r="AU11" s="216">
        <f t="shared" si="22"/>
        <v>0</v>
      </c>
      <c r="AV11" s="771">
        <v>0</v>
      </c>
      <c r="AW11" s="778">
        <f t="shared" si="23"/>
        <v>0</v>
      </c>
      <c r="AX11" s="773">
        <f t="shared" si="24"/>
        <v>0</v>
      </c>
      <c r="AY11" s="210">
        <f t="shared" si="25"/>
        <v>0</v>
      </c>
      <c r="AZ11" s="216">
        <f t="shared" si="26"/>
        <v>0</v>
      </c>
      <c r="BA11" s="771">
        <v>0</v>
      </c>
      <c r="BB11" s="778">
        <f t="shared" si="27"/>
        <v>0</v>
      </c>
      <c r="BC11" s="783">
        <f t="shared" si="28"/>
        <v>0</v>
      </c>
      <c r="BD11" s="275">
        <f t="shared" si="29"/>
        <v>1.32e+16</v>
      </c>
      <c r="BE11" s="275">
        <f t="shared" si="30"/>
        <v>0</v>
      </c>
      <c r="BF11" s="275">
        <f t="shared" si="31"/>
        <v>0</v>
      </c>
      <c r="BG11" s="275">
        <f t="shared" si="32"/>
        <v>0</v>
      </c>
      <c r="BH11" s="275">
        <f t="shared" si="33"/>
        <v>0</v>
      </c>
      <c r="BI11" s="785">
        <f t="shared" si="34"/>
        <v>0</v>
      </c>
      <c r="BJ11" s="323">
        <f t="shared" si="35"/>
        <v>10600000000</v>
      </c>
      <c r="BK11" s="323">
        <f t="shared" si="36"/>
        <v>0</v>
      </c>
      <c r="BL11" s="323">
        <f t="shared" si="37"/>
        <v>0</v>
      </c>
      <c r="BM11" s="323">
        <f t="shared" si="38"/>
        <v>0</v>
      </c>
      <c r="BN11" s="323">
        <f t="shared" si="39"/>
        <v>0</v>
      </c>
      <c r="BO11" s="787">
        <f t="shared" si="40"/>
        <v>10600000000</v>
      </c>
      <c r="BP11" s="353">
        <f t="shared" si="41"/>
        <v>10600000000</v>
      </c>
      <c r="BQ11" s="126" t="str">
        <f t="shared" si="54"/>
        <v>Xe-133m</v>
      </c>
      <c r="BR11" s="789">
        <v>10600000000</v>
      </c>
      <c r="BS11" s="365">
        <f t="shared" si="42"/>
        <v>1</v>
      </c>
      <c r="BT11" s="369">
        <f t="shared" si="43"/>
        <v>1</v>
      </c>
      <c r="BU11" s="369">
        <f t="shared" si="44"/>
        <v>1</v>
      </c>
      <c r="BV11" s="106" t="s">
        <v>53</v>
      </c>
      <c r="BW11" s="156">
        <v>10600000000</v>
      </c>
      <c r="BX11" s="793" t="s">
        <v>53</v>
      </c>
      <c r="BY11" s="794">
        <v>9100000000</v>
      </c>
      <c r="BZ11" s="369">
        <f t="shared" si="55"/>
        <v>1.16483516483516</v>
      </c>
    </row>
    <row r="12" s="91" customFormat="1" ht="15.75" spans="1:78">
      <c r="A12" s="675" t="s">
        <v>54</v>
      </c>
      <c r="B12" s="749">
        <v>2.1e-5</v>
      </c>
      <c r="C12" s="183">
        <f>正常源项!C10</f>
        <v>1.06e+17</v>
      </c>
      <c r="D12" s="183"/>
      <c r="E12" s="183">
        <f>正常源项!I10</f>
        <v>37900000000</v>
      </c>
      <c r="F12" s="183">
        <f>正常源项!L10</f>
        <v>6490000000</v>
      </c>
      <c r="G12" s="214"/>
      <c r="H12" s="183">
        <f>正常源项!R10</f>
        <v>69788277.7603274</v>
      </c>
      <c r="I12" s="183">
        <f>正常源项!S10</f>
        <v>463679712.992308</v>
      </c>
      <c r="J12" s="182">
        <f t="shared" si="45"/>
        <v>7023467990.75264</v>
      </c>
      <c r="K12" s="758">
        <f t="shared" si="46"/>
        <v>8740000000</v>
      </c>
      <c r="L12" s="759">
        <f t="shared" si="47"/>
        <v>0.803600456607853</v>
      </c>
      <c r="M12" s="760">
        <f t="shared" si="48"/>
        <v>8740000000</v>
      </c>
      <c r="N12" s="760">
        <v>9020000000</v>
      </c>
      <c r="O12" s="218">
        <f t="shared" si="49"/>
        <v>8740000000</v>
      </c>
      <c r="P12" s="692">
        <f t="shared" si="50"/>
        <v>8740000000</v>
      </c>
      <c r="Q12" s="768">
        <f t="shared" si="51"/>
        <v>1</v>
      </c>
      <c r="R12" s="353">
        <f t="shared" si="52"/>
        <v>8740000000</v>
      </c>
      <c r="S12" s="678">
        <f t="shared" si="0"/>
        <v>0</v>
      </c>
      <c r="T12" s="693">
        <v>1</v>
      </c>
      <c r="U12" s="247">
        <f t="shared" si="1"/>
        <v>8740000000</v>
      </c>
      <c r="V12" s="247">
        <f t="shared" si="53"/>
        <v>0</v>
      </c>
      <c r="W12" s="710">
        <f t="shared" si="2"/>
        <v>8740000000</v>
      </c>
      <c r="X12" s="711">
        <f t="shared" si="3"/>
        <v>1.15740740740741e-6</v>
      </c>
      <c r="Y12" s="712">
        <f t="shared" si="4"/>
        <v>0</v>
      </c>
      <c r="Z12" s="712">
        <f t="shared" si="5"/>
        <v>0</v>
      </c>
      <c r="AA12" s="712">
        <f t="shared" si="6"/>
        <v>0</v>
      </c>
      <c r="AB12" s="712">
        <f t="shared" si="7"/>
        <v>0</v>
      </c>
      <c r="AC12" s="713">
        <f t="shared" si="8"/>
        <v>0</v>
      </c>
      <c r="AD12" s="218">
        <f t="shared" si="9"/>
        <v>8740000000</v>
      </c>
      <c r="AE12" s="215">
        <v>0</v>
      </c>
      <c r="AF12" s="216">
        <f t="shared" si="10"/>
        <v>0</v>
      </c>
      <c r="AG12" s="771">
        <v>0</v>
      </c>
      <c r="AH12" s="772">
        <f t="shared" si="11"/>
        <v>0</v>
      </c>
      <c r="AI12" s="773">
        <f t="shared" si="12"/>
        <v>0</v>
      </c>
      <c r="AJ12" s="210">
        <f t="shared" si="13"/>
        <v>0</v>
      </c>
      <c r="AK12" s="216">
        <f t="shared" si="14"/>
        <v>0</v>
      </c>
      <c r="AL12" s="771">
        <v>0</v>
      </c>
      <c r="AM12" s="774">
        <f t="shared" si="15"/>
        <v>0</v>
      </c>
      <c r="AN12" s="775">
        <f t="shared" si="16"/>
        <v>0</v>
      </c>
      <c r="AO12" s="210">
        <f t="shared" si="17"/>
        <v>0</v>
      </c>
      <c r="AP12" s="216">
        <f t="shared" si="18"/>
        <v>0</v>
      </c>
      <c r="AQ12" s="771">
        <v>0</v>
      </c>
      <c r="AR12" s="778">
        <f t="shared" si="19"/>
        <v>0</v>
      </c>
      <c r="AS12" s="773">
        <f t="shared" si="20"/>
        <v>0</v>
      </c>
      <c r="AT12" s="210">
        <f t="shared" si="21"/>
        <v>0</v>
      </c>
      <c r="AU12" s="216">
        <f t="shared" si="22"/>
        <v>0</v>
      </c>
      <c r="AV12" s="771">
        <v>0</v>
      </c>
      <c r="AW12" s="778">
        <f t="shared" si="23"/>
        <v>0</v>
      </c>
      <c r="AX12" s="773">
        <f t="shared" si="24"/>
        <v>0</v>
      </c>
      <c r="AY12" s="210">
        <f t="shared" si="25"/>
        <v>0</v>
      </c>
      <c r="AZ12" s="216">
        <f t="shared" si="26"/>
        <v>0</v>
      </c>
      <c r="BA12" s="771">
        <v>0</v>
      </c>
      <c r="BB12" s="778">
        <f t="shared" si="27"/>
        <v>0</v>
      </c>
      <c r="BC12" s="783">
        <f t="shared" si="28"/>
        <v>0</v>
      </c>
      <c r="BD12" s="275">
        <f t="shared" si="29"/>
        <v>1.06e+17</v>
      </c>
      <c r="BE12" s="275">
        <f t="shared" si="30"/>
        <v>0</v>
      </c>
      <c r="BF12" s="275">
        <f t="shared" si="31"/>
        <v>0</v>
      </c>
      <c r="BG12" s="275">
        <f t="shared" si="32"/>
        <v>0</v>
      </c>
      <c r="BH12" s="275">
        <f t="shared" si="33"/>
        <v>0</v>
      </c>
      <c r="BI12" s="785">
        <f t="shared" si="34"/>
        <v>0</v>
      </c>
      <c r="BJ12" s="323">
        <f t="shared" si="35"/>
        <v>8740000000</v>
      </c>
      <c r="BK12" s="323">
        <f t="shared" si="36"/>
        <v>0</v>
      </c>
      <c r="BL12" s="323">
        <f t="shared" si="37"/>
        <v>0</v>
      </c>
      <c r="BM12" s="323">
        <f t="shared" si="38"/>
        <v>0</v>
      </c>
      <c r="BN12" s="323">
        <f t="shared" si="39"/>
        <v>0</v>
      </c>
      <c r="BO12" s="787">
        <f t="shared" si="40"/>
        <v>8740000000</v>
      </c>
      <c r="BP12" s="353">
        <f t="shared" si="41"/>
        <v>8740000000</v>
      </c>
      <c r="BQ12" s="126" t="str">
        <f t="shared" si="54"/>
        <v>Xe-135</v>
      </c>
      <c r="BR12" s="789">
        <v>8740000000</v>
      </c>
      <c r="BS12" s="365">
        <f t="shared" si="42"/>
        <v>1</v>
      </c>
      <c r="BT12" s="369">
        <f t="shared" si="43"/>
        <v>1</v>
      </c>
      <c r="BU12" s="369">
        <f t="shared" si="44"/>
        <v>1</v>
      </c>
      <c r="BV12" s="106" t="s">
        <v>54</v>
      </c>
      <c r="BW12" s="156">
        <v>8740000000</v>
      </c>
      <c r="BX12" s="793" t="s">
        <v>54</v>
      </c>
      <c r="BY12" s="794">
        <v>7500000000</v>
      </c>
      <c r="BZ12" s="369">
        <f t="shared" si="55"/>
        <v>1.16533333333333</v>
      </c>
    </row>
    <row r="13" s="91" customFormat="1" ht="15.75" spans="1:78">
      <c r="A13" s="675" t="s">
        <v>55</v>
      </c>
      <c r="B13" s="749">
        <v>9.97e-7</v>
      </c>
      <c r="C13" s="183">
        <f>正常源项!C11</f>
        <v>2.27e+17</v>
      </c>
      <c r="D13" s="183"/>
      <c r="E13" s="183">
        <f>正常源项!I11</f>
        <v>19600000</v>
      </c>
      <c r="F13" s="186"/>
      <c r="G13" s="220">
        <f>正常源项!O11</f>
        <v>435000000000</v>
      </c>
      <c r="H13" s="183">
        <f>正常源项!R11</f>
        <v>1362608472.36422</v>
      </c>
      <c r="I13" s="182"/>
      <c r="J13" s="182">
        <f t="shared" si="45"/>
        <v>1362608472.36422</v>
      </c>
      <c r="K13" s="758">
        <f t="shared" si="46"/>
        <v>1060000000</v>
      </c>
      <c r="L13" s="759">
        <f t="shared" si="47"/>
        <v>1.28547969090964</v>
      </c>
      <c r="M13" s="760">
        <f t="shared" si="48"/>
        <v>1362608472.36422</v>
      </c>
      <c r="N13" s="760">
        <v>1533570223</v>
      </c>
      <c r="O13" s="218">
        <f t="shared" si="49"/>
        <v>1362608472.36422</v>
      </c>
      <c r="P13" s="692">
        <f t="shared" si="50"/>
        <v>1362608472.36422</v>
      </c>
      <c r="Q13" s="768">
        <f t="shared" si="51"/>
        <v>1</v>
      </c>
      <c r="R13" s="353">
        <f t="shared" si="52"/>
        <v>1362608472.36422</v>
      </c>
      <c r="S13" s="678">
        <f t="shared" si="0"/>
        <v>0</v>
      </c>
      <c r="T13" s="693">
        <v>1</v>
      </c>
      <c r="U13" s="247">
        <f t="shared" si="1"/>
        <v>1362608472.36422</v>
      </c>
      <c r="V13" s="247">
        <f t="shared" si="53"/>
        <v>0</v>
      </c>
      <c r="W13" s="710">
        <f t="shared" si="2"/>
        <v>1362608472.36422</v>
      </c>
      <c r="X13" s="711">
        <f t="shared" si="3"/>
        <v>1.15740740740741e-6</v>
      </c>
      <c r="Y13" s="712">
        <f t="shared" si="4"/>
        <v>0</v>
      </c>
      <c r="Z13" s="712">
        <f t="shared" si="5"/>
        <v>0</v>
      </c>
      <c r="AA13" s="712">
        <f t="shared" si="6"/>
        <v>0</v>
      </c>
      <c r="AB13" s="712">
        <f t="shared" si="7"/>
        <v>0</v>
      </c>
      <c r="AC13" s="713">
        <f t="shared" si="8"/>
        <v>0</v>
      </c>
      <c r="AD13" s="218">
        <f t="shared" si="9"/>
        <v>1362608472.36422</v>
      </c>
      <c r="AE13" s="215">
        <v>0</v>
      </c>
      <c r="AF13" s="216">
        <f t="shared" si="10"/>
        <v>0</v>
      </c>
      <c r="AG13" s="771">
        <v>0</v>
      </c>
      <c r="AH13" s="772">
        <f t="shared" si="11"/>
        <v>0</v>
      </c>
      <c r="AI13" s="773">
        <f t="shared" si="12"/>
        <v>0</v>
      </c>
      <c r="AJ13" s="210">
        <f t="shared" si="13"/>
        <v>0</v>
      </c>
      <c r="AK13" s="216">
        <f t="shared" si="14"/>
        <v>0</v>
      </c>
      <c r="AL13" s="771">
        <v>0</v>
      </c>
      <c r="AM13" s="774">
        <f t="shared" si="15"/>
        <v>0</v>
      </c>
      <c r="AN13" s="775">
        <f t="shared" si="16"/>
        <v>0</v>
      </c>
      <c r="AO13" s="210">
        <f t="shared" si="17"/>
        <v>0</v>
      </c>
      <c r="AP13" s="216">
        <f t="shared" si="18"/>
        <v>0</v>
      </c>
      <c r="AQ13" s="771">
        <v>0</v>
      </c>
      <c r="AR13" s="778">
        <f t="shared" si="19"/>
        <v>0</v>
      </c>
      <c r="AS13" s="773">
        <f t="shared" si="20"/>
        <v>0</v>
      </c>
      <c r="AT13" s="210">
        <f t="shared" si="21"/>
        <v>0</v>
      </c>
      <c r="AU13" s="216">
        <f t="shared" si="22"/>
        <v>0</v>
      </c>
      <c r="AV13" s="771">
        <v>0</v>
      </c>
      <c r="AW13" s="778">
        <f t="shared" si="23"/>
        <v>0</v>
      </c>
      <c r="AX13" s="773">
        <f t="shared" si="24"/>
        <v>0</v>
      </c>
      <c r="AY13" s="210">
        <f t="shared" si="25"/>
        <v>0</v>
      </c>
      <c r="AZ13" s="216">
        <f t="shared" si="26"/>
        <v>0</v>
      </c>
      <c r="BA13" s="771">
        <v>0</v>
      </c>
      <c r="BB13" s="778">
        <f t="shared" si="27"/>
        <v>0</v>
      </c>
      <c r="BC13" s="783">
        <f t="shared" si="28"/>
        <v>0</v>
      </c>
      <c r="BD13" s="275">
        <f t="shared" si="29"/>
        <v>2.27e+17</v>
      </c>
      <c r="BE13" s="275">
        <f t="shared" si="30"/>
        <v>0</v>
      </c>
      <c r="BF13" s="275">
        <f t="shared" si="31"/>
        <v>0</v>
      </c>
      <c r="BG13" s="275">
        <f t="shared" si="32"/>
        <v>0</v>
      </c>
      <c r="BH13" s="275">
        <f t="shared" si="33"/>
        <v>0</v>
      </c>
      <c r="BI13" s="785">
        <f t="shared" si="34"/>
        <v>0</v>
      </c>
      <c r="BJ13" s="323">
        <f t="shared" si="35"/>
        <v>1362608472.36422</v>
      </c>
      <c r="BK13" s="323">
        <f t="shared" si="36"/>
        <v>0</v>
      </c>
      <c r="BL13" s="323">
        <f t="shared" si="37"/>
        <v>0</v>
      </c>
      <c r="BM13" s="323">
        <f t="shared" si="38"/>
        <v>0</v>
      </c>
      <c r="BN13" s="323">
        <f t="shared" si="39"/>
        <v>0</v>
      </c>
      <c r="BO13" s="787">
        <f t="shared" si="40"/>
        <v>1362608472.36422</v>
      </c>
      <c r="BP13" s="353">
        <f t="shared" si="41"/>
        <v>1362608472.36422</v>
      </c>
      <c r="BQ13" s="126" t="str">
        <f t="shared" si="54"/>
        <v>I-131</v>
      </c>
      <c r="BR13" s="789">
        <v>1060000000</v>
      </c>
      <c r="BS13" s="365">
        <f t="shared" si="42"/>
        <v>1.28547969090964</v>
      </c>
      <c r="BT13" s="369">
        <f t="shared" si="43"/>
        <v>1.28547969090964</v>
      </c>
      <c r="BU13" s="369">
        <f t="shared" si="44"/>
        <v>1.28547969090964</v>
      </c>
      <c r="BV13" s="106" t="s">
        <v>55</v>
      </c>
      <c r="BW13" s="156">
        <v>1060000000</v>
      </c>
      <c r="BX13" s="793" t="s">
        <v>55</v>
      </c>
      <c r="BY13" s="794">
        <v>1300000000</v>
      </c>
      <c r="BZ13" s="369">
        <f t="shared" si="55"/>
        <v>0.815384615384615</v>
      </c>
    </row>
    <row r="14" s="91" customFormat="1" ht="15.75" spans="1:78">
      <c r="A14" s="675" t="s">
        <v>56</v>
      </c>
      <c r="B14" s="749">
        <v>8.37e-5</v>
      </c>
      <c r="C14" s="183">
        <f>正常源项!C12</f>
        <v>3.35e+17</v>
      </c>
      <c r="D14" s="183"/>
      <c r="E14" s="183">
        <f>正常源项!I12</f>
        <v>261000000</v>
      </c>
      <c r="F14" s="186"/>
      <c r="G14" s="220">
        <f>正常源项!O12</f>
        <v>69400000000</v>
      </c>
      <c r="H14" s="183">
        <f>正常源项!R12</f>
        <v>220165612.810934</v>
      </c>
      <c r="I14" s="182"/>
      <c r="J14" s="182">
        <f t="shared" si="45"/>
        <v>220165612.810934</v>
      </c>
      <c r="K14" s="758">
        <f t="shared" si="46"/>
        <v>158000000</v>
      </c>
      <c r="L14" s="759">
        <f t="shared" si="47"/>
        <v>1.39345324563882</v>
      </c>
      <c r="M14" s="760">
        <f t="shared" si="48"/>
        <v>220165612.810934</v>
      </c>
      <c r="N14" s="760">
        <v>232108138.7</v>
      </c>
      <c r="O14" s="218">
        <f t="shared" si="49"/>
        <v>220165612.810934</v>
      </c>
      <c r="P14" s="692">
        <f t="shared" si="50"/>
        <v>220165612.810934</v>
      </c>
      <c r="Q14" s="768">
        <f t="shared" si="51"/>
        <v>1</v>
      </c>
      <c r="R14" s="353">
        <f t="shared" si="52"/>
        <v>220165612.810934</v>
      </c>
      <c r="S14" s="678">
        <f t="shared" si="0"/>
        <v>0</v>
      </c>
      <c r="T14" s="693">
        <v>1</v>
      </c>
      <c r="U14" s="247">
        <f t="shared" si="1"/>
        <v>220165612.810934</v>
      </c>
      <c r="V14" s="247">
        <f t="shared" si="53"/>
        <v>0</v>
      </c>
      <c r="W14" s="710">
        <f t="shared" si="2"/>
        <v>220165612.810934</v>
      </c>
      <c r="X14" s="711">
        <f t="shared" si="3"/>
        <v>1.15740740740741e-6</v>
      </c>
      <c r="Y14" s="712">
        <f t="shared" si="4"/>
        <v>0</v>
      </c>
      <c r="Z14" s="712">
        <f t="shared" si="5"/>
        <v>0</v>
      </c>
      <c r="AA14" s="712">
        <f t="shared" si="6"/>
        <v>0</v>
      </c>
      <c r="AB14" s="712">
        <f t="shared" si="7"/>
        <v>0</v>
      </c>
      <c r="AC14" s="713">
        <f t="shared" si="8"/>
        <v>0</v>
      </c>
      <c r="AD14" s="218">
        <f t="shared" si="9"/>
        <v>220165612.810934</v>
      </c>
      <c r="AE14" s="215">
        <v>0</v>
      </c>
      <c r="AF14" s="216">
        <f t="shared" si="10"/>
        <v>0</v>
      </c>
      <c r="AG14" s="771">
        <v>0</v>
      </c>
      <c r="AH14" s="772">
        <f t="shared" si="11"/>
        <v>0</v>
      </c>
      <c r="AI14" s="773">
        <f t="shared" si="12"/>
        <v>0</v>
      </c>
      <c r="AJ14" s="210">
        <f t="shared" si="13"/>
        <v>0</v>
      </c>
      <c r="AK14" s="216">
        <f t="shared" si="14"/>
        <v>0</v>
      </c>
      <c r="AL14" s="771">
        <v>0</v>
      </c>
      <c r="AM14" s="774">
        <f t="shared" si="15"/>
        <v>0</v>
      </c>
      <c r="AN14" s="775">
        <f t="shared" si="16"/>
        <v>0</v>
      </c>
      <c r="AO14" s="210">
        <f t="shared" si="17"/>
        <v>0</v>
      </c>
      <c r="AP14" s="216">
        <f t="shared" si="18"/>
        <v>0</v>
      </c>
      <c r="AQ14" s="771">
        <v>0</v>
      </c>
      <c r="AR14" s="778">
        <f t="shared" si="19"/>
        <v>0</v>
      </c>
      <c r="AS14" s="773">
        <f t="shared" si="20"/>
        <v>0</v>
      </c>
      <c r="AT14" s="210">
        <f t="shared" si="21"/>
        <v>0</v>
      </c>
      <c r="AU14" s="216">
        <f t="shared" si="22"/>
        <v>0</v>
      </c>
      <c r="AV14" s="771">
        <v>0</v>
      </c>
      <c r="AW14" s="778">
        <f t="shared" si="23"/>
        <v>0</v>
      </c>
      <c r="AX14" s="773">
        <f t="shared" si="24"/>
        <v>0</v>
      </c>
      <c r="AY14" s="210">
        <f t="shared" si="25"/>
        <v>0</v>
      </c>
      <c r="AZ14" s="216">
        <f t="shared" si="26"/>
        <v>0</v>
      </c>
      <c r="BA14" s="771">
        <v>0</v>
      </c>
      <c r="BB14" s="778">
        <f t="shared" si="27"/>
        <v>0</v>
      </c>
      <c r="BC14" s="783">
        <f t="shared" si="28"/>
        <v>0</v>
      </c>
      <c r="BD14" s="275">
        <f t="shared" si="29"/>
        <v>3.35e+17</v>
      </c>
      <c r="BE14" s="275">
        <f t="shared" si="30"/>
        <v>0</v>
      </c>
      <c r="BF14" s="275">
        <f t="shared" si="31"/>
        <v>0</v>
      </c>
      <c r="BG14" s="275">
        <f t="shared" si="32"/>
        <v>0</v>
      </c>
      <c r="BH14" s="275">
        <f t="shared" si="33"/>
        <v>0</v>
      </c>
      <c r="BI14" s="785">
        <f t="shared" si="34"/>
        <v>0</v>
      </c>
      <c r="BJ14" s="323">
        <f t="shared" si="35"/>
        <v>220165612.810934</v>
      </c>
      <c r="BK14" s="323">
        <f t="shared" si="36"/>
        <v>0</v>
      </c>
      <c r="BL14" s="323">
        <f t="shared" si="37"/>
        <v>0</v>
      </c>
      <c r="BM14" s="323">
        <f t="shared" si="38"/>
        <v>0</v>
      </c>
      <c r="BN14" s="323">
        <f t="shared" si="39"/>
        <v>0</v>
      </c>
      <c r="BO14" s="787">
        <f t="shared" si="40"/>
        <v>220165612.810934</v>
      </c>
      <c r="BP14" s="353">
        <f t="shared" si="41"/>
        <v>220165612.810934</v>
      </c>
      <c r="BQ14" s="126" t="str">
        <f t="shared" si="54"/>
        <v>I-132</v>
      </c>
      <c r="BR14" s="789">
        <v>158000000</v>
      </c>
      <c r="BS14" s="365">
        <f t="shared" si="42"/>
        <v>1.39345324563882</v>
      </c>
      <c r="BT14" s="369">
        <f t="shared" si="43"/>
        <v>1.39345324563882</v>
      </c>
      <c r="BU14" s="369">
        <f t="shared" si="44"/>
        <v>1.39345324563882</v>
      </c>
      <c r="BV14" s="106" t="s">
        <v>56</v>
      </c>
      <c r="BW14" s="156">
        <v>158000000</v>
      </c>
      <c r="BX14" s="793" t="s">
        <v>56</v>
      </c>
      <c r="BY14" s="794">
        <v>200000000</v>
      </c>
      <c r="BZ14" s="369">
        <f t="shared" si="55"/>
        <v>0.79</v>
      </c>
    </row>
    <row r="15" s="91" customFormat="1" ht="15.75" spans="1:78">
      <c r="A15" s="675" t="s">
        <v>57</v>
      </c>
      <c r="B15" s="749">
        <v>9.26e-6</v>
      </c>
      <c r="C15" s="183">
        <f>正常源项!C13</f>
        <v>4.55e+17</v>
      </c>
      <c r="D15" s="183"/>
      <c r="E15" s="183">
        <f>正常源项!I13</f>
        <v>119000000</v>
      </c>
      <c r="F15" s="186"/>
      <c r="G15" s="220">
        <f>正常源项!O13</f>
        <v>286000000000</v>
      </c>
      <c r="H15" s="183">
        <f>正常源项!R13</f>
        <v>941343359.047426</v>
      </c>
      <c r="I15" s="182"/>
      <c r="J15" s="182">
        <f t="shared" si="45"/>
        <v>941343359.047426</v>
      </c>
      <c r="K15" s="758">
        <f t="shared" si="46"/>
        <v>555000000</v>
      </c>
      <c r="L15" s="759">
        <f t="shared" si="47"/>
        <v>1.69611416044581</v>
      </c>
      <c r="M15" s="760">
        <f t="shared" si="48"/>
        <v>941343359.047426</v>
      </c>
      <c r="N15" s="760">
        <v>855457105.4</v>
      </c>
      <c r="O15" s="218">
        <f t="shared" si="49"/>
        <v>941343359.047426</v>
      </c>
      <c r="P15" s="692">
        <f t="shared" si="50"/>
        <v>941343359.047426</v>
      </c>
      <c r="Q15" s="768">
        <f t="shared" si="51"/>
        <v>1</v>
      </c>
      <c r="R15" s="353">
        <f t="shared" si="52"/>
        <v>941343359.047426</v>
      </c>
      <c r="S15" s="678">
        <f t="shared" si="0"/>
        <v>0</v>
      </c>
      <c r="T15" s="693">
        <v>1</v>
      </c>
      <c r="U15" s="247">
        <f t="shared" si="1"/>
        <v>941343359.047426</v>
      </c>
      <c r="V15" s="247">
        <f t="shared" si="53"/>
        <v>0</v>
      </c>
      <c r="W15" s="710">
        <f t="shared" si="2"/>
        <v>941343359.047426</v>
      </c>
      <c r="X15" s="711">
        <f t="shared" si="3"/>
        <v>1.15740740740741e-6</v>
      </c>
      <c r="Y15" s="712">
        <f t="shared" si="4"/>
        <v>0</v>
      </c>
      <c r="Z15" s="712">
        <f t="shared" si="5"/>
        <v>0</v>
      </c>
      <c r="AA15" s="712">
        <f t="shared" si="6"/>
        <v>0</v>
      </c>
      <c r="AB15" s="712">
        <f t="shared" si="7"/>
        <v>0</v>
      </c>
      <c r="AC15" s="713">
        <f t="shared" si="8"/>
        <v>0</v>
      </c>
      <c r="AD15" s="218">
        <f t="shared" si="9"/>
        <v>941343359.047426</v>
      </c>
      <c r="AE15" s="215">
        <v>0</v>
      </c>
      <c r="AF15" s="216">
        <f t="shared" si="10"/>
        <v>0</v>
      </c>
      <c r="AG15" s="771">
        <v>0</v>
      </c>
      <c r="AH15" s="772">
        <f t="shared" si="11"/>
        <v>0</v>
      </c>
      <c r="AI15" s="773">
        <f t="shared" si="12"/>
        <v>0</v>
      </c>
      <c r="AJ15" s="210">
        <f t="shared" si="13"/>
        <v>0</v>
      </c>
      <c r="AK15" s="216">
        <f t="shared" si="14"/>
        <v>0</v>
      </c>
      <c r="AL15" s="771">
        <v>0</v>
      </c>
      <c r="AM15" s="774">
        <f t="shared" si="15"/>
        <v>0</v>
      </c>
      <c r="AN15" s="775">
        <f t="shared" si="16"/>
        <v>0</v>
      </c>
      <c r="AO15" s="210">
        <f t="shared" si="17"/>
        <v>0</v>
      </c>
      <c r="AP15" s="216">
        <f t="shared" si="18"/>
        <v>0</v>
      </c>
      <c r="AQ15" s="771">
        <v>0</v>
      </c>
      <c r="AR15" s="778">
        <f t="shared" si="19"/>
        <v>0</v>
      </c>
      <c r="AS15" s="773">
        <f t="shared" si="20"/>
        <v>0</v>
      </c>
      <c r="AT15" s="210">
        <f t="shared" si="21"/>
        <v>0</v>
      </c>
      <c r="AU15" s="216">
        <f t="shared" si="22"/>
        <v>0</v>
      </c>
      <c r="AV15" s="771">
        <v>0</v>
      </c>
      <c r="AW15" s="778">
        <f t="shared" si="23"/>
        <v>0</v>
      </c>
      <c r="AX15" s="773">
        <f t="shared" si="24"/>
        <v>0</v>
      </c>
      <c r="AY15" s="210">
        <f t="shared" si="25"/>
        <v>0</v>
      </c>
      <c r="AZ15" s="216">
        <f t="shared" si="26"/>
        <v>0</v>
      </c>
      <c r="BA15" s="771">
        <v>0</v>
      </c>
      <c r="BB15" s="778">
        <f t="shared" si="27"/>
        <v>0</v>
      </c>
      <c r="BC15" s="783">
        <f t="shared" si="28"/>
        <v>0</v>
      </c>
      <c r="BD15" s="275">
        <f t="shared" si="29"/>
        <v>4.55e+17</v>
      </c>
      <c r="BE15" s="275">
        <f t="shared" si="30"/>
        <v>0</v>
      </c>
      <c r="BF15" s="275">
        <f t="shared" si="31"/>
        <v>0</v>
      </c>
      <c r="BG15" s="275">
        <f t="shared" si="32"/>
        <v>0</v>
      </c>
      <c r="BH15" s="275">
        <f t="shared" si="33"/>
        <v>0</v>
      </c>
      <c r="BI15" s="785">
        <f t="shared" si="34"/>
        <v>0</v>
      </c>
      <c r="BJ15" s="323">
        <f t="shared" si="35"/>
        <v>941343359.047426</v>
      </c>
      <c r="BK15" s="323">
        <f t="shared" si="36"/>
        <v>0</v>
      </c>
      <c r="BL15" s="323">
        <f t="shared" si="37"/>
        <v>0</v>
      </c>
      <c r="BM15" s="323">
        <f t="shared" si="38"/>
        <v>0</v>
      </c>
      <c r="BN15" s="323">
        <f t="shared" si="39"/>
        <v>0</v>
      </c>
      <c r="BO15" s="787">
        <f t="shared" si="40"/>
        <v>941343359.047426</v>
      </c>
      <c r="BP15" s="353">
        <f t="shared" si="41"/>
        <v>941343359.047426</v>
      </c>
      <c r="BQ15" s="126" t="str">
        <f t="shared" si="54"/>
        <v>I-133</v>
      </c>
      <c r="BR15" s="789">
        <v>555000000</v>
      </c>
      <c r="BS15" s="365">
        <f t="shared" si="42"/>
        <v>1.69611416044581</v>
      </c>
      <c r="BT15" s="369">
        <f t="shared" si="43"/>
        <v>1.69611416044581</v>
      </c>
      <c r="BU15" s="369">
        <f t="shared" si="44"/>
        <v>1.69611416044581</v>
      </c>
      <c r="BV15" s="106" t="s">
        <v>57</v>
      </c>
      <c r="BW15" s="156">
        <v>555000000</v>
      </c>
      <c r="BX15" s="793" t="s">
        <v>57</v>
      </c>
      <c r="BY15" s="794">
        <v>720000000</v>
      </c>
      <c r="BZ15" s="369">
        <f t="shared" si="55"/>
        <v>0.770833333333333</v>
      </c>
    </row>
    <row r="16" s="91" customFormat="1" ht="15.75" spans="1:78">
      <c r="A16" s="675" t="s">
        <v>58</v>
      </c>
      <c r="B16" s="749">
        <v>0.00022</v>
      </c>
      <c r="C16" s="183">
        <f>正常源项!C14</f>
        <v>5.26e+17</v>
      </c>
      <c r="D16" s="183"/>
      <c r="E16" s="183">
        <f>正常源项!I14</f>
        <v>653000000</v>
      </c>
      <c r="F16" s="186"/>
      <c r="G16" s="220">
        <f>正常源项!O14</f>
        <v>66500000000</v>
      </c>
      <c r="H16" s="183">
        <f>正常源项!R14</f>
        <v>214415514.271903</v>
      </c>
      <c r="I16" s="182"/>
      <c r="J16" s="182">
        <f t="shared" si="45"/>
        <v>214415514.271903</v>
      </c>
      <c r="K16" s="758">
        <f t="shared" si="46"/>
        <v>120000000</v>
      </c>
      <c r="L16" s="759">
        <f t="shared" si="47"/>
        <v>1.78679595226586</v>
      </c>
      <c r="M16" s="760">
        <f t="shared" si="48"/>
        <v>214415514.271903</v>
      </c>
      <c r="N16" s="760">
        <v>188713286.7</v>
      </c>
      <c r="O16" s="218">
        <f t="shared" si="49"/>
        <v>214415514.271903</v>
      </c>
      <c r="P16" s="692">
        <f t="shared" si="50"/>
        <v>214415514.271903</v>
      </c>
      <c r="Q16" s="768">
        <f t="shared" si="51"/>
        <v>1</v>
      </c>
      <c r="R16" s="353">
        <f t="shared" si="52"/>
        <v>214415514.271903</v>
      </c>
      <c r="S16" s="678">
        <f t="shared" si="0"/>
        <v>0</v>
      </c>
      <c r="T16" s="693">
        <v>1</v>
      </c>
      <c r="U16" s="247">
        <f t="shared" si="1"/>
        <v>214415514.271903</v>
      </c>
      <c r="V16" s="247">
        <f t="shared" si="53"/>
        <v>0</v>
      </c>
      <c r="W16" s="710">
        <f t="shared" si="2"/>
        <v>214415514.271903</v>
      </c>
      <c r="X16" s="711">
        <f t="shared" si="3"/>
        <v>1.15740740740741e-6</v>
      </c>
      <c r="Y16" s="712">
        <f t="shared" si="4"/>
        <v>0</v>
      </c>
      <c r="Z16" s="712">
        <f t="shared" si="5"/>
        <v>0</v>
      </c>
      <c r="AA16" s="712">
        <f t="shared" si="6"/>
        <v>0</v>
      </c>
      <c r="AB16" s="712">
        <f t="shared" si="7"/>
        <v>0</v>
      </c>
      <c r="AC16" s="713">
        <f t="shared" si="8"/>
        <v>0</v>
      </c>
      <c r="AD16" s="218">
        <f t="shared" si="9"/>
        <v>214415514.271903</v>
      </c>
      <c r="AE16" s="215">
        <v>0</v>
      </c>
      <c r="AF16" s="216">
        <f t="shared" si="10"/>
        <v>0</v>
      </c>
      <c r="AG16" s="771">
        <v>0</v>
      </c>
      <c r="AH16" s="772">
        <f t="shared" si="11"/>
        <v>0</v>
      </c>
      <c r="AI16" s="773">
        <f t="shared" si="12"/>
        <v>0</v>
      </c>
      <c r="AJ16" s="210">
        <f t="shared" si="13"/>
        <v>0</v>
      </c>
      <c r="AK16" s="216">
        <f t="shared" si="14"/>
        <v>0</v>
      </c>
      <c r="AL16" s="771">
        <v>0</v>
      </c>
      <c r="AM16" s="774">
        <f t="shared" si="15"/>
        <v>0</v>
      </c>
      <c r="AN16" s="775">
        <f t="shared" si="16"/>
        <v>0</v>
      </c>
      <c r="AO16" s="210">
        <f t="shared" si="17"/>
        <v>0</v>
      </c>
      <c r="AP16" s="216">
        <f t="shared" si="18"/>
        <v>0</v>
      </c>
      <c r="AQ16" s="771">
        <v>0</v>
      </c>
      <c r="AR16" s="778">
        <f t="shared" si="19"/>
        <v>0</v>
      </c>
      <c r="AS16" s="773">
        <f t="shared" si="20"/>
        <v>0</v>
      </c>
      <c r="AT16" s="210">
        <f t="shared" si="21"/>
        <v>0</v>
      </c>
      <c r="AU16" s="216">
        <f t="shared" si="22"/>
        <v>0</v>
      </c>
      <c r="AV16" s="771">
        <v>0</v>
      </c>
      <c r="AW16" s="778">
        <f t="shared" si="23"/>
        <v>0</v>
      </c>
      <c r="AX16" s="773">
        <f t="shared" si="24"/>
        <v>0</v>
      </c>
      <c r="AY16" s="210">
        <f t="shared" si="25"/>
        <v>0</v>
      </c>
      <c r="AZ16" s="216">
        <f t="shared" si="26"/>
        <v>0</v>
      </c>
      <c r="BA16" s="771">
        <v>0</v>
      </c>
      <c r="BB16" s="778">
        <f t="shared" si="27"/>
        <v>0</v>
      </c>
      <c r="BC16" s="783">
        <f t="shared" si="28"/>
        <v>0</v>
      </c>
      <c r="BD16" s="275">
        <f t="shared" si="29"/>
        <v>5.26e+17</v>
      </c>
      <c r="BE16" s="275">
        <f t="shared" si="30"/>
        <v>0</v>
      </c>
      <c r="BF16" s="275">
        <f t="shared" si="31"/>
        <v>0</v>
      </c>
      <c r="BG16" s="275">
        <f t="shared" si="32"/>
        <v>0</v>
      </c>
      <c r="BH16" s="275">
        <f t="shared" si="33"/>
        <v>0</v>
      </c>
      <c r="BI16" s="785">
        <f t="shared" si="34"/>
        <v>0</v>
      </c>
      <c r="BJ16" s="323">
        <f t="shared" si="35"/>
        <v>214415514.271903</v>
      </c>
      <c r="BK16" s="323">
        <f t="shared" si="36"/>
        <v>0</v>
      </c>
      <c r="BL16" s="323">
        <f t="shared" si="37"/>
        <v>0</v>
      </c>
      <c r="BM16" s="323">
        <f t="shared" si="38"/>
        <v>0</v>
      </c>
      <c r="BN16" s="323">
        <f t="shared" si="39"/>
        <v>0</v>
      </c>
      <c r="BO16" s="787">
        <f t="shared" si="40"/>
        <v>214415514.271903</v>
      </c>
      <c r="BP16" s="353">
        <f t="shared" si="41"/>
        <v>214415514.271903</v>
      </c>
      <c r="BQ16" s="126" t="str">
        <f t="shared" si="54"/>
        <v>I-134</v>
      </c>
      <c r="BR16" s="789">
        <v>120000000</v>
      </c>
      <c r="BS16" s="365">
        <f t="shared" si="42"/>
        <v>1.78679595226586</v>
      </c>
      <c r="BT16" s="369">
        <f t="shared" si="43"/>
        <v>1.78679595226586</v>
      </c>
      <c r="BU16" s="369">
        <f t="shared" si="44"/>
        <v>1.78679595226586</v>
      </c>
      <c r="BV16" s="106" t="s">
        <v>58</v>
      </c>
      <c r="BW16" s="156">
        <v>120000000</v>
      </c>
      <c r="BX16" s="793" t="s">
        <v>58</v>
      </c>
      <c r="BY16" s="794">
        <v>160000000</v>
      </c>
      <c r="BZ16" s="369">
        <f t="shared" si="55"/>
        <v>0.75</v>
      </c>
    </row>
    <row r="17" s="91" customFormat="1" ht="15.75" spans="1:78">
      <c r="A17" s="675" t="s">
        <v>59</v>
      </c>
      <c r="B17" s="749">
        <v>2.87e-5</v>
      </c>
      <c r="C17" s="183">
        <f>正常源项!C15</f>
        <v>3.77e+17</v>
      </c>
      <c r="D17" s="183"/>
      <c r="E17" s="183">
        <f>正常源项!I15</f>
        <v>173000000</v>
      </c>
      <c r="F17" s="186"/>
      <c r="G17" s="220">
        <f>正常源项!O15</f>
        <v>134000000000</v>
      </c>
      <c r="H17" s="183">
        <f>正常源项!R15</f>
        <v>441559173.518677</v>
      </c>
      <c r="I17" s="182"/>
      <c r="J17" s="182">
        <f t="shared" si="45"/>
        <v>441559173.518677</v>
      </c>
      <c r="K17" s="758">
        <f t="shared" si="46"/>
        <v>271000000</v>
      </c>
      <c r="L17" s="759">
        <f t="shared" si="47"/>
        <v>1.62936964398036</v>
      </c>
      <c r="M17" s="760">
        <f t="shared" si="48"/>
        <v>441559173.518677</v>
      </c>
      <c r="N17" s="760">
        <v>406595815.3</v>
      </c>
      <c r="O17" s="218">
        <f t="shared" si="49"/>
        <v>441559173.518677</v>
      </c>
      <c r="P17" s="692">
        <f t="shared" si="50"/>
        <v>441559173.518677</v>
      </c>
      <c r="Q17" s="768">
        <f t="shared" si="51"/>
        <v>1</v>
      </c>
      <c r="R17" s="353">
        <f t="shared" si="52"/>
        <v>441559173.518677</v>
      </c>
      <c r="S17" s="678">
        <f t="shared" si="0"/>
        <v>0</v>
      </c>
      <c r="T17" s="693">
        <v>1</v>
      </c>
      <c r="U17" s="247">
        <f t="shared" si="1"/>
        <v>441559173.518677</v>
      </c>
      <c r="V17" s="247">
        <f t="shared" si="53"/>
        <v>0</v>
      </c>
      <c r="W17" s="710">
        <f t="shared" si="2"/>
        <v>441559173.518677</v>
      </c>
      <c r="X17" s="711">
        <f t="shared" si="3"/>
        <v>1.15740740740741e-6</v>
      </c>
      <c r="Y17" s="712">
        <f t="shared" si="4"/>
        <v>0</v>
      </c>
      <c r="Z17" s="712">
        <f t="shared" si="5"/>
        <v>0</v>
      </c>
      <c r="AA17" s="712">
        <f t="shared" si="6"/>
        <v>0</v>
      </c>
      <c r="AB17" s="712">
        <f t="shared" si="7"/>
        <v>0</v>
      </c>
      <c r="AC17" s="713">
        <f t="shared" si="8"/>
        <v>0</v>
      </c>
      <c r="AD17" s="218">
        <f t="shared" si="9"/>
        <v>441559173.518677</v>
      </c>
      <c r="AE17" s="215">
        <v>0</v>
      </c>
      <c r="AF17" s="216">
        <f t="shared" si="10"/>
        <v>0</v>
      </c>
      <c r="AG17" s="771">
        <v>0</v>
      </c>
      <c r="AH17" s="772">
        <f t="shared" si="11"/>
        <v>0</v>
      </c>
      <c r="AI17" s="773">
        <f t="shared" si="12"/>
        <v>0</v>
      </c>
      <c r="AJ17" s="210">
        <f t="shared" si="13"/>
        <v>0</v>
      </c>
      <c r="AK17" s="216">
        <f t="shared" si="14"/>
        <v>0</v>
      </c>
      <c r="AL17" s="771">
        <v>0</v>
      </c>
      <c r="AM17" s="774">
        <f t="shared" si="15"/>
        <v>0</v>
      </c>
      <c r="AN17" s="775">
        <f t="shared" si="16"/>
        <v>0</v>
      </c>
      <c r="AO17" s="210">
        <f t="shared" si="17"/>
        <v>0</v>
      </c>
      <c r="AP17" s="216">
        <f t="shared" si="18"/>
        <v>0</v>
      </c>
      <c r="AQ17" s="771">
        <v>0</v>
      </c>
      <c r="AR17" s="778">
        <f t="shared" si="19"/>
        <v>0</v>
      </c>
      <c r="AS17" s="773">
        <f t="shared" si="20"/>
        <v>0</v>
      </c>
      <c r="AT17" s="210">
        <f t="shared" si="21"/>
        <v>0</v>
      </c>
      <c r="AU17" s="216">
        <f t="shared" si="22"/>
        <v>0</v>
      </c>
      <c r="AV17" s="771">
        <v>0</v>
      </c>
      <c r="AW17" s="778">
        <f t="shared" si="23"/>
        <v>0</v>
      </c>
      <c r="AX17" s="773">
        <f t="shared" si="24"/>
        <v>0</v>
      </c>
      <c r="AY17" s="210">
        <f t="shared" si="25"/>
        <v>0</v>
      </c>
      <c r="AZ17" s="216">
        <f t="shared" si="26"/>
        <v>0</v>
      </c>
      <c r="BA17" s="771">
        <v>0</v>
      </c>
      <c r="BB17" s="778">
        <f t="shared" si="27"/>
        <v>0</v>
      </c>
      <c r="BC17" s="783">
        <f t="shared" si="28"/>
        <v>0</v>
      </c>
      <c r="BD17" s="275">
        <f t="shared" si="29"/>
        <v>3.77e+17</v>
      </c>
      <c r="BE17" s="275">
        <f t="shared" si="30"/>
        <v>0</v>
      </c>
      <c r="BF17" s="275">
        <f t="shared" si="31"/>
        <v>0</v>
      </c>
      <c r="BG17" s="275">
        <f t="shared" si="32"/>
        <v>0</v>
      </c>
      <c r="BH17" s="275">
        <f t="shared" si="33"/>
        <v>0</v>
      </c>
      <c r="BI17" s="785">
        <f t="shared" si="34"/>
        <v>0</v>
      </c>
      <c r="BJ17" s="323">
        <f t="shared" si="35"/>
        <v>441559173.518677</v>
      </c>
      <c r="BK17" s="323">
        <f t="shared" si="36"/>
        <v>0</v>
      </c>
      <c r="BL17" s="323">
        <f t="shared" si="37"/>
        <v>0</v>
      </c>
      <c r="BM17" s="323">
        <f t="shared" si="38"/>
        <v>0</v>
      </c>
      <c r="BN17" s="323">
        <f t="shared" si="39"/>
        <v>0</v>
      </c>
      <c r="BO17" s="787">
        <f t="shared" si="40"/>
        <v>441559173.518677</v>
      </c>
      <c r="BP17" s="353">
        <f t="shared" si="41"/>
        <v>441559173.518677</v>
      </c>
      <c r="BQ17" s="126" t="str">
        <f t="shared" si="54"/>
        <v>I-135</v>
      </c>
      <c r="BR17" s="789">
        <v>271000000</v>
      </c>
      <c r="BS17" s="365">
        <f t="shared" si="42"/>
        <v>1.62936964398036</v>
      </c>
      <c r="BT17" s="369">
        <f t="shared" si="43"/>
        <v>1.62936964398036</v>
      </c>
      <c r="BU17" s="369">
        <f t="shared" si="44"/>
        <v>1.62936964398036</v>
      </c>
      <c r="BV17" s="106" t="s">
        <v>59</v>
      </c>
      <c r="BW17" s="156">
        <v>271000000</v>
      </c>
      <c r="BX17" s="793" t="s">
        <v>59</v>
      </c>
      <c r="BY17" s="794">
        <v>340000000</v>
      </c>
      <c r="BZ17" s="369">
        <f t="shared" si="55"/>
        <v>0.797058823529412</v>
      </c>
    </row>
    <row r="18" s="165" customFormat="1" ht="15.75" spans="1:78">
      <c r="A18" s="675" t="s">
        <v>60</v>
      </c>
      <c r="B18" s="749">
        <v>1.59e-7</v>
      </c>
      <c r="C18" s="183">
        <f>正常源项!C16</f>
        <v>2.39e+17</v>
      </c>
      <c r="D18" s="183"/>
      <c r="E18" s="183">
        <f>正常源项!I16</f>
        <v>2860</v>
      </c>
      <c r="F18" s="186"/>
      <c r="G18" s="220">
        <f>正常源项!O16</f>
        <v>5990000000</v>
      </c>
      <c r="H18" s="183">
        <f>正常源项!R16</f>
        <v>930899.200390589</v>
      </c>
      <c r="I18" s="182"/>
      <c r="J18" s="182">
        <f t="shared" si="45"/>
        <v>930899.200390589</v>
      </c>
      <c r="K18" s="758">
        <f t="shared" si="46"/>
        <v>2270000</v>
      </c>
      <c r="L18" s="759">
        <f t="shared" si="47"/>
        <v>0.41008775347603</v>
      </c>
      <c r="M18" s="760">
        <f t="shared" si="48"/>
        <v>2270000</v>
      </c>
      <c r="N18" s="760">
        <v>2272948.747</v>
      </c>
      <c r="O18" s="218">
        <f t="shared" si="49"/>
        <v>2270000</v>
      </c>
      <c r="P18" s="692">
        <f t="shared" si="50"/>
        <v>2270000</v>
      </c>
      <c r="Q18" s="768">
        <f t="shared" si="51"/>
        <v>1</v>
      </c>
      <c r="R18" s="353">
        <f t="shared" si="52"/>
        <v>2270000</v>
      </c>
      <c r="S18" s="678">
        <f t="shared" si="0"/>
        <v>0</v>
      </c>
      <c r="T18" s="693">
        <v>1</v>
      </c>
      <c r="U18" s="247">
        <f t="shared" ref="U18:U30" si="56">R18*T18</f>
        <v>2270000</v>
      </c>
      <c r="V18" s="247">
        <f t="shared" si="53"/>
        <v>0</v>
      </c>
      <c r="W18" s="710">
        <f t="shared" si="2"/>
        <v>2270000</v>
      </c>
      <c r="X18" s="711">
        <f t="shared" si="3"/>
        <v>1.15740740740741e-6</v>
      </c>
      <c r="Y18" s="712">
        <f t="shared" si="4"/>
        <v>0</v>
      </c>
      <c r="Z18" s="712">
        <f t="shared" si="5"/>
        <v>0</v>
      </c>
      <c r="AA18" s="712">
        <f t="shared" si="6"/>
        <v>0</v>
      </c>
      <c r="AB18" s="712">
        <f t="shared" si="7"/>
        <v>0</v>
      </c>
      <c r="AC18" s="713">
        <f t="shared" si="8"/>
        <v>0</v>
      </c>
      <c r="AD18" s="218">
        <f t="shared" si="9"/>
        <v>2270000</v>
      </c>
      <c r="AE18" s="215">
        <v>0</v>
      </c>
      <c r="AF18" s="216">
        <f t="shared" si="10"/>
        <v>0</v>
      </c>
      <c r="AG18" s="771">
        <v>0</v>
      </c>
      <c r="AH18" s="772">
        <f t="shared" si="11"/>
        <v>0</v>
      </c>
      <c r="AI18" s="773">
        <f t="shared" si="12"/>
        <v>0</v>
      </c>
      <c r="AJ18" s="210">
        <f t="shared" si="13"/>
        <v>0</v>
      </c>
      <c r="AK18" s="216">
        <f t="shared" si="14"/>
        <v>0</v>
      </c>
      <c r="AL18" s="771">
        <v>0</v>
      </c>
      <c r="AM18" s="774">
        <f t="shared" si="15"/>
        <v>0</v>
      </c>
      <c r="AN18" s="775">
        <f t="shared" si="16"/>
        <v>0</v>
      </c>
      <c r="AO18" s="210">
        <f t="shared" si="17"/>
        <v>0</v>
      </c>
      <c r="AP18" s="216">
        <f t="shared" si="18"/>
        <v>0</v>
      </c>
      <c r="AQ18" s="771">
        <v>0</v>
      </c>
      <c r="AR18" s="778">
        <f t="shared" si="19"/>
        <v>0</v>
      </c>
      <c r="AS18" s="773">
        <f t="shared" si="20"/>
        <v>0</v>
      </c>
      <c r="AT18" s="210">
        <f t="shared" si="21"/>
        <v>0</v>
      </c>
      <c r="AU18" s="216">
        <f t="shared" si="22"/>
        <v>0</v>
      </c>
      <c r="AV18" s="771">
        <v>0</v>
      </c>
      <c r="AW18" s="778">
        <f t="shared" si="23"/>
        <v>0</v>
      </c>
      <c r="AX18" s="773">
        <f t="shared" si="24"/>
        <v>0</v>
      </c>
      <c r="AY18" s="210">
        <f t="shared" si="25"/>
        <v>0</v>
      </c>
      <c r="AZ18" s="216">
        <f t="shared" si="26"/>
        <v>0</v>
      </c>
      <c r="BA18" s="771">
        <v>0</v>
      </c>
      <c r="BB18" s="778">
        <f t="shared" si="27"/>
        <v>0</v>
      </c>
      <c r="BC18" s="783">
        <f t="shared" si="28"/>
        <v>0</v>
      </c>
      <c r="BD18" s="275">
        <f t="shared" si="29"/>
        <v>2.39e+17</v>
      </c>
      <c r="BE18" s="275">
        <f t="shared" si="30"/>
        <v>0</v>
      </c>
      <c r="BF18" s="275">
        <f t="shared" si="31"/>
        <v>0</v>
      </c>
      <c r="BG18" s="275">
        <f t="shared" si="32"/>
        <v>0</v>
      </c>
      <c r="BH18" s="275">
        <f t="shared" si="33"/>
        <v>0</v>
      </c>
      <c r="BI18" s="785">
        <f t="shared" si="34"/>
        <v>0</v>
      </c>
      <c r="BJ18" s="323">
        <f t="shared" si="35"/>
        <v>2270000</v>
      </c>
      <c r="BK18" s="323">
        <f t="shared" si="36"/>
        <v>0</v>
      </c>
      <c r="BL18" s="323">
        <f t="shared" si="37"/>
        <v>0</v>
      </c>
      <c r="BM18" s="323">
        <f t="shared" si="38"/>
        <v>0</v>
      </c>
      <c r="BN18" s="323">
        <f t="shared" si="39"/>
        <v>0</v>
      </c>
      <c r="BO18" s="787">
        <f t="shared" si="40"/>
        <v>2270000</v>
      </c>
      <c r="BP18" s="353">
        <f t="shared" si="41"/>
        <v>2270000</v>
      </c>
      <c r="BQ18" s="126" t="str">
        <f t="shared" si="54"/>
        <v>Sr-89</v>
      </c>
      <c r="BR18" s="789">
        <v>2270000</v>
      </c>
      <c r="BS18" s="365">
        <f t="shared" si="42"/>
        <v>1</v>
      </c>
      <c r="BT18" s="369">
        <f t="shared" si="43"/>
        <v>1</v>
      </c>
      <c r="BU18" s="369">
        <f t="shared" si="44"/>
        <v>1</v>
      </c>
      <c r="BV18" s="796" t="s">
        <v>60</v>
      </c>
      <c r="BW18" s="797">
        <v>2270000</v>
      </c>
      <c r="BX18" s="793" t="s">
        <v>60</v>
      </c>
      <c r="BY18" s="794">
        <v>43000</v>
      </c>
      <c r="BZ18" s="369">
        <f t="shared" si="55"/>
        <v>52.7906976744186</v>
      </c>
    </row>
    <row r="19" s="165" customFormat="1" ht="15.75" spans="1:78">
      <c r="A19" s="675" t="s">
        <v>61</v>
      </c>
      <c r="B19" s="749">
        <v>7.71e-10</v>
      </c>
      <c r="C19" s="183">
        <f>正常源项!C17</f>
        <v>1.12e+16</v>
      </c>
      <c r="D19" s="183"/>
      <c r="E19" s="183">
        <f>正常源项!I17</f>
        <v>39.4</v>
      </c>
      <c r="F19" s="186"/>
      <c r="G19" s="220">
        <f>正常源项!O17</f>
        <v>1790000000</v>
      </c>
      <c r="H19" s="183">
        <f>正常源项!R17</f>
        <v>311901.378479791</v>
      </c>
      <c r="I19" s="182"/>
      <c r="J19" s="182">
        <f t="shared" si="45"/>
        <v>311901.378479791</v>
      </c>
      <c r="K19" s="758">
        <f t="shared" si="46"/>
        <v>1180000</v>
      </c>
      <c r="L19" s="759">
        <f t="shared" si="47"/>
        <v>0.264323202101518</v>
      </c>
      <c r="M19" s="760">
        <f t="shared" si="48"/>
        <v>1180000</v>
      </c>
      <c r="N19" s="760">
        <v>660418.5724</v>
      </c>
      <c r="O19" s="218">
        <f t="shared" si="49"/>
        <v>1180000</v>
      </c>
      <c r="P19" s="692">
        <f t="shared" si="50"/>
        <v>1180000</v>
      </c>
      <c r="Q19" s="768">
        <f t="shared" si="51"/>
        <v>1</v>
      </c>
      <c r="R19" s="353">
        <f t="shared" si="52"/>
        <v>1180000</v>
      </c>
      <c r="S19" s="678">
        <f t="shared" si="0"/>
        <v>0</v>
      </c>
      <c r="T19" s="693">
        <v>1</v>
      </c>
      <c r="U19" s="247">
        <f t="shared" si="56"/>
        <v>1180000</v>
      </c>
      <c r="V19" s="247">
        <f t="shared" si="53"/>
        <v>0</v>
      </c>
      <c r="W19" s="710">
        <f t="shared" si="2"/>
        <v>1180000</v>
      </c>
      <c r="X19" s="711">
        <f t="shared" si="3"/>
        <v>1.15740740740741e-6</v>
      </c>
      <c r="Y19" s="712">
        <f t="shared" si="4"/>
        <v>0</v>
      </c>
      <c r="Z19" s="712">
        <f t="shared" si="5"/>
        <v>0</v>
      </c>
      <c r="AA19" s="712">
        <f t="shared" si="6"/>
        <v>0</v>
      </c>
      <c r="AB19" s="712">
        <f t="shared" si="7"/>
        <v>0</v>
      </c>
      <c r="AC19" s="713">
        <f t="shared" si="8"/>
        <v>0</v>
      </c>
      <c r="AD19" s="218">
        <f t="shared" si="9"/>
        <v>1180000</v>
      </c>
      <c r="AE19" s="215">
        <v>0</v>
      </c>
      <c r="AF19" s="216">
        <f t="shared" si="10"/>
        <v>0</v>
      </c>
      <c r="AG19" s="771">
        <v>0</v>
      </c>
      <c r="AH19" s="772">
        <f t="shared" si="11"/>
        <v>0</v>
      </c>
      <c r="AI19" s="773">
        <f t="shared" si="12"/>
        <v>0</v>
      </c>
      <c r="AJ19" s="210">
        <f t="shared" si="13"/>
        <v>0</v>
      </c>
      <c r="AK19" s="216">
        <f t="shared" si="14"/>
        <v>0</v>
      </c>
      <c r="AL19" s="771">
        <v>0</v>
      </c>
      <c r="AM19" s="774">
        <f t="shared" si="15"/>
        <v>0</v>
      </c>
      <c r="AN19" s="775">
        <f t="shared" si="16"/>
        <v>0</v>
      </c>
      <c r="AO19" s="210">
        <f t="shared" si="17"/>
        <v>0</v>
      </c>
      <c r="AP19" s="216">
        <f t="shared" si="18"/>
        <v>0</v>
      </c>
      <c r="AQ19" s="771">
        <v>0</v>
      </c>
      <c r="AR19" s="778">
        <f t="shared" si="19"/>
        <v>0</v>
      </c>
      <c r="AS19" s="773">
        <f t="shared" si="20"/>
        <v>0</v>
      </c>
      <c r="AT19" s="210">
        <f t="shared" si="21"/>
        <v>0</v>
      </c>
      <c r="AU19" s="216">
        <f t="shared" si="22"/>
        <v>0</v>
      </c>
      <c r="AV19" s="771">
        <v>0</v>
      </c>
      <c r="AW19" s="778">
        <f t="shared" si="23"/>
        <v>0</v>
      </c>
      <c r="AX19" s="773">
        <f t="shared" si="24"/>
        <v>0</v>
      </c>
      <c r="AY19" s="210">
        <f t="shared" si="25"/>
        <v>0</v>
      </c>
      <c r="AZ19" s="216">
        <f t="shared" si="26"/>
        <v>0</v>
      </c>
      <c r="BA19" s="771">
        <v>0</v>
      </c>
      <c r="BB19" s="778">
        <f t="shared" si="27"/>
        <v>0</v>
      </c>
      <c r="BC19" s="783">
        <f t="shared" si="28"/>
        <v>0</v>
      </c>
      <c r="BD19" s="275">
        <f t="shared" si="29"/>
        <v>1.12e+16</v>
      </c>
      <c r="BE19" s="275">
        <f t="shared" si="30"/>
        <v>0</v>
      </c>
      <c r="BF19" s="275">
        <f t="shared" si="31"/>
        <v>0</v>
      </c>
      <c r="BG19" s="275">
        <f t="shared" si="32"/>
        <v>0</v>
      </c>
      <c r="BH19" s="275">
        <f t="shared" si="33"/>
        <v>0</v>
      </c>
      <c r="BI19" s="785">
        <f t="shared" si="34"/>
        <v>0</v>
      </c>
      <c r="BJ19" s="323">
        <f t="shared" si="35"/>
        <v>1180000</v>
      </c>
      <c r="BK19" s="323">
        <f t="shared" si="36"/>
        <v>0</v>
      </c>
      <c r="BL19" s="323">
        <f t="shared" si="37"/>
        <v>0</v>
      </c>
      <c r="BM19" s="323">
        <f t="shared" si="38"/>
        <v>0</v>
      </c>
      <c r="BN19" s="323">
        <f t="shared" si="39"/>
        <v>0</v>
      </c>
      <c r="BO19" s="787">
        <f t="shared" si="40"/>
        <v>1180000</v>
      </c>
      <c r="BP19" s="353">
        <f t="shared" si="41"/>
        <v>1180000</v>
      </c>
      <c r="BQ19" s="126" t="str">
        <f t="shared" si="54"/>
        <v>Sr-90</v>
      </c>
      <c r="BR19" s="789">
        <v>1180000</v>
      </c>
      <c r="BS19" s="365">
        <f t="shared" si="42"/>
        <v>1</v>
      </c>
      <c r="BT19" s="369">
        <f t="shared" si="43"/>
        <v>1</v>
      </c>
      <c r="BU19" s="369">
        <f t="shared" si="44"/>
        <v>1</v>
      </c>
      <c r="BV19" s="796" t="s">
        <v>61</v>
      </c>
      <c r="BW19" s="797">
        <v>1180000</v>
      </c>
      <c r="BX19" s="793" t="s">
        <v>61</v>
      </c>
      <c r="BY19" s="794">
        <v>12000</v>
      </c>
      <c r="BZ19" s="369">
        <f t="shared" si="55"/>
        <v>98.3333333333333</v>
      </c>
    </row>
    <row r="20" s="165" customFormat="1" ht="15.75" spans="1:78">
      <c r="A20" s="675" t="s">
        <v>62</v>
      </c>
      <c r="B20" s="749">
        <v>1.07e-8</v>
      </c>
      <c r="C20" s="183">
        <f>正常源项!C18</f>
        <v>1.46e+16</v>
      </c>
      <c r="D20" s="183"/>
      <c r="E20" s="183">
        <f>正常源项!I18</f>
        <v>385000</v>
      </c>
      <c r="F20" s="186"/>
      <c r="G20" s="220">
        <f>正常源项!O18</f>
        <v>806000000000</v>
      </c>
      <c r="H20" s="183">
        <f>正常源项!R18</f>
        <v>87961200.8019982</v>
      </c>
      <c r="I20" s="182"/>
      <c r="J20" s="182">
        <f t="shared" si="45"/>
        <v>87961200.8019982</v>
      </c>
      <c r="K20" s="758">
        <f t="shared" si="46"/>
        <v>196000000</v>
      </c>
      <c r="L20" s="759">
        <f t="shared" si="47"/>
        <v>0.448781636744889</v>
      </c>
      <c r="M20" s="760">
        <f t="shared" si="48"/>
        <v>196000000</v>
      </c>
      <c r="N20" s="760">
        <v>189747291.2</v>
      </c>
      <c r="O20" s="218">
        <f t="shared" si="49"/>
        <v>196000000</v>
      </c>
      <c r="P20" s="692">
        <f t="shared" si="50"/>
        <v>196000000</v>
      </c>
      <c r="Q20" s="768">
        <f t="shared" si="51"/>
        <v>1</v>
      </c>
      <c r="R20" s="353">
        <f t="shared" si="52"/>
        <v>196000000</v>
      </c>
      <c r="S20" s="678">
        <f t="shared" si="0"/>
        <v>0</v>
      </c>
      <c r="T20" s="693">
        <v>1</v>
      </c>
      <c r="U20" s="247">
        <f t="shared" si="56"/>
        <v>196000000</v>
      </c>
      <c r="V20" s="247">
        <f t="shared" si="53"/>
        <v>0</v>
      </c>
      <c r="W20" s="710">
        <f t="shared" si="2"/>
        <v>196000000</v>
      </c>
      <c r="X20" s="711">
        <f t="shared" si="3"/>
        <v>1.15740740740741e-6</v>
      </c>
      <c r="Y20" s="712">
        <f t="shared" si="4"/>
        <v>0</v>
      </c>
      <c r="Z20" s="712">
        <f t="shared" si="5"/>
        <v>0</v>
      </c>
      <c r="AA20" s="712">
        <f t="shared" si="6"/>
        <v>0</v>
      </c>
      <c r="AB20" s="712">
        <f t="shared" si="7"/>
        <v>0</v>
      </c>
      <c r="AC20" s="713">
        <f t="shared" si="8"/>
        <v>0</v>
      </c>
      <c r="AD20" s="218">
        <f t="shared" si="9"/>
        <v>196000000</v>
      </c>
      <c r="AE20" s="215">
        <v>0</v>
      </c>
      <c r="AF20" s="216">
        <f t="shared" si="10"/>
        <v>0</v>
      </c>
      <c r="AG20" s="771">
        <v>0</v>
      </c>
      <c r="AH20" s="772">
        <f t="shared" si="11"/>
        <v>0</v>
      </c>
      <c r="AI20" s="773">
        <f t="shared" si="12"/>
        <v>0</v>
      </c>
      <c r="AJ20" s="210">
        <f t="shared" si="13"/>
        <v>0</v>
      </c>
      <c r="AK20" s="216">
        <f t="shared" si="14"/>
        <v>0</v>
      </c>
      <c r="AL20" s="771">
        <v>0</v>
      </c>
      <c r="AM20" s="774">
        <f t="shared" si="15"/>
        <v>0</v>
      </c>
      <c r="AN20" s="775">
        <f t="shared" si="16"/>
        <v>0</v>
      </c>
      <c r="AO20" s="210">
        <f t="shared" si="17"/>
        <v>0</v>
      </c>
      <c r="AP20" s="216">
        <f t="shared" si="18"/>
        <v>0</v>
      </c>
      <c r="AQ20" s="771">
        <v>0</v>
      </c>
      <c r="AR20" s="778">
        <f t="shared" si="19"/>
        <v>0</v>
      </c>
      <c r="AS20" s="773">
        <f t="shared" si="20"/>
        <v>0</v>
      </c>
      <c r="AT20" s="210">
        <f t="shared" si="21"/>
        <v>0</v>
      </c>
      <c r="AU20" s="216">
        <f t="shared" si="22"/>
        <v>0</v>
      </c>
      <c r="AV20" s="771">
        <v>0</v>
      </c>
      <c r="AW20" s="778">
        <f t="shared" si="23"/>
        <v>0</v>
      </c>
      <c r="AX20" s="773">
        <f t="shared" si="24"/>
        <v>0</v>
      </c>
      <c r="AY20" s="210">
        <f t="shared" si="25"/>
        <v>0</v>
      </c>
      <c r="AZ20" s="216">
        <f t="shared" si="26"/>
        <v>0</v>
      </c>
      <c r="BA20" s="771">
        <v>0</v>
      </c>
      <c r="BB20" s="778">
        <f t="shared" si="27"/>
        <v>0</v>
      </c>
      <c r="BC20" s="783">
        <f t="shared" si="28"/>
        <v>0</v>
      </c>
      <c r="BD20" s="275">
        <f t="shared" si="29"/>
        <v>1.46e+16</v>
      </c>
      <c r="BE20" s="275">
        <f t="shared" si="30"/>
        <v>0</v>
      </c>
      <c r="BF20" s="275">
        <f t="shared" si="31"/>
        <v>0</v>
      </c>
      <c r="BG20" s="275">
        <f t="shared" si="32"/>
        <v>0</v>
      </c>
      <c r="BH20" s="275">
        <f t="shared" si="33"/>
        <v>0</v>
      </c>
      <c r="BI20" s="785">
        <f t="shared" si="34"/>
        <v>0</v>
      </c>
      <c r="BJ20" s="323">
        <f t="shared" si="35"/>
        <v>196000000</v>
      </c>
      <c r="BK20" s="323">
        <f t="shared" si="36"/>
        <v>0</v>
      </c>
      <c r="BL20" s="323">
        <f t="shared" si="37"/>
        <v>0</v>
      </c>
      <c r="BM20" s="323">
        <f t="shared" si="38"/>
        <v>0</v>
      </c>
      <c r="BN20" s="323">
        <f t="shared" si="39"/>
        <v>0</v>
      </c>
      <c r="BO20" s="787">
        <f t="shared" si="40"/>
        <v>196000000</v>
      </c>
      <c r="BP20" s="353">
        <f t="shared" si="41"/>
        <v>196000000</v>
      </c>
      <c r="BQ20" s="126" t="str">
        <f t="shared" si="54"/>
        <v>Cs-134</v>
      </c>
      <c r="BR20" s="788">
        <v>196000000</v>
      </c>
      <c r="BS20" s="365">
        <f t="shared" si="42"/>
        <v>1</v>
      </c>
      <c r="BT20" s="369">
        <f t="shared" si="43"/>
        <v>1</v>
      </c>
      <c r="BU20" s="369">
        <f t="shared" si="44"/>
        <v>1</v>
      </c>
      <c r="BV20" s="796" t="s">
        <v>62</v>
      </c>
      <c r="BW20" s="797">
        <v>196000000</v>
      </c>
      <c r="BX20" s="793" t="s">
        <v>62</v>
      </c>
      <c r="BY20" s="794">
        <v>85000000</v>
      </c>
      <c r="BZ20" s="369">
        <f t="shared" si="55"/>
        <v>2.30588235294118</v>
      </c>
    </row>
    <row r="21" s="165" customFormat="1" ht="15.75" spans="1:78">
      <c r="A21" s="675" t="s">
        <v>63</v>
      </c>
      <c r="B21" s="749">
        <v>7.3e-10</v>
      </c>
      <c r="C21" s="183">
        <f>正常源项!C19</f>
        <v>1.74e+16</v>
      </c>
      <c r="D21" s="183"/>
      <c r="E21" s="183">
        <f>正常源项!I19</f>
        <v>544000</v>
      </c>
      <c r="F21" s="186"/>
      <c r="G21" s="220">
        <f>正常源项!O19</f>
        <v>12400000000000</v>
      </c>
      <c r="H21" s="183">
        <f>正常源项!R19</f>
        <v>420941263.495375</v>
      </c>
      <c r="I21" s="182"/>
      <c r="J21" s="182">
        <f t="shared" si="45"/>
        <v>420941263.495375</v>
      </c>
      <c r="K21" s="758">
        <f t="shared" si="46"/>
        <v>1760000000</v>
      </c>
      <c r="L21" s="759">
        <f t="shared" si="47"/>
        <v>0.239171172440554</v>
      </c>
      <c r="M21" s="760">
        <f t="shared" si="48"/>
        <v>1760000000</v>
      </c>
      <c r="N21" s="760">
        <v>979029544.3</v>
      </c>
      <c r="O21" s="218">
        <f t="shared" si="49"/>
        <v>1760000000</v>
      </c>
      <c r="P21" s="692">
        <f t="shared" si="50"/>
        <v>1760000000</v>
      </c>
      <c r="Q21" s="768">
        <f t="shared" si="51"/>
        <v>1</v>
      </c>
      <c r="R21" s="353">
        <f t="shared" si="52"/>
        <v>1760000000</v>
      </c>
      <c r="S21" s="678">
        <f t="shared" si="0"/>
        <v>0</v>
      </c>
      <c r="T21" s="693">
        <v>1</v>
      </c>
      <c r="U21" s="247">
        <f t="shared" si="56"/>
        <v>1760000000</v>
      </c>
      <c r="V21" s="247">
        <f t="shared" si="53"/>
        <v>0</v>
      </c>
      <c r="W21" s="710">
        <f t="shared" si="2"/>
        <v>1760000000</v>
      </c>
      <c r="X21" s="711">
        <f t="shared" si="3"/>
        <v>1.15740740740741e-6</v>
      </c>
      <c r="Y21" s="712">
        <f t="shared" si="4"/>
        <v>0</v>
      </c>
      <c r="Z21" s="712">
        <f t="shared" si="5"/>
        <v>0</v>
      </c>
      <c r="AA21" s="712">
        <f t="shared" si="6"/>
        <v>0</v>
      </c>
      <c r="AB21" s="712">
        <f t="shared" si="7"/>
        <v>0</v>
      </c>
      <c r="AC21" s="713">
        <f t="shared" si="8"/>
        <v>0</v>
      </c>
      <c r="AD21" s="218">
        <f t="shared" si="9"/>
        <v>1760000000</v>
      </c>
      <c r="AE21" s="215">
        <v>0</v>
      </c>
      <c r="AF21" s="216">
        <f t="shared" si="10"/>
        <v>0</v>
      </c>
      <c r="AG21" s="771">
        <v>0</v>
      </c>
      <c r="AH21" s="772">
        <f t="shared" si="11"/>
        <v>0</v>
      </c>
      <c r="AI21" s="773">
        <f t="shared" si="12"/>
        <v>0</v>
      </c>
      <c r="AJ21" s="210">
        <f t="shared" si="13"/>
        <v>0</v>
      </c>
      <c r="AK21" s="216">
        <f t="shared" si="14"/>
        <v>0</v>
      </c>
      <c r="AL21" s="771">
        <v>0</v>
      </c>
      <c r="AM21" s="774">
        <f t="shared" si="15"/>
        <v>0</v>
      </c>
      <c r="AN21" s="775">
        <f t="shared" si="16"/>
        <v>0</v>
      </c>
      <c r="AO21" s="210">
        <f t="shared" si="17"/>
        <v>0</v>
      </c>
      <c r="AP21" s="216">
        <f t="shared" si="18"/>
        <v>0</v>
      </c>
      <c r="AQ21" s="771">
        <v>0</v>
      </c>
      <c r="AR21" s="778">
        <f t="shared" si="19"/>
        <v>0</v>
      </c>
      <c r="AS21" s="773">
        <f t="shared" si="20"/>
        <v>0</v>
      </c>
      <c r="AT21" s="210">
        <f t="shared" si="21"/>
        <v>0</v>
      </c>
      <c r="AU21" s="216">
        <f t="shared" si="22"/>
        <v>0</v>
      </c>
      <c r="AV21" s="771">
        <v>0</v>
      </c>
      <c r="AW21" s="778">
        <f t="shared" si="23"/>
        <v>0</v>
      </c>
      <c r="AX21" s="773">
        <f t="shared" si="24"/>
        <v>0</v>
      </c>
      <c r="AY21" s="210">
        <f t="shared" si="25"/>
        <v>0</v>
      </c>
      <c r="AZ21" s="216">
        <f t="shared" si="26"/>
        <v>0</v>
      </c>
      <c r="BA21" s="771">
        <v>0</v>
      </c>
      <c r="BB21" s="778">
        <f t="shared" si="27"/>
        <v>0</v>
      </c>
      <c r="BC21" s="783">
        <f t="shared" si="28"/>
        <v>0</v>
      </c>
      <c r="BD21" s="275">
        <f t="shared" si="29"/>
        <v>1.74e+16</v>
      </c>
      <c r="BE21" s="275">
        <f t="shared" si="30"/>
        <v>0</v>
      </c>
      <c r="BF21" s="275">
        <f t="shared" si="31"/>
        <v>0</v>
      </c>
      <c r="BG21" s="275">
        <f t="shared" si="32"/>
        <v>0</v>
      </c>
      <c r="BH21" s="275">
        <f t="shared" si="33"/>
        <v>0</v>
      </c>
      <c r="BI21" s="785">
        <f t="shared" si="34"/>
        <v>0</v>
      </c>
      <c r="BJ21" s="323">
        <f t="shared" si="35"/>
        <v>1760000000</v>
      </c>
      <c r="BK21" s="323">
        <f t="shared" si="36"/>
        <v>0</v>
      </c>
      <c r="BL21" s="323">
        <f t="shared" si="37"/>
        <v>0</v>
      </c>
      <c r="BM21" s="323">
        <f t="shared" si="38"/>
        <v>0</v>
      </c>
      <c r="BN21" s="323">
        <f t="shared" si="39"/>
        <v>0</v>
      </c>
      <c r="BO21" s="787">
        <f t="shared" si="40"/>
        <v>1760000000</v>
      </c>
      <c r="BP21" s="353">
        <f t="shared" si="41"/>
        <v>1760000000</v>
      </c>
      <c r="BQ21" s="126" t="str">
        <f t="shared" si="54"/>
        <v>Cs-137</v>
      </c>
      <c r="BR21" s="789">
        <v>1760000000</v>
      </c>
      <c r="BS21" s="365">
        <f t="shared" si="42"/>
        <v>1</v>
      </c>
      <c r="BT21" s="369">
        <f t="shared" si="43"/>
        <v>1</v>
      </c>
      <c r="BU21" s="369">
        <f t="shared" si="44"/>
        <v>1</v>
      </c>
      <c r="BV21" s="796" t="s">
        <v>63</v>
      </c>
      <c r="BW21" s="797">
        <v>1760000000</v>
      </c>
      <c r="BX21" s="793" t="s">
        <v>63</v>
      </c>
      <c r="BY21" s="794">
        <v>630000000</v>
      </c>
      <c r="BZ21" s="369">
        <f t="shared" si="55"/>
        <v>2.79365079365079</v>
      </c>
    </row>
    <row r="22" s="165" customFormat="1" ht="15.75" spans="1:78">
      <c r="A22" s="750" t="s">
        <v>64</v>
      </c>
      <c r="B22" s="749">
        <v>3.2e-8</v>
      </c>
      <c r="C22" s="183">
        <f>正常源项!C20</f>
        <v>242000000000000</v>
      </c>
      <c r="D22" s="183"/>
      <c r="E22" s="183">
        <f>正常源项!I20</f>
        <v>409000</v>
      </c>
      <c r="F22" s="186"/>
      <c r="G22" s="220">
        <f>正常源项!O20</f>
        <v>282000000000</v>
      </c>
      <c r="H22" s="183">
        <f>正常源项!R20</f>
        <v>50731204.5319509</v>
      </c>
      <c r="I22" s="182"/>
      <c r="J22" s="182">
        <f t="shared" si="45"/>
        <v>50731204.5319509</v>
      </c>
      <c r="K22" s="758">
        <f t="shared" si="46"/>
        <v>56300000</v>
      </c>
      <c r="L22" s="759">
        <f t="shared" si="47"/>
        <v>0.901087114244243</v>
      </c>
      <c r="M22" s="760">
        <f t="shared" si="48"/>
        <v>56300000</v>
      </c>
      <c r="N22" s="761">
        <v>56290538.97</v>
      </c>
      <c r="O22" s="218">
        <f t="shared" si="49"/>
        <v>56300000</v>
      </c>
      <c r="P22" s="692">
        <f t="shared" si="50"/>
        <v>56300000</v>
      </c>
      <c r="Q22" s="768">
        <f t="shared" si="51"/>
        <v>1</v>
      </c>
      <c r="R22" s="353">
        <f t="shared" si="52"/>
        <v>56300000</v>
      </c>
      <c r="S22" s="678">
        <f t="shared" si="0"/>
        <v>0</v>
      </c>
      <c r="T22" s="693">
        <v>1</v>
      </c>
      <c r="U22" s="247">
        <f t="shared" si="56"/>
        <v>56300000</v>
      </c>
      <c r="V22" s="247">
        <f t="shared" si="53"/>
        <v>0</v>
      </c>
      <c r="W22" s="710">
        <f t="shared" si="2"/>
        <v>56300000</v>
      </c>
      <c r="X22" s="711">
        <f t="shared" si="3"/>
        <v>1.15740740740741e-6</v>
      </c>
      <c r="Y22" s="712">
        <f t="shared" si="4"/>
        <v>0</v>
      </c>
      <c r="Z22" s="712">
        <f t="shared" si="5"/>
        <v>0</v>
      </c>
      <c r="AA22" s="712">
        <f t="shared" si="6"/>
        <v>0</v>
      </c>
      <c r="AB22" s="712">
        <f t="shared" si="7"/>
        <v>0</v>
      </c>
      <c r="AC22" s="713">
        <f t="shared" si="8"/>
        <v>0</v>
      </c>
      <c r="AD22" s="218">
        <f t="shared" si="9"/>
        <v>56300000</v>
      </c>
      <c r="AE22" s="215">
        <v>0</v>
      </c>
      <c r="AF22" s="216">
        <f t="shared" si="10"/>
        <v>0</v>
      </c>
      <c r="AG22" s="771">
        <v>0</v>
      </c>
      <c r="AH22" s="772">
        <f t="shared" si="11"/>
        <v>0</v>
      </c>
      <c r="AI22" s="773">
        <f t="shared" si="12"/>
        <v>0</v>
      </c>
      <c r="AJ22" s="210">
        <f t="shared" si="13"/>
        <v>0</v>
      </c>
      <c r="AK22" s="216">
        <f t="shared" si="14"/>
        <v>0</v>
      </c>
      <c r="AL22" s="771">
        <v>0</v>
      </c>
      <c r="AM22" s="774">
        <f t="shared" si="15"/>
        <v>0</v>
      </c>
      <c r="AN22" s="775">
        <f t="shared" si="16"/>
        <v>0</v>
      </c>
      <c r="AO22" s="210">
        <f t="shared" si="17"/>
        <v>0</v>
      </c>
      <c r="AP22" s="216">
        <f t="shared" si="18"/>
        <v>0</v>
      </c>
      <c r="AQ22" s="771">
        <v>0</v>
      </c>
      <c r="AR22" s="778">
        <f t="shared" si="19"/>
        <v>0</v>
      </c>
      <c r="AS22" s="773">
        <f t="shared" si="20"/>
        <v>0</v>
      </c>
      <c r="AT22" s="210">
        <f t="shared" si="21"/>
        <v>0</v>
      </c>
      <c r="AU22" s="216">
        <f t="shared" si="22"/>
        <v>0</v>
      </c>
      <c r="AV22" s="771">
        <v>0</v>
      </c>
      <c r="AW22" s="778">
        <f t="shared" si="23"/>
        <v>0</v>
      </c>
      <c r="AX22" s="773">
        <f t="shared" si="24"/>
        <v>0</v>
      </c>
      <c r="AY22" s="210">
        <f t="shared" si="25"/>
        <v>0</v>
      </c>
      <c r="AZ22" s="216">
        <f t="shared" si="26"/>
        <v>0</v>
      </c>
      <c r="BA22" s="771">
        <v>0</v>
      </c>
      <c r="BB22" s="778">
        <f t="shared" si="27"/>
        <v>0</v>
      </c>
      <c r="BC22" s="783">
        <f t="shared" si="28"/>
        <v>0</v>
      </c>
      <c r="BD22" s="275">
        <f t="shared" si="29"/>
        <v>242000000000000</v>
      </c>
      <c r="BE22" s="275">
        <f t="shared" si="30"/>
        <v>0</v>
      </c>
      <c r="BF22" s="275">
        <f t="shared" si="31"/>
        <v>0</v>
      </c>
      <c r="BG22" s="275">
        <f t="shared" si="32"/>
        <v>0</v>
      </c>
      <c r="BH22" s="275">
        <f t="shared" si="33"/>
        <v>0</v>
      </c>
      <c r="BI22" s="785">
        <f t="shared" si="34"/>
        <v>0</v>
      </c>
      <c r="BJ22" s="323">
        <f t="shared" si="35"/>
        <v>56300000</v>
      </c>
      <c r="BK22" s="323">
        <f t="shared" si="36"/>
        <v>0</v>
      </c>
      <c r="BL22" s="323">
        <f t="shared" si="37"/>
        <v>0</v>
      </c>
      <c r="BM22" s="323">
        <f t="shared" si="38"/>
        <v>0</v>
      </c>
      <c r="BN22" s="323">
        <f t="shared" si="39"/>
        <v>0</v>
      </c>
      <c r="BO22" s="787">
        <f t="shared" si="40"/>
        <v>56300000</v>
      </c>
      <c r="BP22" s="353">
        <f t="shared" si="41"/>
        <v>56300000</v>
      </c>
      <c r="BQ22" s="126" t="str">
        <f t="shared" si="54"/>
        <v>Ag-110m</v>
      </c>
      <c r="BR22" s="789">
        <v>56300000</v>
      </c>
      <c r="BS22" s="365">
        <f t="shared" si="42"/>
        <v>1</v>
      </c>
      <c r="BT22" s="369">
        <f t="shared" si="43"/>
        <v>1</v>
      </c>
      <c r="BU22" s="369">
        <f t="shared" si="44"/>
        <v>1</v>
      </c>
      <c r="BV22" s="796" t="s">
        <v>64</v>
      </c>
      <c r="BW22" s="797">
        <v>56300000</v>
      </c>
      <c r="BX22" s="793" t="s">
        <v>64</v>
      </c>
      <c r="BY22" s="794">
        <v>17000000</v>
      </c>
      <c r="BZ22" s="369">
        <f t="shared" si="55"/>
        <v>3.31176470588235</v>
      </c>
    </row>
    <row r="23" s="91" customFormat="1" ht="16.5" spans="1:78">
      <c r="A23" s="675" t="s">
        <v>65</v>
      </c>
      <c r="B23" s="749">
        <v>1.79e-9</v>
      </c>
      <c r="C23" s="183">
        <f>正常源项!C21</f>
        <v>111000000000000</v>
      </c>
      <c r="D23" s="183"/>
      <c r="E23" s="183">
        <f>正常源项!I21</f>
        <v>144000000000</v>
      </c>
      <c r="F23" s="183">
        <f>正常源项!L21</f>
        <v>12900000000000</v>
      </c>
      <c r="G23" s="217"/>
      <c r="H23" s="182"/>
      <c r="I23" s="182"/>
      <c r="J23" s="182">
        <f t="shared" si="45"/>
        <v>12900000000000</v>
      </c>
      <c r="K23" s="758">
        <f t="shared" si="46"/>
        <v>7610000000000</v>
      </c>
      <c r="L23" s="759">
        <f t="shared" si="47"/>
        <v>1.69513797634691</v>
      </c>
      <c r="M23" s="760">
        <f t="shared" si="48"/>
        <v>12900000000000</v>
      </c>
      <c r="N23" s="761">
        <v>12806300000000</v>
      </c>
      <c r="O23" s="218">
        <f t="shared" si="49"/>
        <v>12900000000000</v>
      </c>
      <c r="P23" s="692">
        <f t="shared" si="50"/>
        <v>12900000000000</v>
      </c>
      <c r="Q23" s="768">
        <f t="shared" si="51"/>
        <v>1</v>
      </c>
      <c r="R23" s="353">
        <f t="shared" si="52"/>
        <v>12900000000000</v>
      </c>
      <c r="S23" s="678">
        <f t="shared" si="0"/>
        <v>0</v>
      </c>
      <c r="T23" s="693">
        <v>1</v>
      </c>
      <c r="U23" s="247">
        <f t="shared" si="56"/>
        <v>12900000000000</v>
      </c>
      <c r="V23" s="247">
        <f t="shared" si="53"/>
        <v>0</v>
      </c>
      <c r="W23" s="710">
        <f t="shared" si="2"/>
        <v>12900000000000</v>
      </c>
      <c r="X23" s="711">
        <f t="shared" si="3"/>
        <v>1.15740740740741e-6</v>
      </c>
      <c r="Y23" s="712">
        <f t="shared" si="4"/>
        <v>0</v>
      </c>
      <c r="Z23" s="712">
        <f t="shared" si="5"/>
        <v>0</v>
      </c>
      <c r="AA23" s="712">
        <f t="shared" si="6"/>
        <v>0</v>
      </c>
      <c r="AB23" s="712">
        <f t="shared" si="7"/>
        <v>0</v>
      </c>
      <c r="AC23" s="713">
        <f t="shared" si="8"/>
        <v>0</v>
      </c>
      <c r="AD23" s="218">
        <f t="shared" si="9"/>
        <v>12900000000000</v>
      </c>
      <c r="AE23" s="215"/>
      <c r="AF23" s="210"/>
      <c r="AG23" s="210"/>
      <c r="AH23" s="210"/>
      <c r="AI23" s="725"/>
      <c r="AJ23" s="210"/>
      <c r="AK23" s="210"/>
      <c r="AL23" s="210"/>
      <c r="AM23" s="210"/>
      <c r="AN23" s="725"/>
      <c r="AO23" s="210"/>
      <c r="AP23" s="210"/>
      <c r="AQ23" s="210"/>
      <c r="AR23" s="210"/>
      <c r="AS23" s="725"/>
      <c r="AT23" s="725"/>
      <c r="AU23" s="725"/>
      <c r="AV23" s="725"/>
      <c r="AW23" s="725"/>
      <c r="AX23" s="725"/>
      <c r="AY23" s="725"/>
      <c r="AZ23" s="725"/>
      <c r="BA23" s="725"/>
      <c r="BB23" s="725"/>
      <c r="BC23" s="733"/>
      <c r="BD23" s="275"/>
      <c r="BE23" s="275"/>
      <c r="BF23" s="275"/>
      <c r="BG23" s="275"/>
      <c r="BH23" s="275"/>
      <c r="BI23" s="785">
        <f t="shared" si="34"/>
        <v>0</v>
      </c>
      <c r="BJ23" s="323">
        <f t="shared" si="35"/>
        <v>12900000000000</v>
      </c>
      <c r="BK23" s="323">
        <f t="shared" si="36"/>
        <v>0</v>
      </c>
      <c r="BL23" s="323">
        <f t="shared" si="37"/>
        <v>0</v>
      </c>
      <c r="BM23" s="323">
        <f t="shared" si="38"/>
        <v>0</v>
      </c>
      <c r="BN23" s="323">
        <f t="shared" si="39"/>
        <v>0</v>
      </c>
      <c r="BO23" s="787">
        <f t="shared" si="40"/>
        <v>12900000000000</v>
      </c>
      <c r="BP23" s="353">
        <f t="shared" si="41"/>
        <v>12900000000000</v>
      </c>
      <c r="BQ23" s="126" t="str">
        <f t="shared" si="54"/>
        <v>H-3</v>
      </c>
      <c r="BR23" s="789">
        <v>7610000000000</v>
      </c>
      <c r="BS23" s="365">
        <f t="shared" si="42"/>
        <v>1.69513797634691</v>
      </c>
      <c r="BT23" s="369">
        <f t="shared" si="43"/>
        <v>1.69513797634691</v>
      </c>
      <c r="BU23" s="369">
        <f t="shared" si="44"/>
        <v>1.69513797634691</v>
      </c>
      <c r="BV23" s="796" t="s">
        <v>65</v>
      </c>
      <c r="BW23" s="156">
        <v>7610000000000</v>
      </c>
      <c r="BX23" s="793" t="s">
        <v>65</v>
      </c>
      <c r="BY23" s="794">
        <v>7600000000000</v>
      </c>
      <c r="BZ23" s="369">
        <f t="shared" si="55"/>
        <v>1.00131578947368</v>
      </c>
    </row>
    <row r="24" s="91" customFormat="1" ht="15.75" spans="1:78">
      <c r="A24" s="675" t="s">
        <v>66</v>
      </c>
      <c r="B24" s="749">
        <v>3.83e-12</v>
      </c>
      <c r="C24" s="182"/>
      <c r="D24" s="183"/>
      <c r="E24" s="183">
        <f>正常源项!I22</f>
        <v>208000000</v>
      </c>
      <c r="F24" s="183">
        <f>正常源项!L22</f>
        <v>18700000000</v>
      </c>
      <c r="G24" s="220">
        <f>正常源项!O22</f>
        <v>22000000000</v>
      </c>
      <c r="H24" s="182"/>
      <c r="I24" s="182"/>
      <c r="J24" s="182">
        <f t="shared" si="45"/>
        <v>18700000000</v>
      </c>
      <c r="K24" s="758">
        <f t="shared" si="46"/>
        <v>18900000000</v>
      </c>
      <c r="L24" s="759">
        <f t="shared" si="47"/>
        <v>0.989417989417989</v>
      </c>
      <c r="M24" s="760">
        <f t="shared" si="48"/>
        <v>18900000000</v>
      </c>
      <c r="N24" s="760">
        <v>18914884614</v>
      </c>
      <c r="O24" s="218">
        <f t="shared" si="49"/>
        <v>18900000000</v>
      </c>
      <c r="P24" s="692">
        <f t="shared" si="50"/>
        <v>18900000000</v>
      </c>
      <c r="Q24" s="768">
        <f t="shared" si="51"/>
        <v>1</v>
      </c>
      <c r="R24" s="353">
        <f t="shared" si="52"/>
        <v>18900000000</v>
      </c>
      <c r="S24" s="678">
        <f t="shared" si="0"/>
        <v>0</v>
      </c>
      <c r="T24" s="693">
        <v>1</v>
      </c>
      <c r="U24" s="247">
        <f t="shared" si="56"/>
        <v>18900000000</v>
      </c>
      <c r="V24" s="247">
        <f t="shared" si="53"/>
        <v>0</v>
      </c>
      <c r="W24" s="247">
        <f t="shared" si="2"/>
        <v>18900000000</v>
      </c>
      <c r="X24" s="769">
        <f t="shared" si="3"/>
        <v>1.15740740740741e-6</v>
      </c>
      <c r="Y24" s="770">
        <f t="shared" si="4"/>
        <v>0</v>
      </c>
      <c r="Z24" s="712">
        <f t="shared" si="5"/>
        <v>0</v>
      </c>
      <c r="AA24" s="712">
        <f t="shared" si="6"/>
        <v>0</v>
      </c>
      <c r="AB24" s="712">
        <f t="shared" si="7"/>
        <v>0</v>
      </c>
      <c r="AC24" s="713">
        <f t="shared" si="8"/>
        <v>0</v>
      </c>
      <c r="AD24" s="218">
        <f t="shared" si="9"/>
        <v>18900000000</v>
      </c>
      <c r="AE24" s="215"/>
      <c r="AF24" s="210"/>
      <c r="AG24" s="210"/>
      <c r="AH24" s="210"/>
      <c r="AI24" s="275"/>
      <c r="AJ24" s="210"/>
      <c r="AK24" s="210"/>
      <c r="AL24" s="210"/>
      <c r="AM24" s="210"/>
      <c r="AN24" s="725"/>
      <c r="AO24" s="210"/>
      <c r="AP24" s="210"/>
      <c r="AQ24" s="210"/>
      <c r="AR24" s="210"/>
      <c r="AS24" s="725"/>
      <c r="AT24" s="725"/>
      <c r="AU24" s="725"/>
      <c r="AV24" s="725"/>
      <c r="AW24" s="725"/>
      <c r="AX24" s="725"/>
      <c r="AY24" s="725"/>
      <c r="AZ24" s="725"/>
      <c r="BA24" s="725"/>
      <c r="BB24" s="725"/>
      <c r="BC24" s="733"/>
      <c r="BD24" s="275"/>
      <c r="BE24" s="275"/>
      <c r="BF24" s="275"/>
      <c r="BG24" s="275"/>
      <c r="BH24" s="275"/>
      <c r="BI24" s="785">
        <f t="shared" si="34"/>
        <v>0</v>
      </c>
      <c r="BJ24" s="323">
        <f t="shared" si="35"/>
        <v>18900000000</v>
      </c>
      <c r="BK24" s="323">
        <f t="shared" si="36"/>
        <v>0</v>
      </c>
      <c r="BL24" s="323">
        <f t="shared" si="37"/>
        <v>0</v>
      </c>
      <c r="BM24" s="323">
        <f t="shared" si="38"/>
        <v>0</v>
      </c>
      <c r="BN24" s="323">
        <f t="shared" si="39"/>
        <v>0</v>
      </c>
      <c r="BO24" s="787">
        <f t="shared" si="40"/>
        <v>18900000000</v>
      </c>
      <c r="BP24" s="353">
        <f t="shared" si="41"/>
        <v>18900000000</v>
      </c>
      <c r="BQ24" s="126" t="str">
        <f t="shared" si="54"/>
        <v>C-14</v>
      </c>
      <c r="BR24" s="789">
        <v>18900000000</v>
      </c>
      <c r="BS24" s="365">
        <f t="shared" si="42"/>
        <v>1</v>
      </c>
      <c r="BT24" s="369">
        <f t="shared" si="43"/>
        <v>1</v>
      </c>
      <c r="BU24" s="369">
        <f t="shared" si="44"/>
        <v>1</v>
      </c>
      <c r="BV24" s="798" t="s">
        <v>66</v>
      </c>
      <c r="BW24" s="799">
        <v>18900000000</v>
      </c>
      <c r="BX24" s="800" t="s">
        <v>66</v>
      </c>
      <c r="BY24" s="801">
        <v>19000000000</v>
      </c>
      <c r="BZ24" s="369">
        <f t="shared" si="55"/>
        <v>0.994736842105263</v>
      </c>
    </row>
    <row r="25" s="91" customFormat="1" ht="15.75" spans="1:78">
      <c r="A25" s="751" t="s">
        <v>67</v>
      </c>
      <c r="B25" s="214">
        <v>4.2e-9</v>
      </c>
      <c r="C25" s="182"/>
      <c r="D25" s="183"/>
      <c r="E25" s="192">
        <f>正常源项!I23</f>
        <v>1100</v>
      </c>
      <c r="F25" s="186"/>
      <c r="G25" s="227">
        <f>正常源项!O23</f>
        <v>2120000000</v>
      </c>
      <c r="H25" s="192">
        <f>正常源项!R23</f>
        <v>1103732.61902243</v>
      </c>
      <c r="I25" s="182"/>
      <c r="J25" s="182">
        <f t="shared" si="45"/>
        <v>1103732.61902243</v>
      </c>
      <c r="K25" s="758">
        <f t="shared" si="46"/>
        <v>0</v>
      </c>
      <c r="L25" s="759"/>
      <c r="M25" s="760">
        <f t="shared" si="48"/>
        <v>1103732.61902243</v>
      </c>
      <c r="N25" s="760">
        <v>106894171.8</v>
      </c>
      <c r="O25" s="218">
        <f t="shared" si="49"/>
        <v>1103732.61902243</v>
      </c>
      <c r="P25" s="692">
        <f t="shared" si="50"/>
        <v>1103732.61902243</v>
      </c>
      <c r="Q25" s="768">
        <f t="shared" si="51"/>
        <v>1</v>
      </c>
      <c r="R25" s="353">
        <f t="shared" si="52"/>
        <v>1103732.61902243</v>
      </c>
      <c r="S25" s="678">
        <f t="shared" si="0"/>
        <v>0</v>
      </c>
      <c r="T25" s="693">
        <v>1</v>
      </c>
      <c r="U25" s="247">
        <f t="shared" si="56"/>
        <v>1103732.61902243</v>
      </c>
      <c r="V25" s="247">
        <f t="shared" si="53"/>
        <v>0</v>
      </c>
      <c r="W25" s="247">
        <f t="shared" si="2"/>
        <v>1103732.61902243</v>
      </c>
      <c r="X25" s="769">
        <f t="shared" si="3"/>
        <v>1.15740740740741e-6</v>
      </c>
      <c r="Y25" s="770">
        <f t="shared" si="4"/>
        <v>0</v>
      </c>
      <c r="Z25" s="712">
        <f t="shared" si="5"/>
        <v>0</v>
      </c>
      <c r="AA25" s="712">
        <f t="shared" si="6"/>
        <v>0</v>
      </c>
      <c r="AB25" s="712">
        <f t="shared" si="7"/>
        <v>0</v>
      </c>
      <c r="AC25" s="713">
        <f t="shared" si="8"/>
        <v>0</v>
      </c>
      <c r="AD25" s="218">
        <f t="shared" si="9"/>
        <v>1103732.61902243</v>
      </c>
      <c r="AE25" s="215"/>
      <c r="AF25" s="231"/>
      <c r="AG25" s="231"/>
      <c r="AH25" s="231"/>
      <c r="AI25" s="776"/>
      <c r="AJ25" s="231"/>
      <c r="AK25" s="231"/>
      <c r="AL25" s="231"/>
      <c r="AM25" s="231"/>
      <c r="AN25" s="776"/>
      <c r="AO25" s="231"/>
      <c r="AP25" s="231"/>
      <c r="AQ25" s="231"/>
      <c r="AR25" s="231"/>
      <c r="AS25" s="725"/>
      <c r="AT25" s="725"/>
      <c r="AU25" s="725"/>
      <c r="AV25" s="725"/>
      <c r="AW25" s="725"/>
      <c r="AX25" s="725"/>
      <c r="AY25" s="725"/>
      <c r="AZ25" s="725"/>
      <c r="BA25" s="725"/>
      <c r="BB25" s="725"/>
      <c r="BC25" s="275"/>
      <c r="BD25" s="275"/>
      <c r="BE25" s="275"/>
      <c r="BF25" s="275"/>
      <c r="BG25" s="275"/>
      <c r="BH25" s="275"/>
      <c r="BI25" s="785">
        <f t="shared" si="34"/>
        <v>0</v>
      </c>
      <c r="BJ25" s="323">
        <f t="shared" si="35"/>
        <v>1103732.61902243</v>
      </c>
      <c r="BK25" s="323">
        <f t="shared" si="36"/>
        <v>0</v>
      </c>
      <c r="BL25" s="323">
        <f t="shared" si="37"/>
        <v>0</v>
      </c>
      <c r="BM25" s="323">
        <f t="shared" si="38"/>
        <v>0</v>
      </c>
      <c r="BN25" s="323">
        <f t="shared" si="39"/>
        <v>0</v>
      </c>
      <c r="BO25" s="787">
        <f t="shared" si="40"/>
        <v>1103732.61902243</v>
      </c>
      <c r="BP25" s="353">
        <f t="shared" si="41"/>
        <v>1103732.61902243</v>
      </c>
      <c r="BQ25" s="126" t="str">
        <f t="shared" si="54"/>
        <v>Co-60</v>
      </c>
      <c r="BR25" s="98"/>
      <c r="BS25" s="365"/>
      <c r="BT25" s="369"/>
      <c r="BU25" s="369"/>
      <c r="BV25" s="119"/>
      <c r="BW25" s="119"/>
      <c r="BX25" s="119"/>
      <c r="BY25" s="119"/>
      <c r="BZ25" s="119"/>
    </row>
    <row r="26" s="91" customFormat="1" ht="15.75" hidden="1" spans="1:78">
      <c r="A26" s="675" t="s">
        <v>68</v>
      </c>
      <c r="B26" s="217">
        <v>0.000106</v>
      </c>
      <c r="C26" s="182"/>
      <c r="D26" s="183"/>
      <c r="E26" s="182">
        <f>正常源项!I24</f>
        <v>71000000000</v>
      </c>
      <c r="F26" s="182"/>
      <c r="G26" s="752">
        <f>正常源项!O24</f>
        <v>0</v>
      </c>
      <c r="H26" s="183">
        <f>正常源项!R24</f>
        <v>52688182.5683569</v>
      </c>
      <c r="I26" s="182"/>
      <c r="J26" s="182"/>
      <c r="K26" s="758">
        <f t="shared" si="46"/>
        <v>0</v>
      </c>
      <c r="L26" s="759"/>
      <c r="M26" s="760"/>
      <c r="N26" s="760"/>
      <c r="O26" s="218"/>
      <c r="P26" s="692">
        <f t="shared" si="50"/>
        <v>0</v>
      </c>
      <c r="Q26" s="768"/>
      <c r="R26" s="353">
        <f t="shared" si="52"/>
        <v>0</v>
      </c>
      <c r="S26" s="678">
        <f t="shared" si="0"/>
        <v>0</v>
      </c>
      <c r="T26" s="693">
        <v>1</v>
      </c>
      <c r="U26" s="247">
        <f t="shared" si="56"/>
        <v>0</v>
      </c>
      <c r="V26" s="247">
        <f t="shared" si="53"/>
        <v>0</v>
      </c>
      <c r="W26" s="247">
        <f t="shared" si="2"/>
        <v>0</v>
      </c>
      <c r="X26" s="769">
        <f t="shared" si="3"/>
        <v>1.15740740740741e-6</v>
      </c>
      <c r="Y26" s="770">
        <f t="shared" si="4"/>
        <v>0</v>
      </c>
      <c r="Z26" s="712">
        <f t="shared" si="5"/>
        <v>0</v>
      </c>
      <c r="AA26" s="712">
        <f t="shared" si="6"/>
        <v>0</v>
      </c>
      <c r="AB26" s="712">
        <f t="shared" si="7"/>
        <v>0</v>
      </c>
      <c r="AC26" s="713">
        <f t="shared" si="8"/>
        <v>0</v>
      </c>
      <c r="AD26" s="218">
        <f t="shared" si="9"/>
        <v>0</v>
      </c>
      <c r="AE26" s="215"/>
      <c r="AF26" s="216"/>
      <c r="AG26" s="777"/>
      <c r="AH26" s="772"/>
      <c r="AI26" s="773"/>
      <c r="AJ26" s="210"/>
      <c r="AK26" s="216"/>
      <c r="AL26" s="777"/>
      <c r="AM26" s="774"/>
      <c r="AN26" s="775"/>
      <c r="AO26" s="210"/>
      <c r="AP26" s="216"/>
      <c r="AQ26" s="777"/>
      <c r="AR26" s="774"/>
      <c r="AS26" s="779"/>
      <c r="AT26" s="780"/>
      <c r="AU26" s="781"/>
      <c r="AV26" s="782"/>
      <c r="AW26" s="784"/>
      <c r="AX26" s="779"/>
      <c r="AY26" s="780"/>
      <c r="AZ26" s="781"/>
      <c r="BA26" s="782"/>
      <c r="BB26" s="784"/>
      <c r="BC26" s="779"/>
      <c r="BD26" s="779"/>
      <c r="BE26" s="779"/>
      <c r="BF26" s="779"/>
      <c r="BG26" s="275"/>
      <c r="BH26" s="275"/>
      <c r="BI26" s="785">
        <f t="shared" si="34"/>
        <v>0</v>
      </c>
      <c r="BJ26" s="323">
        <f t="shared" si="35"/>
        <v>0</v>
      </c>
      <c r="BK26" s="323">
        <f t="shared" si="36"/>
        <v>0</v>
      </c>
      <c r="BL26" s="323">
        <f t="shared" si="37"/>
        <v>0</v>
      </c>
      <c r="BM26" s="323">
        <f t="shared" si="38"/>
        <v>0</v>
      </c>
      <c r="BN26" s="323">
        <f t="shared" si="39"/>
        <v>0</v>
      </c>
      <c r="BO26" s="787">
        <f t="shared" si="40"/>
        <v>0</v>
      </c>
      <c r="BP26" s="353">
        <f t="shared" si="41"/>
        <v>0</v>
      </c>
      <c r="BQ26" s="126" t="str">
        <f t="shared" si="54"/>
        <v>Ar-41</v>
      </c>
      <c r="BR26" s="354"/>
      <c r="BS26" s="366"/>
      <c r="BV26" s="119"/>
      <c r="BW26" s="119"/>
      <c r="BX26" s="119"/>
      <c r="BY26" s="119"/>
      <c r="BZ26" s="119"/>
    </row>
    <row r="27" s="91" customFormat="1" ht="15.75" spans="1:78">
      <c r="A27" s="675" t="s">
        <v>69</v>
      </c>
      <c r="B27" s="214">
        <v>8.1e-9</v>
      </c>
      <c r="C27" s="182"/>
      <c r="D27" s="183"/>
      <c r="E27" s="183">
        <f>正常源项!I25</f>
        <v>3000</v>
      </c>
      <c r="F27" s="186"/>
      <c r="G27" s="220"/>
      <c r="H27" s="183">
        <f>正常源项!R25</f>
        <v>1734971.98620273</v>
      </c>
      <c r="I27" s="182"/>
      <c r="J27" s="182">
        <f t="shared" si="45"/>
        <v>1734971.98620273</v>
      </c>
      <c r="K27" s="758">
        <f t="shared" si="46"/>
        <v>0</v>
      </c>
      <c r="L27" s="759"/>
      <c r="M27" s="760">
        <f t="shared" ref="M27:M30" si="57">MAX(J27,K27)</f>
        <v>1734971.98620273</v>
      </c>
      <c r="N27" s="760">
        <v>3007030.318</v>
      </c>
      <c r="O27" s="218">
        <f>M27</f>
        <v>1734971.98620273</v>
      </c>
      <c r="P27" s="692">
        <f t="shared" si="50"/>
        <v>1734971.98620273</v>
      </c>
      <c r="Q27" s="768">
        <f>P27/M27</f>
        <v>1</v>
      </c>
      <c r="R27" s="353">
        <f t="shared" si="52"/>
        <v>1734971.98620273</v>
      </c>
      <c r="S27" s="678">
        <f t="shared" si="0"/>
        <v>0</v>
      </c>
      <c r="T27" s="693">
        <v>1</v>
      </c>
      <c r="U27" s="247">
        <f t="shared" si="56"/>
        <v>1734971.98620273</v>
      </c>
      <c r="V27" s="247">
        <f t="shared" si="53"/>
        <v>0</v>
      </c>
      <c r="W27" s="247">
        <f t="shared" si="2"/>
        <v>1734971.98620273</v>
      </c>
      <c r="X27" s="769">
        <f t="shared" si="3"/>
        <v>1.15740740740741e-6</v>
      </c>
      <c r="Y27" s="770">
        <f t="shared" si="4"/>
        <v>0</v>
      </c>
      <c r="Z27" s="712">
        <f t="shared" si="5"/>
        <v>0</v>
      </c>
      <c r="AA27" s="712">
        <f t="shared" si="6"/>
        <v>0</v>
      </c>
      <c r="AB27" s="712">
        <f t="shared" si="7"/>
        <v>0</v>
      </c>
      <c r="AC27" s="713">
        <f t="shared" si="8"/>
        <v>0</v>
      </c>
      <c r="AD27" s="218">
        <f t="shared" si="9"/>
        <v>1734971.98620273</v>
      </c>
      <c r="AE27" s="215"/>
      <c r="AF27" s="231"/>
      <c r="AG27" s="231"/>
      <c r="AH27" s="231"/>
      <c r="AI27" s="776"/>
      <c r="AJ27" s="231"/>
      <c r="AK27" s="231"/>
      <c r="AL27" s="231"/>
      <c r="AM27" s="231"/>
      <c r="AN27" s="776"/>
      <c r="AO27" s="231"/>
      <c r="AP27" s="231"/>
      <c r="AQ27" s="231"/>
      <c r="AR27" s="231"/>
      <c r="AS27" s="725"/>
      <c r="AT27" s="725"/>
      <c r="AU27" s="725"/>
      <c r="AV27" s="725"/>
      <c r="AW27" s="725"/>
      <c r="AX27" s="725"/>
      <c r="AY27" s="725"/>
      <c r="AZ27" s="725"/>
      <c r="BA27" s="725"/>
      <c r="BB27" s="725"/>
      <c r="BC27" s="275"/>
      <c r="BD27" s="275"/>
      <c r="BE27" s="275"/>
      <c r="BF27" s="275"/>
      <c r="BG27" s="275"/>
      <c r="BH27" s="275"/>
      <c r="BI27" s="785">
        <f t="shared" si="34"/>
        <v>0</v>
      </c>
      <c r="BJ27" s="323">
        <f t="shared" si="35"/>
        <v>1734971.98620273</v>
      </c>
      <c r="BK27" s="323">
        <f t="shared" si="36"/>
        <v>0</v>
      </c>
      <c r="BL27" s="323">
        <f t="shared" si="37"/>
        <v>0</v>
      </c>
      <c r="BM27" s="323">
        <f t="shared" si="38"/>
        <v>0</v>
      </c>
      <c r="BN27" s="323">
        <f t="shared" si="39"/>
        <v>0</v>
      </c>
      <c r="BO27" s="787">
        <f t="shared" si="40"/>
        <v>1734971.98620273</v>
      </c>
      <c r="BP27" s="353">
        <f t="shared" si="41"/>
        <v>1734971.98620273</v>
      </c>
      <c r="BQ27" s="126" t="str">
        <f t="shared" si="54"/>
        <v>Fe-55</v>
      </c>
      <c r="BR27" s="98"/>
      <c r="BS27" s="365"/>
      <c r="BT27" s="369"/>
      <c r="BU27" s="369"/>
      <c r="BV27" s="119"/>
      <c r="BW27" s="802"/>
      <c r="BX27" s="803"/>
      <c r="BY27" s="70"/>
      <c r="BZ27" s="119"/>
    </row>
    <row r="28" s="91" customFormat="1" ht="15.75" spans="1:78">
      <c r="A28" s="751" t="s">
        <v>70</v>
      </c>
      <c r="B28" s="214">
        <v>2.2e-10</v>
      </c>
      <c r="C28" s="182"/>
      <c r="D28" s="183"/>
      <c r="E28" s="183">
        <f>正常源项!I26</f>
        <v>39</v>
      </c>
      <c r="F28" s="186"/>
      <c r="G28" s="220"/>
      <c r="H28" s="183">
        <f>正常源项!R26</f>
        <v>57843.8142823393</v>
      </c>
      <c r="I28" s="182"/>
      <c r="J28" s="182">
        <f t="shared" si="45"/>
        <v>57843.8142823393</v>
      </c>
      <c r="K28" s="758">
        <f t="shared" si="46"/>
        <v>0</v>
      </c>
      <c r="L28" s="759"/>
      <c r="M28" s="760">
        <f t="shared" si="57"/>
        <v>57843.8142823393</v>
      </c>
      <c r="N28" s="760">
        <v>186335.5326</v>
      </c>
      <c r="O28" s="218">
        <f>M28</f>
        <v>57843.8142823393</v>
      </c>
      <c r="P28" s="692">
        <f t="shared" si="50"/>
        <v>57843.8142823393</v>
      </c>
      <c r="Q28" s="768">
        <f>P28/M28</f>
        <v>1</v>
      </c>
      <c r="R28" s="353">
        <f t="shared" si="52"/>
        <v>57843.8142823393</v>
      </c>
      <c r="S28" s="678">
        <f t="shared" si="0"/>
        <v>0</v>
      </c>
      <c r="T28" s="693">
        <v>1</v>
      </c>
      <c r="U28" s="247">
        <f t="shared" si="56"/>
        <v>57843.8142823393</v>
      </c>
      <c r="V28" s="247">
        <f t="shared" si="53"/>
        <v>0</v>
      </c>
      <c r="W28" s="247">
        <f t="shared" si="2"/>
        <v>57843.8142823393</v>
      </c>
      <c r="X28" s="769">
        <f t="shared" si="3"/>
        <v>1.15740740740741e-6</v>
      </c>
      <c r="Y28" s="770">
        <f t="shared" si="4"/>
        <v>0</v>
      </c>
      <c r="Z28" s="712">
        <f t="shared" si="5"/>
        <v>0</v>
      </c>
      <c r="AA28" s="712">
        <f t="shared" si="6"/>
        <v>0</v>
      </c>
      <c r="AB28" s="712">
        <f t="shared" si="7"/>
        <v>0</v>
      </c>
      <c r="AC28" s="713">
        <f t="shared" si="8"/>
        <v>0</v>
      </c>
      <c r="AD28" s="218">
        <f t="shared" si="9"/>
        <v>57843.8142823393</v>
      </c>
      <c r="AE28" s="215"/>
      <c r="AF28" s="231"/>
      <c r="AG28" s="231"/>
      <c r="AH28" s="231"/>
      <c r="AI28" s="776"/>
      <c r="AJ28" s="231"/>
      <c r="AK28" s="231"/>
      <c r="AL28" s="231"/>
      <c r="AM28" s="231"/>
      <c r="AN28" s="776"/>
      <c r="AO28" s="231"/>
      <c r="AP28" s="231"/>
      <c r="AQ28" s="231"/>
      <c r="AR28" s="231"/>
      <c r="AS28" s="725"/>
      <c r="AT28" s="725"/>
      <c r="AU28" s="725"/>
      <c r="AV28" s="725"/>
      <c r="AW28" s="725"/>
      <c r="AX28" s="725"/>
      <c r="AY28" s="725"/>
      <c r="AZ28" s="725"/>
      <c r="BA28" s="725"/>
      <c r="BB28" s="725"/>
      <c r="BC28" s="275"/>
      <c r="BD28" s="275"/>
      <c r="BE28" s="275"/>
      <c r="BF28" s="275"/>
      <c r="BG28" s="275"/>
      <c r="BH28" s="275"/>
      <c r="BI28" s="785">
        <f t="shared" si="34"/>
        <v>0</v>
      </c>
      <c r="BJ28" s="323">
        <f t="shared" si="35"/>
        <v>57843.8142823393</v>
      </c>
      <c r="BK28" s="323">
        <f t="shared" si="36"/>
        <v>0</v>
      </c>
      <c r="BL28" s="323">
        <f t="shared" si="37"/>
        <v>0</v>
      </c>
      <c r="BM28" s="323">
        <f t="shared" si="38"/>
        <v>0</v>
      </c>
      <c r="BN28" s="323">
        <f t="shared" si="39"/>
        <v>0</v>
      </c>
      <c r="BO28" s="787">
        <f t="shared" si="40"/>
        <v>57843.8142823393</v>
      </c>
      <c r="BP28" s="353">
        <f t="shared" si="41"/>
        <v>57843.8142823393</v>
      </c>
      <c r="BQ28" s="126" t="str">
        <f t="shared" si="54"/>
        <v>Ni-63</v>
      </c>
      <c r="BR28" s="98"/>
      <c r="BS28" s="365"/>
      <c r="BT28" s="369"/>
      <c r="BU28" s="369"/>
      <c r="BV28" s="119"/>
      <c r="BW28" s="802"/>
      <c r="BX28" s="803"/>
      <c r="BY28" s="70"/>
      <c r="BZ28" s="119"/>
    </row>
    <row r="29" s="165" customFormat="1" ht="15.75" spans="1:78">
      <c r="A29" s="675" t="s">
        <v>71</v>
      </c>
      <c r="B29" s="749">
        <v>0.00065</v>
      </c>
      <c r="C29" s="183">
        <f>正常源项!C27</f>
        <v>1.88e+17</v>
      </c>
      <c r="D29" s="183"/>
      <c r="E29" s="183">
        <f>正常源项!I27</f>
        <v>1200000000</v>
      </c>
      <c r="F29" s="183"/>
      <c r="G29" s="220"/>
      <c r="H29" s="183">
        <f>正常源项!R27</f>
        <v>142197302.751075</v>
      </c>
      <c r="I29" s="183">
        <f>正常源项!S27</f>
        <v>372199817.272207</v>
      </c>
      <c r="J29" s="182">
        <f t="shared" si="45"/>
        <v>514397120.023282</v>
      </c>
      <c r="K29" s="758">
        <f t="shared" si="46"/>
        <v>3250000000</v>
      </c>
      <c r="L29" s="759">
        <f>J29/K29</f>
        <v>0.158276036930241</v>
      </c>
      <c r="M29" s="760">
        <f t="shared" si="57"/>
        <v>3250000000</v>
      </c>
      <c r="N29" s="760">
        <v>3250581396</v>
      </c>
      <c r="O29" s="218">
        <f>M29</f>
        <v>3250000000</v>
      </c>
      <c r="P29" s="692">
        <f t="shared" si="50"/>
        <v>3250000000</v>
      </c>
      <c r="Q29" s="768">
        <f>P29/M29</f>
        <v>1</v>
      </c>
      <c r="R29" s="353">
        <f t="shared" si="52"/>
        <v>3250000000</v>
      </c>
      <c r="S29" s="678">
        <f t="shared" si="0"/>
        <v>0</v>
      </c>
      <c r="T29" s="693">
        <v>1</v>
      </c>
      <c r="U29" s="247">
        <f t="shared" si="56"/>
        <v>3250000000</v>
      </c>
      <c r="V29" s="247">
        <f t="shared" si="53"/>
        <v>0</v>
      </c>
      <c r="W29" s="710">
        <f t="shared" si="2"/>
        <v>3250000000</v>
      </c>
      <c r="X29" s="711">
        <f t="shared" si="3"/>
        <v>1.15740740740741e-6</v>
      </c>
      <c r="Y29" s="712">
        <f t="shared" si="4"/>
        <v>0</v>
      </c>
      <c r="Z29" s="712">
        <f t="shared" si="5"/>
        <v>0</v>
      </c>
      <c r="AA29" s="712">
        <f t="shared" si="6"/>
        <v>0</v>
      </c>
      <c r="AB29" s="712">
        <f t="shared" si="7"/>
        <v>0</v>
      </c>
      <c r="AC29" s="713">
        <f t="shared" si="8"/>
        <v>0</v>
      </c>
      <c r="AD29" s="218">
        <f t="shared" si="9"/>
        <v>3250000000</v>
      </c>
      <c r="AE29" s="215">
        <v>0</v>
      </c>
      <c r="AF29" s="216">
        <f>$C29*AE29/($B29+AE29)*(1-EXP(-($B29+AE29)*2*3600))</f>
        <v>0</v>
      </c>
      <c r="AG29" s="771">
        <v>0</v>
      </c>
      <c r="AH29" s="772">
        <f>AF29*AG29</f>
        <v>0</v>
      </c>
      <c r="AI29" s="773">
        <f>AH29*$X29/($B29+$X29)*(1-EXP(-($B29+$X29)*2*3600))</f>
        <v>0</v>
      </c>
      <c r="AJ29" s="210">
        <f>AE29</f>
        <v>0</v>
      </c>
      <c r="AK29" s="216">
        <f>$C29*AJ29/($B29+AJ29)*(EXP(-($B29+AJ29)*2*3600)-EXP(-($B29+AJ29)*8*3600))</f>
        <v>0</v>
      </c>
      <c r="AL29" s="771">
        <v>0</v>
      </c>
      <c r="AM29" s="774">
        <f>(AK29+AF29*(1-AG29)*EXP(-B29*2*3600))*AL29</f>
        <v>0</v>
      </c>
      <c r="AN29" s="775">
        <f>AH29*$X29/($B29+$X29)*(EXP(-($B29+$X29)*2*3600)-EXP(-($B29+$X29)*8*3600))+AM29*$X29/($B29+$X29)*(1-EXP(-($B29+$X29)*6*3600))</f>
        <v>0</v>
      </c>
      <c r="AO29" s="210">
        <f>$AE29</f>
        <v>0</v>
      </c>
      <c r="AP29" s="216">
        <f>$C29*AO29/($B29+AO29)*(EXP(-($B29+AO29)*8*3600)-EXP(-($B29+AO29)*24*3600))</f>
        <v>0</v>
      </c>
      <c r="AQ29" s="771">
        <v>0</v>
      </c>
      <c r="AR29" s="778">
        <f>(AP29+AF29*(1-AG29)*EXP(-B29*2*3600)*(1-AL29)*EXP(-B29*6*3600)+AK29*(1-AL29)*EXP(-B29*6*3600))*AQ29</f>
        <v>0</v>
      </c>
      <c r="AS29" s="773">
        <f>AH29*$X29/($B29+$X29)*(EXP(-($B29+$X29)*8*3600)-EXP(-($B29+$X29)*24*3600))+AM29*$X29/($B29+$X29)*(EXP(-($B29+$X29)*8*3600)-EXP(-($B29+$X29)*22*3600))+AR29*$X29/($B29+$X29)*(1-EXP(-($B29+$X29)*16*3600))</f>
        <v>0</v>
      </c>
      <c r="AT29" s="210">
        <f>$AE29</f>
        <v>0</v>
      </c>
      <c r="AU29" s="216">
        <f>$C29*AT29/($B29+AT29)*(EXP(-($B29+AT29)*24*3600)-EXP(-($B29+AT29)*96*3600))</f>
        <v>0</v>
      </c>
      <c r="AV29" s="771">
        <v>0</v>
      </c>
      <c r="AW29" s="778">
        <f>(AU29+$AF29*(1-$AG29)*EXP(-$B29*2*3600)*(1-$AL29)*EXP(-$B29*6*3600)*(1-$AQ29)*EXP(-$B29*16*3600)+$AK29*(1-$AL29)*EXP(-$B29*6*3600)*(1-$AQ29)*EXP(-$B29*16*3600)+$AP29*(1-$AQ29)*EXP(-$B29*16*3600))*AV29</f>
        <v>0</v>
      </c>
      <c r="AX29" s="773">
        <f>AH29*$X29/($B29+$X29)*(EXP(-($B29+$X29)*24*3600)-EXP(-($B29+$X29)*96*3600))+AM29*$X29/($B29+$X29)*(EXP(-($B29+$X29)*22*3600)-EXP(-($B29+$X29)*94*3600))+AR29*$X29/($B29+$X29)*(EXP(-($B29+$X29)*16*3600)-EXP(-($B29+$X29)*88*3600))+AW29*$X29/($B29+$X29)*(1-EXP(-($B29+$X29)*72*3600))</f>
        <v>0</v>
      </c>
      <c r="AY29" s="210">
        <f>$AE29</f>
        <v>0</v>
      </c>
      <c r="AZ29" s="216">
        <f>$C29*AY29/($B29+AY29)*(EXP(-($B29+AY29)*96*3600)-EXP(-($B29+AY29)*30*24*3600))</f>
        <v>0</v>
      </c>
      <c r="BA29" s="771">
        <v>0</v>
      </c>
      <c r="BB29" s="778">
        <f>(AZ29+$AF29*(1-$AG29)*EXP(-$B29*8*3600)*(1-$AL29)*EXP(-$B29*16*3600)*(1-$AQ29)*EXP(-$B29*24*3600)*(1-$AV29)*EXP(-$B29*48*3600)+$AK29*(1-$AL29)*EXP(-$B29*16*3600)*(1-$AQ29)*EXP(-$B29*24*3600)*(1-$AV29)*EXP(-$B29*48*3600)+$AP29*(1-$AQ29)*EXP(-$B29*24*3600)*(1-$AV29)*EXP(-$B29*48*3600)+AU29*(1-$AV29)*EXP(-$B29*48*3600))*BA29</f>
        <v>0</v>
      </c>
      <c r="BC29" s="783">
        <f>AH29*$X29/($B29+$X29)*(EXP(-($B29+$X29)*96*3600)-EXP(-($B29+$X29)*30*24*3600))+AM29*$X29/($B29+$X29)*(EXP(-($B29+$X29)*(96-2)*3600)-EXP(-($B29+$X29)*(24*30-2)*3600))+AR29*$X29/($B29+$X29)*(EXP(-($B29+$X29)*(96-8)*3600)-EXP(-($B29+$X29)*(24*30-8)*3600))+AW29*$X29/($B29+$X29)*(EXP(-($B29+$X29)*(96-24)*3600)-EXP(-($B29+$X29)*(24*30-24)*3600))+BB29*$X29/($B29+$X29)*(1-EXP(-($B29+$X29)*(24*30-96)*3600))</f>
        <v>0</v>
      </c>
      <c r="BD29" s="275">
        <f>C29</f>
        <v>1.88e+17</v>
      </c>
      <c r="BE29" s="275">
        <f>BD29*AY29/(B29+AY29)*(1-EXP(-30*24*(B29+AY29)*3600))</f>
        <v>0</v>
      </c>
      <c r="BF29" s="275">
        <f>AF29+AK29+AP29+AU29+AZ29</f>
        <v>0</v>
      </c>
      <c r="BG29" s="275">
        <f>AH29+AM29+AR29+AW29+BB29</f>
        <v>0</v>
      </c>
      <c r="BH29" s="275">
        <f>AI29+AN29+AS29+AX29+BC29</f>
        <v>0</v>
      </c>
      <c r="BI29" s="785">
        <f t="shared" si="34"/>
        <v>0</v>
      </c>
      <c r="BJ29" s="323">
        <f t="shared" si="35"/>
        <v>3250000000</v>
      </c>
      <c r="BK29" s="323">
        <f t="shared" si="36"/>
        <v>0</v>
      </c>
      <c r="BL29" s="323">
        <f t="shared" si="37"/>
        <v>0</v>
      </c>
      <c r="BM29" s="323">
        <f t="shared" si="38"/>
        <v>0</v>
      </c>
      <c r="BN29" s="323">
        <f t="shared" si="39"/>
        <v>0</v>
      </c>
      <c r="BO29" s="787">
        <f t="shared" si="40"/>
        <v>3250000000</v>
      </c>
      <c r="BP29" s="353">
        <f t="shared" si="41"/>
        <v>3250000000</v>
      </c>
      <c r="BQ29" s="126" t="str">
        <f t="shared" si="54"/>
        <v>Rb-88</v>
      </c>
      <c r="BR29" s="788">
        <v>3250000000</v>
      </c>
      <c r="BS29" s="365">
        <f>BJ29/BR29</f>
        <v>1</v>
      </c>
      <c r="BT29" s="369">
        <f>P29/BR29</f>
        <v>1</v>
      </c>
      <c r="BU29" s="369">
        <f>BO29/BR29</f>
        <v>1</v>
      </c>
      <c r="BV29" s="106" t="s">
        <v>71</v>
      </c>
      <c r="BW29" s="797">
        <v>3250000000</v>
      </c>
      <c r="BX29" s="804" t="s">
        <v>71</v>
      </c>
      <c r="BY29" s="794">
        <v>3300000000</v>
      </c>
      <c r="BZ29" s="369">
        <f>BW29/BY29</f>
        <v>0.984848484848485</v>
      </c>
    </row>
    <row r="30" s="165" customFormat="1" ht="15.75" spans="1:78">
      <c r="A30" s="675" t="s">
        <v>72</v>
      </c>
      <c r="B30" s="753">
        <v>0.000359</v>
      </c>
      <c r="C30" s="195"/>
      <c r="D30" s="196"/>
      <c r="E30" s="196">
        <f>正常源项!I28</f>
        <v>410000000</v>
      </c>
      <c r="F30" s="196"/>
      <c r="G30" s="754"/>
      <c r="H30" s="196">
        <f>正常源项!R28</f>
        <v>58280367.7632397</v>
      </c>
      <c r="I30" s="196">
        <f>正常源项!S28</f>
        <v>186173211.134388</v>
      </c>
      <c r="J30" s="195">
        <f t="shared" si="45"/>
        <v>244453578.897628</v>
      </c>
      <c r="K30" s="762">
        <f t="shared" si="46"/>
        <v>360000000</v>
      </c>
      <c r="L30" s="763">
        <f>J30/K30</f>
        <v>0.679037719160077</v>
      </c>
      <c r="M30" s="760">
        <f t="shared" si="57"/>
        <v>360000000</v>
      </c>
      <c r="N30" s="760">
        <v>360087448.1</v>
      </c>
      <c r="O30" s="218">
        <f>M30</f>
        <v>360000000</v>
      </c>
      <c r="P30" s="692">
        <f t="shared" si="50"/>
        <v>360000000</v>
      </c>
      <c r="Q30" s="768">
        <f>P30/M30</f>
        <v>1</v>
      </c>
      <c r="R30" s="353">
        <f t="shared" si="52"/>
        <v>360000000</v>
      </c>
      <c r="S30" s="678">
        <f t="shared" si="0"/>
        <v>0</v>
      </c>
      <c r="T30" s="693">
        <v>1</v>
      </c>
      <c r="U30" s="247">
        <f t="shared" si="56"/>
        <v>360000000</v>
      </c>
      <c r="V30" s="247">
        <f t="shared" si="53"/>
        <v>0</v>
      </c>
      <c r="W30" s="710">
        <f t="shared" si="2"/>
        <v>360000000</v>
      </c>
      <c r="X30" s="711">
        <f t="shared" si="3"/>
        <v>1.15740740740741e-6</v>
      </c>
      <c r="Y30" s="712">
        <f t="shared" si="4"/>
        <v>0</v>
      </c>
      <c r="Z30" s="712">
        <f t="shared" si="5"/>
        <v>0</v>
      </c>
      <c r="AA30" s="712">
        <f t="shared" si="6"/>
        <v>0</v>
      </c>
      <c r="AB30" s="712">
        <f t="shared" si="7"/>
        <v>0</v>
      </c>
      <c r="AC30" s="713">
        <f t="shared" si="8"/>
        <v>0</v>
      </c>
      <c r="AD30" s="218">
        <f t="shared" si="9"/>
        <v>360000000</v>
      </c>
      <c r="AE30" s="215">
        <v>0</v>
      </c>
      <c r="AF30" s="216">
        <f>$C30*AE30/($B30+AE30)*(1-EXP(-($B30+AE30)*2*3600))</f>
        <v>0</v>
      </c>
      <c r="AG30" s="771">
        <v>0</v>
      </c>
      <c r="AH30" s="772">
        <f>AF30*AG30</f>
        <v>0</v>
      </c>
      <c r="AI30" s="773">
        <f>AH30*$X30/($B30+$X30)*(1-EXP(-($B30+$X30)*2*3600))</f>
        <v>0</v>
      </c>
      <c r="AJ30" s="210">
        <f>AE30</f>
        <v>0</v>
      </c>
      <c r="AK30" s="216">
        <f>$C30*AJ30/($B30+AJ30)*(EXP(-($B30+AJ30)*2*3600)-EXP(-($B30+AJ30)*8*3600))</f>
        <v>0</v>
      </c>
      <c r="AL30" s="771">
        <v>0</v>
      </c>
      <c r="AM30" s="774">
        <f>(AK30+AF30*(1-AG30)*EXP(-B30*2*3600))*AL30</f>
        <v>0</v>
      </c>
      <c r="AN30" s="775">
        <f>AH30*$X30/($B30+$X30)*(EXP(-($B30+$X30)*2*3600)-EXP(-($B30+$X30)*8*3600))+AM30*$X30/($B30+$X30)*(1-EXP(-($B30+$X30)*6*3600))</f>
        <v>0</v>
      </c>
      <c r="AO30" s="210">
        <f>$AE30</f>
        <v>0</v>
      </c>
      <c r="AP30" s="216">
        <f>$C30*AO30/($B30+AO30)*(EXP(-($B30+AO30)*8*3600)-EXP(-($B30+AO30)*24*3600))</f>
        <v>0</v>
      </c>
      <c r="AQ30" s="771">
        <v>0</v>
      </c>
      <c r="AR30" s="778">
        <f>(AP30+AF30*(1-AG30)*EXP(-B30*2*3600)*(1-AL30)*EXP(-B30*6*3600)+AK30*(1-AL30)*EXP(-B30*6*3600))*AQ30</f>
        <v>0</v>
      </c>
      <c r="AS30" s="773">
        <f>AH30*$X30/($B30+$X30)*(EXP(-($B30+$X30)*8*3600)-EXP(-($B30+$X30)*24*3600))+AM30*$X30/($B30+$X30)*(EXP(-($B30+$X30)*8*3600)-EXP(-($B30+$X30)*22*3600))+AR30*$X30/($B30+$X30)*(1-EXP(-($B30+$X30)*16*3600))</f>
        <v>0</v>
      </c>
      <c r="AT30" s="210">
        <f>$AE30</f>
        <v>0</v>
      </c>
      <c r="AU30" s="216">
        <f>$C30*AT30/($B30+AT30)*(EXP(-($B30+AT30)*24*3600)-EXP(-($B30+AT30)*96*3600))</f>
        <v>0</v>
      </c>
      <c r="AV30" s="771">
        <v>0</v>
      </c>
      <c r="AW30" s="778">
        <f>(AU30+$AF30*(1-$AG30)*EXP(-$B30*2*3600)*(1-$AL30)*EXP(-$B30*6*3600)*(1-$AQ30)*EXP(-$B30*16*3600)+$AK30*(1-$AL30)*EXP(-$B30*6*3600)*(1-$AQ30)*EXP(-$B30*16*3600)+$AP30*(1-$AQ30)*EXP(-$B30*16*3600))*AV30</f>
        <v>0</v>
      </c>
      <c r="AX30" s="773">
        <f>AH30*$X30/($B30+$X30)*(EXP(-($B30+$X30)*24*3600)-EXP(-($B30+$X30)*96*3600))+AM30*$X30/($B30+$X30)*(EXP(-($B30+$X30)*22*3600)-EXP(-($B30+$X30)*94*3600))+AR30*$X30/($B30+$X30)*(EXP(-($B30+$X30)*16*3600)-EXP(-($B30+$X30)*88*3600))+AW30*$X30/($B30+$X30)*(1-EXP(-($B30+$X30)*72*3600))</f>
        <v>0</v>
      </c>
      <c r="AY30" s="210">
        <f>$AE30</f>
        <v>0</v>
      </c>
      <c r="AZ30" s="216">
        <f>$C30*AY30/($B30+AY30)*(EXP(-($B30+AY30)*96*3600)-EXP(-($B30+AY30)*30*24*3600))</f>
        <v>0</v>
      </c>
      <c r="BA30" s="771">
        <v>0</v>
      </c>
      <c r="BB30" s="778">
        <f>(AZ30+$AF30*(1-$AG30)*EXP(-$B30*8*3600)*(1-$AL30)*EXP(-$B30*16*3600)*(1-$AQ30)*EXP(-$B30*24*3600)*(1-$AV30)*EXP(-$B30*48*3600)+$AK30*(1-$AL30)*EXP(-$B30*16*3600)*(1-$AQ30)*EXP(-$B30*24*3600)*(1-$AV30)*EXP(-$B30*48*3600)+$AP30*(1-$AQ30)*EXP(-$B30*24*3600)*(1-$AV30)*EXP(-$B30*48*3600)+AU30*(1-$AV30)*EXP(-$B30*48*3600))*BA30</f>
        <v>0</v>
      </c>
      <c r="BC30" s="783">
        <f>AH30*$X30/($B30+$X30)*(EXP(-($B30+$X30)*96*3600)-EXP(-($B30+$X30)*30*24*3600))+AM30*$X30/($B30+$X30)*(EXP(-($B30+$X30)*(96-2)*3600)-EXP(-($B30+$X30)*(24*30-2)*3600))+AR30*$X30/($B30+$X30)*(EXP(-($B30+$X30)*(96-8)*3600)-EXP(-($B30+$X30)*(24*30-8)*3600))+AW30*$X30/($B30+$X30)*(EXP(-($B30+$X30)*(96-24)*3600)-EXP(-($B30+$X30)*(24*30-24)*3600))+BB30*$X30/($B30+$X30)*(1-EXP(-($B30+$X30)*(24*30-96)*3600))</f>
        <v>0</v>
      </c>
      <c r="BD30" s="275">
        <f>C30</f>
        <v>0</v>
      </c>
      <c r="BE30" s="275">
        <f>BD30*AY30/(B30+AY30)*(1-EXP(-30*24*(B30+AY30)*3600))</f>
        <v>0</v>
      </c>
      <c r="BF30" s="275">
        <f>AF30+AK30+AP30+AU30+AZ30</f>
        <v>0</v>
      </c>
      <c r="BG30" s="275">
        <f>AH30+AM30+AR30+AW30+BB30</f>
        <v>0</v>
      </c>
      <c r="BH30" s="275">
        <f>AI30+AN30+AS30+AX30+BC30</f>
        <v>0</v>
      </c>
      <c r="BI30" s="734">
        <f t="shared" si="34"/>
        <v>0</v>
      </c>
      <c r="BJ30" s="735">
        <f t="shared" si="35"/>
        <v>360000000</v>
      </c>
      <c r="BK30" s="735">
        <f t="shared" si="36"/>
        <v>0</v>
      </c>
      <c r="BL30" s="735">
        <f t="shared" si="37"/>
        <v>0</v>
      </c>
      <c r="BM30" s="735">
        <f t="shared" si="38"/>
        <v>0</v>
      </c>
      <c r="BN30" s="735">
        <f t="shared" si="39"/>
        <v>0</v>
      </c>
      <c r="BO30" s="790">
        <f t="shared" si="40"/>
        <v>360000000</v>
      </c>
      <c r="BP30" s="353">
        <f t="shared" si="41"/>
        <v>360000000</v>
      </c>
      <c r="BQ30" s="126" t="str">
        <f t="shared" si="54"/>
        <v>Cs-138</v>
      </c>
      <c r="BR30" s="789">
        <v>360000000</v>
      </c>
      <c r="BS30" s="365">
        <f>BJ30/BR30</f>
        <v>1</v>
      </c>
      <c r="BT30" s="369">
        <f>P30/BR30</f>
        <v>1</v>
      </c>
      <c r="BU30" s="369">
        <f>BO30/BR30</f>
        <v>1</v>
      </c>
      <c r="BV30" s="106" t="s">
        <v>72</v>
      </c>
      <c r="BW30" s="797">
        <v>360000000</v>
      </c>
      <c r="BX30" s="804" t="s">
        <v>72</v>
      </c>
      <c r="BY30" s="794">
        <v>390000000</v>
      </c>
      <c r="BZ30" s="369">
        <f>BW30/BY30</f>
        <v>0.923076923076923</v>
      </c>
    </row>
    <row r="31" s="91" customFormat="1" spans="13:78">
      <c r="M31" s="166"/>
      <c r="N31" s="166"/>
      <c r="O31" s="166"/>
      <c r="Y31" s="126"/>
      <c r="Z31" s="126"/>
      <c r="AA31" s="126"/>
      <c r="AB31" s="126"/>
      <c r="AD31" s="166"/>
      <c r="AI31" s="167"/>
      <c r="AN31" s="167"/>
      <c r="AS31" s="167"/>
      <c r="AT31" s="167"/>
      <c r="AU31" s="167"/>
      <c r="AV31" s="167"/>
      <c r="AW31" s="167"/>
      <c r="AX31" s="167"/>
      <c r="AY31" s="167"/>
      <c r="AZ31" s="167"/>
      <c r="BA31" s="167"/>
      <c r="BB31" s="167"/>
      <c r="BC31" s="167"/>
      <c r="BD31" s="167"/>
      <c r="BE31" s="275"/>
      <c r="BF31" s="736"/>
      <c r="BG31" s="167"/>
      <c r="BH31" s="167"/>
      <c r="BV31" s="805"/>
      <c r="BW31" s="802"/>
      <c r="BX31" s="69"/>
      <c r="BY31" s="70"/>
      <c r="BZ31" s="119"/>
    </row>
    <row r="32" s="91" customFormat="1" spans="13:78">
      <c r="M32" s="166"/>
      <c r="N32" s="166"/>
      <c r="O32" s="166"/>
      <c r="U32" s="373"/>
      <c r="V32" s="373" t="s">
        <v>374</v>
      </c>
      <c r="X32" s="91" t="s">
        <v>121</v>
      </c>
      <c r="Y32" s="126" t="s">
        <v>134</v>
      </c>
      <c r="Z32" s="126" t="s">
        <v>136</v>
      </c>
      <c r="AA32" s="126" t="s">
        <v>138</v>
      </c>
      <c r="AB32" s="126" t="s">
        <v>142</v>
      </c>
      <c r="AC32" s="91" t="s">
        <v>375</v>
      </c>
      <c r="AD32" s="166"/>
      <c r="AI32" s="167"/>
      <c r="AN32" s="167"/>
      <c r="AS32" s="167"/>
      <c r="AT32" s="167"/>
      <c r="AU32" s="167"/>
      <c r="AV32" s="167"/>
      <c r="AW32" s="167"/>
      <c r="AX32" s="167"/>
      <c r="AY32" s="167"/>
      <c r="AZ32" s="167"/>
      <c r="BA32" s="167"/>
      <c r="BB32" s="167"/>
      <c r="BC32" s="167"/>
      <c r="BD32" s="167"/>
      <c r="BE32" s="275"/>
      <c r="BF32" s="167"/>
      <c r="BG32" s="167"/>
      <c r="BH32" s="167"/>
      <c r="BV32" s="805"/>
      <c r="BW32" s="802"/>
      <c r="BX32" s="69"/>
      <c r="BY32" s="70"/>
      <c r="BZ32" s="119"/>
    </row>
    <row r="33" s="91" customFormat="1" spans="13:78">
      <c r="M33" s="166"/>
      <c r="N33" s="166"/>
      <c r="O33" s="166"/>
      <c r="W33" s="91" t="str">
        <f>$A4</f>
        <v>Kr-83m</v>
      </c>
      <c r="X33" s="126">
        <f>P4</f>
        <v>224534399.124635</v>
      </c>
      <c r="Y33" s="126">
        <f>X33*EXP(-($B4+X4)*2*3600)</f>
        <v>104553153.457055</v>
      </c>
      <c r="Z33" s="126">
        <f>Y33*EXP(-($B4+$X4)*(8-2)*3600)</f>
        <v>10556012.3396499</v>
      </c>
      <c r="AA33" s="126">
        <f>Z33*EXP(-($B4+$X4)*(24-8)*3600)</f>
        <v>23331.0291998191</v>
      </c>
      <c r="AB33" s="126">
        <f>AA33*EXP(-($B4+$X4)*(96-24)*3600)</f>
        <v>2.61750146343955e-8</v>
      </c>
      <c r="AC33" s="126">
        <f>AB33*EXP(-($B4+$X4)*(30*24-96)*3600)</f>
        <v>7.09272701002101e-112</v>
      </c>
      <c r="AD33" s="166"/>
      <c r="AI33" s="167"/>
      <c r="AN33" s="167"/>
      <c r="AS33" s="167"/>
      <c r="AT33" s="167"/>
      <c r="AU33" s="167"/>
      <c r="AV33" s="167"/>
      <c r="AW33" s="167"/>
      <c r="AX33" s="167"/>
      <c r="AY33" s="167"/>
      <c r="AZ33" s="167"/>
      <c r="BA33" s="167"/>
      <c r="BB33" s="167"/>
      <c r="BC33" s="167"/>
      <c r="BD33" s="167"/>
      <c r="BE33" s="167"/>
      <c r="BF33" s="167"/>
      <c r="BG33" s="167"/>
      <c r="BH33" s="651" t="s">
        <v>289</v>
      </c>
      <c r="BI33" s="652" t="s">
        <v>290</v>
      </c>
      <c r="BJ33" s="652" t="s">
        <v>291</v>
      </c>
      <c r="BK33" s="198"/>
      <c r="BL33" s="198"/>
      <c r="BM33" s="198"/>
      <c r="BN33" s="198"/>
      <c r="BV33" s="119"/>
      <c r="BW33" s="119"/>
      <c r="BX33" s="119"/>
      <c r="BY33" s="119"/>
      <c r="BZ33" s="119"/>
    </row>
    <row r="34" s="91" customFormat="1" spans="13:78">
      <c r="M34" s="166"/>
      <c r="N34" s="166"/>
      <c r="O34" s="166"/>
      <c r="W34" s="91" t="str">
        <f t="shared" ref="W34:W59" si="58">$A5</f>
        <v>Kr-85</v>
      </c>
      <c r="X34" s="126">
        <f t="shared" ref="X34:X59" si="59">P5</f>
        <v>1630000000</v>
      </c>
      <c r="Y34" s="126">
        <f t="shared" ref="Y34:Y59" si="60">X34*EXP(-($B5+X5)*2*3600)</f>
        <v>1616449364.41874</v>
      </c>
      <c r="Z34" s="126">
        <f t="shared" ref="Z34:Z59" si="61">Y34*EXP(-($B5+$X5)*(8-2)*3600)</f>
        <v>1576469620.32166</v>
      </c>
      <c r="AA34" s="126">
        <f t="shared" ref="AA34:AA59" si="62">Z34*EXP(-($B5+$X5)*(24-8)*3600)</f>
        <v>1474625056.97774</v>
      </c>
      <c r="AB34" s="126">
        <f t="shared" ref="AB34:AB59" si="63">AA34*EXP(-($B5+$X5)*(96-24)*3600)</f>
        <v>1091851622.0191</v>
      </c>
      <c r="AC34" s="126">
        <f t="shared" ref="AC34:AC59" si="64">AB34*EXP(-($B5+$X5)*(30*24-96)*3600)</f>
        <v>80724943.2629754</v>
      </c>
      <c r="AD34" s="166"/>
      <c r="AI34" s="167"/>
      <c r="AN34" s="167"/>
      <c r="AS34" s="167"/>
      <c r="AT34" s="167"/>
      <c r="AU34" s="167"/>
      <c r="AV34" s="167"/>
      <c r="AW34" s="167"/>
      <c r="AX34" s="167"/>
      <c r="AY34" s="167"/>
      <c r="AZ34" s="167"/>
      <c r="BA34" s="167"/>
      <c r="BB34" s="167"/>
      <c r="BC34" s="167"/>
      <c r="BD34" s="167"/>
      <c r="BE34" s="167"/>
      <c r="BF34" s="167"/>
      <c r="BG34" s="167"/>
      <c r="BH34" s="653">
        <f>后果有效剂量!$P5</f>
        <v>0</v>
      </c>
      <c r="BI34" s="334">
        <f>SUMPRODUCT(BJ$4:BJ$26,后果有效剂量!$I$5:$I$27)*后果有效剂量!$Q5+SUMPRODUCT(BK$4:BK$26,后果有效剂量!$I$5:$I$27)*后果有效剂量!$R5+SUMPRODUCT(BL$4:BL$26,后果有效剂量!$I$5:$I$27)*后果有效剂量!$S5+SUMPRODUCT(BM$4:BM$26,后果有效剂量!$I$5:$I$27)*后果有效剂量!$T5+SUMPRODUCT(BN$4:BN$26,后果有效剂量!$I$5:$I$27)*后果有效剂量!$U5+SUMPRODUCT(BJ$4:BJ$26,后果有效剂量!$J$5:$J$27)*后果有效剂量!$Q5*后果有效剂量!$Q$3+SUMPRODUCT(BK$4:BK$26,后果有效剂量!$J$5:$J$27)*后果有效剂量!$R5*后果有效剂量!$R$3+SUMPRODUCT(BL$4:BL$26,后果有效剂量!$J$5:$J$27)*后果有效剂量!$S5*后果有效剂量!$S$3+SUMPRODUCT(BM$4:BM$26,后果有效剂量!$J$5:$J$27)*后果有效剂量!$T5*后果有效剂量!$T$3+SUMPRODUCT(BN$4:BN$26,后果有效剂量!$J$5:$J$27)*后果有效剂量!$U5*后果有效剂量!$U$3+SUMPRODUCT(BJ$4:BJ$26,后果有效剂量!$K$5:$K$27)*后果有效剂量!$Q5+SUMPRODUCT(BK$4:BK$26,后果有效剂量!$K$5:$K$27)*后果有效剂量!$R5+SUMPRODUCT(BL$4:BL$26,后果有效剂量!$K$5:$K$27)*后果有效剂量!$S5+SUMPRODUCT(BM$4:BM$26,后果有效剂量!$K$5:$K$27)*后果有效剂量!$T5+SUMPRODUCT(BN$4:BN$26,后果有效剂量!$K$5:$K$27)*后果有效剂量!$U5+SUMPRODUCT(BJ$29:BJ$30,后果有效剂量!$I$28:$I$29)*后果有效剂量!$Q5+SUMPRODUCT(BJ$29:BJ$30,后果有效剂量!$J$28:$J$29)*后果有效剂量!$Q5*后果有效剂量!$Q$3+SUMPRODUCT(BJ$29:BJ$30,后果有效剂量!$K$28:$K$29)*后果有效剂量!$Q5</f>
        <v>0</v>
      </c>
      <c r="BJ34" s="335">
        <f>SUMPRODUCT(BJ$4:BJ$26,后果甲状腺剂量!$I$5:$I$27)*后果甲状腺剂量!$Q5+SUMPRODUCT(BK$4:BK$26,后果甲状腺剂量!$I$5:$I$27)*后果甲状腺剂量!$R5+SUMPRODUCT(BL$4:BL$26,后果甲状腺剂量!$I$5:$I$27)*后果甲状腺剂量!$S5+SUMPRODUCT(BM$4:BM$26,后果甲状腺剂量!$I$5:$I$27)*后果甲状腺剂量!$T5+SUMPRODUCT(BN$4:BN$26,后果甲状腺剂量!$I$5:$I$27)*后果甲状腺剂量!$U5+SUMPRODUCT(BJ$4:BJ$26,后果甲状腺剂量!$J$5:$J$27)*后果甲状腺剂量!$Q5*后果甲状腺剂量!$Q$3+SUMPRODUCT(BK$4:BK$26,后果甲状腺剂量!$J$5:$J$27)*后果甲状腺剂量!$R5*后果甲状腺剂量!$R$3+SUMPRODUCT(BL$4:BL$26,后果甲状腺剂量!$J$5:$J$27)*后果甲状腺剂量!$S5*后果甲状腺剂量!$S$3+SUMPRODUCT(BM$4:BM$26,后果甲状腺剂量!$J$5:$J$27)*后果甲状腺剂量!$T5*后果甲状腺剂量!$T$3+SUMPRODUCT(BN$4:BN$26,后果甲状腺剂量!$J$5:$J$27)*后果甲状腺剂量!$U5*后果甲状腺剂量!$U$3+SUMPRODUCT(BJ$4:BJ$26,后果甲状腺剂量!$K$5:$K$27)*后果甲状腺剂量!$Q5+SUMPRODUCT(BK$4:BK$26,后果甲状腺剂量!$K$5:$K$27)*后果甲状腺剂量!$R5+SUMPRODUCT(BL$4:BL$26,后果甲状腺剂量!$K$5:$K$27)*后果甲状腺剂量!$S5+SUMPRODUCT(BM$4:BM$26,后果甲状腺剂量!$K$5:$K$27)*后果甲状腺剂量!$T5+SUMPRODUCT(BN$4:BN$26,后果甲状腺剂量!$K$5:$K$27)*后果甲状腺剂量!$U5+SUMPRODUCT(BJ$29:BJ$30,后果甲状腺剂量!$I$28:$I$29)*后果甲状腺剂量!$Q5+SUMPRODUCT(BJ$29:BJ$30,后果甲状腺剂量!$J$28:$J$29)*后果甲状腺剂量!$Q5*后果甲状腺剂量!$Q$3+SUMPRODUCT(BJ$29:BJ$30,后果甲状腺剂量!$K$28:$K$29)*后果甲状腺剂量!$Q5</f>
        <v>0</v>
      </c>
      <c r="BK34" s="333">
        <f t="shared" ref="BK34:BK49" si="65">BI34*1000</f>
        <v>0</v>
      </c>
      <c r="BL34" s="333">
        <f t="shared" ref="BL34:BL49" si="66">BJ34*1000</f>
        <v>0</v>
      </c>
      <c r="BM34" s="198"/>
      <c r="BN34" s="198"/>
      <c r="BV34" s="805"/>
      <c r="BW34" s="802"/>
      <c r="BX34" s="69"/>
      <c r="BY34" s="70"/>
      <c r="BZ34" s="119"/>
    </row>
    <row r="35" s="91" customFormat="1" spans="13:78">
      <c r="M35" s="166"/>
      <c r="N35" s="166"/>
      <c r="O35" s="166"/>
      <c r="W35" s="91" t="str">
        <f t="shared" si="58"/>
        <v>Kr-85m</v>
      </c>
      <c r="X35" s="126">
        <f t="shared" si="59"/>
        <v>2120000000</v>
      </c>
      <c r="Y35" s="126">
        <f t="shared" si="60"/>
        <v>1542620749.39427</v>
      </c>
      <c r="Z35" s="126">
        <f t="shared" si="61"/>
        <v>594331969.421735</v>
      </c>
      <c r="AA35" s="126">
        <f t="shared" si="62"/>
        <v>46710611.5851356</v>
      </c>
      <c r="AB35" s="126">
        <f t="shared" si="63"/>
        <v>499.637045403896</v>
      </c>
      <c r="AC35" s="126">
        <f t="shared" si="64"/>
        <v>4.15648904513139e-41</v>
      </c>
      <c r="AD35" s="166"/>
      <c r="AI35" s="167"/>
      <c r="AN35" s="167"/>
      <c r="AS35" s="167"/>
      <c r="AT35" s="167"/>
      <c r="AU35" s="167"/>
      <c r="AV35" s="167"/>
      <c r="AW35" s="167"/>
      <c r="AX35" s="167"/>
      <c r="AY35" s="167"/>
      <c r="AZ35" s="167"/>
      <c r="BA35" s="167"/>
      <c r="BB35" s="167"/>
      <c r="BC35" s="167"/>
      <c r="BD35" s="167"/>
      <c r="BE35" s="167"/>
      <c r="BF35" s="167"/>
      <c r="BG35" s="167"/>
      <c r="BH35" s="653">
        <f>后果有效剂量!$P6</f>
        <v>0</v>
      </c>
      <c r="BI35" s="334">
        <f>SUMPRODUCT(BJ$4:BJ$26,后果有效剂量!$I$5:$I$27)*后果有效剂量!$Q6+SUMPRODUCT(BK$4:BK$26,后果有效剂量!$I$5:$I$27)*后果有效剂量!$R6+SUMPRODUCT(BL$4:BL$26,后果有效剂量!$I$5:$I$27)*后果有效剂量!$S6+SUMPRODUCT(BM$4:BM$26,后果有效剂量!$I$5:$I$27)*后果有效剂量!$T6+SUMPRODUCT(BN$4:BN$26,后果有效剂量!$I$5:$I$27)*后果有效剂量!$U6+SUMPRODUCT(BJ$4:BJ$26,后果有效剂量!$J$5:$J$27)*后果有效剂量!$Q6*后果有效剂量!$Q$3+SUMPRODUCT(BK$4:BK$26,后果有效剂量!$J$5:$J$27)*后果有效剂量!$R6*后果有效剂量!$R$3+SUMPRODUCT(BL$4:BL$26,后果有效剂量!$J$5:$J$27)*后果有效剂量!$S6*后果有效剂量!$S$3+SUMPRODUCT(BM$4:BM$26,后果有效剂量!$J$5:$J$27)*后果有效剂量!$T6*后果有效剂量!$T$3+SUMPRODUCT(BN$4:BN$26,后果有效剂量!$J$5:$J$27)*后果有效剂量!$U6*后果有效剂量!$U$3+SUMPRODUCT(BJ$4:BJ$26,后果有效剂量!$K$5:$K$27)*后果有效剂量!$Q6+SUMPRODUCT(BK$4:BK$26,后果有效剂量!$K$5:$K$27)*后果有效剂量!$R6+SUMPRODUCT(BL$4:BL$26,后果有效剂量!$K$5:$K$27)*后果有效剂量!$S6+SUMPRODUCT(BM$4:BM$26,后果有效剂量!$K$5:$K$27)*后果有效剂量!$T6+SUMPRODUCT(BN$4:BN$26,后果有效剂量!$K$5:$K$27)*后果有效剂量!$U6+SUMPRODUCT(BJ$29:BJ$30,后果有效剂量!$I$28:$I$29)*后果有效剂量!$Q6+SUMPRODUCT(BJ$29:BJ$30,后果有效剂量!$J$28:$J$29)*后果有效剂量!$Q6*后果有效剂量!$Q$3+SUMPRODUCT(BJ$29:BJ$30,后果有效剂量!$K$28:$K$29)*后果有效剂量!$Q6</f>
        <v>0</v>
      </c>
      <c r="BJ35" s="335">
        <f>SUMPRODUCT(BJ$4:BJ$26,后果甲状腺剂量!$I$5:$I$27)*后果甲状腺剂量!$Q6+SUMPRODUCT(BK$4:BK$26,后果甲状腺剂量!$I$5:$I$27)*后果甲状腺剂量!$R6+SUMPRODUCT(BL$4:BL$26,后果甲状腺剂量!$I$5:$I$27)*后果甲状腺剂量!$S6+SUMPRODUCT(BM$4:BM$26,后果甲状腺剂量!$I$5:$I$27)*后果甲状腺剂量!$T6+SUMPRODUCT(BN$4:BN$26,后果甲状腺剂量!$I$5:$I$27)*后果甲状腺剂量!$U6+SUMPRODUCT(BJ$4:BJ$26,后果甲状腺剂量!$J$5:$J$27)*后果甲状腺剂量!$Q6*后果甲状腺剂量!$Q$3+SUMPRODUCT(BK$4:BK$26,后果甲状腺剂量!$J$5:$J$27)*后果甲状腺剂量!$R6*后果甲状腺剂量!$R$3+SUMPRODUCT(BL$4:BL$26,后果甲状腺剂量!$J$5:$J$27)*后果甲状腺剂量!$S6*后果甲状腺剂量!$S$3+SUMPRODUCT(BM$4:BM$26,后果甲状腺剂量!$J$5:$J$27)*后果甲状腺剂量!$T6*后果甲状腺剂量!$T$3+SUMPRODUCT(BN$4:BN$26,后果甲状腺剂量!$J$5:$J$27)*后果甲状腺剂量!$U6*后果甲状腺剂量!$U$3+SUMPRODUCT(BJ$4:BJ$26,后果甲状腺剂量!$K$5:$K$27)*后果甲状腺剂量!$Q6+SUMPRODUCT(BK$4:BK$26,后果甲状腺剂量!$K$5:$K$27)*后果甲状腺剂量!$R6+SUMPRODUCT(BL$4:BL$26,后果甲状腺剂量!$K$5:$K$27)*后果甲状腺剂量!$S6+SUMPRODUCT(BM$4:BM$26,后果甲状腺剂量!$K$5:$K$27)*后果甲状腺剂量!$T6+SUMPRODUCT(BN$4:BN$26,后果甲状腺剂量!$K$5:$K$27)*后果甲状腺剂量!$U6+SUMPRODUCT(BJ$29:BJ$30,后果甲状腺剂量!$I$28:$I$29)*后果甲状腺剂量!$Q6+SUMPRODUCT(BJ$29:BJ$30,后果甲状腺剂量!$J$28:$J$29)*后果甲状腺剂量!$Q6*后果甲状腺剂量!$Q$3+SUMPRODUCT(BJ$29:BJ$30,后果甲状腺剂量!$K$28:$K$29)*后果甲状腺剂量!$Q6</f>
        <v>0</v>
      </c>
      <c r="BK35" s="333">
        <f t="shared" si="65"/>
        <v>0</v>
      </c>
      <c r="BL35" s="333">
        <f t="shared" si="66"/>
        <v>0</v>
      </c>
      <c r="BM35" s="198"/>
      <c r="BN35" s="198"/>
      <c r="BV35" s="805"/>
      <c r="BW35" s="802"/>
      <c r="BX35" s="69"/>
      <c r="BY35" s="70"/>
      <c r="BZ35" s="119"/>
    </row>
    <row r="36" s="91" customFormat="1" spans="13:78">
      <c r="M36" s="166"/>
      <c r="N36" s="166"/>
      <c r="O36" s="166"/>
      <c r="W36" s="91" t="str">
        <f t="shared" si="58"/>
        <v>Kr-87</v>
      </c>
      <c r="X36" s="126">
        <f t="shared" si="59"/>
        <v>797000000</v>
      </c>
      <c r="Y36" s="126">
        <f t="shared" si="60"/>
        <v>266485903.016142</v>
      </c>
      <c r="Z36" s="126">
        <f t="shared" si="61"/>
        <v>9961437.07131275</v>
      </c>
      <c r="AA36" s="126">
        <f t="shared" si="62"/>
        <v>1556.1424303355</v>
      </c>
      <c r="AB36" s="126">
        <f t="shared" si="63"/>
        <v>1.15830362052129e-14</v>
      </c>
      <c r="AC36" s="126">
        <f t="shared" si="64"/>
        <v>4.16091663429772e-163</v>
      </c>
      <c r="AD36" s="166"/>
      <c r="AI36" s="167"/>
      <c r="AN36" s="167"/>
      <c r="AS36" s="167"/>
      <c r="AT36" s="167"/>
      <c r="AU36" s="167"/>
      <c r="AV36" s="167"/>
      <c r="AW36" s="167"/>
      <c r="AX36" s="167"/>
      <c r="AY36" s="167"/>
      <c r="AZ36" s="167"/>
      <c r="BA36" s="167"/>
      <c r="BB36" s="167"/>
      <c r="BC36" s="167"/>
      <c r="BD36" s="167"/>
      <c r="BE36" s="167"/>
      <c r="BF36" s="167"/>
      <c r="BG36" s="167"/>
      <c r="BH36" s="653">
        <f>后果有效剂量!$P7</f>
        <v>0</v>
      </c>
      <c r="BI36" s="334">
        <f>SUMPRODUCT(BJ$4:BJ$26,后果有效剂量!$I$5:$I$27)*后果有效剂量!$Q7+SUMPRODUCT(BK$4:BK$26,后果有效剂量!$I$5:$I$27)*后果有效剂量!$R7+SUMPRODUCT(BL$4:BL$26,后果有效剂量!$I$5:$I$27)*后果有效剂量!$S7+SUMPRODUCT(BM$4:BM$26,后果有效剂量!$I$5:$I$27)*后果有效剂量!$T7+SUMPRODUCT(BN$4:BN$26,后果有效剂量!$I$5:$I$27)*后果有效剂量!$U7+SUMPRODUCT(BJ$4:BJ$26,后果有效剂量!$J$5:$J$27)*后果有效剂量!$Q7*后果有效剂量!$Q$3+SUMPRODUCT(BK$4:BK$26,后果有效剂量!$J$5:$J$27)*后果有效剂量!$R7*后果有效剂量!$R$3+SUMPRODUCT(BL$4:BL$26,后果有效剂量!$J$5:$J$27)*后果有效剂量!$S7*后果有效剂量!$S$3+SUMPRODUCT(BM$4:BM$26,后果有效剂量!$J$5:$J$27)*后果有效剂量!$T7*后果有效剂量!$T$3+SUMPRODUCT(BN$4:BN$26,后果有效剂量!$J$5:$J$27)*后果有效剂量!$U7*后果有效剂量!$U$3+SUMPRODUCT(BJ$4:BJ$26,后果有效剂量!$K$5:$K$27)*后果有效剂量!$Q7+SUMPRODUCT(BK$4:BK$26,后果有效剂量!$K$5:$K$27)*后果有效剂量!$R7+SUMPRODUCT(BL$4:BL$26,后果有效剂量!$K$5:$K$27)*后果有效剂量!$S7+SUMPRODUCT(BM$4:BM$26,后果有效剂量!$K$5:$K$27)*后果有效剂量!$T7+SUMPRODUCT(BN$4:BN$26,后果有效剂量!$K$5:$K$27)*后果有效剂量!$U7+SUMPRODUCT(BJ$29:BJ$30,后果有效剂量!$I$28:$I$29)*后果有效剂量!$Q7+SUMPRODUCT(BJ$29:BJ$30,后果有效剂量!$J$28:$J$29)*后果有效剂量!$Q7*后果有效剂量!$Q$3+SUMPRODUCT(BJ$29:BJ$30,后果有效剂量!$K$28:$K$29)*后果有效剂量!$Q7</f>
        <v>0</v>
      </c>
      <c r="BJ36" s="335">
        <f>SUMPRODUCT(BJ$4:BJ$26,后果甲状腺剂量!$I$5:$I$27)*后果甲状腺剂量!$Q7+SUMPRODUCT(BK$4:BK$26,后果甲状腺剂量!$I$5:$I$27)*后果甲状腺剂量!$R7+SUMPRODUCT(BL$4:BL$26,后果甲状腺剂量!$I$5:$I$27)*后果甲状腺剂量!$S7+SUMPRODUCT(BM$4:BM$26,后果甲状腺剂量!$I$5:$I$27)*后果甲状腺剂量!$T7+SUMPRODUCT(BN$4:BN$26,后果甲状腺剂量!$I$5:$I$27)*后果甲状腺剂量!$U7+SUMPRODUCT(BJ$4:BJ$26,后果甲状腺剂量!$J$5:$J$27)*后果甲状腺剂量!$Q7*后果甲状腺剂量!$Q$3+SUMPRODUCT(BK$4:BK$26,后果甲状腺剂量!$J$5:$J$27)*后果甲状腺剂量!$R7*后果甲状腺剂量!$R$3+SUMPRODUCT(BL$4:BL$26,后果甲状腺剂量!$J$5:$J$27)*后果甲状腺剂量!$S7*后果甲状腺剂量!$S$3+SUMPRODUCT(BM$4:BM$26,后果甲状腺剂量!$J$5:$J$27)*后果甲状腺剂量!$T7*后果甲状腺剂量!$T$3+SUMPRODUCT(BN$4:BN$26,后果甲状腺剂量!$J$5:$J$27)*后果甲状腺剂量!$U7*后果甲状腺剂量!$U$3+SUMPRODUCT(BJ$4:BJ$26,后果甲状腺剂量!$K$5:$K$27)*后果甲状腺剂量!$Q7+SUMPRODUCT(BK$4:BK$26,后果甲状腺剂量!$K$5:$K$27)*后果甲状腺剂量!$R7+SUMPRODUCT(BL$4:BL$26,后果甲状腺剂量!$K$5:$K$27)*后果甲状腺剂量!$S7+SUMPRODUCT(BM$4:BM$26,后果甲状腺剂量!$K$5:$K$27)*后果甲状腺剂量!$T7+SUMPRODUCT(BN$4:BN$26,后果甲状腺剂量!$K$5:$K$27)*后果甲状腺剂量!$U7+SUMPRODUCT(BJ$29:BJ$30,后果甲状腺剂量!$I$28:$I$29)*后果甲状腺剂量!$Q7+SUMPRODUCT(BJ$29:BJ$30,后果甲状腺剂量!$J$28:$J$29)*后果甲状腺剂量!$Q7*后果甲状腺剂量!$Q$3+SUMPRODUCT(BJ$29:BJ$30,后果甲状腺剂量!$K$28:$K$29)*后果甲状腺剂量!$Q7</f>
        <v>0</v>
      </c>
      <c r="BK36" s="333">
        <f t="shared" si="65"/>
        <v>0</v>
      </c>
      <c r="BL36" s="333">
        <f t="shared" si="66"/>
        <v>0</v>
      </c>
      <c r="BM36" s="198"/>
      <c r="BN36" s="198"/>
      <c r="BV36" s="119"/>
      <c r="BW36" s="119"/>
      <c r="BX36" s="119"/>
      <c r="BY36" s="119"/>
      <c r="BZ36" s="119"/>
    </row>
    <row r="37" s="91" customFormat="1" spans="13:78">
      <c r="M37" s="166"/>
      <c r="N37" s="166"/>
      <c r="O37" s="166"/>
      <c r="W37" s="91" t="str">
        <f t="shared" si="58"/>
        <v>Kr-88</v>
      </c>
      <c r="X37" s="126">
        <f t="shared" si="59"/>
        <v>3170000000</v>
      </c>
      <c r="Y37" s="126">
        <f t="shared" si="60"/>
        <v>1915614108.57916</v>
      </c>
      <c r="Z37" s="126">
        <f t="shared" si="61"/>
        <v>422721484.681496</v>
      </c>
      <c r="AA37" s="126">
        <f t="shared" si="62"/>
        <v>7516998.08072969</v>
      </c>
      <c r="AB37" s="126">
        <f t="shared" si="63"/>
        <v>0.100230517065949</v>
      </c>
      <c r="AC37" s="126">
        <f t="shared" si="64"/>
        <v>5.6313766597486e-70</v>
      </c>
      <c r="AD37" s="166"/>
      <c r="AI37" s="167"/>
      <c r="AN37" s="167"/>
      <c r="AS37" s="167"/>
      <c r="AT37" s="167"/>
      <c r="AU37" s="167"/>
      <c r="AV37" s="167"/>
      <c r="AW37" s="167"/>
      <c r="AX37" s="167"/>
      <c r="AY37" s="167"/>
      <c r="AZ37" s="167"/>
      <c r="BA37" s="167"/>
      <c r="BB37" s="167"/>
      <c r="BC37" s="167"/>
      <c r="BD37" s="167"/>
      <c r="BE37" s="167"/>
      <c r="BF37" s="167"/>
      <c r="BG37" s="167"/>
      <c r="BH37" s="653" t="str">
        <f>后果有效剂量!$P8</f>
        <v>500m</v>
      </c>
      <c r="BI37" s="334">
        <f>SUMPRODUCT(BJ$4:BJ$26,后果有效剂量!$I$5:$I$27)*后果有效剂量!$Q8+SUMPRODUCT(BK$4:BK$26,后果有效剂量!$I$5:$I$27)*后果有效剂量!$R8+SUMPRODUCT(BL$4:BL$26,后果有效剂量!$I$5:$I$27)*后果有效剂量!$S8+SUMPRODUCT(BM$4:BM$26,后果有效剂量!$I$5:$I$27)*后果有效剂量!$T8+SUMPRODUCT(BN$4:BN$26,后果有效剂量!$I$5:$I$27)*后果有效剂量!$U8+SUMPRODUCT(BJ$4:BJ$26,后果有效剂量!$J$5:$J$27)*后果有效剂量!$Q8*后果有效剂量!$Q$3+SUMPRODUCT(BK$4:BK$26,后果有效剂量!$J$5:$J$27)*后果有效剂量!$R8*后果有效剂量!$R$3+SUMPRODUCT(BL$4:BL$26,后果有效剂量!$J$5:$J$27)*后果有效剂量!$S8*后果有效剂量!$S$3+SUMPRODUCT(BM$4:BM$26,后果有效剂量!$J$5:$J$27)*后果有效剂量!$T8*后果有效剂量!$T$3+SUMPRODUCT(BN$4:BN$26,后果有效剂量!$J$5:$J$27)*后果有效剂量!$U8*后果有效剂量!$U$3+SUMPRODUCT(BJ$4:BJ$26,后果有效剂量!$K$5:$K$27)*后果有效剂量!$Q8+SUMPRODUCT(BK$4:BK$26,后果有效剂量!$K$5:$K$27)*后果有效剂量!$R8+SUMPRODUCT(BL$4:BL$26,后果有效剂量!$K$5:$K$27)*后果有效剂量!$S8+SUMPRODUCT(BM$4:BM$26,后果有效剂量!$K$5:$K$27)*后果有效剂量!$T8+SUMPRODUCT(BN$4:BN$26,后果有效剂量!$K$5:$K$27)*后果有效剂量!$U8+SUMPRODUCT(BJ$29:BJ$30,后果有效剂量!$I$28:$I$29)*后果有效剂量!$Q8+SUMPRODUCT(BJ$29:BJ$30,后果有效剂量!$J$28:$J$29)*后果有效剂量!$Q8*后果有效剂量!$Q$3+SUMPRODUCT(BJ$29:BJ$30,后果有效剂量!$K$28:$K$29)*后果有效剂量!$Q8</f>
        <v>0.000107992901914987</v>
      </c>
      <c r="BJ37" s="335">
        <f>SUMPRODUCT(BJ$4:BJ$26,后果甲状腺剂量!$I$5:$I$27)*后果甲状腺剂量!$Q8+SUMPRODUCT(BK$4:BK$26,后果甲状腺剂量!$I$5:$I$27)*后果甲状腺剂量!$R8+SUMPRODUCT(BL$4:BL$26,后果甲状腺剂量!$I$5:$I$27)*后果甲状腺剂量!$S8+SUMPRODUCT(BM$4:BM$26,后果甲状腺剂量!$I$5:$I$27)*后果甲状腺剂量!$T8+SUMPRODUCT(BN$4:BN$26,后果甲状腺剂量!$I$5:$I$27)*后果甲状腺剂量!$U8+SUMPRODUCT(BJ$4:BJ$26,后果甲状腺剂量!$J$5:$J$27)*后果甲状腺剂量!$Q8*后果甲状腺剂量!$Q$3+SUMPRODUCT(BK$4:BK$26,后果甲状腺剂量!$J$5:$J$27)*后果甲状腺剂量!$R8*后果甲状腺剂量!$R$3+SUMPRODUCT(BL$4:BL$26,后果甲状腺剂量!$J$5:$J$27)*后果甲状腺剂量!$S8*后果甲状腺剂量!$S$3+SUMPRODUCT(BM$4:BM$26,后果甲状腺剂量!$J$5:$J$27)*后果甲状腺剂量!$T8*后果甲状腺剂量!$T$3+SUMPRODUCT(BN$4:BN$26,后果甲状腺剂量!$J$5:$J$27)*后果甲状腺剂量!$U8*后果甲状腺剂量!$U$3+SUMPRODUCT(BJ$4:BJ$26,后果甲状腺剂量!$K$5:$K$27)*后果甲状腺剂量!$Q8+SUMPRODUCT(BK$4:BK$26,后果甲状腺剂量!$K$5:$K$27)*后果甲状腺剂量!$R8+SUMPRODUCT(BL$4:BL$26,后果甲状腺剂量!$K$5:$K$27)*后果甲状腺剂量!$S8+SUMPRODUCT(BM$4:BM$26,后果甲状腺剂量!$K$5:$K$27)*后果甲状腺剂量!$T8+SUMPRODUCT(BN$4:BN$26,后果甲状腺剂量!$K$5:$K$27)*后果甲状腺剂量!$U8+SUMPRODUCT(BJ$29:BJ$30,后果甲状腺剂量!$I$28:$I$29)*后果甲状腺剂量!$Q8+SUMPRODUCT(BJ$29:BJ$30,后果甲状腺剂量!$J$28:$J$29)*后果甲状腺剂量!$Q8*后果甲状腺剂量!$Q$3+SUMPRODUCT(BJ$29:BJ$30,后果甲状腺剂量!$K$28:$K$29)*后果甲状腺剂量!$Q8</f>
        <v>0.000916818957513032</v>
      </c>
      <c r="BK37" s="336">
        <f t="shared" si="65"/>
        <v>0.107992901914987</v>
      </c>
      <c r="BL37" s="336">
        <f t="shared" si="66"/>
        <v>0.916818957513032</v>
      </c>
      <c r="BM37" s="357">
        <f>BK37/5*100</f>
        <v>2.15985803829974</v>
      </c>
      <c r="BN37" s="357">
        <f>BL37/50*100</f>
        <v>1.83363791502606</v>
      </c>
      <c r="BV37" s="119"/>
      <c r="BW37" s="119"/>
      <c r="BX37" s="119"/>
      <c r="BY37" s="119"/>
      <c r="BZ37" s="119"/>
    </row>
    <row r="38" s="91" customFormat="1" spans="13:78">
      <c r="M38" s="166"/>
      <c r="N38" s="166"/>
      <c r="O38" s="166"/>
      <c r="W38" s="91" t="str">
        <f t="shared" si="58"/>
        <v>Xe-131m</v>
      </c>
      <c r="X38" s="126">
        <f t="shared" si="59"/>
        <v>8210000000</v>
      </c>
      <c r="Y38" s="126">
        <f t="shared" si="60"/>
        <v>8102802505.17134</v>
      </c>
      <c r="Z38" s="126">
        <f t="shared" si="61"/>
        <v>7789535186.50241</v>
      </c>
      <c r="AA38" s="126">
        <f t="shared" si="62"/>
        <v>7012103472.67774</v>
      </c>
      <c r="AB38" s="126">
        <f t="shared" si="63"/>
        <v>4368816390.05809</v>
      </c>
      <c r="AC38" s="126">
        <f t="shared" si="64"/>
        <v>72359894.4933628</v>
      </c>
      <c r="AD38" s="166"/>
      <c r="AI38" s="167"/>
      <c r="AN38" s="167"/>
      <c r="AS38" s="167"/>
      <c r="AT38" s="167"/>
      <c r="AU38" s="167"/>
      <c r="AV38" s="167"/>
      <c r="AW38" s="167"/>
      <c r="AX38" s="167"/>
      <c r="AY38" s="167"/>
      <c r="AZ38" s="167"/>
      <c r="BA38" s="167"/>
      <c r="BB38" s="167"/>
      <c r="BC38" s="167"/>
      <c r="BD38" s="167"/>
      <c r="BE38" s="167"/>
      <c r="BF38" s="167"/>
      <c r="BG38" s="167"/>
      <c r="BH38" s="653" t="str">
        <f>后果有效剂量!$P9</f>
        <v>1500m</v>
      </c>
      <c r="BI38" s="334">
        <f>SUMPRODUCT(BJ$4:BJ$26,后果有效剂量!$I$5:$I$27)*后果有效剂量!$Q9+SUMPRODUCT(BK$4:BK$26,后果有效剂量!$I$5:$I$27)*后果有效剂量!$R9+SUMPRODUCT(BL$4:BL$26,后果有效剂量!$I$5:$I$27)*后果有效剂量!$S9+SUMPRODUCT(BM$4:BM$26,后果有效剂量!$I$5:$I$27)*后果有效剂量!$T9+SUMPRODUCT(BN$4:BN$26,后果有效剂量!$I$5:$I$27)*后果有效剂量!$U9+SUMPRODUCT(BJ$4:BJ$26,后果有效剂量!$J$5:$J$27)*后果有效剂量!$Q9*后果有效剂量!$Q$3+SUMPRODUCT(BK$4:BK$26,后果有效剂量!$J$5:$J$27)*后果有效剂量!$R9*后果有效剂量!$R$3+SUMPRODUCT(BL$4:BL$26,后果有效剂量!$J$5:$J$27)*后果有效剂量!$S9*后果有效剂量!$S$3+SUMPRODUCT(BM$4:BM$26,后果有效剂量!$J$5:$J$27)*后果有效剂量!$T9*后果有效剂量!$T$3+SUMPRODUCT(BN$4:BN$26,后果有效剂量!$J$5:$J$27)*后果有效剂量!$U9*后果有效剂量!$U$3+SUMPRODUCT(BJ$4:BJ$26,后果有效剂量!$K$5:$K$27)*后果有效剂量!$Q9+SUMPRODUCT(BK$4:BK$26,后果有效剂量!$K$5:$K$27)*后果有效剂量!$R9+SUMPRODUCT(BL$4:BL$26,后果有效剂量!$K$5:$K$27)*后果有效剂量!$S9+SUMPRODUCT(BM$4:BM$26,后果有效剂量!$K$5:$K$27)*后果有效剂量!$T9+SUMPRODUCT(BN$4:BN$26,后果有效剂量!$K$5:$K$27)*后果有效剂量!$U9+SUMPRODUCT(BJ$29:BJ$30,后果有效剂量!$I$28:$I$29)*后果有效剂量!$Q9+SUMPRODUCT(BJ$29:BJ$30,后果有效剂量!$J$28:$J$29)*后果有效剂量!$Q9*后果有效剂量!$Q$3+SUMPRODUCT(BJ$29:BJ$30,后果有效剂量!$K$28:$K$29)*后果有效剂量!$Q9</f>
        <v>3.62425158354151e-5</v>
      </c>
      <c r="BJ38" s="335">
        <f>SUMPRODUCT(BJ$4:BJ$26,后果甲状腺剂量!$I$5:$I$27)*后果甲状腺剂量!$Q9+SUMPRODUCT(BK$4:BK$26,后果甲状腺剂量!$I$5:$I$27)*后果甲状腺剂量!$R9+SUMPRODUCT(BL$4:BL$26,后果甲状腺剂量!$I$5:$I$27)*后果甲状腺剂量!$S9+SUMPRODUCT(BM$4:BM$26,后果甲状腺剂量!$I$5:$I$27)*后果甲状腺剂量!$T9+SUMPRODUCT(BN$4:BN$26,后果甲状腺剂量!$I$5:$I$27)*后果甲状腺剂量!$U9+SUMPRODUCT(BJ$4:BJ$26,后果甲状腺剂量!$J$5:$J$27)*后果甲状腺剂量!$Q9*后果甲状腺剂量!$Q$3+SUMPRODUCT(BK$4:BK$26,后果甲状腺剂量!$J$5:$J$27)*后果甲状腺剂量!$R9*后果甲状腺剂量!$R$3+SUMPRODUCT(BL$4:BL$26,后果甲状腺剂量!$J$5:$J$27)*后果甲状腺剂量!$S9*后果甲状腺剂量!$S$3+SUMPRODUCT(BM$4:BM$26,后果甲状腺剂量!$J$5:$J$27)*后果甲状腺剂量!$T9*后果甲状腺剂量!$T$3+SUMPRODUCT(BN$4:BN$26,后果甲状腺剂量!$J$5:$J$27)*后果甲状腺剂量!$U9*后果甲状腺剂量!$U$3+SUMPRODUCT(BJ$4:BJ$26,后果甲状腺剂量!$K$5:$K$27)*后果甲状腺剂量!$Q9+SUMPRODUCT(BK$4:BK$26,后果甲状腺剂量!$K$5:$K$27)*后果甲状腺剂量!$R9+SUMPRODUCT(BL$4:BL$26,后果甲状腺剂量!$K$5:$K$27)*后果甲状腺剂量!$S9+SUMPRODUCT(BM$4:BM$26,后果甲状腺剂量!$K$5:$K$27)*后果甲状腺剂量!$T9+SUMPRODUCT(BN$4:BN$26,后果甲状腺剂量!$K$5:$K$27)*后果甲状腺剂量!$U9+SUMPRODUCT(BJ$29:BJ$30,后果甲状腺剂量!$I$28:$I$29)*后果甲状腺剂量!$Q9+SUMPRODUCT(BJ$29:BJ$30,后果甲状腺剂量!$J$28:$J$29)*后果甲状腺剂量!$Q9*后果甲状腺剂量!$Q$3+SUMPRODUCT(BJ$29:BJ$30,后果甲状腺剂量!$K$28:$K$29)*后果甲状腺剂量!$Q9</f>
        <v>0.000336667945053966</v>
      </c>
      <c r="BK38" s="333">
        <f t="shared" si="65"/>
        <v>0.0362425158354151</v>
      </c>
      <c r="BL38" s="333">
        <f t="shared" si="66"/>
        <v>0.336667945053966</v>
      </c>
      <c r="BM38" s="198"/>
      <c r="BN38" s="198"/>
      <c r="BV38" s="119"/>
      <c r="BW38" s="119"/>
      <c r="BX38" s="119"/>
      <c r="BY38" s="119"/>
      <c r="BZ38" s="119"/>
    </row>
    <row r="39" s="91" customFormat="1" spans="13:66">
      <c r="M39" s="166"/>
      <c r="N39" s="166"/>
      <c r="O39" s="166"/>
      <c r="W39" s="91" t="str">
        <f t="shared" si="58"/>
        <v>Xe-133</v>
      </c>
      <c r="X39" s="126">
        <f t="shared" si="59"/>
        <v>775000000000</v>
      </c>
      <c r="Y39" s="126">
        <f t="shared" si="60"/>
        <v>760203146827.704</v>
      </c>
      <c r="Z39" s="126">
        <f t="shared" si="61"/>
        <v>717486187100.086</v>
      </c>
      <c r="AA39" s="126">
        <f t="shared" si="62"/>
        <v>614946350691.475</v>
      </c>
      <c r="AB39" s="126">
        <f t="shared" si="63"/>
        <v>307215983441.914</v>
      </c>
      <c r="AC39" s="126">
        <f t="shared" si="64"/>
        <v>750529012.835876</v>
      </c>
      <c r="AD39" s="166"/>
      <c r="AI39" s="167"/>
      <c r="AN39" s="167"/>
      <c r="AS39" s="167"/>
      <c r="AT39" s="167"/>
      <c r="AU39" s="167"/>
      <c r="AV39" s="167"/>
      <c r="AW39" s="167"/>
      <c r="AX39" s="167"/>
      <c r="AY39" s="167"/>
      <c r="AZ39" s="167"/>
      <c r="BA39" s="167"/>
      <c r="BB39" s="167"/>
      <c r="BC39" s="167"/>
      <c r="BD39" s="167"/>
      <c r="BE39" s="167"/>
      <c r="BF39" s="167"/>
      <c r="BG39" s="167"/>
      <c r="BH39" s="653" t="str">
        <f>后果有效剂量!$P10</f>
        <v>2500m</v>
      </c>
      <c r="BI39" s="334">
        <f>SUMPRODUCT(BJ$4:BJ$26,后果有效剂量!$I$5:$I$27)*后果有效剂量!$Q10+SUMPRODUCT(BK$4:BK$26,后果有效剂量!$I$5:$I$27)*后果有效剂量!$R10+SUMPRODUCT(BL$4:BL$26,后果有效剂量!$I$5:$I$27)*后果有效剂量!$S10+SUMPRODUCT(BM$4:BM$26,后果有效剂量!$I$5:$I$27)*后果有效剂量!$T10+SUMPRODUCT(BN$4:BN$26,后果有效剂量!$I$5:$I$27)*后果有效剂量!$U10+SUMPRODUCT(BJ$4:BJ$26,后果有效剂量!$J$5:$J$27)*后果有效剂量!$Q10*后果有效剂量!$Q$3+SUMPRODUCT(BK$4:BK$26,后果有效剂量!$J$5:$J$27)*后果有效剂量!$R10*后果有效剂量!$R$3+SUMPRODUCT(BL$4:BL$26,后果有效剂量!$J$5:$J$27)*后果有效剂量!$S10*后果有效剂量!$S$3+SUMPRODUCT(BM$4:BM$26,后果有效剂量!$J$5:$J$27)*后果有效剂量!$T10*后果有效剂量!$T$3+SUMPRODUCT(BN$4:BN$26,后果有效剂量!$J$5:$J$27)*后果有效剂量!$U10*后果有效剂量!$U$3+SUMPRODUCT(BJ$4:BJ$26,后果有效剂量!$K$5:$K$27)*后果有效剂量!$Q10+SUMPRODUCT(BK$4:BK$26,后果有效剂量!$K$5:$K$27)*后果有效剂量!$R10+SUMPRODUCT(BL$4:BL$26,后果有效剂量!$K$5:$K$27)*后果有效剂量!$S10+SUMPRODUCT(BM$4:BM$26,后果有效剂量!$K$5:$K$27)*后果有效剂量!$T10+SUMPRODUCT(BN$4:BN$26,后果有效剂量!$K$5:$K$27)*后果有效剂量!$U10+SUMPRODUCT(BJ$29:BJ$30,后果有效剂量!$I$28:$I$29)*后果有效剂量!$Q10+SUMPRODUCT(BJ$29:BJ$30,后果有效剂量!$J$28:$J$29)*后果有效剂量!$Q10*后果有效剂量!$Q$3+SUMPRODUCT(BJ$29:BJ$30,后果有效剂量!$K$28:$K$29)*后果有效剂量!$Q10</f>
        <v>2.44881863752805e-5</v>
      </c>
      <c r="BJ39" s="335">
        <f>SUMPRODUCT(BJ$4:BJ$26,后果甲状腺剂量!$I$5:$I$27)*后果甲状腺剂量!$Q10+SUMPRODUCT(BK$4:BK$26,后果甲状腺剂量!$I$5:$I$27)*后果甲状腺剂量!$R10+SUMPRODUCT(BL$4:BL$26,后果甲状腺剂量!$I$5:$I$27)*后果甲状腺剂量!$S10+SUMPRODUCT(BM$4:BM$26,后果甲状腺剂量!$I$5:$I$27)*后果甲状腺剂量!$T10+SUMPRODUCT(BN$4:BN$26,后果甲状腺剂量!$I$5:$I$27)*后果甲状腺剂量!$U10+SUMPRODUCT(BJ$4:BJ$26,后果甲状腺剂量!$J$5:$J$27)*后果甲状腺剂量!$Q10*后果甲状腺剂量!$Q$3+SUMPRODUCT(BK$4:BK$26,后果甲状腺剂量!$J$5:$J$27)*后果甲状腺剂量!$R10*后果甲状腺剂量!$R$3+SUMPRODUCT(BL$4:BL$26,后果甲状腺剂量!$J$5:$J$27)*后果甲状腺剂量!$S10*后果甲状腺剂量!$S$3+SUMPRODUCT(BM$4:BM$26,后果甲状腺剂量!$J$5:$J$27)*后果甲状腺剂量!$T10*后果甲状腺剂量!$T$3+SUMPRODUCT(BN$4:BN$26,后果甲状腺剂量!$J$5:$J$27)*后果甲状腺剂量!$U10*后果甲状腺剂量!$U$3+SUMPRODUCT(BJ$4:BJ$26,后果甲状腺剂量!$K$5:$K$27)*后果甲状腺剂量!$Q10+SUMPRODUCT(BK$4:BK$26,后果甲状腺剂量!$K$5:$K$27)*后果甲状腺剂量!$R10+SUMPRODUCT(BL$4:BL$26,后果甲状腺剂量!$K$5:$K$27)*后果甲状腺剂量!$S10+SUMPRODUCT(BM$4:BM$26,后果甲状腺剂量!$K$5:$K$27)*后果甲状腺剂量!$T10+SUMPRODUCT(BN$4:BN$26,后果甲状腺剂量!$K$5:$K$27)*后果甲状腺剂量!$U10+SUMPRODUCT(BJ$29:BJ$30,后果甲状腺剂量!$I$28:$I$29)*后果甲状腺剂量!$Q10+SUMPRODUCT(BJ$29:BJ$30,后果甲状腺剂量!$J$28:$J$29)*后果甲状腺剂量!$Q10*后果甲状腺剂量!$Q$3+SUMPRODUCT(BJ$29:BJ$30,后果甲状腺剂量!$K$28:$K$29)*后果甲状腺剂量!$Q10</f>
        <v>0.000248593205856812</v>
      </c>
      <c r="BK39" s="333">
        <f t="shared" si="65"/>
        <v>0.0244881863752805</v>
      </c>
      <c r="BL39" s="333">
        <f t="shared" si="66"/>
        <v>0.248593205856812</v>
      </c>
      <c r="BM39" s="198"/>
      <c r="BN39" s="198"/>
    </row>
    <row r="40" s="91" customFormat="1" spans="13:66">
      <c r="M40" s="166"/>
      <c r="N40" s="166"/>
      <c r="O40" s="166"/>
      <c r="W40" s="91" t="str">
        <f t="shared" si="58"/>
        <v>Xe-133m</v>
      </c>
      <c r="X40" s="126">
        <f t="shared" si="59"/>
        <v>10600000000</v>
      </c>
      <c r="Y40" s="126">
        <f t="shared" si="60"/>
        <v>10239375872.3159</v>
      </c>
      <c r="Z40" s="126">
        <f t="shared" si="61"/>
        <v>9229461161.59047</v>
      </c>
      <c r="AA40" s="126">
        <f t="shared" si="62"/>
        <v>6997087570.48175</v>
      </c>
      <c r="AB40" s="126">
        <f t="shared" si="63"/>
        <v>2012572996.32378</v>
      </c>
      <c r="AC40" s="126">
        <f t="shared" si="64"/>
        <v>41081.7736271079</v>
      </c>
      <c r="AD40" s="166"/>
      <c r="AI40" s="167"/>
      <c r="AN40" s="167"/>
      <c r="AS40" s="167"/>
      <c r="AT40" s="167"/>
      <c r="AU40" s="167"/>
      <c r="AV40" s="167"/>
      <c r="AW40" s="167"/>
      <c r="AX40" s="167"/>
      <c r="AY40" s="167"/>
      <c r="AZ40" s="167"/>
      <c r="BA40" s="167"/>
      <c r="BB40" s="167"/>
      <c r="BC40" s="167"/>
      <c r="BD40" s="167"/>
      <c r="BE40" s="167"/>
      <c r="BF40" s="167"/>
      <c r="BG40" s="167"/>
      <c r="BH40" s="653" t="str">
        <f>后果有效剂量!$P11</f>
        <v>4000m</v>
      </c>
      <c r="BI40" s="334">
        <f>SUMPRODUCT(BJ$4:BJ$26,后果有效剂量!$I$5:$I$27)*后果有效剂量!$Q11+SUMPRODUCT(BK$4:BK$26,后果有效剂量!$I$5:$I$27)*后果有效剂量!$R11+SUMPRODUCT(BL$4:BL$26,后果有效剂量!$I$5:$I$27)*后果有效剂量!$S11+SUMPRODUCT(BM$4:BM$26,后果有效剂量!$I$5:$I$27)*后果有效剂量!$T11+SUMPRODUCT(BN$4:BN$26,后果有效剂量!$I$5:$I$27)*后果有效剂量!$U11+SUMPRODUCT(BJ$4:BJ$26,后果有效剂量!$J$5:$J$27)*后果有效剂量!$Q11*后果有效剂量!$Q$3+SUMPRODUCT(BK$4:BK$26,后果有效剂量!$J$5:$J$27)*后果有效剂量!$R11*后果有效剂量!$R$3+SUMPRODUCT(BL$4:BL$26,后果有效剂量!$J$5:$J$27)*后果有效剂量!$S11*后果有效剂量!$S$3+SUMPRODUCT(BM$4:BM$26,后果有效剂量!$J$5:$J$27)*后果有效剂量!$T11*后果有效剂量!$T$3+SUMPRODUCT(BN$4:BN$26,后果有效剂量!$J$5:$J$27)*后果有效剂量!$U11*后果有效剂量!$U$3+SUMPRODUCT(BJ$4:BJ$26,后果有效剂量!$K$5:$K$27)*后果有效剂量!$Q11+SUMPRODUCT(BK$4:BK$26,后果有效剂量!$K$5:$K$27)*后果有效剂量!$R11+SUMPRODUCT(BL$4:BL$26,后果有效剂量!$K$5:$K$27)*后果有效剂量!$S11+SUMPRODUCT(BM$4:BM$26,后果有效剂量!$K$5:$K$27)*后果有效剂量!$T11+SUMPRODUCT(BN$4:BN$26,后果有效剂量!$K$5:$K$27)*后果有效剂量!$U11+SUMPRODUCT(BJ$29:BJ$30,后果有效剂量!$I$28:$I$29)*后果有效剂量!$Q11+SUMPRODUCT(BJ$29:BJ$30,后果有效剂量!$J$28:$J$29)*后果有效剂量!$Q11*后果有效剂量!$Q$3+SUMPRODUCT(BJ$29:BJ$30,后果有效剂量!$K$28:$K$29)*后果有效剂量!$Q11</f>
        <v>0.000141051953521616</v>
      </c>
      <c r="BJ40" s="335">
        <f>SUMPRODUCT(BJ$4:BJ$26,后果甲状腺剂量!$I$5:$I$27)*后果甲状腺剂量!$Q11+SUMPRODUCT(BK$4:BK$26,后果甲状腺剂量!$I$5:$I$27)*后果甲状腺剂量!$R11+SUMPRODUCT(BL$4:BL$26,后果甲状腺剂量!$I$5:$I$27)*后果甲状腺剂量!$S11+SUMPRODUCT(BM$4:BM$26,后果甲状腺剂量!$I$5:$I$27)*后果甲状腺剂量!$T11+SUMPRODUCT(BN$4:BN$26,后果甲状腺剂量!$I$5:$I$27)*后果甲状腺剂量!$U11+SUMPRODUCT(BJ$4:BJ$26,后果甲状腺剂量!$J$5:$J$27)*后果甲状腺剂量!$Q11*后果甲状腺剂量!$Q$3+SUMPRODUCT(BK$4:BK$26,后果甲状腺剂量!$J$5:$J$27)*后果甲状腺剂量!$R11*后果甲状腺剂量!$R$3+SUMPRODUCT(BL$4:BL$26,后果甲状腺剂量!$J$5:$J$27)*后果甲状腺剂量!$S11*后果甲状腺剂量!$S$3+SUMPRODUCT(BM$4:BM$26,后果甲状腺剂量!$J$5:$J$27)*后果甲状腺剂量!$T11*后果甲状腺剂量!$T$3+SUMPRODUCT(BN$4:BN$26,后果甲状腺剂量!$J$5:$J$27)*后果甲状腺剂量!$U11*后果甲状腺剂量!$U$3+SUMPRODUCT(BJ$4:BJ$26,后果甲状腺剂量!$K$5:$K$27)*后果甲状腺剂量!$Q11+SUMPRODUCT(BK$4:BK$26,后果甲状腺剂量!$K$5:$K$27)*后果甲状腺剂量!$R11+SUMPRODUCT(BL$4:BL$26,后果甲状腺剂量!$K$5:$K$27)*后果甲状腺剂量!$S11+SUMPRODUCT(BM$4:BM$26,后果甲状腺剂量!$K$5:$K$27)*后果甲状腺剂量!$T11+SUMPRODUCT(BN$4:BN$26,后果甲状腺剂量!$K$5:$K$27)*后果甲状腺剂量!$U11+SUMPRODUCT(BJ$29:BJ$30,后果甲状腺剂量!$I$28:$I$29)*后果甲状腺剂量!$Q11+SUMPRODUCT(BJ$29:BJ$30,后果甲状腺剂量!$J$28:$J$29)*后果甲状腺剂量!$Q11*后果甲状腺剂量!$Q$3+SUMPRODUCT(BJ$29:BJ$30,后果甲状腺剂量!$K$28:$K$29)*后果甲状腺剂量!$Q11</f>
        <v>0.000173143514599182</v>
      </c>
      <c r="BK40" s="333">
        <f t="shared" si="65"/>
        <v>0.141051953521616</v>
      </c>
      <c r="BL40" s="333">
        <f t="shared" si="66"/>
        <v>0.173143514599183</v>
      </c>
      <c r="BM40" s="198"/>
      <c r="BN40" s="198"/>
    </row>
    <row r="41" s="91" customFormat="1" spans="13:66">
      <c r="M41" s="166"/>
      <c r="N41" s="166"/>
      <c r="O41" s="166"/>
      <c r="W41" s="91" t="str">
        <f t="shared" si="58"/>
        <v>Xe-135</v>
      </c>
      <c r="X41" s="126">
        <f t="shared" si="59"/>
        <v>8740000000</v>
      </c>
      <c r="Y41" s="126">
        <f t="shared" si="60"/>
        <v>7451213137.13389</v>
      </c>
      <c r="Z41" s="126">
        <f t="shared" si="61"/>
        <v>4617146420.36204</v>
      </c>
      <c r="AA41" s="126">
        <f t="shared" si="62"/>
        <v>1288540509.21767</v>
      </c>
      <c r="AB41" s="126">
        <f t="shared" si="63"/>
        <v>4129124.78747333</v>
      </c>
      <c r="AC41" s="126">
        <f t="shared" si="64"/>
        <v>9.97954516383299e-16</v>
      </c>
      <c r="AD41" s="166"/>
      <c r="AI41" s="167"/>
      <c r="AN41" s="167"/>
      <c r="AS41" s="167"/>
      <c r="AT41" s="167"/>
      <c r="AU41" s="167"/>
      <c r="AV41" s="167"/>
      <c r="AW41" s="167"/>
      <c r="AX41" s="167"/>
      <c r="AY41" s="167"/>
      <c r="AZ41" s="167"/>
      <c r="BA41" s="167"/>
      <c r="BB41" s="167"/>
      <c r="BC41" s="167"/>
      <c r="BD41" s="167"/>
      <c r="BE41" s="167"/>
      <c r="BF41" s="167"/>
      <c r="BG41" s="167"/>
      <c r="BH41" s="653" t="str">
        <f>后果有效剂量!$P12</f>
        <v>5000m</v>
      </c>
      <c r="BI41" s="334">
        <f>SUMPRODUCT(BJ$4:BJ$26,后果有效剂量!$I$5:$I$27)*后果有效剂量!$Q12+SUMPRODUCT(BK$4:BK$26,后果有效剂量!$I$5:$I$27)*后果有效剂量!$R12+SUMPRODUCT(BL$4:BL$26,后果有效剂量!$I$5:$I$27)*后果有效剂量!$S12+SUMPRODUCT(BM$4:BM$26,后果有效剂量!$I$5:$I$27)*后果有效剂量!$T12+SUMPRODUCT(BN$4:BN$26,后果有效剂量!$I$5:$I$27)*后果有效剂量!$U12+SUMPRODUCT(BJ$4:BJ$26,后果有效剂量!$J$5:$J$27)*后果有效剂量!$Q12*后果有效剂量!$Q$3+SUMPRODUCT(BK$4:BK$26,后果有效剂量!$J$5:$J$27)*后果有效剂量!$R12*后果有效剂量!$R$3+SUMPRODUCT(BL$4:BL$26,后果有效剂量!$J$5:$J$27)*后果有效剂量!$S12*后果有效剂量!$S$3+SUMPRODUCT(BM$4:BM$26,后果有效剂量!$J$5:$J$27)*后果有效剂量!$T12*后果有效剂量!$T$3+SUMPRODUCT(BN$4:BN$26,后果有效剂量!$J$5:$J$27)*后果有效剂量!$U12*后果有效剂量!$U$3+SUMPRODUCT(BJ$4:BJ$26,后果有效剂量!$K$5:$K$27)*后果有效剂量!$Q12+SUMPRODUCT(BK$4:BK$26,后果有效剂量!$K$5:$K$27)*后果有效剂量!$R12+SUMPRODUCT(BL$4:BL$26,后果有效剂量!$K$5:$K$27)*后果有效剂量!$S12+SUMPRODUCT(BM$4:BM$26,后果有效剂量!$K$5:$K$27)*后果有效剂量!$T12+SUMPRODUCT(BN$4:BN$26,后果有效剂量!$K$5:$K$27)*后果有效剂量!$U12+SUMPRODUCT(BJ$29:BJ$30,后果有效剂量!$I$28:$I$29)*后果有效剂量!$Q12+SUMPRODUCT(BJ$29:BJ$30,后果有效剂量!$J$28:$J$29)*后果有效剂量!$Q12*后果有效剂量!$Q$3+SUMPRODUCT(BJ$29:BJ$30,后果有效剂量!$K$28:$K$29)*后果有效剂量!$Q12</f>
        <v>1.33705497609031e-5</v>
      </c>
      <c r="BJ41" s="335">
        <f>SUMPRODUCT(BJ$4:BJ$26,后果甲状腺剂量!$I$5:$I$27)*后果甲状腺剂量!$Q12+SUMPRODUCT(BK$4:BK$26,后果甲状腺剂量!$I$5:$I$27)*后果甲状腺剂量!$R12+SUMPRODUCT(BL$4:BL$26,后果甲状腺剂量!$I$5:$I$27)*后果甲状腺剂量!$S12+SUMPRODUCT(BM$4:BM$26,后果甲状腺剂量!$I$5:$I$27)*后果甲状腺剂量!$T12+SUMPRODUCT(BN$4:BN$26,后果甲状腺剂量!$I$5:$I$27)*后果甲状腺剂量!$U12+SUMPRODUCT(BJ$4:BJ$26,后果甲状腺剂量!$J$5:$J$27)*后果甲状腺剂量!$Q12*后果甲状腺剂量!$Q$3+SUMPRODUCT(BK$4:BK$26,后果甲状腺剂量!$J$5:$J$27)*后果甲状腺剂量!$R12*后果甲状腺剂量!$R$3+SUMPRODUCT(BL$4:BL$26,后果甲状腺剂量!$J$5:$J$27)*后果甲状腺剂量!$S12*后果甲状腺剂量!$S$3+SUMPRODUCT(BM$4:BM$26,后果甲状腺剂量!$J$5:$J$27)*后果甲状腺剂量!$T12*后果甲状腺剂量!$T$3+SUMPRODUCT(BN$4:BN$26,后果甲状腺剂量!$J$5:$J$27)*后果甲状腺剂量!$U12*后果甲状腺剂量!$U$3+SUMPRODUCT(BJ$4:BJ$26,后果甲状腺剂量!$K$5:$K$27)*后果甲状腺剂量!$Q12+SUMPRODUCT(BK$4:BK$26,后果甲状腺剂量!$K$5:$K$27)*后果甲状腺剂量!$R12+SUMPRODUCT(BL$4:BL$26,后果甲状腺剂量!$K$5:$K$27)*后果甲状腺剂量!$S12+SUMPRODUCT(BM$4:BM$26,后果甲状腺剂量!$K$5:$K$27)*后果甲状腺剂量!$T12+SUMPRODUCT(BN$4:BN$26,后果甲状腺剂量!$K$5:$K$27)*后果甲状腺剂量!$U12+SUMPRODUCT(BJ$29:BJ$30,后果甲状腺剂量!$I$28:$I$29)*后果甲状腺剂量!$Q12+SUMPRODUCT(BJ$29:BJ$30,后果甲状腺剂量!$J$28:$J$29)*后果甲状腺剂量!$Q12*后果甲状腺剂量!$Q$3+SUMPRODUCT(BJ$29:BJ$30,后果甲状腺剂量!$K$28:$K$29)*后果甲状腺剂量!$Q12</f>
        <v>0.000137372545437199</v>
      </c>
      <c r="BK41" s="333">
        <f t="shared" si="65"/>
        <v>0.0133705497609031</v>
      </c>
      <c r="BL41" s="333">
        <f t="shared" si="66"/>
        <v>0.137372545437199</v>
      </c>
      <c r="BM41" s="198"/>
      <c r="BN41" s="198"/>
    </row>
    <row r="42" s="91" customFormat="1" spans="13:66">
      <c r="M42" s="166"/>
      <c r="N42" s="166"/>
      <c r="O42" s="166"/>
      <c r="W42" s="91" t="str">
        <f t="shared" si="58"/>
        <v>I-131</v>
      </c>
      <c r="X42" s="126">
        <f t="shared" si="59"/>
        <v>1362608472.36422</v>
      </c>
      <c r="Y42" s="126">
        <f t="shared" si="60"/>
        <v>1341635140.01033</v>
      </c>
      <c r="Z42" s="126">
        <f t="shared" si="61"/>
        <v>1280632278.81959</v>
      </c>
      <c r="AA42" s="126">
        <f t="shared" si="62"/>
        <v>1131178553.74918</v>
      </c>
      <c r="AB42" s="126">
        <f t="shared" si="63"/>
        <v>647159596.803731</v>
      </c>
      <c r="AC42" s="126">
        <f t="shared" si="64"/>
        <v>5118861.93545676</v>
      </c>
      <c r="AD42" s="166"/>
      <c r="AI42" s="167"/>
      <c r="AN42" s="167"/>
      <c r="AS42" s="167"/>
      <c r="AT42" s="167"/>
      <c r="AU42" s="167"/>
      <c r="AV42" s="167"/>
      <c r="AW42" s="167"/>
      <c r="AX42" s="167"/>
      <c r="AY42" s="167"/>
      <c r="AZ42" s="167"/>
      <c r="BA42" s="167"/>
      <c r="BB42" s="167"/>
      <c r="BC42" s="167"/>
      <c r="BD42" s="167"/>
      <c r="BE42" s="167"/>
      <c r="BF42" s="167"/>
      <c r="BG42" s="167"/>
      <c r="BH42" s="653" t="str">
        <f>后果有效剂量!$P13</f>
        <v>7500m</v>
      </c>
      <c r="BI42" s="334">
        <f>SUMPRODUCT(BJ$4:BJ$26,后果有效剂量!$I$5:$I$27)*后果有效剂量!$Q13+SUMPRODUCT(BK$4:BK$26,后果有效剂量!$I$5:$I$27)*后果有效剂量!$R13+SUMPRODUCT(BL$4:BL$26,后果有效剂量!$I$5:$I$27)*后果有效剂量!$S13+SUMPRODUCT(BM$4:BM$26,后果有效剂量!$I$5:$I$27)*后果有效剂量!$T13+SUMPRODUCT(BN$4:BN$26,后果有效剂量!$I$5:$I$27)*后果有效剂量!$U13+SUMPRODUCT(BJ$4:BJ$26,后果有效剂量!$J$5:$J$27)*后果有效剂量!$Q13*后果有效剂量!$Q$3+SUMPRODUCT(BK$4:BK$26,后果有效剂量!$J$5:$J$27)*后果有效剂量!$R13*后果有效剂量!$R$3+SUMPRODUCT(BL$4:BL$26,后果有效剂量!$J$5:$J$27)*后果有效剂量!$S13*后果有效剂量!$S$3+SUMPRODUCT(BM$4:BM$26,后果有效剂量!$J$5:$J$27)*后果有效剂量!$T13*后果有效剂量!$T$3+SUMPRODUCT(BN$4:BN$26,后果有效剂量!$J$5:$J$27)*后果有效剂量!$U13*后果有效剂量!$U$3+SUMPRODUCT(BJ$4:BJ$26,后果有效剂量!$K$5:$K$27)*后果有效剂量!$Q13+SUMPRODUCT(BK$4:BK$26,后果有效剂量!$K$5:$K$27)*后果有效剂量!$R13+SUMPRODUCT(BL$4:BL$26,后果有效剂量!$K$5:$K$27)*后果有效剂量!$S13+SUMPRODUCT(BM$4:BM$26,后果有效剂量!$K$5:$K$27)*后果有效剂量!$T13+SUMPRODUCT(BN$4:BN$26,后果有效剂量!$K$5:$K$27)*后果有效剂量!$U13+SUMPRODUCT(BJ$29:BJ$30,后果有效剂量!$I$28:$I$29)*后果有效剂量!$Q13+SUMPRODUCT(BJ$29:BJ$30,后果有效剂量!$J$28:$J$29)*后果有效剂量!$Q13*后果有效剂量!$Q$3+SUMPRODUCT(BJ$29:BJ$30,后果有效剂量!$K$28:$K$29)*后果有效剂量!$Q13</f>
        <v>7.66480233546279e-5</v>
      </c>
      <c r="BJ42" s="335">
        <f>SUMPRODUCT(BJ$4:BJ$26,后果甲状腺剂量!$I$5:$I$27)*后果甲状腺剂量!$Q13+SUMPRODUCT(BK$4:BK$26,后果甲状腺剂量!$I$5:$I$27)*后果甲状腺剂量!$R13+SUMPRODUCT(BL$4:BL$26,后果甲状腺剂量!$I$5:$I$27)*后果甲状腺剂量!$S13+SUMPRODUCT(BM$4:BM$26,后果甲状腺剂量!$I$5:$I$27)*后果甲状腺剂量!$T13+SUMPRODUCT(BN$4:BN$26,后果甲状腺剂量!$I$5:$I$27)*后果甲状腺剂量!$U13+SUMPRODUCT(BJ$4:BJ$26,后果甲状腺剂量!$J$5:$J$27)*后果甲状腺剂量!$Q13*后果甲状腺剂量!$Q$3+SUMPRODUCT(BK$4:BK$26,后果甲状腺剂量!$J$5:$J$27)*后果甲状腺剂量!$R13*后果甲状腺剂量!$R$3+SUMPRODUCT(BL$4:BL$26,后果甲状腺剂量!$J$5:$J$27)*后果甲状腺剂量!$S13*后果甲状腺剂量!$S$3+SUMPRODUCT(BM$4:BM$26,后果甲状腺剂量!$J$5:$J$27)*后果甲状腺剂量!$T13*后果甲状腺剂量!$T$3+SUMPRODUCT(BN$4:BN$26,后果甲状腺剂量!$J$5:$J$27)*后果甲状腺剂量!$U13*后果甲状腺剂量!$U$3+SUMPRODUCT(BJ$4:BJ$26,后果甲状腺剂量!$K$5:$K$27)*后果甲状腺剂量!$Q13+SUMPRODUCT(BK$4:BK$26,后果甲状腺剂量!$K$5:$K$27)*后果甲状腺剂量!$R13+SUMPRODUCT(BL$4:BL$26,后果甲状腺剂量!$K$5:$K$27)*后果甲状腺剂量!$S13+SUMPRODUCT(BM$4:BM$26,后果甲状腺剂量!$K$5:$K$27)*后果甲状腺剂量!$T13+SUMPRODUCT(BN$4:BN$26,后果甲状腺剂量!$K$5:$K$27)*后果甲状腺剂量!$U13+SUMPRODUCT(BJ$29:BJ$30,后果甲状腺剂量!$I$28:$I$29)*后果甲状腺剂量!$Q13+SUMPRODUCT(BJ$29:BJ$30,后果甲状腺剂量!$J$28:$J$29)*后果甲状腺剂量!$Q13*后果甲状腺剂量!$Q$3+SUMPRODUCT(BJ$29:BJ$30,后果甲状腺剂量!$K$28:$K$29)*后果甲状腺剂量!$Q13</f>
        <v>9.4086666787403e-5</v>
      </c>
      <c r="BK42" s="333">
        <f t="shared" si="65"/>
        <v>0.0766480233546279</v>
      </c>
      <c r="BL42" s="333">
        <f t="shared" si="66"/>
        <v>0.094086666787403</v>
      </c>
      <c r="BM42" s="198"/>
      <c r="BN42" s="198"/>
    </row>
    <row r="43" s="91" customFormat="1" spans="13:66">
      <c r="M43" s="166"/>
      <c r="N43" s="166"/>
      <c r="O43" s="166"/>
      <c r="W43" s="91" t="str">
        <f t="shared" si="58"/>
        <v>I-132</v>
      </c>
      <c r="X43" s="126">
        <f t="shared" si="59"/>
        <v>220165612.810934</v>
      </c>
      <c r="Y43" s="126">
        <f t="shared" si="60"/>
        <v>119510796.589819</v>
      </c>
      <c r="Z43" s="126">
        <f t="shared" si="61"/>
        <v>19115255.152049</v>
      </c>
      <c r="AA43" s="126">
        <f t="shared" si="62"/>
        <v>144092.481725662</v>
      </c>
      <c r="AB43" s="126">
        <f t="shared" si="63"/>
        <v>4.0393996182689e-5</v>
      </c>
      <c r="AC43" s="126">
        <f t="shared" si="64"/>
        <v>6.59940035826171e-88</v>
      </c>
      <c r="AD43" s="166"/>
      <c r="AI43" s="167"/>
      <c r="AN43" s="167"/>
      <c r="AS43" s="167"/>
      <c r="AT43" s="167"/>
      <c r="AU43" s="167"/>
      <c r="AV43" s="167"/>
      <c r="AW43" s="167"/>
      <c r="AX43" s="167"/>
      <c r="AY43" s="167"/>
      <c r="AZ43" s="167"/>
      <c r="BA43" s="167"/>
      <c r="BB43" s="167"/>
      <c r="BC43" s="167"/>
      <c r="BD43" s="167"/>
      <c r="BE43" s="167"/>
      <c r="BF43" s="167"/>
      <c r="BG43" s="167"/>
      <c r="BH43" s="653" t="str">
        <f>后果有效剂量!$P14</f>
        <v>15000m</v>
      </c>
      <c r="BI43" s="334">
        <f>SUMPRODUCT(BJ$4:BJ$26,后果有效剂量!$I$5:$I$27)*后果有效剂量!$Q14+SUMPRODUCT(BK$4:BK$26,后果有效剂量!$I$5:$I$27)*后果有效剂量!$R14+SUMPRODUCT(BL$4:BL$26,后果有效剂量!$I$5:$I$27)*后果有效剂量!$S14+SUMPRODUCT(BM$4:BM$26,后果有效剂量!$I$5:$I$27)*后果有效剂量!$T14+SUMPRODUCT(BN$4:BN$26,后果有效剂量!$I$5:$I$27)*后果有效剂量!$U14+SUMPRODUCT(BJ$4:BJ$26,后果有效剂量!$J$5:$J$27)*后果有效剂量!$Q14*后果有效剂量!$Q$3+SUMPRODUCT(BK$4:BK$26,后果有效剂量!$J$5:$J$27)*后果有效剂量!$R14*后果有效剂量!$R$3+SUMPRODUCT(BL$4:BL$26,后果有效剂量!$J$5:$J$27)*后果有效剂量!$S14*后果有效剂量!$S$3+SUMPRODUCT(BM$4:BM$26,后果有效剂量!$J$5:$J$27)*后果有效剂量!$T14*后果有效剂量!$T$3+SUMPRODUCT(BN$4:BN$26,后果有效剂量!$J$5:$J$27)*后果有效剂量!$U14*后果有效剂量!$U$3+SUMPRODUCT(BJ$4:BJ$26,后果有效剂量!$K$5:$K$27)*后果有效剂量!$Q14+SUMPRODUCT(BK$4:BK$26,后果有效剂量!$K$5:$K$27)*后果有效剂量!$R14+SUMPRODUCT(BL$4:BL$26,后果有效剂量!$K$5:$K$27)*后果有效剂量!$S14+SUMPRODUCT(BM$4:BM$26,后果有效剂量!$K$5:$K$27)*后果有效剂量!$T14+SUMPRODUCT(BN$4:BN$26,后果有效剂量!$K$5:$K$27)*后果有效剂量!$U14+SUMPRODUCT(BJ$29:BJ$30,后果有效剂量!$I$28:$I$29)*后果有效剂量!$Q14+SUMPRODUCT(BJ$29:BJ$30,后果有效剂量!$J$28:$J$29)*后果有效剂量!$Q14*后果有效剂量!$Q$3+SUMPRODUCT(BJ$29:BJ$30,后果有效剂量!$K$28:$K$29)*后果有效剂量!$Q14</f>
        <v>3.47732246528983e-5</v>
      </c>
      <c r="BJ43" s="335">
        <f>SUMPRODUCT(BJ$4:BJ$26,后果甲状腺剂量!$I$5:$I$27)*后果甲状腺剂量!$Q14+SUMPRODUCT(BK$4:BK$26,后果甲状腺剂量!$I$5:$I$27)*后果甲状腺剂量!$R14+SUMPRODUCT(BL$4:BL$26,后果甲状腺剂量!$I$5:$I$27)*后果甲状腺剂量!$S14+SUMPRODUCT(BM$4:BM$26,后果甲状腺剂量!$I$5:$I$27)*后果甲状腺剂量!$T14+SUMPRODUCT(BN$4:BN$26,后果甲状腺剂量!$I$5:$I$27)*后果甲状腺剂量!$U14+SUMPRODUCT(BJ$4:BJ$26,后果甲状腺剂量!$J$5:$J$27)*后果甲状腺剂量!$Q14*后果甲状腺剂量!$Q$3+SUMPRODUCT(BK$4:BK$26,后果甲状腺剂量!$J$5:$J$27)*后果甲状腺剂量!$R14*后果甲状腺剂量!$R$3+SUMPRODUCT(BL$4:BL$26,后果甲状腺剂量!$J$5:$J$27)*后果甲状腺剂量!$S14*后果甲状腺剂量!$S$3+SUMPRODUCT(BM$4:BM$26,后果甲状腺剂量!$J$5:$J$27)*后果甲状腺剂量!$T14*后果甲状腺剂量!$T$3+SUMPRODUCT(BN$4:BN$26,后果甲状腺剂量!$J$5:$J$27)*后果甲状腺剂量!$U14*后果甲状腺剂量!$U$3+SUMPRODUCT(BJ$4:BJ$26,后果甲状腺剂量!$K$5:$K$27)*后果甲状腺剂量!$Q14+SUMPRODUCT(BK$4:BK$26,后果甲状腺剂量!$K$5:$K$27)*后果甲状腺剂量!$R14+SUMPRODUCT(BL$4:BL$26,后果甲状腺剂量!$K$5:$K$27)*后果甲状腺剂量!$S14+SUMPRODUCT(BM$4:BM$26,后果甲状腺剂量!$K$5:$K$27)*后果甲状腺剂量!$T14+SUMPRODUCT(BN$4:BN$26,后果甲状腺剂量!$K$5:$K$27)*后果甲状腺剂量!$U14+SUMPRODUCT(BJ$29:BJ$30,后果甲状腺剂量!$I$28:$I$29)*后果甲状腺剂量!$Q14+SUMPRODUCT(BJ$29:BJ$30,后果甲状腺剂量!$J$28:$J$29)*后果甲状腺剂量!$Q14*后果甲状腺剂量!$Q$3+SUMPRODUCT(BJ$29:BJ$30,后果甲状腺剂量!$K$28:$K$29)*后果甲状腺剂量!$Q14</f>
        <v>4.26846858907707e-5</v>
      </c>
      <c r="BK43" s="333">
        <f t="shared" si="65"/>
        <v>0.0347732246528983</v>
      </c>
      <c r="BL43" s="333">
        <f t="shared" si="66"/>
        <v>0.0426846858907707</v>
      </c>
      <c r="BM43" s="198"/>
      <c r="BN43" s="198"/>
    </row>
    <row r="44" s="91" customFormat="1" spans="13:66">
      <c r="M44" s="166"/>
      <c r="N44" s="166"/>
      <c r="O44" s="166"/>
      <c r="W44" s="91" t="str">
        <f t="shared" si="58"/>
        <v>I-133</v>
      </c>
      <c r="X44" s="126">
        <f t="shared" si="59"/>
        <v>941343359.047426</v>
      </c>
      <c r="Y44" s="126">
        <f t="shared" si="60"/>
        <v>873320512.033072</v>
      </c>
      <c r="Z44" s="126">
        <f t="shared" si="61"/>
        <v>697349435.353425</v>
      </c>
      <c r="AA44" s="126">
        <f t="shared" si="62"/>
        <v>382697155.785234</v>
      </c>
      <c r="AB44" s="126">
        <f t="shared" si="63"/>
        <v>25714420.9357723</v>
      </c>
      <c r="AC44" s="126">
        <f t="shared" si="64"/>
        <v>0.00176588820726012</v>
      </c>
      <c r="AD44" s="166"/>
      <c r="AI44" s="167"/>
      <c r="AN44" s="167"/>
      <c r="AS44" s="167"/>
      <c r="AT44" s="167"/>
      <c r="AU44" s="167"/>
      <c r="AV44" s="167"/>
      <c r="AW44" s="167"/>
      <c r="AX44" s="167"/>
      <c r="AY44" s="167"/>
      <c r="AZ44" s="167"/>
      <c r="BA44" s="167"/>
      <c r="BB44" s="167"/>
      <c r="BC44" s="167"/>
      <c r="BD44" s="167"/>
      <c r="BE44" s="167"/>
      <c r="BF44" s="167"/>
      <c r="BG44" s="167"/>
      <c r="BH44" s="653" t="str">
        <f>后果有效剂量!$P15</f>
        <v>25000m</v>
      </c>
      <c r="BI44" s="334">
        <f>SUMPRODUCT(BJ$4:BJ$26,后果有效剂量!$I$5:$I$27)*后果有效剂量!$Q15+SUMPRODUCT(BK$4:BK$26,后果有效剂量!$I$5:$I$27)*后果有效剂量!$R15+SUMPRODUCT(BL$4:BL$26,后果有效剂量!$I$5:$I$27)*后果有效剂量!$S15+SUMPRODUCT(BM$4:BM$26,后果有效剂量!$I$5:$I$27)*后果有效剂量!$T15+SUMPRODUCT(BN$4:BN$26,后果有效剂量!$I$5:$I$27)*后果有效剂量!$U15+SUMPRODUCT(BJ$4:BJ$26,后果有效剂量!$J$5:$J$27)*后果有效剂量!$Q15*后果有效剂量!$Q$3+SUMPRODUCT(BK$4:BK$26,后果有效剂量!$J$5:$J$27)*后果有效剂量!$R15*后果有效剂量!$R$3+SUMPRODUCT(BL$4:BL$26,后果有效剂量!$J$5:$J$27)*后果有效剂量!$S15*后果有效剂量!$S$3+SUMPRODUCT(BM$4:BM$26,后果有效剂量!$J$5:$J$27)*后果有效剂量!$T15*后果有效剂量!$T$3+SUMPRODUCT(BN$4:BN$26,后果有效剂量!$J$5:$J$27)*后果有效剂量!$U15*后果有效剂量!$U$3+SUMPRODUCT(BJ$4:BJ$26,后果有效剂量!$K$5:$K$27)*后果有效剂量!$Q15+SUMPRODUCT(BK$4:BK$26,后果有效剂量!$K$5:$K$27)*后果有效剂量!$R15+SUMPRODUCT(BL$4:BL$26,后果有效剂量!$K$5:$K$27)*后果有效剂量!$S15+SUMPRODUCT(BM$4:BM$26,后果有效剂量!$K$5:$K$27)*后果有效剂量!$T15+SUMPRODUCT(BN$4:BN$26,后果有效剂量!$K$5:$K$27)*后果有效剂量!$U15+SUMPRODUCT(BJ$29:BJ$30,后果有效剂量!$I$28:$I$29)*后果有效剂量!$Q15+SUMPRODUCT(BJ$29:BJ$30,后果有效剂量!$J$28:$J$29)*后果有效剂量!$Q15*后果有效剂量!$Q$3+SUMPRODUCT(BJ$29:BJ$30,后果有效剂量!$K$28:$K$29)*后果有效剂量!$Q15</f>
        <v>1.61377148213098e-6</v>
      </c>
      <c r="BJ44" s="335">
        <f>SUMPRODUCT(BJ$4:BJ$26,后果甲状腺剂量!$I$5:$I$27)*后果甲状腺剂量!$Q15+SUMPRODUCT(BK$4:BK$26,后果甲状腺剂量!$I$5:$I$27)*后果甲状腺剂量!$R15+SUMPRODUCT(BL$4:BL$26,后果甲状腺剂量!$I$5:$I$27)*后果甲状腺剂量!$S15+SUMPRODUCT(BM$4:BM$26,后果甲状腺剂量!$I$5:$I$27)*后果甲状腺剂量!$T15+SUMPRODUCT(BN$4:BN$26,后果甲状腺剂量!$I$5:$I$27)*后果甲状腺剂量!$U15+SUMPRODUCT(BJ$4:BJ$26,后果甲状腺剂量!$J$5:$J$27)*后果甲状腺剂量!$Q15*后果甲状腺剂量!$Q$3+SUMPRODUCT(BK$4:BK$26,后果甲状腺剂量!$J$5:$J$27)*后果甲状腺剂量!$R15*后果甲状腺剂量!$R$3+SUMPRODUCT(BL$4:BL$26,后果甲状腺剂量!$J$5:$J$27)*后果甲状腺剂量!$S15*后果甲状腺剂量!$S$3+SUMPRODUCT(BM$4:BM$26,后果甲状腺剂量!$J$5:$J$27)*后果甲状腺剂量!$T15*后果甲状腺剂量!$T$3+SUMPRODUCT(BN$4:BN$26,后果甲状腺剂量!$J$5:$J$27)*后果甲状腺剂量!$U15*后果甲状腺剂量!$U$3+SUMPRODUCT(BJ$4:BJ$26,后果甲状腺剂量!$K$5:$K$27)*后果甲状腺剂量!$Q15+SUMPRODUCT(BK$4:BK$26,后果甲状腺剂量!$K$5:$K$27)*后果甲状腺剂量!$R15+SUMPRODUCT(BL$4:BL$26,后果甲状腺剂量!$K$5:$K$27)*后果甲状腺剂量!$S15+SUMPRODUCT(BM$4:BM$26,后果甲状腺剂量!$K$5:$K$27)*后果甲状腺剂量!$T15+SUMPRODUCT(BN$4:BN$26,后果甲状腺剂量!$K$5:$K$27)*后果甲状腺剂量!$U15+SUMPRODUCT(BJ$29:BJ$30,后果甲状腺剂量!$I$28:$I$29)*后果甲状腺剂量!$Q15+SUMPRODUCT(BJ$29:BJ$30,后果甲状腺剂量!$J$28:$J$29)*后果甲状腺剂量!$Q15*后果甲状腺剂量!$Q$3+SUMPRODUCT(BJ$29:BJ$30,后果甲状腺剂量!$K$28:$K$29)*后果甲状腺剂量!$Q15</f>
        <v>1.23545111979625e-5</v>
      </c>
      <c r="BK44" s="333">
        <f t="shared" si="65"/>
        <v>0.00161377148213098</v>
      </c>
      <c r="BL44" s="333">
        <f t="shared" si="66"/>
        <v>0.0123545111979625</v>
      </c>
      <c r="BM44" s="198"/>
      <c r="BN44" s="198"/>
    </row>
    <row r="45" s="91" customFormat="1" spans="13:66">
      <c r="M45" s="166"/>
      <c r="N45" s="166"/>
      <c r="O45" s="166"/>
      <c r="W45" s="91" t="str">
        <f t="shared" si="58"/>
        <v>I-134</v>
      </c>
      <c r="X45" s="126">
        <f t="shared" si="59"/>
        <v>214415514.271903</v>
      </c>
      <c r="Y45" s="126">
        <f t="shared" si="60"/>
        <v>43622909.2812119</v>
      </c>
      <c r="Z45" s="126">
        <f t="shared" si="61"/>
        <v>367358.324797835</v>
      </c>
      <c r="AA45" s="126">
        <f t="shared" si="62"/>
        <v>1.07834380033559</v>
      </c>
      <c r="AB45" s="126">
        <f t="shared" si="63"/>
        <v>1.37170387400822e-25</v>
      </c>
      <c r="AC45" s="126">
        <f t="shared" si="64"/>
        <v>2.37841371091868e-241</v>
      </c>
      <c r="AD45" s="166"/>
      <c r="AI45" s="167"/>
      <c r="AN45" s="167"/>
      <c r="AS45" s="167"/>
      <c r="AT45" s="167"/>
      <c r="AU45" s="167"/>
      <c r="AV45" s="167"/>
      <c r="AW45" s="167"/>
      <c r="AX45" s="167"/>
      <c r="AY45" s="167"/>
      <c r="AZ45" s="167"/>
      <c r="BA45" s="167"/>
      <c r="BB45" s="167"/>
      <c r="BC45" s="167"/>
      <c r="BD45" s="167"/>
      <c r="BE45" s="167"/>
      <c r="BF45" s="167"/>
      <c r="BG45" s="167"/>
      <c r="BH45" s="653" t="str">
        <f>后果有效剂量!$P16</f>
        <v>35000m</v>
      </c>
      <c r="BI45" s="334">
        <f>SUMPRODUCT(BJ$4:BJ$26,后果有效剂量!$I$5:$I$27)*后果有效剂量!$Q16+SUMPRODUCT(BK$4:BK$26,后果有效剂量!$I$5:$I$27)*后果有效剂量!$R16+SUMPRODUCT(BL$4:BL$26,后果有效剂量!$I$5:$I$27)*后果有效剂量!$S16+SUMPRODUCT(BM$4:BM$26,后果有效剂量!$I$5:$I$27)*后果有效剂量!$T16+SUMPRODUCT(BN$4:BN$26,后果有效剂量!$I$5:$I$27)*后果有效剂量!$U16+SUMPRODUCT(BJ$4:BJ$26,后果有效剂量!$J$5:$J$27)*后果有效剂量!$Q16*后果有效剂量!$Q$3+SUMPRODUCT(BK$4:BK$26,后果有效剂量!$J$5:$J$27)*后果有效剂量!$R16*后果有效剂量!$R$3+SUMPRODUCT(BL$4:BL$26,后果有效剂量!$J$5:$J$27)*后果有效剂量!$S16*后果有效剂量!$S$3+SUMPRODUCT(BM$4:BM$26,后果有效剂量!$J$5:$J$27)*后果有效剂量!$T16*后果有效剂量!$T$3+SUMPRODUCT(BN$4:BN$26,后果有效剂量!$J$5:$J$27)*后果有效剂量!$U16*后果有效剂量!$U$3+SUMPRODUCT(BJ$4:BJ$26,后果有效剂量!$K$5:$K$27)*后果有效剂量!$Q16+SUMPRODUCT(BK$4:BK$26,后果有效剂量!$K$5:$K$27)*后果有效剂量!$R16+SUMPRODUCT(BL$4:BL$26,后果有效剂量!$K$5:$K$27)*后果有效剂量!$S16+SUMPRODUCT(BM$4:BM$26,后果有效剂量!$K$5:$K$27)*后果有效剂量!$T16+SUMPRODUCT(BN$4:BN$26,后果有效剂量!$K$5:$K$27)*后果有效剂量!$U16+SUMPRODUCT(BJ$29:BJ$30,后果有效剂量!$I$28:$I$29)*后果有效剂量!$Q16+SUMPRODUCT(BJ$29:BJ$30,后果有效剂量!$J$28:$J$29)*后果有效剂量!$Q16*后果有效剂量!$Q$3+SUMPRODUCT(BJ$29:BJ$30,后果有效剂量!$K$28:$K$29)*后果有效剂量!$Q16</f>
        <v>9.01165258610321e-7</v>
      </c>
      <c r="BJ45" s="335">
        <f>SUMPRODUCT(BJ$4:BJ$26,后果甲状腺剂量!$I$5:$I$27)*后果甲状腺剂量!$Q16+SUMPRODUCT(BK$4:BK$26,后果甲状腺剂量!$I$5:$I$27)*后果甲状腺剂量!$R16+SUMPRODUCT(BL$4:BL$26,后果甲状腺剂量!$I$5:$I$27)*后果甲状腺剂量!$S16+SUMPRODUCT(BM$4:BM$26,后果甲状腺剂量!$I$5:$I$27)*后果甲状腺剂量!$T16+SUMPRODUCT(BN$4:BN$26,后果甲状腺剂量!$I$5:$I$27)*后果甲状腺剂量!$U16+SUMPRODUCT(BJ$4:BJ$26,后果甲状腺剂量!$J$5:$J$27)*后果甲状腺剂量!$Q16*后果甲状腺剂量!$Q$3+SUMPRODUCT(BK$4:BK$26,后果甲状腺剂量!$J$5:$J$27)*后果甲状腺剂量!$R16*后果甲状腺剂量!$R$3+SUMPRODUCT(BL$4:BL$26,后果甲状腺剂量!$J$5:$J$27)*后果甲状腺剂量!$S16*后果甲状腺剂量!$S$3+SUMPRODUCT(BM$4:BM$26,后果甲状腺剂量!$J$5:$J$27)*后果甲状腺剂量!$T16*后果甲状腺剂量!$T$3+SUMPRODUCT(BN$4:BN$26,后果甲状腺剂量!$J$5:$J$27)*后果甲状腺剂量!$U16*后果甲状腺剂量!$U$3+SUMPRODUCT(BJ$4:BJ$26,后果甲状腺剂量!$K$5:$K$27)*后果甲状腺剂量!$Q16+SUMPRODUCT(BK$4:BK$26,后果甲状腺剂量!$K$5:$K$27)*后果甲状腺剂量!$R16+SUMPRODUCT(BL$4:BL$26,后果甲状腺剂量!$K$5:$K$27)*后果甲状腺剂量!$S16+SUMPRODUCT(BM$4:BM$26,后果甲状腺剂量!$K$5:$K$27)*后果甲状腺剂量!$T16+SUMPRODUCT(BN$4:BN$26,后果甲状腺剂量!$K$5:$K$27)*后果甲状腺剂量!$U16+SUMPRODUCT(BJ$29:BJ$30,后果甲状腺剂量!$I$28:$I$29)*后果甲状腺剂量!$Q16+SUMPRODUCT(BJ$29:BJ$30,后果甲状腺剂量!$J$28:$J$29)*后果甲状腺剂量!$Q16*后果甲状腺剂量!$Q$3+SUMPRODUCT(BJ$29:BJ$30,后果甲状腺剂量!$K$28:$K$29)*后果甲状腺剂量!$Q16</f>
        <v>6.19228541795687e-6</v>
      </c>
      <c r="BK45" s="333">
        <f t="shared" si="65"/>
        <v>0.000901165258610321</v>
      </c>
      <c r="BL45" s="333">
        <f t="shared" si="66"/>
        <v>0.00619228541795687</v>
      </c>
      <c r="BM45" s="198"/>
      <c r="BN45" s="198"/>
    </row>
    <row r="46" s="91" customFormat="1" spans="13:66">
      <c r="M46" s="166"/>
      <c r="N46" s="166"/>
      <c r="O46" s="166"/>
      <c r="W46" s="91" t="str">
        <f t="shared" si="58"/>
        <v>I-135</v>
      </c>
      <c r="X46" s="126">
        <f t="shared" si="59"/>
        <v>441559173.518677</v>
      </c>
      <c r="Y46" s="126">
        <f t="shared" si="60"/>
        <v>356145268.813804</v>
      </c>
      <c r="Z46" s="126">
        <f t="shared" si="61"/>
        <v>186871031.179609</v>
      </c>
      <c r="AA46" s="126">
        <f t="shared" si="62"/>
        <v>33469415.089906</v>
      </c>
      <c r="AB46" s="126">
        <f t="shared" si="63"/>
        <v>14575.5769797527</v>
      </c>
      <c r="AC46" s="126">
        <f t="shared" si="64"/>
        <v>1.08334114913461e-25</v>
      </c>
      <c r="AD46" s="166"/>
      <c r="AI46" s="167"/>
      <c r="AN46" s="167"/>
      <c r="AS46" s="167"/>
      <c r="AT46" s="167"/>
      <c r="AU46" s="167"/>
      <c r="AV46" s="167"/>
      <c r="AW46" s="167"/>
      <c r="AX46" s="167"/>
      <c r="AY46" s="167"/>
      <c r="AZ46" s="167"/>
      <c r="BA46" s="167"/>
      <c r="BB46" s="167"/>
      <c r="BC46" s="167"/>
      <c r="BD46" s="167"/>
      <c r="BE46" s="167"/>
      <c r="BF46" s="167"/>
      <c r="BG46" s="167"/>
      <c r="BH46" s="653" t="str">
        <f>后果有效剂量!$P17</f>
        <v>45000m</v>
      </c>
      <c r="BI46" s="334">
        <f>SUMPRODUCT(BJ$4:BJ$26,后果有效剂量!$I$5:$I$27)*后果有效剂量!$Q17+SUMPRODUCT(BK$4:BK$26,后果有效剂量!$I$5:$I$27)*后果有效剂量!$R17+SUMPRODUCT(BL$4:BL$26,后果有效剂量!$I$5:$I$27)*后果有效剂量!$S17+SUMPRODUCT(BM$4:BM$26,后果有效剂量!$I$5:$I$27)*后果有效剂量!$T17+SUMPRODUCT(BN$4:BN$26,后果有效剂量!$I$5:$I$27)*后果有效剂量!$U17+SUMPRODUCT(BJ$4:BJ$26,后果有效剂量!$J$5:$J$27)*后果有效剂量!$Q17*后果有效剂量!$Q$3+SUMPRODUCT(BK$4:BK$26,后果有效剂量!$J$5:$J$27)*后果有效剂量!$R17*后果有效剂量!$R$3+SUMPRODUCT(BL$4:BL$26,后果有效剂量!$J$5:$J$27)*后果有效剂量!$S17*后果有效剂量!$S$3+SUMPRODUCT(BM$4:BM$26,后果有效剂量!$J$5:$J$27)*后果有效剂量!$T17*后果有效剂量!$T$3+SUMPRODUCT(BN$4:BN$26,后果有效剂量!$J$5:$J$27)*后果有效剂量!$U17*后果有效剂量!$U$3+SUMPRODUCT(BJ$4:BJ$26,后果有效剂量!$K$5:$K$27)*后果有效剂量!$Q17+SUMPRODUCT(BK$4:BK$26,后果有效剂量!$K$5:$K$27)*后果有效剂量!$R17+SUMPRODUCT(BL$4:BL$26,后果有效剂量!$K$5:$K$27)*后果有效剂量!$S17+SUMPRODUCT(BM$4:BM$26,后果有效剂量!$K$5:$K$27)*后果有效剂量!$T17+SUMPRODUCT(BN$4:BN$26,后果有效剂量!$K$5:$K$27)*后果有效剂量!$U17+SUMPRODUCT(BJ$29:BJ$30,后果有效剂量!$I$28:$I$29)*后果有效剂量!$Q17+SUMPRODUCT(BJ$29:BJ$30,后果有效剂量!$J$28:$J$29)*后果有效剂量!$Q17*后果有效剂量!$Q$3+SUMPRODUCT(BJ$29:BJ$30,后果有效剂量!$K$28:$K$29)*后果有效剂量!$Q17</f>
        <v>7.68929052183807e-7</v>
      </c>
      <c r="BJ46" s="335">
        <f>SUMPRODUCT(BJ$4:BJ$26,后果甲状腺剂量!$I$5:$I$27)*后果甲状腺剂量!$Q17+SUMPRODUCT(BK$4:BK$26,后果甲状腺剂量!$I$5:$I$27)*后果甲状腺剂量!$R17+SUMPRODUCT(BL$4:BL$26,后果甲状腺剂量!$I$5:$I$27)*后果甲状腺剂量!$S17+SUMPRODUCT(BM$4:BM$26,后果甲状腺剂量!$I$5:$I$27)*后果甲状腺剂量!$T17+SUMPRODUCT(BN$4:BN$26,后果甲状腺剂量!$I$5:$I$27)*后果甲状腺剂量!$U17+SUMPRODUCT(BJ$4:BJ$26,后果甲状腺剂量!$J$5:$J$27)*后果甲状腺剂量!$Q17*后果甲状腺剂量!$Q$3+SUMPRODUCT(BK$4:BK$26,后果甲状腺剂量!$J$5:$J$27)*后果甲状腺剂量!$R17*后果甲状腺剂量!$R$3+SUMPRODUCT(BL$4:BL$26,后果甲状腺剂量!$J$5:$J$27)*后果甲状腺剂量!$S17*后果甲状腺剂量!$S$3+SUMPRODUCT(BM$4:BM$26,后果甲状腺剂量!$J$5:$J$27)*后果甲状腺剂量!$T17*后果甲状腺剂量!$T$3+SUMPRODUCT(BN$4:BN$26,后果甲状腺剂量!$J$5:$J$27)*后果甲状腺剂量!$U17*后果甲状腺剂量!$U$3+SUMPRODUCT(BJ$4:BJ$26,后果甲状腺剂量!$K$5:$K$27)*后果甲状腺剂量!$Q17+SUMPRODUCT(BK$4:BK$26,后果甲状腺剂量!$K$5:$K$27)*后果甲状腺剂量!$R17+SUMPRODUCT(BL$4:BL$26,后果甲状腺剂量!$K$5:$K$27)*后果甲状腺剂量!$S17+SUMPRODUCT(BM$4:BM$26,后果甲状腺剂量!$K$5:$K$27)*后果甲状腺剂量!$T17+SUMPRODUCT(BN$4:BN$26,后果甲状腺剂量!$K$5:$K$27)*后果甲状腺剂量!$U17+SUMPRODUCT(BJ$29:BJ$30,后果甲状腺剂量!$I$28:$I$29)*后果甲状腺剂量!$Q17+SUMPRODUCT(BJ$29:BJ$30,后果甲状腺剂量!$J$28:$J$29)*后果甲状腺剂量!$Q17*后果甲状腺剂量!$Q$3+SUMPRODUCT(BJ$29:BJ$30,后果甲状腺剂量!$K$28:$K$29)*后果甲状腺剂量!$Q17</f>
        <v>5.32055591737071e-6</v>
      </c>
      <c r="BK46" s="333">
        <f t="shared" si="65"/>
        <v>0.000768929052183807</v>
      </c>
      <c r="BL46" s="333">
        <f t="shared" si="66"/>
        <v>0.00532055591737071</v>
      </c>
      <c r="BM46" s="198"/>
      <c r="BN46" s="198"/>
    </row>
    <row r="47" s="91" customFormat="1" spans="13:66">
      <c r="M47" s="166"/>
      <c r="N47" s="166"/>
      <c r="O47" s="166"/>
      <c r="W47" s="91" t="str">
        <f t="shared" si="58"/>
        <v>Sr-89</v>
      </c>
      <c r="X47" s="126">
        <f t="shared" si="59"/>
        <v>2270000</v>
      </c>
      <c r="Y47" s="126">
        <f t="shared" si="60"/>
        <v>2248586.27869443</v>
      </c>
      <c r="Z47" s="126">
        <f t="shared" si="61"/>
        <v>2185549.53019532</v>
      </c>
      <c r="AA47" s="126">
        <f t="shared" si="62"/>
        <v>2025957.10125515</v>
      </c>
      <c r="AB47" s="126">
        <f t="shared" si="63"/>
        <v>1440268.32277967</v>
      </c>
      <c r="AC47" s="126">
        <f t="shared" si="64"/>
        <v>74844.0870543594</v>
      </c>
      <c r="AD47" s="166"/>
      <c r="AI47" s="167"/>
      <c r="AN47" s="167"/>
      <c r="AS47" s="167"/>
      <c r="AT47" s="167"/>
      <c r="AU47" s="167"/>
      <c r="AV47" s="167"/>
      <c r="AW47" s="167"/>
      <c r="AX47" s="167"/>
      <c r="AY47" s="167"/>
      <c r="AZ47" s="167"/>
      <c r="BA47" s="167"/>
      <c r="BB47" s="167"/>
      <c r="BC47" s="167"/>
      <c r="BD47" s="167"/>
      <c r="BE47" s="167"/>
      <c r="BF47" s="167"/>
      <c r="BG47" s="167"/>
      <c r="BH47" s="653" t="str">
        <f>后果有效剂量!$P18</f>
        <v>55000m</v>
      </c>
      <c r="BI47" s="334">
        <f>SUMPRODUCT(BJ$4:BJ$26,后果有效剂量!$I$5:$I$27)*后果有效剂量!$Q18+SUMPRODUCT(BK$4:BK$26,后果有效剂量!$I$5:$I$27)*后果有效剂量!$R18+SUMPRODUCT(BL$4:BL$26,后果有效剂量!$I$5:$I$27)*后果有效剂量!$S18+SUMPRODUCT(BM$4:BM$26,后果有效剂量!$I$5:$I$27)*后果有效剂量!$T18+SUMPRODUCT(BN$4:BN$26,后果有效剂量!$I$5:$I$27)*后果有效剂量!$U18+SUMPRODUCT(BJ$4:BJ$26,后果有效剂量!$J$5:$J$27)*后果有效剂量!$Q18*后果有效剂量!$Q$3+SUMPRODUCT(BK$4:BK$26,后果有效剂量!$J$5:$J$27)*后果有效剂量!$R18*后果有效剂量!$R$3+SUMPRODUCT(BL$4:BL$26,后果有效剂量!$J$5:$J$27)*后果有效剂量!$S18*后果有效剂量!$S$3+SUMPRODUCT(BM$4:BM$26,后果有效剂量!$J$5:$J$27)*后果有效剂量!$T18*后果有效剂量!$T$3+SUMPRODUCT(BN$4:BN$26,后果有效剂量!$J$5:$J$27)*后果有效剂量!$U18*后果有效剂量!$U$3+SUMPRODUCT(BJ$4:BJ$26,后果有效剂量!$K$5:$K$27)*后果有效剂量!$Q18+SUMPRODUCT(BK$4:BK$26,后果有效剂量!$K$5:$K$27)*后果有效剂量!$R18+SUMPRODUCT(BL$4:BL$26,后果有效剂量!$K$5:$K$27)*后果有效剂量!$S18+SUMPRODUCT(BM$4:BM$26,后果有效剂量!$K$5:$K$27)*后果有效剂量!$T18+SUMPRODUCT(BN$4:BN$26,后果有效剂量!$K$5:$K$27)*后果有效剂量!$U18+SUMPRODUCT(BJ$29:BJ$30,后果有效剂量!$I$28:$I$29)*后果有效剂量!$Q18+SUMPRODUCT(BJ$29:BJ$30,后果有效剂量!$J$28:$J$29)*后果有效剂量!$Q18*后果有效剂量!$Q$3+SUMPRODUCT(BJ$29:BJ$30,后果有效剂量!$K$28:$K$29)*后果有效剂量!$Q18</f>
        <v>3.84464526091903e-6</v>
      </c>
      <c r="BJ47" s="335">
        <f>SUMPRODUCT(BJ$4:BJ$26,后果甲状腺剂量!$I$5:$I$27)*后果甲状腺剂量!$Q18+SUMPRODUCT(BK$4:BK$26,后果甲状腺剂量!$I$5:$I$27)*后果甲状腺剂量!$R18+SUMPRODUCT(BL$4:BL$26,后果甲状腺剂量!$I$5:$I$27)*后果甲状腺剂量!$S18+SUMPRODUCT(BM$4:BM$26,后果甲状腺剂量!$I$5:$I$27)*后果甲状腺剂量!$T18+SUMPRODUCT(BN$4:BN$26,后果甲状腺剂量!$I$5:$I$27)*后果甲状腺剂量!$U18+SUMPRODUCT(BJ$4:BJ$26,后果甲状腺剂量!$J$5:$J$27)*后果甲状腺剂量!$Q18*后果甲状腺剂量!$Q$3+SUMPRODUCT(BK$4:BK$26,后果甲状腺剂量!$J$5:$J$27)*后果甲状腺剂量!$R18*后果甲状腺剂量!$R$3+SUMPRODUCT(BL$4:BL$26,后果甲状腺剂量!$J$5:$J$27)*后果甲状腺剂量!$S18*后果甲状腺剂量!$S$3+SUMPRODUCT(BM$4:BM$26,后果甲状腺剂量!$J$5:$J$27)*后果甲状腺剂量!$T18*后果甲状腺剂量!$T$3+SUMPRODUCT(BN$4:BN$26,后果甲状腺剂量!$J$5:$J$27)*后果甲状腺剂量!$U18*后果甲状腺剂量!$U$3+SUMPRODUCT(BJ$4:BJ$26,后果甲状腺剂量!$K$5:$K$27)*后果甲状腺剂量!$Q18+SUMPRODUCT(BK$4:BK$26,后果甲状腺剂量!$K$5:$K$27)*后果甲状腺剂量!$R18+SUMPRODUCT(BL$4:BL$26,后果甲状腺剂量!$K$5:$K$27)*后果甲状腺剂量!$S18+SUMPRODUCT(BM$4:BM$26,后果甲状腺剂量!$K$5:$K$27)*后果甲状腺剂量!$T18+SUMPRODUCT(BN$4:BN$26,后果甲状腺剂量!$K$5:$K$27)*后果甲状腺剂量!$U18+SUMPRODUCT(BJ$29:BJ$30,后果甲状腺剂量!$I$28:$I$29)*后果甲状腺剂量!$Q18+SUMPRODUCT(BJ$29:BJ$30,后果甲状腺剂量!$J$28:$J$29)*后果甲状腺剂量!$Q18*后果甲状腺剂量!$Q$3+SUMPRODUCT(BJ$29:BJ$30,后果甲状腺剂量!$K$28:$K$29)*后果甲状腺剂量!$Q18</f>
        <v>4.71936315834577e-6</v>
      </c>
      <c r="BK47" s="333">
        <f t="shared" si="65"/>
        <v>0.00384464526091903</v>
      </c>
      <c r="BL47" s="333">
        <f t="shared" si="66"/>
        <v>0.00471936315834577</v>
      </c>
      <c r="BM47" s="198"/>
      <c r="BN47" s="198"/>
    </row>
    <row r="48" s="91" customFormat="1" spans="13:66">
      <c r="M48" s="166"/>
      <c r="N48" s="166"/>
      <c r="O48" s="166"/>
      <c r="W48" s="91" t="str">
        <f t="shared" si="58"/>
        <v>Sr-90</v>
      </c>
      <c r="X48" s="126">
        <f t="shared" si="59"/>
        <v>1180000</v>
      </c>
      <c r="Y48" s="126">
        <f t="shared" si="60"/>
        <v>1170201.02927589</v>
      </c>
      <c r="Z48" s="126">
        <f t="shared" si="61"/>
        <v>1141289.65617885</v>
      </c>
      <c r="AA48" s="126">
        <f t="shared" si="62"/>
        <v>1067637.03091334</v>
      </c>
      <c r="AB48" s="126">
        <f t="shared" si="63"/>
        <v>790766.920391705</v>
      </c>
      <c r="AC48" s="126">
        <f t="shared" si="64"/>
        <v>58631.4525459653</v>
      </c>
      <c r="AD48" s="166"/>
      <c r="AI48" s="167"/>
      <c r="AN48" s="167"/>
      <c r="AS48" s="167"/>
      <c r="AT48" s="167"/>
      <c r="AU48" s="167"/>
      <c r="AV48" s="167"/>
      <c r="AW48" s="167"/>
      <c r="AX48" s="167"/>
      <c r="AY48" s="167"/>
      <c r="AZ48" s="167"/>
      <c r="BA48" s="167"/>
      <c r="BB48" s="167"/>
      <c r="BC48" s="167"/>
      <c r="BD48" s="167"/>
      <c r="BE48" s="167"/>
      <c r="BF48" s="167"/>
      <c r="BG48" s="167"/>
      <c r="BH48" s="653" t="str">
        <f>后果有效剂量!$P19</f>
        <v>65000m</v>
      </c>
      <c r="BI48" s="334">
        <f>SUMPRODUCT(BJ$4:BJ$26,后果有效剂量!$I$5:$I$27)*后果有效剂量!$Q19+SUMPRODUCT(BK$4:BK$26,后果有效剂量!$I$5:$I$27)*后果有效剂量!$R19+SUMPRODUCT(BL$4:BL$26,后果有效剂量!$I$5:$I$27)*后果有效剂量!$S19+SUMPRODUCT(BM$4:BM$26,后果有效剂量!$I$5:$I$27)*后果有效剂量!$T19+SUMPRODUCT(BN$4:BN$26,后果有效剂量!$I$5:$I$27)*后果有效剂量!$U19+SUMPRODUCT(BJ$4:BJ$26,后果有效剂量!$J$5:$J$27)*后果有效剂量!$Q19*后果有效剂量!$Q$3+SUMPRODUCT(BK$4:BK$26,后果有效剂量!$J$5:$J$27)*后果有效剂量!$R19*后果有效剂量!$R$3+SUMPRODUCT(BL$4:BL$26,后果有效剂量!$J$5:$J$27)*后果有效剂量!$S19*后果有效剂量!$S$3+SUMPRODUCT(BM$4:BM$26,后果有效剂量!$J$5:$J$27)*后果有效剂量!$T19*后果有效剂量!$T$3+SUMPRODUCT(BN$4:BN$26,后果有效剂量!$J$5:$J$27)*后果有效剂量!$U19*后果有效剂量!$U$3+SUMPRODUCT(BJ$4:BJ$26,后果有效剂量!$K$5:$K$27)*后果有效剂量!$Q19+SUMPRODUCT(BK$4:BK$26,后果有效剂量!$K$5:$K$27)*后果有效剂量!$R19+SUMPRODUCT(BL$4:BL$26,后果有效剂量!$K$5:$K$27)*后果有效剂量!$S19+SUMPRODUCT(BM$4:BM$26,后果有效剂量!$K$5:$K$27)*后果有效剂量!$T19+SUMPRODUCT(BN$4:BN$26,后果有效剂量!$K$5:$K$27)*后果有效剂量!$U19+SUMPRODUCT(BJ$29:BJ$30,后果有效剂量!$I$28:$I$29)*后果有效剂量!$Q19+SUMPRODUCT(BJ$29:BJ$30,后果有效剂量!$J$28:$J$29)*后果有效剂量!$Q19*后果有效剂量!$Q$3+SUMPRODUCT(BJ$29:BJ$30,后果有效剂量!$K$28:$K$29)*后果有效剂量!$Q19</f>
        <v>3.47732246528983e-6</v>
      </c>
      <c r="BJ48" s="335">
        <f>SUMPRODUCT(BJ$4:BJ$26,后果甲状腺剂量!$I$5:$I$27)*后果甲状腺剂量!$Q19+SUMPRODUCT(BK$4:BK$26,后果甲状腺剂量!$I$5:$I$27)*后果甲状腺剂量!$R19+SUMPRODUCT(BL$4:BL$26,后果甲状腺剂量!$I$5:$I$27)*后果甲状腺剂量!$S19+SUMPRODUCT(BM$4:BM$26,后果甲状腺剂量!$I$5:$I$27)*后果甲状腺剂量!$T19+SUMPRODUCT(BN$4:BN$26,后果甲状腺剂量!$I$5:$I$27)*后果甲状腺剂量!$U19+SUMPRODUCT(BJ$4:BJ$26,后果甲状腺剂量!$J$5:$J$27)*后果甲状腺剂量!$Q19*后果甲状腺剂量!$Q$3+SUMPRODUCT(BK$4:BK$26,后果甲状腺剂量!$J$5:$J$27)*后果甲状腺剂量!$R19*后果甲状腺剂量!$R$3+SUMPRODUCT(BL$4:BL$26,后果甲状腺剂量!$J$5:$J$27)*后果甲状腺剂量!$S19*后果甲状腺剂量!$S$3+SUMPRODUCT(BM$4:BM$26,后果甲状腺剂量!$J$5:$J$27)*后果甲状腺剂量!$T19*后果甲状腺剂量!$T$3+SUMPRODUCT(BN$4:BN$26,后果甲状腺剂量!$J$5:$J$27)*后果甲状腺剂量!$U19*后果甲状腺剂量!$U$3+SUMPRODUCT(BJ$4:BJ$26,后果甲状腺剂量!$K$5:$K$27)*后果甲状腺剂量!$Q19+SUMPRODUCT(BK$4:BK$26,后果甲状腺剂量!$K$5:$K$27)*后果甲状腺剂量!$R19+SUMPRODUCT(BL$4:BL$26,后果甲状腺剂量!$K$5:$K$27)*后果甲状腺剂量!$S19+SUMPRODUCT(BM$4:BM$26,后果甲状腺剂量!$K$5:$K$27)*后果甲状腺剂量!$T19+SUMPRODUCT(BN$4:BN$26,后果甲状腺剂量!$K$5:$K$27)*后果甲状腺剂量!$U19+SUMPRODUCT(BJ$29:BJ$30,后果甲状腺剂量!$I$28:$I$29)*后果甲状腺剂量!$Q19+SUMPRODUCT(BJ$29:BJ$30,后果甲状腺剂量!$J$28:$J$29)*后果甲状腺剂量!$Q19*后果甲状腺剂量!$Q$3+SUMPRODUCT(BJ$29:BJ$30,后果甲状腺剂量!$K$28:$K$29)*后果甲状腺剂量!$Q19</f>
        <v>4.26846858907707e-6</v>
      </c>
      <c r="BK48" s="333">
        <f t="shared" si="65"/>
        <v>0.00347732246528983</v>
      </c>
      <c r="BL48" s="333">
        <f t="shared" si="66"/>
        <v>0.00426846858907707</v>
      </c>
      <c r="BM48" s="198"/>
      <c r="BN48" s="198"/>
    </row>
    <row r="49" s="91" customFormat="1" spans="13:66">
      <c r="M49" s="166"/>
      <c r="N49" s="166"/>
      <c r="O49" s="166"/>
      <c r="W49" s="91" t="str">
        <f t="shared" si="58"/>
        <v>Cs-134</v>
      </c>
      <c r="X49" s="126">
        <f t="shared" si="59"/>
        <v>196000000</v>
      </c>
      <c r="Y49" s="126">
        <f t="shared" si="60"/>
        <v>194358479.403177</v>
      </c>
      <c r="Z49" s="126">
        <f t="shared" si="61"/>
        <v>189515945.461333</v>
      </c>
      <c r="AA49" s="126">
        <f t="shared" si="62"/>
        <v>177184254.895307</v>
      </c>
      <c r="AB49" s="126">
        <f t="shared" si="63"/>
        <v>130897783.399357</v>
      </c>
      <c r="AC49" s="126">
        <f t="shared" si="64"/>
        <v>9491344.32152336</v>
      </c>
      <c r="AD49" s="166"/>
      <c r="AI49" s="167"/>
      <c r="AN49" s="167"/>
      <c r="AS49" s="167"/>
      <c r="AT49" s="167"/>
      <c r="AU49" s="167"/>
      <c r="AV49" s="167"/>
      <c r="AW49" s="167"/>
      <c r="AX49" s="167"/>
      <c r="AY49" s="167"/>
      <c r="AZ49" s="167"/>
      <c r="BA49" s="167"/>
      <c r="BB49" s="167"/>
      <c r="BC49" s="167"/>
      <c r="BD49" s="167"/>
      <c r="BE49" s="167"/>
      <c r="BF49" s="167"/>
      <c r="BG49" s="167"/>
      <c r="BH49" s="653" t="str">
        <f>后果有效剂量!$P20</f>
        <v>75000m</v>
      </c>
      <c r="BI49" s="334">
        <f>SUMPRODUCT(BJ$4:BJ$26,后果有效剂量!$I$5:$I$27)*后果有效剂量!$Q20+SUMPRODUCT(BK$4:BK$26,后果有效剂量!$I$5:$I$27)*后果有效剂量!$R20+SUMPRODUCT(BL$4:BL$26,后果有效剂量!$I$5:$I$27)*后果有效剂量!$S20+SUMPRODUCT(BM$4:BM$26,后果有效剂量!$I$5:$I$27)*后果有效剂量!$T20+SUMPRODUCT(BN$4:BN$26,后果有效剂量!$I$5:$I$27)*后果有效剂量!$U20+SUMPRODUCT(BJ$4:BJ$26,后果有效剂量!$J$5:$J$27)*后果有效剂量!$Q20*后果有效剂量!$Q$3+SUMPRODUCT(BK$4:BK$26,后果有效剂量!$J$5:$J$27)*后果有效剂量!$R20*后果有效剂量!$R$3+SUMPRODUCT(BL$4:BL$26,后果有效剂量!$J$5:$J$27)*后果有效剂量!$S20*后果有效剂量!$S$3+SUMPRODUCT(BM$4:BM$26,后果有效剂量!$J$5:$J$27)*后果有效剂量!$T20*后果有效剂量!$T$3+SUMPRODUCT(BN$4:BN$26,后果有效剂量!$J$5:$J$27)*后果有效剂量!$U20*后果有效剂量!$U$3+SUMPRODUCT(BJ$4:BJ$26,后果有效剂量!$K$5:$K$27)*后果有效剂量!$Q20+SUMPRODUCT(BK$4:BK$26,后果有效剂量!$K$5:$K$27)*后果有效剂量!$R20+SUMPRODUCT(BL$4:BL$26,后果有效剂量!$K$5:$K$27)*后果有效剂量!$S20+SUMPRODUCT(BM$4:BM$26,后果有效剂量!$K$5:$K$27)*后果有效剂量!$T20+SUMPRODUCT(BN$4:BN$26,后果有效剂量!$K$5:$K$27)*后果有效剂量!$U20+SUMPRODUCT(BJ$29:BJ$30,后果有效剂量!$I$28:$I$29)*后果有效剂量!$Q20+SUMPRODUCT(BJ$29:BJ$30,后果有效剂量!$J$28:$J$29)*后果有效剂量!$Q20*后果有效剂量!$Q$3+SUMPRODUCT(BJ$29:BJ$30,后果有效剂量!$K$28:$K$29)*后果有效剂量!$Q20</f>
        <v>3.18346422878646e-6</v>
      </c>
      <c r="BJ49" s="335">
        <f>SUMPRODUCT(BJ$4:BJ$26,后果甲状腺剂量!$I$5:$I$27)*后果甲状腺剂量!$Q20+SUMPRODUCT(BK$4:BK$26,后果甲状腺剂量!$I$5:$I$27)*后果甲状腺剂量!$R20+SUMPRODUCT(BL$4:BL$26,后果甲状腺剂量!$I$5:$I$27)*后果甲状腺剂量!$S20+SUMPRODUCT(BM$4:BM$26,后果甲状腺剂量!$I$5:$I$27)*后果甲状腺剂量!$T20+SUMPRODUCT(BN$4:BN$26,后果甲状腺剂量!$I$5:$I$27)*后果甲状腺剂量!$U20+SUMPRODUCT(BJ$4:BJ$26,后果甲状腺剂量!$J$5:$J$27)*后果甲状腺剂量!$Q20*后果甲状腺剂量!$Q$3+SUMPRODUCT(BK$4:BK$26,后果甲状腺剂量!$J$5:$J$27)*后果甲状腺剂量!$R20*后果甲状腺剂量!$R$3+SUMPRODUCT(BL$4:BL$26,后果甲状腺剂量!$J$5:$J$27)*后果甲状腺剂量!$S20*后果甲状腺剂量!$S$3+SUMPRODUCT(BM$4:BM$26,后果甲状腺剂量!$J$5:$J$27)*后果甲状腺剂量!$T20*后果甲状腺剂量!$T$3+SUMPRODUCT(BN$4:BN$26,后果甲状腺剂量!$J$5:$J$27)*后果甲状腺剂量!$U20*后果甲状腺剂量!$U$3+SUMPRODUCT(BJ$4:BJ$26,后果甲状腺剂量!$K$5:$K$27)*后果甲状腺剂量!$Q20+SUMPRODUCT(BK$4:BK$26,后果甲状腺剂量!$K$5:$K$27)*后果甲状腺剂量!$R20+SUMPRODUCT(BL$4:BL$26,后果甲状腺剂量!$K$5:$K$27)*后果甲状腺剂量!$S20+SUMPRODUCT(BM$4:BM$26,后果甲状腺剂量!$K$5:$K$27)*后果甲状腺剂量!$T20+SUMPRODUCT(BN$4:BN$26,后果甲状腺剂量!$K$5:$K$27)*后果甲状腺剂量!$U20+SUMPRODUCT(BJ$29:BJ$30,后果甲状腺剂量!$I$28:$I$29)*后果甲状腺剂量!$Q20+SUMPRODUCT(BJ$29:BJ$30,后果甲状腺剂量!$J$28:$J$29)*后果甲状腺剂量!$Q20*后果甲状腺剂量!$Q$3+SUMPRODUCT(BJ$29:BJ$30,后果甲状腺剂量!$K$28:$K$29)*后果甲状腺剂量!$Q20</f>
        <v>3.9077529336621e-6</v>
      </c>
      <c r="BK49" s="333">
        <f t="shared" si="65"/>
        <v>0.00318346422878646</v>
      </c>
      <c r="BL49" s="333">
        <f t="shared" si="66"/>
        <v>0.0039077529336621</v>
      </c>
      <c r="BM49" s="198"/>
      <c r="BN49" s="198"/>
    </row>
    <row r="50" s="91" customFormat="1" spans="13:66">
      <c r="M50" s="166"/>
      <c r="N50" s="166"/>
      <c r="O50" s="166"/>
      <c r="W50" s="91" t="str">
        <f t="shared" si="58"/>
        <v>Cs-137</v>
      </c>
      <c r="X50" s="126">
        <f t="shared" si="59"/>
        <v>1760000000</v>
      </c>
      <c r="Y50" s="126">
        <f t="shared" si="60"/>
        <v>1745385101.27622</v>
      </c>
      <c r="Z50" s="126">
        <f t="shared" si="61"/>
        <v>1702264548.06226</v>
      </c>
      <c r="AA50" s="126">
        <f t="shared" si="62"/>
        <v>1592413415.87688</v>
      </c>
      <c r="AB50" s="126">
        <f t="shared" si="63"/>
        <v>1179465678.44644</v>
      </c>
      <c r="AC50" s="126">
        <f t="shared" si="64"/>
        <v>87459596.1147996</v>
      </c>
      <c r="AD50" s="166"/>
      <c r="AI50" s="167"/>
      <c r="AN50" s="167"/>
      <c r="AS50" s="167"/>
      <c r="AT50" s="167"/>
      <c r="AU50" s="167"/>
      <c r="AV50" s="167"/>
      <c r="AW50" s="167"/>
      <c r="AX50" s="167"/>
      <c r="AY50" s="167"/>
      <c r="AZ50" s="167"/>
      <c r="BA50" s="167"/>
      <c r="BB50" s="167"/>
      <c r="BC50" s="167"/>
      <c r="BD50" s="167"/>
      <c r="BE50" s="167"/>
      <c r="BF50" s="167"/>
      <c r="BG50" s="167"/>
      <c r="BH50" s="653">
        <f>后果有效剂量!$P21</f>
        <v>0</v>
      </c>
      <c r="BI50" s="334">
        <f>SUMPRODUCT(BJ$4:BJ$26,后果有效剂量!$I$5:$I$27)*后果有效剂量!$Q21+SUMPRODUCT(BK$4:BK$26,后果有效剂量!$I$5:$I$27)*后果有效剂量!$R21+SUMPRODUCT(BL$4:BL$26,后果有效剂量!$I$5:$I$27)*后果有效剂量!$S21+SUMPRODUCT(BM$4:BM$26,后果有效剂量!$I$5:$I$27)*后果有效剂量!$T21+SUMPRODUCT(BN$4:BN$26,后果有效剂量!$I$5:$I$27)*后果有效剂量!$U21+SUMPRODUCT(BJ$4:BJ$26,后果有效剂量!$J$5:$J$27)*后果有效剂量!$Q21*后果有效剂量!$Q$3+SUMPRODUCT(BK$4:BK$26,后果有效剂量!$J$5:$J$27)*后果有效剂量!$R21*后果有效剂量!$R$3+SUMPRODUCT(BL$4:BL$26,后果有效剂量!$J$5:$J$27)*后果有效剂量!$S21*后果有效剂量!$S$3+SUMPRODUCT(BM$4:BM$26,后果有效剂量!$J$5:$J$27)*后果有效剂量!$T21*后果有效剂量!$T$3+SUMPRODUCT(BN$4:BN$26,后果有效剂量!$J$5:$J$27)*后果有效剂量!$U21*后果有效剂量!$U$3+SUMPRODUCT(BJ$4:BJ$26,后果有效剂量!$K$5:$K$27)*后果有效剂量!$Q21+SUMPRODUCT(BK$4:BK$26,后果有效剂量!$K$5:$K$27)*后果有效剂量!$R21+SUMPRODUCT(BL$4:BL$26,后果有效剂量!$K$5:$K$27)*后果有效剂量!$S21+SUMPRODUCT(BM$4:BM$26,后果有效剂量!$K$5:$K$27)*后果有效剂量!$T21+SUMPRODUCT(BN$4:BN$26,后果有效剂量!$K$5:$K$27)*后果有效剂量!$U21+SUMPRODUCT(BJ$29:BJ$30,后果有效剂量!$I$28:$I$29)*后果有效剂量!$Q21+SUMPRODUCT(BJ$29:BJ$30,后果有效剂量!$J$28:$J$29)*后果有效剂量!$Q21*后果有效剂量!$Q$3+SUMPRODUCT(BJ$29:BJ$30,后果有效剂量!$K$28:$K$29)*后果有效剂量!$Q21</f>
        <v>0</v>
      </c>
      <c r="BJ50" s="335">
        <f>SUMPRODUCT(BJ$4:BJ$26,后果甲状腺剂量!$I$5:$I$27)*后果甲状腺剂量!$Q21+SUMPRODUCT(BK$4:BK$26,后果甲状腺剂量!$I$5:$I$27)*后果甲状腺剂量!$R21+SUMPRODUCT(BL$4:BL$26,后果甲状腺剂量!$I$5:$I$27)*后果甲状腺剂量!$S21+SUMPRODUCT(BM$4:BM$26,后果甲状腺剂量!$I$5:$I$27)*后果甲状腺剂量!$T21+SUMPRODUCT(BN$4:BN$26,后果甲状腺剂量!$I$5:$I$27)*后果甲状腺剂量!$U21+SUMPRODUCT(BJ$4:BJ$26,后果甲状腺剂量!$J$5:$J$27)*后果甲状腺剂量!$Q21*后果甲状腺剂量!$Q$3+SUMPRODUCT(BK$4:BK$26,后果甲状腺剂量!$J$5:$J$27)*后果甲状腺剂量!$R21*后果甲状腺剂量!$R$3+SUMPRODUCT(BL$4:BL$26,后果甲状腺剂量!$J$5:$J$27)*后果甲状腺剂量!$S21*后果甲状腺剂量!$S$3+SUMPRODUCT(BM$4:BM$26,后果甲状腺剂量!$J$5:$J$27)*后果甲状腺剂量!$T21*后果甲状腺剂量!$T$3+SUMPRODUCT(BN$4:BN$26,后果甲状腺剂量!$J$5:$J$27)*后果甲状腺剂量!$U21*后果甲状腺剂量!$U$3+SUMPRODUCT(BJ$4:BJ$26,后果甲状腺剂量!$K$5:$K$27)*后果甲状腺剂量!$Q21+SUMPRODUCT(BK$4:BK$26,后果甲状腺剂量!$K$5:$K$27)*后果甲状腺剂量!$R21+SUMPRODUCT(BL$4:BL$26,后果甲状腺剂量!$K$5:$K$27)*后果甲状腺剂量!$S21+SUMPRODUCT(BM$4:BM$26,后果甲状腺剂量!$K$5:$K$27)*后果甲状腺剂量!$T21+SUMPRODUCT(BN$4:BN$26,后果甲状腺剂量!$K$5:$K$27)*后果甲状腺剂量!$U21+SUMPRODUCT(BJ$29:BJ$30,后果甲状腺剂量!$I$28:$I$29)*后果甲状腺剂量!$Q21+SUMPRODUCT(BJ$29:BJ$30,后果甲状腺剂量!$J$28:$J$29)*后果甲状腺剂量!$Q21*后果甲状腺剂量!$Q$3+SUMPRODUCT(BJ$29:BJ$30,后果甲状腺剂量!$K$28:$K$29)*后果甲状腺剂量!$Q21</f>
        <v>0</v>
      </c>
      <c r="BK50" s="333">
        <f t="shared" ref="BK50:BK59" si="67">BI50*1000</f>
        <v>0</v>
      </c>
      <c r="BL50" s="333">
        <f t="shared" ref="BL50:BL59" si="68">BJ50*1000</f>
        <v>0</v>
      </c>
      <c r="BM50" s="198"/>
      <c r="BN50" s="198"/>
    </row>
    <row r="51" s="91" customFormat="1" spans="13:66">
      <c r="M51" s="166"/>
      <c r="N51" s="166"/>
      <c r="O51" s="166"/>
      <c r="W51" s="91" t="str">
        <f t="shared" si="58"/>
        <v>Ag-110m</v>
      </c>
      <c r="X51" s="126">
        <f t="shared" si="59"/>
        <v>56300000</v>
      </c>
      <c r="Y51" s="126">
        <f t="shared" si="60"/>
        <v>55819920.3842216</v>
      </c>
      <c r="Z51" s="126">
        <f t="shared" si="61"/>
        <v>54404104.5233395</v>
      </c>
      <c r="AA51" s="126">
        <f t="shared" si="62"/>
        <v>50801695.7608119</v>
      </c>
      <c r="AB51" s="126">
        <f t="shared" si="63"/>
        <v>37323954.6056035</v>
      </c>
      <c r="AC51" s="126">
        <f t="shared" si="64"/>
        <v>2579899.73337563</v>
      </c>
      <c r="AD51" s="166"/>
      <c r="AI51" s="167"/>
      <c r="AN51" s="167"/>
      <c r="AS51" s="167"/>
      <c r="AT51" s="167"/>
      <c r="AU51" s="167"/>
      <c r="AV51" s="167"/>
      <c r="AW51" s="167"/>
      <c r="AX51" s="167"/>
      <c r="AY51" s="167"/>
      <c r="AZ51" s="167"/>
      <c r="BA51" s="167"/>
      <c r="BB51" s="167"/>
      <c r="BC51" s="167"/>
      <c r="BD51" s="167"/>
      <c r="BE51" s="167"/>
      <c r="BF51" s="167"/>
      <c r="BG51" s="167"/>
      <c r="BH51" s="653">
        <f>后果有效剂量!$P22</f>
        <v>0</v>
      </c>
      <c r="BI51" s="334">
        <f>SUMPRODUCT(BJ$4:BJ$26,后果有效剂量!$I$5:$I$27)*后果有效剂量!$Q22+SUMPRODUCT(BK$4:BK$26,后果有效剂量!$I$5:$I$27)*后果有效剂量!$R22+SUMPRODUCT(BL$4:BL$26,后果有效剂量!$I$5:$I$27)*后果有效剂量!$S22+SUMPRODUCT(BM$4:BM$26,后果有效剂量!$I$5:$I$27)*后果有效剂量!$T22+SUMPRODUCT(BN$4:BN$26,后果有效剂量!$I$5:$I$27)*后果有效剂量!$U22+SUMPRODUCT(BJ$4:BJ$26,后果有效剂量!$J$5:$J$27)*后果有效剂量!$Q22*后果有效剂量!$Q$3+SUMPRODUCT(BK$4:BK$26,后果有效剂量!$J$5:$J$27)*后果有效剂量!$R22*后果有效剂量!$R$3+SUMPRODUCT(BL$4:BL$26,后果有效剂量!$J$5:$J$27)*后果有效剂量!$S22*后果有效剂量!$S$3+SUMPRODUCT(BM$4:BM$26,后果有效剂量!$J$5:$J$27)*后果有效剂量!$T22*后果有效剂量!$T$3+SUMPRODUCT(BN$4:BN$26,后果有效剂量!$J$5:$J$27)*后果有效剂量!$U22*后果有效剂量!$U$3+SUMPRODUCT(BJ$4:BJ$26,后果有效剂量!$K$5:$K$27)*后果有效剂量!$Q22+SUMPRODUCT(BK$4:BK$26,后果有效剂量!$K$5:$K$27)*后果有效剂量!$R22+SUMPRODUCT(BL$4:BL$26,后果有效剂量!$K$5:$K$27)*后果有效剂量!$S22+SUMPRODUCT(BM$4:BM$26,后果有效剂量!$K$5:$K$27)*后果有效剂量!$T22+SUMPRODUCT(BN$4:BN$26,后果有效剂量!$K$5:$K$27)*后果有效剂量!$U22+SUMPRODUCT(BJ$29:BJ$30,后果有效剂量!$I$28:$I$29)*后果有效剂量!$Q22+SUMPRODUCT(BJ$29:BJ$30,后果有效剂量!$J$28:$J$29)*后果有效剂量!$Q22*后果有效剂量!$Q$3+SUMPRODUCT(BJ$29:BJ$30,后果有效剂量!$K$28:$K$29)*后果有效剂量!$Q22</f>
        <v>0</v>
      </c>
      <c r="BJ51" s="335">
        <f>SUMPRODUCT(BJ$4:BJ$26,后果甲状腺剂量!$I$5:$I$27)*后果甲状腺剂量!$Q22+SUMPRODUCT(BK$4:BK$26,后果甲状腺剂量!$I$5:$I$27)*后果甲状腺剂量!$R22+SUMPRODUCT(BL$4:BL$26,后果甲状腺剂量!$I$5:$I$27)*后果甲状腺剂量!$S22+SUMPRODUCT(BM$4:BM$26,后果甲状腺剂量!$I$5:$I$27)*后果甲状腺剂量!$T22+SUMPRODUCT(BN$4:BN$26,后果甲状腺剂量!$I$5:$I$27)*后果甲状腺剂量!$U22+SUMPRODUCT(BJ$4:BJ$26,后果甲状腺剂量!$J$5:$J$27)*后果甲状腺剂量!$Q22*后果甲状腺剂量!$Q$3+SUMPRODUCT(BK$4:BK$26,后果甲状腺剂量!$J$5:$J$27)*后果甲状腺剂量!$R22*后果甲状腺剂量!$R$3+SUMPRODUCT(BL$4:BL$26,后果甲状腺剂量!$J$5:$J$27)*后果甲状腺剂量!$S22*后果甲状腺剂量!$S$3+SUMPRODUCT(BM$4:BM$26,后果甲状腺剂量!$J$5:$J$27)*后果甲状腺剂量!$T22*后果甲状腺剂量!$T$3+SUMPRODUCT(BN$4:BN$26,后果甲状腺剂量!$J$5:$J$27)*后果甲状腺剂量!$U22*后果甲状腺剂量!$U$3+SUMPRODUCT(BJ$4:BJ$26,后果甲状腺剂量!$K$5:$K$27)*后果甲状腺剂量!$Q22+SUMPRODUCT(BK$4:BK$26,后果甲状腺剂量!$K$5:$K$27)*后果甲状腺剂量!$R22+SUMPRODUCT(BL$4:BL$26,后果甲状腺剂量!$K$5:$K$27)*后果甲状腺剂量!$S22+SUMPRODUCT(BM$4:BM$26,后果甲状腺剂量!$K$5:$K$27)*后果甲状腺剂量!$T22+SUMPRODUCT(BN$4:BN$26,后果甲状腺剂量!$K$5:$K$27)*后果甲状腺剂量!$U22+SUMPRODUCT(BJ$29:BJ$30,后果甲状腺剂量!$I$28:$I$29)*后果甲状腺剂量!$Q22+SUMPRODUCT(BJ$29:BJ$30,后果甲状腺剂量!$J$28:$J$29)*后果甲状腺剂量!$Q22*后果甲状腺剂量!$Q$3+SUMPRODUCT(BJ$29:BJ$30,后果甲状腺剂量!$K$28:$K$29)*后果甲状腺剂量!$Q22</f>
        <v>0</v>
      </c>
      <c r="BK51" s="333">
        <f t="shared" si="67"/>
        <v>0</v>
      </c>
      <c r="BL51" s="333">
        <f t="shared" si="68"/>
        <v>0</v>
      </c>
      <c r="BM51" s="198"/>
      <c r="BN51" s="198"/>
    </row>
    <row r="52" s="91" customFormat="1" spans="13:66">
      <c r="M52" s="166"/>
      <c r="N52" s="166"/>
      <c r="O52" s="166"/>
      <c r="W52" s="91" t="str">
        <f t="shared" si="58"/>
        <v>H-3</v>
      </c>
      <c r="X52" s="126">
        <f t="shared" si="59"/>
        <v>12900000000000</v>
      </c>
      <c r="Y52" s="126">
        <f t="shared" si="60"/>
        <v>12792781800607.2</v>
      </c>
      <c r="Z52" s="126">
        <f t="shared" si="61"/>
        <v>12476444493972.3</v>
      </c>
      <c r="AA52" s="126">
        <f t="shared" si="62"/>
        <v>11670597625138.9</v>
      </c>
      <c r="AB52" s="126">
        <f t="shared" si="63"/>
        <v>8641780926848.61</v>
      </c>
      <c r="AC52" s="126">
        <f t="shared" si="64"/>
        <v>639280234797.071</v>
      </c>
      <c r="AD52" s="166"/>
      <c r="AI52" s="167"/>
      <c r="AN52" s="167"/>
      <c r="AS52" s="167"/>
      <c r="AT52" s="167"/>
      <c r="AU52" s="167"/>
      <c r="AV52" s="167"/>
      <c r="AW52" s="167"/>
      <c r="AX52" s="167"/>
      <c r="AY52" s="167"/>
      <c r="AZ52" s="167"/>
      <c r="BA52" s="167"/>
      <c r="BB52" s="167"/>
      <c r="BC52" s="167"/>
      <c r="BD52" s="167"/>
      <c r="BE52" s="167"/>
      <c r="BF52" s="167"/>
      <c r="BG52" s="167"/>
      <c r="BH52" s="653">
        <f>后果有效剂量!$P23</f>
        <v>0</v>
      </c>
      <c r="BI52" s="334">
        <f>SUMPRODUCT(BJ$4:BJ$26,后果有效剂量!$I$5:$I$27)*后果有效剂量!$Q23+SUMPRODUCT(BK$4:BK$26,后果有效剂量!$I$5:$I$27)*后果有效剂量!$R23+SUMPRODUCT(BL$4:BL$26,后果有效剂量!$I$5:$I$27)*后果有效剂量!$S23+SUMPRODUCT(BM$4:BM$26,后果有效剂量!$I$5:$I$27)*后果有效剂量!$T23+SUMPRODUCT(BN$4:BN$26,后果有效剂量!$I$5:$I$27)*后果有效剂量!$U23+SUMPRODUCT(BJ$4:BJ$26,后果有效剂量!$J$5:$J$27)*后果有效剂量!$Q23*后果有效剂量!$Q$3+SUMPRODUCT(BK$4:BK$26,后果有效剂量!$J$5:$J$27)*后果有效剂量!$R23*后果有效剂量!$R$3+SUMPRODUCT(BL$4:BL$26,后果有效剂量!$J$5:$J$27)*后果有效剂量!$S23*后果有效剂量!$S$3+SUMPRODUCT(BM$4:BM$26,后果有效剂量!$J$5:$J$27)*后果有效剂量!$T23*后果有效剂量!$T$3+SUMPRODUCT(BN$4:BN$26,后果有效剂量!$J$5:$J$27)*后果有效剂量!$U23*后果有效剂量!$U$3+SUMPRODUCT(BJ$4:BJ$26,后果有效剂量!$K$5:$K$27)*后果有效剂量!$Q23+SUMPRODUCT(BK$4:BK$26,后果有效剂量!$K$5:$K$27)*后果有效剂量!$R23+SUMPRODUCT(BL$4:BL$26,后果有效剂量!$K$5:$K$27)*后果有效剂量!$S23+SUMPRODUCT(BM$4:BM$26,后果有效剂量!$K$5:$K$27)*后果有效剂量!$T23+SUMPRODUCT(BN$4:BN$26,后果有效剂量!$K$5:$K$27)*后果有效剂量!$U23+SUMPRODUCT(BJ$29:BJ$30,后果有效剂量!$I$28:$I$29)*后果有效剂量!$Q23+SUMPRODUCT(BJ$29:BJ$30,后果有效剂量!$J$28:$J$29)*后果有效剂量!$Q23*后果有效剂量!$Q$3+SUMPRODUCT(BJ$29:BJ$30,后果有效剂量!$K$28:$K$29)*后果有效剂量!$Q23</f>
        <v>0</v>
      </c>
      <c r="BJ52" s="335">
        <f>SUMPRODUCT(BJ$4:BJ$26,后果甲状腺剂量!$I$5:$I$27)*后果甲状腺剂量!$Q23+SUMPRODUCT(BK$4:BK$26,后果甲状腺剂量!$I$5:$I$27)*后果甲状腺剂量!$R23+SUMPRODUCT(BL$4:BL$26,后果甲状腺剂量!$I$5:$I$27)*后果甲状腺剂量!$S23+SUMPRODUCT(BM$4:BM$26,后果甲状腺剂量!$I$5:$I$27)*后果甲状腺剂量!$T23+SUMPRODUCT(BN$4:BN$26,后果甲状腺剂量!$I$5:$I$27)*后果甲状腺剂量!$U23+SUMPRODUCT(BJ$4:BJ$26,后果甲状腺剂量!$J$5:$J$27)*后果甲状腺剂量!$Q23*后果甲状腺剂量!$Q$3+SUMPRODUCT(BK$4:BK$26,后果甲状腺剂量!$J$5:$J$27)*后果甲状腺剂量!$R23*后果甲状腺剂量!$R$3+SUMPRODUCT(BL$4:BL$26,后果甲状腺剂量!$J$5:$J$27)*后果甲状腺剂量!$S23*后果甲状腺剂量!$S$3+SUMPRODUCT(BM$4:BM$26,后果甲状腺剂量!$J$5:$J$27)*后果甲状腺剂量!$T23*后果甲状腺剂量!$T$3+SUMPRODUCT(BN$4:BN$26,后果甲状腺剂量!$J$5:$J$27)*后果甲状腺剂量!$U23*后果甲状腺剂量!$U$3+SUMPRODUCT(BJ$4:BJ$26,后果甲状腺剂量!$K$5:$K$27)*后果甲状腺剂量!$Q23+SUMPRODUCT(BK$4:BK$26,后果甲状腺剂量!$K$5:$K$27)*后果甲状腺剂量!$R23+SUMPRODUCT(BL$4:BL$26,后果甲状腺剂量!$K$5:$K$27)*后果甲状腺剂量!$S23+SUMPRODUCT(BM$4:BM$26,后果甲状腺剂量!$K$5:$K$27)*后果甲状腺剂量!$T23+SUMPRODUCT(BN$4:BN$26,后果甲状腺剂量!$K$5:$K$27)*后果甲状腺剂量!$U23+SUMPRODUCT(BJ$29:BJ$30,后果甲状腺剂量!$I$28:$I$29)*后果甲状腺剂量!$Q23+SUMPRODUCT(BJ$29:BJ$30,后果甲状腺剂量!$J$28:$J$29)*后果甲状腺剂量!$Q23*后果甲状腺剂量!$Q$3+SUMPRODUCT(BJ$29:BJ$30,后果甲状腺剂量!$K$28:$K$29)*后果甲状腺剂量!$Q23</f>
        <v>0</v>
      </c>
      <c r="BK52" s="333">
        <f t="shared" si="67"/>
        <v>0</v>
      </c>
      <c r="BL52" s="333">
        <f t="shared" si="68"/>
        <v>0</v>
      </c>
      <c r="BM52" s="198"/>
      <c r="BN52" s="198"/>
    </row>
    <row r="53" s="91" customFormat="1" spans="13:66">
      <c r="M53" s="166"/>
      <c r="N53" s="166"/>
      <c r="O53" s="166"/>
      <c r="W53" s="91" t="str">
        <f t="shared" si="58"/>
        <v>C-14</v>
      </c>
      <c r="X53" s="126">
        <f t="shared" si="59"/>
        <v>18900000000</v>
      </c>
      <c r="Y53" s="126">
        <f t="shared" si="60"/>
        <v>18743153914.0135</v>
      </c>
      <c r="Z53" s="126">
        <f t="shared" si="61"/>
        <v>18280382282.7105</v>
      </c>
      <c r="AA53" s="126">
        <f t="shared" si="62"/>
        <v>17101421541.8131</v>
      </c>
      <c r="AB53" s="126">
        <f t="shared" si="63"/>
        <v>12669032100.7235</v>
      </c>
      <c r="AC53" s="126">
        <f t="shared" si="64"/>
        <v>940966250.795535</v>
      </c>
      <c r="AD53" s="166"/>
      <c r="AI53" s="167"/>
      <c r="AN53" s="167"/>
      <c r="AS53" s="167"/>
      <c r="AT53" s="167"/>
      <c r="AU53" s="167"/>
      <c r="AV53" s="167"/>
      <c r="AW53" s="167"/>
      <c r="AX53" s="167"/>
      <c r="AY53" s="167"/>
      <c r="AZ53" s="167"/>
      <c r="BA53" s="167"/>
      <c r="BB53" s="167"/>
      <c r="BC53" s="167"/>
      <c r="BD53" s="167"/>
      <c r="BE53" s="167"/>
      <c r="BF53" s="167"/>
      <c r="BG53" s="167"/>
      <c r="BH53" s="653">
        <f>后果有效剂量!$P24</f>
        <v>0</v>
      </c>
      <c r="BI53" s="334">
        <f>SUMPRODUCT(BJ$4:BJ$26,后果有效剂量!$I$5:$I$27)*后果有效剂量!$Q24+SUMPRODUCT(BK$4:BK$26,后果有效剂量!$I$5:$I$27)*后果有效剂量!$R24+SUMPRODUCT(BL$4:BL$26,后果有效剂量!$I$5:$I$27)*后果有效剂量!$S24+SUMPRODUCT(BM$4:BM$26,后果有效剂量!$I$5:$I$27)*后果有效剂量!$T24+SUMPRODUCT(BN$4:BN$26,后果有效剂量!$I$5:$I$27)*后果有效剂量!$U24+SUMPRODUCT(BJ$4:BJ$26,后果有效剂量!$J$5:$J$27)*后果有效剂量!$Q24*后果有效剂量!$Q$3+SUMPRODUCT(BK$4:BK$26,后果有效剂量!$J$5:$J$27)*后果有效剂量!$R24*后果有效剂量!$R$3+SUMPRODUCT(BL$4:BL$26,后果有效剂量!$J$5:$J$27)*后果有效剂量!$S24*后果有效剂量!$S$3+SUMPRODUCT(BM$4:BM$26,后果有效剂量!$J$5:$J$27)*后果有效剂量!$T24*后果有效剂量!$T$3+SUMPRODUCT(BN$4:BN$26,后果有效剂量!$J$5:$J$27)*后果有效剂量!$U24*后果有效剂量!$U$3+SUMPRODUCT(BJ$4:BJ$26,后果有效剂量!$K$5:$K$27)*后果有效剂量!$Q24+SUMPRODUCT(BK$4:BK$26,后果有效剂量!$K$5:$K$27)*后果有效剂量!$R24+SUMPRODUCT(BL$4:BL$26,后果有效剂量!$K$5:$K$27)*后果有效剂量!$S24+SUMPRODUCT(BM$4:BM$26,后果有效剂量!$K$5:$K$27)*后果有效剂量!$T24+SUMPRODUCT(BN$4:BN$26,后果有效剂量!$K$5:$K$27)*后果有效剂量!$U24+SUMPRODUCT(BJ$29:BJ$30,后果有效剂量!$I$28:$I$29)*后果有效剂量!$Q24+SUMPRODUCT(BJ$29:BJ$30,后果有效剂量!$J$28:$J$29)*后果有效剂量!$Q24*后果有效剂量!$Q$3+SUMPRODUCT(BJ$29:BJ$30,后果有效剂量!$K$28:$K$29)*后果有效剂量!$Q24</f>
        <v>0</v>
      </c>
      <c r="BJ53" s="335">
        <f>SUMPRODUCT(BJ$4:BJ$26,后果甲状腺剂量!$I$5:$I$27)*后果甲状腺剂量!$Q24+SUMPRODUCT(BK$4:BK$26,后果甲状腺剂量!$I$5:$I$27)*后果甲状腺剂量!$R24+SUMPRODUCT(BL$4:BL$26,后果甲状腺剂量!$I$5:$I$27)*后果甲状腺剂量!$S24+SUMPRODUCT(BM$4:BM$26,后果甲状腺剂量!$I$5:$I$27)*后果甲状腺剂量!$T24+SUMPRODUCT(BN$4:BN$26,后果甲状腺剂量!$I$5:$I$27)*后果甲状腺剂量!$U24+SUMPRODUCT(BJ$4:BJ$26,后果甲状腺剂量!$J$5:$J$27)*后果甲状腺剂量!$Q24*后果甲状腺剂量!$Q$3+SUMPRODUCT(BK$4:BK$26,后果甲状腺剂量!$J$5:$J$27)*后果甲状腺剂量!$R24*后果甲状腺剂量!$R$3+SUMPRODUCT(BL$4:BL$26,后果甲状腺剂量!$J$5:$J$27)*后果甲状腺剂量!$S24*后果甲状腺剂量!$S$3+SUMPRODUCT(BM$4:BM$26,后果甲状腺剂量!$J$5:$J$27)*后果甲状腺剂量!$T24*后果甲状腺剂量!$T$3+SUMPRODUCT(BN$4:BN$26,后果甲状腺剂量!$J$5:$J$27)*后果甲状腺剂量!$U24*后果甲状腺剂量!$U$3+SUMPRODUCT(BJ$4:BJ$26,后果甲状腺剂量!$K$5:$K$27)*后果甲状腺剂量!$Q24+SUMPRODUCT(BK$4:BK$26,后果甲状腺剂量!$K$5:$K$27)*后果甲状腺剂量!$R24+SUMPRODUCT(BL$4:BL$26,后果甲状腺剂量!$K$5:$K$27)*后果甲状腺剂量!$S24+SUMPRODUCT(BM$4:BM$26,后果甲状腺剂量!$K$5:$K$27)*后果甲状腺剂量!$T24+SUMPRODUCT(BN$4:BN$26,后果甲状腺剂量!$K$5:$K$27)*后果甲状腺剂量!$U24+SUMPRODUCT(BJ$29:BJ$30,后果甲状腺剂量!$I$28:$I$29)*后果甲状腺剂量!$Q24+SUMPRODUCT(BJ$29:BJ$30,后果甲状腺剂量!$J$28:$J$29)*后果甲状腺剂量!$Q24*后果甲状腺剂量!$Q$3+SUMPRODUCT(BJ$29:BJ$30,后果甲状腺剂量!$K$28:$K$29)*后果甲状腺剂量!$Q24</f>
        <v>0</v>
      </c>
      <c r="BK53" s="333">
        <f t="shared" si="67"/>
        <v>0</v>
      </c>
      <c r="BL53" s="333">
        <f t="shared" si="68"/>
        <v>0</v>
      </c>
      <c r="BM53" s="198"/>
      <c r="BN53" s="198"/>
    </row>
    <row r="54" s="91" customFormat="1" spans="13:66">
      <c r="M54" s="166"/>
      <c r="N54" s="166"/>
      <c r="O54" s="166"/>
      <c r="W54" s="91" t="str">
        <f t="shared" si="58"/>
        <v>Co-60</v>
      </c>
      <c r="X54" s="126">
        <f t="shared" si="59"/>
        <v>1103732.61902243</v>
      </c>
      <c r="Y54" s="126">
        <f t="shared" si="60"/>
        <v>1094539.96562322</v>
      </c>
      <c r="Z54" s="126">
        <f t="shared" si="61"/>
        <v>1067418.83695396</v>
      </c>
      <c r="AA54" s="126">
        <f t="shared" si="62"/>
        <v>998336.231207388</v>
      </c>
      <c r="AB54" s="126">
        <f t="shared" si="63"/>
        <v>738780.965997074</v>
      </c>
      <c r="AC54" s="126">
        <f t="shared" si="64"/>
        <v>54356.6306164704</v>
      </c>
      <c r="AD54" s="166"/>
      <c r="AI54" s="167"/>
      <c r="AN54" s="167"/>
      <c r="AS54" s="167"/>
      <c r="AT54" s="167"/>
      <c r="AU54" s="167"/>
      <c r="AV54" s="167"/>
      <c r="AW54" s="167"/>
      <c r="AX54" s="167"/>
      <c r="AY54" s="167"/>
      <c r="AZ54" s="167"/>
      <c r="BA54" s="167"/>
      <c r="BB54" s="167"/>
      <c r="BC54" s="167"/>
      <c r="BD54" s="167"/>
      <c r="BE54" s="167"/>
      <c r="BF54" s="167"/>
      <c r="BG54" s="167"/>
      <c r="BH54" s="653">
        <f>后果有效剂量!$P25</f>
        <v>0</v>
      </c>
      <c r="BI54" s="334">
        <f>SUMPRODUCT(BJ$4:BJ$26,后果有效剂量!$I$5:$I$27)*后果有效剂量!$Q25+SUMPRODUCT(BK$4:BK$26,后果有效剂量!$I$5:$I$27)*后果有效剂量!$R25+SUMPRODUCT(BL$4:BL$26,后果有效剂量!$I$5:$I$27)*后果有效剂量!$S25+SUMPRODUCT(BM$4:BM$26,后果有效剂量!$I$5:$I$27)*后果有效剂量!$T25+SUMPRODUCT(BN$4:BN$26,后果有效剂量!$I$5:$I$27)*后果有效剂量!$U25+SUMPRODUCT(BJ$4:BJ$26,后果有效剂量!$J$5:$J$27)*后果有效剂量!$Q25*后果有效剂量!$Q$3+SUMPRODUCT(BK$4:BK$26,后果有效剂量!$J$5:$J$27)*后果有效剂量!$R25*后果有效剂量!$R$3+SUMPRODUCT(BL$4:BL$26,后果有效剂量!$J$5:$J$27)*后果有效剂量!$S25*后果有效剂量!$S$3+SUMPRODUCT(BM$4:BM$26,后果有效剂量!$J$5:$J$27)*后果有效剂量!$T25*后果有效剂量!$T$3+SUMPRODUCT(BN$4:BN$26,后果有效剂量!$J$5:$J$27)*后果有效剂量!$U25*后果有效剂量!$U$3+SUMPRODUCT(BJ$4:BJ$26,后果有效剂量!$K$5:$K$27)*后果有效剂量!$Q25+SUMPRODUCT(BK$4:BK$26,后果有效剂量!$K$5:$K$27)*后果有效剂量!$R25+SUMPRODUCT(BL$4:BL$26,后果有效剂量!$K$5:$K$27)*后果有效剂量!$S25+SUMPRODUCT(BM$4:BM$26,后果有效剂量!$K$5:$K$27)*后果有效剂量!$T25+SUMPRODUCT(BN$4:BN$26,后果有效剂量!$K$5:$K$27)*后果有效剂量!$U25+SUMPRODUCT(BJ$29:BJ$30,后果有效剂量!$I$28:$I$29)*后果有效剂量!$Q25+SUMPRODUCT(BJ$29:BJ$30,后果有效剂量!$J$28:$J$29)*后果有效剂量!$Q25*后果有效剂量!$Q$3+SUMPRODUCT(BJ$29:BJ$30,后果有效剂量!$K$28:$K$29)*后果有效剂量!$Q25</f>
        <v>0</v>
      </c>
      <c r="BJ54" s="335">
        <f>SUMPRODUCT(BJ$4:BJ$26,后果甲状腺剂量!$I$5:$I$27)*后果甲状腺剂量!$Q25+SUMPRODUCT(BK$4:BK$26,后果甲状腺剂量!$I$5:$I$27)*后果甲状腺剂量!$R25+SUMPRODUCT(BL$4:BL$26,后果甲状腺剂量!$I$5:$I$27)*后果甲状腺剂量!$S25+SUMPRODUCT(BM$4:BM$26,后果甲状腺剂量!$I$5:$I$27)*后果甲状腺剂量!$T25+SUMPRODUCT(BN$4:BN$26,后果甲状腺剂量!$I$5:$I$27)*后果甲状腺剂量!$U25+SUMPRODUCT(BJ$4:BJ$26,后果甲状腺剂量!$J$5:$J$27)*后果甲状腺剂量!$Q25*后果甲状腺剂量!$Q$3+SUMPRODUCT(BK$4:BK$26,后果甲状腺剂量!$J$5:$J$27)*后果甲状腺剂量!$R25*后果甲状腺剂量!$R$3+SUMPRODUCT(BL$4:BL$26,后果甲状腺剂量!$J$5:$J$27)*后果甲状腺剂量!$S25*后果甲状腺剂量!$S$3+SUMPRODUCT(BM$4:BM$26,后果甲状腺剂量!$J$5:$J$27)*后果甲状腺剂量!$T25*后果甲状腺剂量!$T$3+SUMPRODUCT(BN$4:BN$26,后果甲状腺剂量!$J$5:$J$27)*后果甲状腺剂量!$U25*后果甲状腺剂量!$U$3+SUMPRODUCT(BJ$4:BJ$26,后果甲状腺剂量!$K$5:$K$27)*后果甲状腺剂量!$Q25+SUMPRODUCT(BK$4:BK$26,后果甲状腺剂量!$K$5:$K$27)*后果甲状腺剂量!$R25+SUMPRODUCT(BL$4:BL$26,后果甲状腺剂量!$K$5:$K$27)*后果甲状腺剂量!$S25+SUMPRODUCT(BM$4:BM$26,后果甲状腺剂量!$K$5:$K$27)*后果甲状腺剂量!$T25+SUMPRODUCT(BN$4:BN$26,后果甲状腺剂量!$K$5:$K$27)*后果甲状腺剂量!$U25+SUMPRODUCT(BJ$29:BJ$30,后果甲状腺剂量!$I$28:$I$29)*后果甲状腺剂量!$Q25+SUMPRODUCT(BJ$29:BJ$30,后果甲状腺剂量!$J$28:$J$29)*后果甲状腺剂量!$Q25*后果甲状腺剂量!$Q$3+SUMPRODUCT(BJ$29:BJ$30,后果甲状腺剂量!$K$28:$K$29)*后果甲状腺剂量!$Q25</f>
        <v>0</v>
      </c>
      <c r="BK54" s="333">
        <f t="shared" si="67"/>
        <v>0</v>
      </c>
      <c r="BL54" s="333">
        <f t="shared" si="68"/>
        <v>0</v>
      </c>
      <c r="BM54" s="357">
        <f t="shared" ref="BM54:BM59" si="69">BK54/5*100</f>
        <v>0</v>
      </c>
      <c r="BN54" s="357">
        <f t="shared" ref="BN54:BN59" si="70">BL54/50*100</f>
        <v>0</v>
      </c>
    </row>
    <row r="55" s="91" customFormat="1" spans="13:66">
      <c r="M55" s="166"/>
      <c r="N55" s="166"/>
      <c r="O55" s="166"/>
      <c r="W55" s="91" t="str">
        <f t="shared" si="58"/>
        <v>Ar-41</v>
      </c>
      <c r="X55" s="126">
        <f t="shared" si="59"/>
        <v>0</v>
      </c>
      <c r="Y55" s="126">
        <f t="shared" si="60"/>
        <v>0</v>
      </c>
      <c r="Z55" s="126">
        <f t="shared" si="61"/>
        <v>0</v>
      </c>
      <c r="AA55" s="126">
        <f t="shared" si="62"/>
        <v>0</v>
      </c>
      <c r="AB55" s="126">
        <f t="shared" si="63"/>
        <v>0</v>
      </c>
      <c r="AC55" s="126">
        <f t="shared" si="64"/>
        <v>0</v>
      </c>
      <c r="AD55" s="166"/>
      <c r="AI55" s="167"/>
      <c r="AN55" s="167"/>
      <c r="AS55" s="167"/>
      <c r="AT55" s="167"/>
      <c r="AU55" s="167"/>
      <c r="AV55" s="167"/>
      <c r="AW55" s="167"/>
      <c r="AX55" s="167"/>
      <c r="AY55" s="167"/>
      <c r="AZ55" s="167"/>
      <c r="BA55" s="167"/>
      <c r="BB55" s="167"/>
      <c r="BC55" s="167"/>
      <c r="BD55" s="167"/>
      <c r="BE55" s="167"/>
      <c r="BF55" s="167"/>
      <c r="BG55" s="167"/>
      <c r="BH55" s="653">
        <f>后果有效剂量!$P26</f>
        <v>0</v>
      </c>
      <c r="BI55" s="334">
        <f>SUMPRODUCT(BJ$4:BJ$26,后果有效剂量!$I$5:$I$27)*后果有效剂量!$Q26+SUMPRODUCT(BK$4:BK$26,后果有效剂量!$I$5:$I$27)*后果有效剂量!$R26+SUMPRODUCT(BL$4:BL$26,后果有效剂量!$I$5:$I$27)*后果有效剂量!$S26+SUMPRODUCT(BM$4:BM$26,后果有效剂量!$I$5:$I$27)*后果有效剂量!$T26+SUMPRODUCT(BN$4:BN$26,后果有效剂量!$I$5:$I$27)*后果有效剂量!$U26+SUMPRODUCT(BJ$4:BJ$26,后果有效剂量!$J$5:$J$27)*后果有效剂量!$Q26*后果有效剂量!$Q$3+SUMPRODUCT(BK$4:BK$26,后果有效剂量!$J$5:$J$27)*后果有效剂量!$R26*后果有效剂量!$R$3+SUMPRODUCT(BL$4:BL$26,后果有效剂量!$J$5:$J$27)*后果有效剂量!$S26*后果有效剂量!$S$3+SUMPRODUCT(BM$4:BM$26,后果有效剂量!$J$5:$J$27)*后果有效剂量!$T26*后果有效剂量!$T$3+SUMPRODUCT(BN$4:BN$26,后果有效剂量!$J$5:$J$27)*后果有效剂量!$U26*后果有效剂量!$U$3+SUMPRODUCT(BJ$4:BJ$26,后果有效剂量!$K$5:$K$27)*后果有效剂量!$Q26+SUMPRODUCT(BK$4:BK$26,后果有效剂量!$K$5:$K$27)*后果有效剂量!$R26+SUMPRODUCT(BL$4:BL$26,后果有效剂量!$K$5:$K$27)*后果有效剂量!$S26+SUMPRODUCT(BM$4:BM$26,后果有效剂量!$K$5:$K$27)*后果有效剂量!$T26+SUMPRODUCT(BN$4:BN$26,后果有效剂量!$K$5:$K$27)*后果有效剂量!$U26+SUMPRODUCT(BJ$29:BJ$30,后果有效剂量!$I$28:$I$29)*后果有效剂量!$Q26+SUMPRODUCT(BJ$29:BJ$30,后果有效剂量!$J$28:$J$29)*后果有效剂量!$Q26*后果有效剂量!$Q$3+SUMPRODUCT(BJ$29:BJ$30,后果有效剂量!$K$28:$K$29)*后果有效剂量!$Q26</f>
        <v>0</v>
      </c>
      <c r="BJ55" s="335">
        <f>SUMPRODUCT(BJ$4:BJ$26,后果甲状腺剂量!$I$5:$I$27)*后果甲状腺剂量!$Q26+SUMPRODUCT(BK$4:BK$26,后果甲状腺剂量!$I$5:$I$27)*后果甲状腺剂量!$R26+SUMPRODUCT(BL$4:BL$26,后果甲状腺剂量!$I$5:$I$27)*后果甲状腺剂量!$S26+SUMPRODUCT(BM$4:BM$26,后果甲状腺剂量!$I$5:$I$27)*后果甲状腺剂量!$T26+SUMPRODUCT(BN$4:BN$26,后果甲状腺剂量!$I$5:$I$27)*后果甲状腺剂量!$U26+SUMPRODUCT(BJ$4:BJ$26,后果甲状腺剂量!$J$5:$J$27)*后果甲状腺剂量!$Q26*后果甲状腺剂量!$Q$3+SUMPRODUCT(BK$4:BK$26,后果甲状腺剂量!$J$5:$J$27)*后果甲状腺剂量!$R26*后果甲状腺剂量!$R$3+SUMPRODUCT(BL$4:BL$26,后果甲状腺剂量!$J$5:$J$27)*后果甲状腺剂量!$S26*后果甲状腺剂量!$S$3+SUMPRODUCT(BM$4:BM$26,后果甲状腺剂量!$J$5:$J$27)*后果甲状腺剂量!$T26*后果甲状腺剂量!$T$3+SUMPRODUCT(BN$4:BN$26,后果甲状腺剂量!$J$5:$J$27)*后果甲状腺剂量!$U26*后果甲状腺剂量!$U$3+SUMPRODUCT(BJ$4:BJ$26,后果甲状腺剂量!$K$5:$K$27)*后果甲状腺剂量!$Q26+SUMPRODUCT(BK$4:BK$26,后果甲状腺剂量!$K$5:$K$27)*后果甲状腺剂量!$R26+SUMPRODUCT(BL$4:BL$26,后果甲状腺剂量!$K$5:$K$27)*后果甲状腺剂量!$S26+SUMPRODUCT(BM$4:BM$26,后果甲状腺剂量!$K$5:$K$27)*后果甲状腺剂量!$T26+SUMPRODUCT(BN$4:BN$26,后果甲状腺剂量!$K$5:$K$27)*后果甲状腺剂量!$U26+SUMPRODUCT(BJ$29:BJ$30,后果甲状腺剂量!$I$28:$I$29)*后果甲状腺剂量!$Q26+SUMPRODUCT(BJ$29:BJ$30,后果甲状腺剂量!$J$28:$J$29)*后果甲状腺剂量!$Q26*后果甲状腺剂量!$Q$3+SUMPRODUCT(BJ$29:BJ$30,后果甲状腺剂量!$K$28:$K$29)*后果甲状腺剂量!$Q26</f>
        <v>0</v>
      </c>
      <c r="BK55" s="333">
        <f t="shared" si="67"/>
        <v>0</v>
      </c>
      <c r="BL55" s="333">
        <f t="shared" si="68"/>
        <v>0</v>
      </c>
      <c r="BM55" s="357">
        <f t="shared" si="69"/>
        <v>0</v>
      </c>
      <c r="BN55" s="357">
        <f t="shared" si="70"/>
        <v>0</v>
      </c>
    </row>
    <row r="56" s="91" customFormat="1" spans="13:66">
      <c r="M56" s="166"/>
      <c r="N56" s="166"/>
      <c r="O56" s="166"/>
      <c r="W56" s="91" t="str">
        <f t="shared" si="58"/>
        <v>Fe-55</v>
      </c>
      <c r="X56" s="126">
        <f t="shared" si="59"/>
        <v>1734971.98620273</v>
      </c>
      <c r="Y56" s="126">
        <f t="shared" si="60"/>
        <v>1720473.62046203</v>
      </c>
      <c r="Z56" s="126">
        <f t="shared" si="61"/>
        <v>1677701.41910004</v>
      </c>
      <c r="AA56" s="126">
        <f t="shared" si="62"/>
        <v>1568769.30059064</v>
      </c>
      <c r="AB56" s="126">
        <f t="shared" si="63"/>
        <v>1159735.43634283</v>
      </c>
      <c r="AC56" s="126">
        <f t="shared" si="64"/>
        <v>84584.526328921</v>
      </c>
      <c r="AD56" s="166"/>
      <c r="AI56" s="167"/>
      <c r="AN56" s="167"/>
      <c r="AS56" s="167"/>
      <c r="AT56" s="167"/>
      <c r="AU56" s="167"/>
      <c r="AV56" s="167"/>
      <c r="AW56" s="167"/>
      <c r="AX56" s="167"/>
      <c r="AY56" s="167"/>
      <c r="AZ56" s="167"/>
      <c r="BA56" s="167"/>
      <c r="BB56" s="167"/>
      <c r="BC56" s="167"/>
      <c r="BD56" s="167"/>
      <c r="BE56" s="167"/>
      <c r="BF56" s="167"/>
      <c r="BG56" s="167"/>
      <c r="BH56" s="653">
        <f>后果有效剂量!$P27</f>
        <v>0</v>
      </c>
      <c r="BI56" s="334">
        <f>SUMPRODUCT(BJ$4:BJ$26,后果有效剂量!$I$5:$I$27)*后果有效剂量!$Q27+SUMPRODUCT(BK$4:BK$26,后果有效剂量!$I$5:$I$27)*后果有效剂量!$R27+SUMPRODUCT(BL$4:BL$26,后果有效剂量!$I$5:$I$27)*后果有效剂量!$S27+SUMPRODUCT(BM$4:BM$26,后果有效剂量!$I$5:$I$27)*后果有效剂量!$T27+SUMPRODUCT(BN$4:BN$26,后果有效剂量!$I$5:$I$27)*后果有效剂量!$U27+SUMPRODUCT(BJ$4:BJ$26,后果有效剂量!$J$5:$J$27)*后果有效剂量!$Q27*后果有效剂量!$Q$3+SUMPRODUCT(BK$4:BK$26,后果有效剂量!$J$5:$J$27)*后果有效剂量!$R27*后果有效剂量!$R$3+SUMPRODUCT(BL$4:BL$26,后果有效剂量!$J$5:$J$27)*后果有效剂量!$S27*后果有效剂量!$S$3+SUMPRODUCT(BM$4:BM$26,后果有效剂量!$J$5:$J$27)*后果有效剂量!$T27*后果有效剂量!$T$3+SUMPRODUCT(BN$4:BN$26,后果有效剂量!$J$5:$J$27)*后果有效剂量!$U27*后果有效剂量!$U$3+SUMPRODUCT(BJ$4:BJ$26,后果有效剂量!$K$5:$K$27)*后果有效剂量!$Q27+SUMPRODUCT(BK$4:BK$26,后果有效剂量!$K$5:$K$27)*后果有效剂量!$R27+SUMPRODUCT(BL$4:BL$26,后果有效剂量!$K$5:$K$27)*后果有效剂量!$S27+SUMPRODUCT(BM$4:BM$26,后果有效剂量!$K$5:$K$27)*后果有效剂量!$T27+SUMPRODUCT(BN$4:BN$26,后果有效剂量!$K$5:$K$27)*后果有效剂量!$U27+SUMPRODUCT(BJ$29:BJ$30,后果有效剂量!$I$28:$I$29)*后果有效剂量!$Q27+SUMPRODUCT(BJ$29:BJ$30,后果有效剂量!$J$28:$J$29)*后果有效剂量!$Q27*后果有效剂量!$Q$3+SUMPRODUCT(BJ$29:BJ$30,后果有效剂量!$K$28:$K$29)*后果有效剂量!$Q27</f>
        <v>0</v>
      </c>
      <c r="BJ56" s="335">
        <f>SUMPRODUCT(BJ$4:BJ$26,后果甲状腺剂量!$I$5:$I$27)*后果甲状腺剂量!$Q27+SUMPRODUCT(BK$4:BK$26,后果甲状腺剂量!$I$5:$I$27)*后果甲状腺剂量!$R27+SUMPRODUCT(BL$4:BL$26,后果甲状腺剂量!$I$5:$I$27)*后果甲状腺剂量!$S27+SUMPRODUCT(BM$4:BM$26,后果甲状腺剂量!$I$5:$I$27)*后果甲状腺剂量!$T27+SUMPRODUCT(BN$4:BN$26,后果甲状腺剂量!$I$5:$I$27)*后果甲状腺剂量!$U27+SUMPRODUCT(BJ$4:BJ$26,后果甲状腺剂量!$J$5:$J$27)*后果甲状腺剂量!$Q27*后果甲状腺剂量!$Q$3+SUMPRODUCT(BK$4:BK$26,后果甲状腺剂量!$J$5:$J$27)*后果甲状腺剂量!$R27*后果甲状腺剂量!$R$3+SUMPRODUCT(BL$4:BL$26,后果甲状腺剂量!$J$5:$J$27)*后果甲状腺剂量!$S27*后果甲状腺剂量!$S$3+SUMPRODUCT(BM$4:BM$26,后果甲状腺剂量!$J$5:$J$27)*后果甲状腺剂量!$T27*后果甲状腺剂量!$T$3+SUMPRODUCT(BN$4:BN$26,后果甲状腺剂量!$J$5:$J$27)*后果甲状腺剂量!$U27*后果甲状腺剂量!$U$3+SUMPRODUCT(BJ$4:BJ$26,后果甲状腺剂量!$K$5:$K$27)*后果甲状腺剂量!$Q27+SUMPRODUCT(BK$4:BK$26,后果甲状腺剂量!$K$5:$K$27)*后果甲状腺剂量!$R27+SUMPRODUCT(BL$4:BL$26,后果甲状腺剂量!$K$5:$K$27)*后果甲状腺剂量!$S27+SUMPRODUCT(BM$4:BM$26,后果甲状腺剂量!$K$5:$K$27)*后果甲状腺剂量!$T27+SUMPRODUCT(BN$4:BN$26,后果甲状腺剂量!$K$5:$K$27)*后果甲状腺剂量!$U27+SUMPRODUCT(BJ$29:BJ$30,后果甲状腺剂量!$I$28:$I$29)*后果甲状腺剂量!$Q27+SUMPRODUCT(BJ$29:BJ$30,后果甲状腺剂量!$J$28:$J$29)*后果甲状腺剂量!$Q27*后果甲状腺剂量!$Q$3+SUMPRODUCT(BJ$29:BJ$30,后果甲状腺剂量!$K$28:$K$29)*后果甲状腺剂量!$Q27</f>
        <v>0</v>
      </c>
      <c r="BK56" s="333">
        <f t="shared" si="67"/>
        <v>0</v>
      </c>
      <c r="BL56" s="333">
        <f t="shared" si="68"/>
        <v>0</v>
      </c>
      <c r="BM56" s="357">
        <f t="shared" si="69"/>
        <v>0</v>
      </c>
      <c r="BN56" s="357">
        <f t="shared" si="70"/>
        <v>0</v>
      </c>
    </row>
    <row r="57" s="91" customFormat="1" spans="13:66">
      <c r="M57" s="166"/>
      <c r="N57" s="166"/>
      <c r="O57" s="166"/>
      <c r="W57" s="91" t="str">
        <f t="shared" si="58"/>
        <v>Ni-63</v>
      </c>
      <c r="X57" s="126">
        <f t="shared" si="59"/>
        <v>57843.8142823393</v>
      </c>
      <c r="Y57" s="126">
        <f t="shared" si="60"/>
        <v>57363.6945307949</v>
      </c>
      <c r="Z57" s="126">
        <f t="shared" si="61"/>
        <v>55947.1140051322</v>
      </c>
      <c r="AA57" s="126">
        <f t="shared" si="62"/>
        <v>52338.2527096209</v>
      </c>
      <c r="AB57" s="126">
        <f t="shared" si="63"/>
        <v>38770.920309934</v>
      </c>
      <c r="AC57" s="126">
        <f t="shared" si="64"/>
        <v>2878.23218515996</v>
      </c>
      <c r="AD57" s="166"/>
      <c r="AI57" s="167"/>
      <c r="AN57" s="167"/>
      <c r="AS57" s="167"/>
      <c r="AT57" s="167"/>
      <c r="AU57" s="167"/>
      <c r="AV57" s="167"/>
      <c r="AW57" s="167"/>
      <c r="AX57" s="167"/>
      <c r="AY57" s="167"/>
      <c r="AZ57" s="167"/>
      <c r="BA57" s="167"/>
      <c r="BB57" s="167"/>
      <c r="BC57" s="167"/>
      <c r="BD57" s="167"/>
      <c r="BE57" s="167"/>
      <c r="BF57" s="167"/>
      <c r="BG57" s="167"/>
      <c r="BH57" s="653">
        <f>后果有效剂量!$P28</f>
        <v>0</v>
      </c>
      <c r="BI57" s="334">
        <f>SUMPRODUCT(BJ$4:BJ$26,后果有效剂量!$I$5:$I$27)*后果有效剂量!$Q28+SUMPRODUCT(BK$4:BK$26,后果有效剂量!$I$5:$I$27)*后果有效剂量!$R28+SUMPRODUCT(BL$4:BL$26,后果有效剂量!$I$5:$I$27)*后果有效剂量!$S28+SUMPRODUCT(BM$4:BM$26,后果有效剂量!$I$5:$I$27)*后果有效剂量!$T28+SUMPRODUCT(BN$4:BN$26,后果有效剂量!$I$5:$I$27)*后果有效剂量!$U28+SUMPRODUCT(BJ$4:BJ$26,后果有效剂量!$J$5:$J$27)*后果有效剂量!$Q28*后果有效剂量!$Q$3+SUMPRODUCT(BK$4:BK$26,后果有效剂量!$J$5:$J$27)*后果有效剂量!$R28*后果有效剂量!$R$3+SUMPRODUCT(BL$4:BL$26,后果有效剂量!$J$5:$J$27)*后果有效剂量!$S28*后果有效剂量!$S$3+SUMPRODUCT(BM$4:BM$26,后果有效剂量!$J$5:$J$27)*后果有效剂量!$T28*后果有效剂量!$T$3+SUMPRODUCT(BN$4:BN$26,后果有效剂量!$J$5:$J$27)*后果有效剂量!$U28*后果有效剂量!$U$3+SUMPRODUCT(BJ$4:BJ$26,后果有效剂量!$K$5:$K$27)*后果有效剂量!$Q28+SUMPRODUCT(BK$4:BK$26,后果有效剂量!$K$5:$K$27)*后果有效剂量!$R28+SUMPRODUCT(BL$4:BL$26,后果有效剂量!$K$5:$K$27)*后果有效剂量!$S28+SUMPRODUCT(BM$4:BM$26,后果有效剂量!$K$5:$K$27)*后果有效剂量!$T28+SUMPRODUCT(BN$4:BN$26,后果有效剂量!$K$5:$K$27)*后果有效剂量!$U28+SUMPRODUCT(BJ$29:BJ$30,后果有效剂量!$I$28:$I$29)*后果有效剂量!$Q28+SUMPRODUCT(BJ$29:BJ$30,后果有效剂量!$J$28:$J$29)*后果有效剂量!$Q28*后果有效剂量!$Q$3+SUMPRODUCT(BJ$29:BJ$30,后果有效剂量!$K$28:$K$29)*后果有效剂量!$Q28</f>
        <v>0</v>
      </c>
      <c r="BJ57" s="335">
        <f>SUMPRODUCT(BJ$4:BJ$26,后果甲状腺剂量!$I$5:$I$27)*后果甲状腺剂量!$Q28+SUMPRODUCT(BK$4:BK$26,后果甲状腺剂量!$I$5:$I$27)*后果甲状腺剂量!$R28+SUMPRODUCT(BL$4:BL$26,后果甲状腺剂量!$I$5:$I$27)*后果甲状腺剂量!$S28+SUMPRODUCT(BM$4:BM$26,后果甲状腺剂量!$I$5:$I$27)*后果甲状腺剂量!$T28+SUMPRODUCT(BN$4:BN$26,后果甲状腺剂量!$I$5:$I$27)*后果甲状腺剂量!$U28+SUMPRODUCT(BJ$4:BJ$26,后果甲状腺剂量!$J$5:$J$27)*后果甲状腺剂量!$Q28*后果甲状腺剂量!$Q$3+SUMPRODUCT(BK$4:BK$26,后果甲状腺剂量!$J$5:$J$27)*后果甲状腺剂量!$R28*后果甲状腺剂量!$R$3+SUMPRODUCT(BL$4:BL$26,后果甲状腺剂量!$J$5:$J$27)*后果甲状腺剂量!$S28*后果甲状腺剂量!$S$3+SUMPRODUCT(BM$4:BM$26,后果甲状腺剂量!$J$5:$J$27)*后果甲状腺剂量!$T28*后果甲状腺剂量!$T$3+SUMPRODUCT(BN$4:BN$26,后果甲状腺剂量!$J$5:$J$27)*后果甲状腺剂量!$U28*后果甲状腺剂量!$U$3+SUMPRODUCT(BJ$4:BJ$26,后果甲状腺剂量!$K$5:$K$27)*后果甲状腺剂量!$Q28+SUMPRODUCT(BK$4:BK$26,后果甲状腺剂量!$K$5:$K$27)*后果甲状腺剂量!$R28+SUMPRODUCT(BL$4:BL$26,后果甲状腺剂量!$K$5:$K$27)*后果甲状腺剂量!$S28+SUMPRODUCT(BM$4:BM$26,后果甲状腺剂量!$K$5:$K$27)*后果甲状腺剂量!$T28+SUMPRODUCT(BN$4:BN$26,后果甲状腺剂量!$K$5:$K$27)*后果甲状腺剂量!$U28+SUMPRODUCT(BJ$29:BJ$30,后果甲状腺剂量!$I$28:$I$29)*后果甲状腺剂量!$Q28+SUMPRODUCT(BJ$29:BJ$30,后果甲状腺剂量!$J$28:$J$29)*后果甲状腺剂量!$Q28*后果甲状腺剂量!$Q$3+SUMPRODUCT(BJ$29:BJ$30,后果甲状腺剂量!$K$28:$K$29)*后果甲状腺剂量!$Q28</f>
        <v>0</v>
      </c>
      <c r="BK57" s="333">
        <f t="shared" si="67"/>
        <v>0</v>
      </c>
      <c r="BL57" s="333">
        <f t="shared" si="68"/>
        <v>0</v>
      </c>
      <c r="BM57" s="357">
        <f t="shared" si="69"/>
        <v>0</v>
      </c>
      <c r="BN57" s="357">
        <f t="shared" si="70"/>
        <v>0</v>
      </c>
    </row>
    <row r="58" s="91" customFormat="1" spans="13:66">
      <c r="M58" s="166"/>
      <c r="N58" s="166"/>
      <c r="O58" s="166"/>
      <c r="W58" s="91" t="str">
        <f t="shared" si="58"/>
        <v>Rb-88</v>
      </c>
      <c r="X58" s="126">
        <f t="shared" si="59"/>
        <v>3250000000</v>
      </c>
      <c r="Y58" s="126">
        <f t="shared" si="60"/>
        <v>29906532.7152026</v>
      </c>
      <c r="Z58" s="126">
        <f t="shared" si="61"/>
        <v>23.3031256572577</v>
      </c>
      <c r="AA58" s="126">
        <f t="shared" si="62"/>
        <v>1.19805238789499e-15</v>
      </c>
      <c r="AB58" s="126">
        <f t="shared" si="63"/>
        <v>6.00140800836186e-89</v>
      </c>
      <c r="AC58" s="126">
        <f t="shared" si="64"/>
        <v>0</v>
      </c>
      <c r="AD58" s="166"/>
      <c r="AI58" s="167"/>
      <c r="AN58" s="167"/>
      <c r="AS58" s="167"/>
      <c r="AT58" s="167"/>
      <c r="AU58" s="167"/>
      <c r="AV58" s="167"/>
      <c r="AW58" s="167"/>
      <c r="AX58" s="167"/>
      <c r="AY58" s="167"/>
      <c r="AZ58" s="167"/>
      <c r="BA58" s="167"/>
      <c r="BB58" s="167"/>
      <c r="BC58" s="167"/>
      <c r="BD58" s="167"/>
      <c r="BE58" s="167"/>
      <c r="BF58" s="167"/>
      <c r="BG58" s="167"/>
      <c r="BH58" s="653">
        <f>后果有效剂量!$P29</f>
        <v>0</v>
      </c>
      <c r="BI58" s="334">
        <f>SUMPRODUCT(BJ$4:BJ$26,后果有效剂量!$I$5:$I$27)*后果有效剂量!$Q29+SUMPRODUCT(BK$4:BK$26,后果有效剂量!$I$5:$I$27)*后果有效剂量!$R29+SUMPRODUCT(BL$4:BL$26,后果有效剂量!$I$5:$I$27)*后果有效剂量!$S29+SUMPRODUCT(BM$4:BM$26,后果有效剂量!$I$5:$I$27)*后果有效剂量!$T29+SUMPRODUCT(BN$4:BN$26,后果有效剂量!$I$5:$I$27)*后果有效剂量!$U29+SUMPRODUCT(BJ$4:BJ$26,后果有效剂量!$J$5:$J$27)*后果有效剂量!$Q29*后果有效剂量!$Q$3+SUMPRODUCT(BK$4:BK$26,后果有效剂量!$J$5:$J$27)*后果有效剂量!$R29*后果有效剂量!$R$3+SUMPRODUCT(BL$4:BL$26,后果有效剂量!$J$5:$J$27)*后果有效剂量!$S29*后果有效剂量!$S$3+SUMPRODUCT(BM$4:BM$26,后果有效剂量!$J$5:$J$27)*后果有效剂量!$T29*后果有效剂量!$T$3+SUMPRODUCT(BN$4:BN$26,后果有效剂量!$J$5:$J$27)*后果有效剂量!$U29*后果有效剂量!$U$3+SUMPRODUCT(BJ$4:BJ$26,后果有效剂量!$K$5:$K$27)*后果有效剂量!$Q29+SUMPRODUCT(BK$4:BK$26,后果有效剂量!$K$5:$K$27)*后果有效剂量!$R29+SUMPRODUCT(BL$4:BL$26,后果有效剂量!$K$5:$K$27)*后果有效剂量!$S29+SUMPRODUCT(BM$4:BM$26,后果有效剂量!$K$5:$K$27)*后果有效剂量!$T29+SUMPRODUCT(BN$4:BN$26,后果有效剂量!$K$5:$K$27)*后果有效剂量!$U29+SUMPRODUCT(BJ$29:BJ$30,后果有效剂量!$I$28:$I$29)*后果有效剂量!$Q29+SUMPRODUCT(BJ$29:BJ$30,后果有效剂量!$J$28:$J$29)*后果有效剂量!$Q29*后果有效剂量!$Q$3+SUMPRODUCT(BJ$29:BJ$30,后果有效剂量!$K$28:$K$29)*后果有效剂量!$Q29</f>
        <v>0</v>
      </c>
      <c r="BJ58" s="335">
        <f>SUMPRODUCT(BJ$4:BJ$26,后果甲状腺剂量!$I$5:$I$27)*后果甲状腺剂量!$Q29+SUMPRODUCT(BK$4:BK$26,后果甲状腺剂量!$I$5:$I$27)*后果甲状腺剂量!$R29+SUMPRODUCT(BL$4:BL$26,后果甲状腺剂量!$I$5:$I$27)*后果甲状腺剂量!$S29+SUMPRODUCT(BM$4:BM$26,后果甲状腺剂量!$I$5:$I$27)*后果甲状腺剂量!$T29+SUMPRODUCT(BN$4:BN$26,后果甲状腺剂量!$I$5:$I$27)*后果甲状腺剂量!$U29+SUMPRODUCT(BJ$4:BJ$26,后果甲状腺剂量!$J$5:$J$27)*后果甲状腺剂量!$Q29*后果甲状腺剂量!$Q$3+SUMPRODUCT(BK$4:BK$26,后果甲状腺剂量!$J$5:$J$27)*后果甲状腺剂量!$R29*后果甲状腺剂量!$R$3+SUMPRODUCT(BL$4:BL$26,后果甲状腺剂量!$J$5:$J$27)*后果甲状腺剂量!$S29*后果甲状腺剂量!$S$3+SUMPRODUCT(BM$4:BM$26,后果甲状腺剂量!$J$5:$J$27)*后果甲状腺剂量!$T29*后果甲状腺剂量!$T$3+SUMPRODUCT(BN$4:BN$26,后果甲状腺剂量!$J$5:$J$27)*后果甲状腺剂量!$U29*后果甲状腺剂量!$U$3+SUMPRODUCT(BJ$4:BJ$26,后果甲状腺剂量!$K$5:$K$27)*后果甲状腺剂量!$Q29+SUMPRODUCT(BK$4:BK$26,后果甲状腺剂量!$K$5:$K$27)*后果甲状腺剂量!$R29+SUMPRODUCT(BL$4:BL$26,后果甲状腺剂量!$K$5:$K$27)*后果甲状腺剂量!$S29+SUMPRODUCT(BM$4:BM$26,后果甲状腺剂量!$K$5:$K$27)*后果甲状腺剂量!$T29+SUMPRODUCT(BN$4:BN$26,后果甲状腺剂量!$K$5:$K$27)*后果甲状腺剂量!$U29+SUMPRODUCT(BJ$29:BJ$30,后果甲状腺剂量!$I$28:$I$29)*后果甲状腺剂量!$Q29+SUMPRODUCT(BJ$29:BJ$30,后果甲状腺剂量!$J$28:$J$29)*后果甲状腺剂量!$Q29*后果甲状腺剂量!$Q$3+SUMPRODUCT(BJ$29:BJ$30,后果甲状腺剂量!$K$28:$K$29)*后果甲状腺剂量!$Q29</f>
        <v>0</v>
      </c>
      <c r="BK58" s="333">
        <f t="shared" si="67"/>
        <v>0</v>
      </c>
      <c r="BL58" s="333">
        <f t="shared" si="68"/>
        <v>0</v>
      </c>
      <c r="BM58" s="357">
        <f t="shared" si="69"/>
        <v>0</v>
      </c>
      <c r="BN58" s="357">
        <f t="shared" si="70"/>
        <v>0</v>
      </c>
    </row>
    <row r="59" s="91" customFormat="1" spans="13:66">
      <c r="M59" s="166"/>
      <c r="N59" s="166"/>
      <c r="O59" s="166"/>
      <c r="W59" s="91" t="str">
        <f t="shared" si="58"/>
        <v>Cs-138</v>
      </c>
      <c r="X59" s="126">
        <f t="shared" si="59"/>
        <v>360000000</v>
      </c>
      <c r="Y59" s="126">
        <f t="shared" si="60"/>
        <v>26922724.262557</v>
      </c>
      <c r="Z59" s="126">
        <f t="shared" si="61"/>
        <v>11260.7809574834</v>
      </c>
      <c r="AA59" s="126">
        <f t="shared" si="62"/>
        <v>1.10179432390261e-5</v>
      </c>
      <c r="AB59" s="126">
        <f t="shared" si="63"/>
        <v>3.15859992320405e-46</v>
      </c>
      <c r="AC59" s="126">
        <f t="shared" si="64"/>
        <v>0</v>
      </c>
      <c r="AD59" s="166"/>
      <c r="AI59" s="167"/>
      <c r="AN59" s="167"/>
      <c r="AS59" s="167"/>
      <c r="AT59" s="167"/>
      <c r="AU59" s="167"/>
      <c r="AV59" s="167"/>
      <c r="AW59" s="167"/>
      <c r="AX59" s="167"/>
      <c r="AY59" s="167"/>
      <c r="AZ59" s="167"/>
      <c r="BA59" s="167"/>
      <c r="BB59" s="167"/>
      <c r="BC59" s="167"/>
      <c r="BD59" s="167"/>
      <c r="BE59" s="167"/>
      <c r="BF59" s="167"/>
      <c r="BG59" s="167"/>
      <c r="BH59" s="653">
        <f>后果有效剂量!$P30</f>
        <v>0</v>
      </c>
      <c r="BI59" s="334">
        <f>SUMPRODUCT(BJ$4:BJ$26,后果有效剂量!$I$5:$I$27)*后果有效剂量!$Q30+SUMPRODUCT(BK$4:BK$26,后果有效剂量!$I$5:$I$27)*后果有效剂量!$R30+SUMPRODUCT(BL$4:BL$26,后果有效剂量!$I$5:$I$27)*后果有效剂量!$S30+SUMPRODUCT(BM$4:BM$26,后果有效剂量!$I$5:$I$27)*后果有效剂量!$T30+SUMPRODUCT(BN$4:BN$26,后果有效剂量!$I$5:$I$27)*后果有效剂量!$U30+SUMPRODUCT(BJ$4:BJ$26,后果有效剂量!$J$5:$J$27)*后果有效剂量!$Q30*后果有效剂量!$Q$3+SUMPRODUCT(BK$4:BK$26,后果有效剂量!$J$5:$J$27)*后果有效剂量!$R30*后果有效剂量!$R$3+SUMPRODUCT(BL$4:BL$26,后果有效剂量!$J$5:$J$27)*后果有效剂量!$S30*后果有效剂量!$S$3+SUMPRODUCT(BM$4:BM$26,后果有效剂量!$J$5:$J$27)*后果有效剂量!$T30*后果有效剂量!$T$3+SUMPRODUCT(BN$4:BN$26,后果有效剂量!$J$5:$J$27)*后果有效剂量!$U30*后果有效剂量!$U$3+SUMPRODUCT(BJ$4:BJ$26,后果有效剂量!$K$5:$K$27)*后果有效剂量!$Q30+SUMPRODUCT(BK$4:BK$26,后果有效剂量!$K$5:$K$27)*后果有效剂量!$R30+SUMPRODUCT(BL$4:BL$26,后果有效剂量!$K$5:$K$27)*后果有效剂量!$S30+SUMPRODUCT(BM$4:BM$26,后果有效剂量!$K$5:$K$27)*后果有效剂量!$T30+SUMPRODUCT(BN$4:BN$26,后果有效剂量!$K$5:$K$27)*后果有效剂量!$U30+SUMPRODUCT(BJ$29:BJ$30,后果有效剂量!$I$28:$I$29)*后果有效剂量!$Q30+SUMPRODUCT(BJ$29:BJ$30,后果有效剂量!$J$28:$J$29)*后果有效剂量!$Q30*后果有效剂量!$Q$3+SUMPRODUCT(BJ$29:BJ$30,后果有效剂量!$K$28:$K$29)*后果有效剂量!$Q30</f>
        <v>0</v>
      </c>
      <c r="BJ59" s="335">
        <f>SUMPRODUCT(BJ$4:BJ$26,后果甲状腺剂量!$I$5:$I$27)*后果甲状腺剂量!$Q30+SUMPRODUCT(BK$4:BK$26,后果甲状腺剂量!$I$5:$I$27)*后果甲状腺剂量!$R30+SUMPRODUCT(BL$4:BL$26,后果甲状腺剂量!$I$5:$I$27)*后果甲状腺剂量!$S30+SUMPRODUCT(BM$4:BM$26,后果甲状腺剂量!$I$5:$I$27)*后果甲状腺剂量!$T30+SUMPRODUCT(BN$4:BN$26,后果甲状腺剂量!$I$5:$I$27)*后果甲状腺剂量!$U30+SUMPRODUCT(BJ$4:BJ$26,后果甲状腺剂量!$J$5:$J$27)*后果甲状腺剂量!$Q30*后果甲状腺剂量!$Q$3+SUMPRODUCT(BK$4:BK$26,后果甲状腺剂量!$J$5:$J$27)*后果甲状腺剂量!$R30*后果甲状腺剂量!$R$3+SUMPRODUCT(BL$4:BL$26,后果甲状腺剂量!$J$5:$J$27)*后果甲状腺剂量!$S30*后果甲状腺剂量!$S$3+SUMPRODUCT(BM$4:BM$26,后果甲状腺剂量!$J$5:$J$27)*后果甲状腺剂量!$T30*后果甲状腺剂量!$T$3+SUMPRODUCT(BN$4:BN$26,后果甲状腺剂量!$J$5:$J$27)*后果甲状腺剂量!$U30*后果甲状腺剂量!$U$3+SUMPRODUCT(BJ$4:BJ$26,后果甲状腺剂量!$K$5:$K$27)*后果甲状腺剂量!$Q30+SUMPRODUCT(BK$4:BK$26,后果甲状腺剂量!$K$5:$K$27)*后果甲状腺剂量!$R30+SUMPRODUCT(BL$4:BL$26,后果甲状腺剂量!$K$5:$K$27)*后果甲状腺剂量!$S30+SUMPRODUCT(BM$4:BM$26,后果甲状腺剂量!$K$5:$K$27)*后果甲状腺剂量!$T30+SUMPRODUCT(BN$4:BN$26,后果甲状腺剂量!$K$5:$K$27)*后果甲状腺剂量!$U30+SUMPRODUCT(BJ$29:BJ$30,后果甲状腺剂量!$I$28:$I$29)*后果甲状腺剂量!$Q30+SUMPRODUCT(BJ$29:BJ$30,后果甲状腺剂量!$J$28:$J$29)*后果甲状腺剂量!$Q30*后果甲状腺剂量!$Q$3+SUMPRODUCT(BJ$29:BJ$30,后果甲状腺剂量!$K$28:$K$29)*后果甲状腺剂量!$Q30</f>
        <v>0</v>
      </c>
      <c r="BK59" s="333">
        <f t="shared" si="67"/>
        <v>0</v>
      </c>
      <c r="BL59" s="333">
        <f t="shared" si="68"/>
        <v>0</v>
      </c>
      <c r="BM59" s="357">
        <f t="shared" si="69"/>
        <v>0</v>
      </c>
      <c r="BN59" s="357">
        <f t="shared" si="70"/>
        <v>0</v>
      </c>
    </row>
    <row r="60" s="91" customFormat="1" spans="13:60">
      <c r="M60" s="166"/>
      <c r="N60" s="166"/>
      <c r="O60" s="166"/>
      <c r="Y60" s="714"/>
      <c r="AD60" s="166"/>
      <c r="AI60" s="167"/>
      <c r="AN60" s="167"/>
      <c r="AS60" s="167"/>
      <c r="AT60" s="167"/>
      <c r="AU60" s="167"/>
      <c r="AV60" s="167"/>
      <c r="AW60" s="167"/>
      <c r="AX60" s="167"/>
      <c r="AY60" s="167"/>
      <c r="AZ60" s="167"/>
      <c r="BA60" s="167"/>
      <c r="BB60" s="167"/>
      <c r="BC60" s="167"/>
      <c r="BD60" s="167"/>
      <c r="BE60" s="167"/>
      <c r="BF60" s="167"/>
      <c r="BG60" s="167"/>
      <c r="BH60" s="167"/>
    </row>
    <row r="61" s="91" customFormat="1" spans="13:63">
      <c r="M61" s="166"/>
      <c r="N61" s="166"/>
      <c r="O61" s="166"/>
      <c r="Y61" s="714"/>
      <c r="AD61" s="166"/>
      <c r="AI61" s="167"/>
      <c r="AN61" s="167"/>
      <c r="AS61" s="167"/>
      <c r="AT61" s="167"/>
      <c r="AU61" s="167"/>
      <c r="AV61" s="167"/>
      <c r="AW61" s="167"/>
      <c r="AX61" s="167"/>
      <c r="AY61" s="167"/>
      <c r="AZ61" s="167"/>
      <c r="BA61" s="167"/>
      <c r="BB61" s="167"/>
      <c r="BC61" s="167"/>
      <c r="BD61" s="167"/>
      <c r="BE61" s="167"/>
      <c r="BF61" s="167"/>
      <c r="BG61" s="167"/>
      <c r="BH61" s="167"/>
      <c r="BI61" s="91">
        <f>SUMPRODUCT(BJ$4:BJ$26,后果有效剂量!$I$5:$I$27)*后果有效剂量!$Q30+SUMPRODUCT(BK$4:BK$26,后果有效剂量!$I$5:$I$27)*后果有效剂量!$R30+SUMPRODUCT(BL$4:BL$26,后果有效剂量!$I$5:$I$27)*后果有效剂量!$S30+SUMPRODUCT(BM$4:BM$26,后果有效剂量!$I$5:$I$27)*后果有效剂量!$T30+SUMPRODUCT(BN$4:BN$26,后果有效剂量!$I$5:$I$27)*后果有效剂量!$U30</f>
        <v>0</v>
      </c>
      <c r="BJ61" s="91">
        <f>SUMPRODUCT(BJ$4:BJ$26,后果有效剂量!$J$5:$J$27)*后果有效剂量!$Q30*后果有效剂量!$Q$3+SUMPRODUCT(BK$4:BK$26,后果有效剂量!$J$5:$J$27)*后果有效剂量!$R30*后果有效剂量!$R$3+SUMPRODUCT(BL$4:BL$26,后果有效剂量!$J$5:$J$27)*后果有效剂量!$S30*后果有效剂量!$S$3+SUMPRODUCT(BM$4:BM$26,后果有效剂量!$J$5:$J$27)*后果有效剂量!$T30*后果有效剂量!$T$3+SUMPRODUCT(BN$4:BN$26,后果有效剂量!$J$5:$J$27)*后果有效剂量!$U30*后果有效剂量!$U$3</f>
        <v>0</v>
      </c>
      <c r="BK61" s="91">
        <f>SUMPRODUCT(BJ$4:BJ$26,后果有效剂量!$K$5:$K$27)*后果有效剂量!$Q30+SUMPRODUCT(BK$4:BK$26,后果有效剂量!$K$5:$K$27)*后果有效剂量!$R30+SUMPRODUCT(BL$4:BL$26,后果有效剂量!$K$5:$K$27)*后果有效剂量!$S30+SUMPRODUCT(BM$4:BM$26,后果有效剂量!$K$5:$K$27)*后果有效剂量!$T30+SUMPRODUCT(BN$4:BN$26,后果有效剂量!$K$5:$K$27)*后果有效剂量!$U30</f>
        <v>0</v>
      </c>
    </row>
    <row r="62" s="91" customFormat="1" spans="13:63">
      <c r="M62" s="166"/>
      <c r="N62" s="166"/>
      <c r="O62" s="166"/>
      <c r="Y62" s="714"/>
      <c r="AD62" s="166"/>
      <c r="AI62" s="167"/>
      <c r="AN62" s="167"/>
      <c r="AS62" s="167"/>
      <c r="AT62" s="167"/>
      <c r="AU62" s="167"/>
      <c r="AV62" s="167"/>
      <c r="AW62" s="167"/>
      <c r="AX62" s="167"/>
      <c r="AY62" s="167"/>
      <c r="AZ62" s="167"/>
      <c r="BA62" s="167"/>
      <c r="BB62" s="167"/>
      <c r="BC62" s="167"/>
      <c r="BD62" s="167"/>
      <c r="BE62" s="167"/>
      <c r="BF62" s="167"/>
      <c r="BG62" s="167"/>
      <c r="BH62" s="167"/>
      <c r="BI62" s="154" t="e">
        <f>BI61/$BI$59</f>
        <v>#DIV/0!</v>
      </c>
      <c r="BJ62" s="154" t="e">
        <f>BJ61/$BI$59</f>
        <v>#DIV/0!</v>
      </c>
      <c r="BK62" s="154" t="e">
        <f>BK61/$BI$59</f>
        <v>#DIV/0!</v>
      </c>
    </row>
  </sheetData>
  <pageMargins left="0.75" right="0.75" top="1" bottom="1" header="0.5" footer="0.5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W36"/>
  <sheetViews>
    <sheetView topLeftCell="V1" workbookViewId="0">
      <selection activeCell="J4" sqref="J4"/>
    </sheetView>
  </sheetViews>
  <sheetFormatPr defaultColWidth="9" defaultRowHeight="15"/>
  <cols>
    <col min="1" max="1" width="9" style="91"/>
    <col min="2" max="2" width="8.625" style="91" customWidth="1"/>
    <col min="3" max="4" width="11" style="91" customWidth="1"/>
    <col min="5" max="9" width="11" style="91" hidden="1" customWidth="1"/>
    <col min="10" max="10" width="11" style="91" customWidth="1"/>
    <col min="11" max="11" width="10" style="91" customWidth="1"/>
    <col min="12" max="15" width="11" style="91" customWidth="1"/>
    <col min="16" max="16" width="5.875" style="91" hidden="1" customWidth="1"/>
    <col min="17" max="17" width="13.875" style="91" customWidth="1"/>
    <col min="18" max="19" width="11.125" style="166" customWidth="1"/>
    <col min="20" max="21" width="9.7" style="91" customWidth="1"/>
    <col min="22" max="22" width="9.375" style="91" customWidth="1"/>
    <col min="23" max="23" width="12.875" style="91" customWidth="1"/>
    <col min="24" max="24" width="13.125" style="91" customWidth="1"/>
    <col min="25" max="25" width="9.375" style="91" customWidth="1"/>
    <col min="26" max="26" width="10.625" style="91" customWidth="1"/>
    <col min="27" max="31" width="10.875" style="91" customWidth="1"/>
    <col min="32" max="32" width="10.875" style="166" customWidth="1"/>
    <col min="33" max="33" width="10.3833333333333" style="91" hidden="1" customWidth="1"/>
    <col min="34" max="34" width="8.625" style="91" hidden="1" customWidth="1"/>
    <col min="35" max="35" width="6.25" style="91" hidden="1" customWidth="1"/>
    <col min="36" max="36" width="9.50833333333333" style="91" hidden="1" customWidth="1"/>
    <col min="37" max="37" width="10.75" style="167" hidden="1" customWidth="1"/>
    <col min="38" max="38" width="10" style="91" hidden="1" customWidth="1"/>
    <col min="39" max="39" width="9.875" style="91" hidden="1" customWidth="1"/>
    <col min="40" max="40" width="8.75" style="91" hidden="1" customWidth="1"/>
    <col min="41" max="41" width="9.875" style="91" hidden="1" customWidth="1"/>
    <col min="42" max="42" width="13.4583333333333" style="167" hidden="1" customWidth="1"/>
    <col min="43" max="43" width="10" style="91" hidden="1" customWidth="1"/>
    <col min="44" max="44" width="9.875" style="91" hidden="1" customWidth="1"/>
    <col min="45" max="45" width="8.75" style="91" hidden="1" customWidth="1"/>
    <col min="46" max="46" width="9.875" style="91" hidden="1" customWidth="1"/>
    <col min="47" max="51" width="12.0583333333333" style="167" hidden="1" customWidth="1"/>
    <col min="52" max="56" width="15.8833333333333" style="167" hidden="1" customWidth="1"/>
    <col min="57" max="57" width="13.0833333333333" style="167" hidden="1" customWidth="1"/>
    <col min="58" max="59" width="11" style="167" hidden="1" customWidth="1"/>
    <col min="60" max="60" width="13.0833333333333" style="167" hidden="1" customWidth="1"/>
    <col min="61" max="61" width="12" style="167" hidden="1" customWidth="1"/>
    <col min="62" max="62" width="11.75" style="167" hidden="1" customWidth="1"/>
    <col min="63" max="63" width="9.25" style="91" customWidth="1"/>
    <col min="64" max="70" width="11.125" style="91"/>
    <col min="71" max="71" width="2.88333333333333" style="91" customWidth="1"/>
    <col min="72" max="72" width="9.375" style="91"/>
    <col min="73" max="73" width="9" style="91"/>
    <col min="74" max="75" width="11.125" style="91"/>
    <col min="76" max="249" width="9" style="91"/>
  </cols>
  <sheetData>
    <row r="1" s="91" customFormat="1" spans="1:73">
      <c r="A1" s="164"/>
      <c r="B1" s="668" t="s">
        <v>376</v>
      </c>
      <c r="C1" s="164"/>
      <c r="D1" s="164"/>
      <c r="E1" s="164"/>
      <c r="F1" s="164" t="s">
        <v>319</v>
      </c>
      <c r="G1" s="164"/>
      <c r="H1" s="164" t="s">
        <v>319</v>
      </c>
      <c r="I1" s="164" t="s">
        <v>319</v>
      </c>
      <c r="J1" s="164"/>
      <c r="K1" s="164"/>
      <c r="L1" s="164"/>
      <c r="M1" s="164"/>
      <c r="N1" s="164"/>
      <c r="O1" s="164"/>
      <c r="P1" s="164"/>
      <c r="Q1" s="164"/>
      <c r="R1" s="681"/>
      <c r="S1" s="681"/>
      <c r="T1" s="682"/>
      <c r="U1" s="170"/>
      <c r="V1" s="683" t="s">
        <v>377</v>
      </c>
      <c r="W1" s="681"/>
      <c r="X1" s="681"/>
      <c r="Y1" s="696"/>
      <c r="Z1" s="697" t="s">
        <v>321</v>
      </c>
      <c r="AA1" s="698"/>
      <c r="AB1" s="698"/>
      <c r="AC1" s="698"/>
      <c r="AD1" s="698"/>
      <c r="AE1" s="699"/>
      <c r="AF1" s="700"/>
      <c r="AG1" s="715" t="s">
        <v>161</v>
      </c>
      <c r="AH1" s="716"/>
      <c r="AI1" s="716"/>
      <c r="AJ1" s="716"/>
      <c r="AK1" s="717"/>
      <c r="AL1" s="716"/>
      <c r="AM1" s="716"/>
      <c r="AN1" s="716"/>
      <c r="AO1" s="716"/>
      <c r="AP1" s="717"/>
      <c r="AQ1" s="716"/>
      <c r="AR1" s="716"/>
      <c r="AS1" s="716"/>
      <c r="AT1" s="716"/>
      <c r="AU1" s="717"/>
      <c r="AV1" s="717"/>
      <c r="AW1" s="717"/>
      <c r="AX1" s="717"/>
      <c r="AY1" s="717"/>
      <c r="AZ1" s="717"/>
      <c r="BA1" s="717"/>
      <c r="BB1" s="717"/>
      <c r="BC1" s="717"/>
      <c r="BD1" s="717"/>
      <c r="BE1" s="727"/>
      <c r="BF1" s="721"/>
      <c r="BG1" s="721"/>
      <c r="BH1" s="721"/>
      <c r="BI1" s="721"/>
      <c r="BJ1" s="721"/>
      <c r="BK1" s="728" t="s">
        <v>192</v>
      </c>
      <c r="BL1" s="164"/>
      <c r="BM1" s="164"/>
      <c r="BN1" s="164"/>
      <c r="BO1" s="164"/>
      <c r="BP1" s="164"/>
      <c r="BQ1" s="164"/>
      <c r="BR1" s="164"/>
      <c r="BT1" s="91" t="s">
        <v>322</v>
      </c>
      <c r="BU1" s="373" t="s">
        <v>163</v>
      </c>
    </row>
    <row r="2" s="91" customFormat="1" ht="15.75" spans="1:70">
      <c r="A2" s="164"/>
      <c r="B2" s="669" t="s">
        <v>245</v>
      </c>
      <c r="C2" s="164" t="s">
        <v>323</v>
      </c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 t="s">
        <v>378</v>
      </c>
      <c r="O2" s="164"/>
      <c r="P2" s="164"/>
      <c r="Q2" s="164"/>
      <c r="R2" s="684"/>
      <c r="S2" s="684"/>
      <c r="T2" s="685"/>
      <c r="U2" s="170"/>
      <c r="V2" s="686"/>
      <c r="W2" s="687"/>
      <c r="X2" s="687"/>
      <c r="Y2" s="701"/>
      <c r="Z2" s="702"/>
      <c r="AA2" s="703"/>
      <c r="AB2" s="703"/>
      <c r="AC2" s="703"/>
      <c r="AD2" s="703"/>
      <c r="AE2" s="704"/>
      <c r="AF2" s="700"/>
      <c r="AG2" s="718" t="s">
        <v>325</v>
      </c>
      <c r="AH2" s="719" t="s">
        <v>326</v>
      </c>
      <c r="AI2" s="720"/>
      <c r="AJ2" s="720"/>
      <c r="AK2" s="721"/>
      <c r="AL2" s="720"/>
      <c r="AM2" s="720"/>
      <c r="AN2" s="720"/>
      <c r="AO2" s="720"/>
      <c r="AP2" s="721"/>
      <c r="AQ2" s="720"/>
      <c r="AR2" s="720"/>
      <c r="AS2" s="720"/>
      <c r="AT2" s="720"/>
      <c r="AU2" s="721"/>
      <c r="AV2" s="721"/>
      <c r="AW2" s="721"/>
      <c r="AX2" s="721"/>
      <c r="AY2" s="721"/>
      <c r="AZ2" s="721"/>
      <c r="BA2" s="721"/>
      <c r="BB2" s="721"/>
      <c r="BC2" s="721"/>
      <c r="BD2" s="721"/>
      <c r="BE2" s="729"/>
      <c r="BF2" s="721"/>
      <c r="BG2" s="721"/>
      <c r="BH2" s="721"/>
      <c r="BI2" s="721"/>
      <c r="BJ2" s="721"/>
      <c r="BK2" s="728"/>
      <c r="BL2" s="164"/>
      <c r="BM2" s="164"/>
      <c r="BN2" s="164"/>
      <c r="BO2" s="164"/>
      <c r="BP2" s="164"/>
      <c r="BQ2" s="164"/>
      <c r="BR2" s="164"/>
    </row>
    <row r="3" s="163" customFormat="1" ht="57" customHeight="1" spans="1:73">
      <c r="A3" s="670" t="s">
        <v>35</v>
      </c>
      <c r="B3" s="671" t="s">
        <v>327</v>
      </c>
      <c r="C3" s="672" t="s">
        <v>328</v>
      </c>
      <c r="D3" s="672" t="s">
        <v>40</v>
      </c>
      <c r="E3" s="672" t="s">
        <v>329</v>
      </c>
      <c r="F3" s="672" t="s">
        <v>42</v>
      </c>
      <c r="G3" s="673" t="s">
        <v>43</v>
      </c>
      <c r="H3" s="674" t="s">
        <v>197</v>
      </c>
      <c r="I3" s="674" t="s">
        <v>379</v>
      </c>
      <c r="J3" s="674" t="s">
        <v>380</v>
      </c>
      <c r="K3" s="674" t="s">
        <v>381</v>
      </c>
      <c r="L3" s="674" t="s">
        <v>382</v>
      </c>
      <c r="M3" s="674" t="s">
        <v>383</v>
      </c>
      <c r="N3" s="676" t="s">
        <v>384</v>
      </c>
      <c r="O3" s="674" t="s">
        <v>385</v>
      </c>
      <c r="P3" s="674" t="s">
        <v>386</v>
      </c>
      <c r="Q3" s="674" t="s">
        <v>387</v>
      </c>
      <c r="R3" s="688" t="s">
        <v>388</v>
      </c>
      <c r="S3" s="688" t="s">
        <v>389</v>
      </c>
      <c r="T3" s="689" t="s">
        <v>390</v>
      </c>
      <c r="U3" s="674" t="s">
        <v>335</v>
      </c>
      <c r="V3" s="690" t="s">
        <v>337</v>
      </c>
      <c r="W3" s="691" t="s">
        <v>338</v>
      </c>
      <c r="X3" s="691" t="s">
        <v>212</v>
      </c>
      <c r="Y3" s="705" t="s">
        <v>391</v>
      </c>
      <c r="Z3" s="706" t="s">
        <v>340</v>
      </c>
      <c r="AA3" s="707" t="s">
        <v>266</v>
      </c>
      <c r="AB3" s="707" t="s">
        <v>275</v>
      </c>
      <c r="AC3" s="707" t="s">
        <v>235</v>
      </c>
      <c r="AD3" s="707" t="s">
        <v>341</v>
      </c>
      <c r="AE3" s="708" t="s">
        <v>342</v>
      </c>
      <c r="AF3" s="709" t="s">
        <v>192</v>
      </c>
      <c r="AG3" s="722" t="s">
        <v>343</v>
      </c>
      <c r="AH3" s="234" t="s">
        <v>344</v>
      </c>
      <c r="AI3" s="723" t="s">
        <v>345</v>
      </c>
      <c r="AJ3" s="724" t="s">
        <v>346</v>
      </c>
      <c r="AK3" s="707" t="s">
        <v>347</v>
      </c>
      <c r="AL3" s="234" t="s">
        <v>348</v>
      </c>
      <c r="AM3" s="234" t="s">
        <v>349</v>
      </c>
      <c r="AN3" s="723" t="s">
        <v>350</v>
      </c>
      <c r="AO3" s="724" t="s">
        <v>351</v>
      </c>
      <c r="AP3" s="726" t="s">
        <v>352</v>
      </c>
      <c r="AQ3" s="234" t="s">
        <v>353</v>
      </c>
      <c r="AR3" s="234" t="s">
        <v>354</v>
      </c>
      <c r="AS3" s="723" t="s">
        <v>355</v>
      </c>
      <c r="AT3" s="724" t="s">
        <v>356</v>
      </c>
      <c r="AU3" s="726" t="s">
        <v>357</v>
      </c>
      <c r="AV3" s="234" t="s">
        <v>358</v>
      </c>
      <c r="AW3" s="234" t="s">
        <v>359</v>
      </c>
      <c r="AX3" s="723" t="s">
        <v>360</v>
      </c>
      <c r="AY3" s="724" t="s">
        <v>361</v>
      </c>
      <c r="AZ3" s="726" t="s">
        <v>362</v>
      </c>
      <c r="BA3" s="234" t="s">
        <v>363</v>
      </c>
      <c r="BB3" s="234" t="s">
        <v>364</v>
      </c>
      <c r="BC3" s="723" t="s">
        <v>365</v>
      </c>
      <c r="BD3" s="724" t="s">
        <v>366</v>
      </c>
      <c r="BE3" s="730" t="s">
        <v>367</v>
      </c>
      <c r="BF3" s="691" t="s">
        <v>368</v>
      </c>
      <c r="BG3" s="691" t="s">
        <v>369</v>
      </c>
      <c r="BH3" s="691" t="s">
        <v>370</v>
      </c>
      <c r="BI3" s="691" t="s">
        <v>371</v>
      </c>
      <c r="BJ3" s="691" t="s">
        <v>372</v>
      </c>
      <c r="BK3" s="731" t="s">
        <v>239</v>
      </c>
      <c r="BL3" s="732" t="s">
        <v>266</v>
      </c>
      <c r="BM3" s="732" t="s">
        <v>234</v>
      </c>
      <c r="BN3" s="732" t="s">
        <v>235</v>
      </c>
      <c r="BO3" s="732" t="s">
        <v>341</v>
      </c>
      <c r="BP3" s="732" t="s">
        <v>342</v>
      </c>
      <c r="BQ3" s="741" t="s">
        <v>243</v>
      </c>
      <c r="BR3" s="742" t="s">
        <v>193</v>
      </c>
      <c r="BT3" s="743" t="s">
        <v>266</v>
      </c>
      <c r="BU3" s="743" t="s">
        <v>266</v>
      </c>
    </row>
    <row r="4" s="91" customFormat="1" ht="15.75" spans="1:75">
      <c r="A4" s="675" t="s">
        <v>65</v>
      </c>
      <c r="B4" s="190">
        <v>1.79e-9</v>
      </c>
      <c r="C4" s="182"/>
      <c r="D4" s="182">
        <v>43133663875.6524</v>
      </c>
      <c r="E4" s="182">
        <v>143000000000</v>
      </c>
      <c r="F4" s="182">
        <v>12806280671005.7</v>
      </c>
      <c r="G4" s="214"/>
      <c r="H4" s="216"/>
      <c r="I4" s="210"/>
      <c r="J4" s="216">
        <v>1121371873100.44</v>
      </c>
      <c r="K4" s="677">
        <v>0.3</v>
      </c>
      <c r="L4" s="216">
        <f>K4*1000*J4/(365*24*3600)</f>
        <v>10667540.6497378</v>
      </c>
      <c r="M4" s="678">
        <v>60</v>
      </c>
      <c r="N4" s="126">
        <f>L4/B4*(1-EXP(-B4*M4*365*24*3600))</f>
        <v>5758022047020590</v>
      </c>
      <c r="O4" s="677">
        <v>4.6</v>
      </c>
      <c r="P4" s="679">
        <f>O4/K4</f>
        <v>15.3333333333333</v>
      </c>
      <c r="Q4" s="216">
        <f>N4*O4/M4/K4</f>
        <v>1471494523127490</v>
      </c>
      <c r="R4" s="218">
        <f>Q4</f>
        <v>1471494523127490</v>
      </c>
      <c r="S4" s="218">
        <f>50/4600</f>
        <v>0.0108695652173913</v>
      </c>
      <c r="T4" s="692">
        <f>R4*S4</f>
        <v>15994505686168.3</v>
      </c>
      <c r="U4" s="353">
        <f>T4</f>
        <v>15994505686168.3</v>
      </c>
      <c r="V4" s="693">
        <v>1</v>
      </c>
      <c r="W4" s="247">
        <f>U4*V4</f>
        <v>15994505686168.3</v>
      </c>
      <c r="X4" s="247">
        <f>U4*0%</f>
        <v>0</v>
      </c>
      <c r="Y4" s="710">
        <f>W4-X4</f>
        <v>15994505686168.3</v>
      </c>
      <c r="Z4" s="711">
        <f>0.1/24/3600</f>
        <v>1.15740740740741e-6</v>
      </c>
      <c r="AA4" s="712">
        <f>($T4-$W4)*$Z4/($B4+$Z4)*(1-EXP(-($B4+$Z4)*2*3600))</f>
        <v>0</v>
      </c>
      <c r="AB4" s="712">
        <f>($T4-$W4)*$Z4/($B4+$Z4)*(EXP(-($B4+$Z4)*2*3600)-EXP(-($B4+$Z4)*8*3600))</f>
        <v>0</v>
      </c>
      <c r="AC4" s="712">
        <f>($T4-$W4)*$Z4/($B4+$Z4)*(EXP(-($B4+$Z4)*8*3600)-EXP(-($B4+$Z4)*24*3600))</f>
        <v>0</v>
      </c>
      <c r="AD4" s="712">
        <f>($T4-$W4)*$Z4/($B4+$Z4)*(EXP(-($B4+$Z4)*24*3600)-EXP(-($B4+$Z4)*96*3600))</f>
        <v>0</v>
      </c>
      <c r="AE4" s="713">
        <f>($T4-$W4)*$Z4/($B4+$Z4)*(EXP(-($B4+$Z4)*96*3600)-EXP(-($B4+$Z4)*30*24*3600))</f>
        <v>0</v>
      </c>
      <c r="AF4" s="218">
        <f>SUM(W4,AA4:AE4)</f>
        <v>15994505686168.3</v>
      </c>
      <c r="AG4" s="215"/>
      <c r="AH4" s="210"/>
      <c r="AI4" s="210"/>
      <c r="AJ4" s="210"/>
      <c r="AK4" s="725"/>
      <c r="AL4" s="210"/>
      <c r="AM4" s="210"/>
      <c r="AN4" s="210"/>
      <c r="AO4" s="210"/>
      <c r="AP4" s="725"/>
      <c r="AQ4" s="210"/>
      <c r="AR4" s="210"/>
      <c r="AS4" s="210"/>
      <c r="AT4" s="210"/>
      <c r="AU4" s="725"/>
      <c r="AV4" s="725"/>
      <c r="AW4" s="725"/>
      <c r="AX4" s="725"/>
      <c r="AY4" s="725"/>
      <c r="AZ4" s="725"/>
      <c r="BA4" s="725"/>
      <c r="BB4" s="725"/>
      <c r="BC4" s="725"/>
      <c r="BD4" s="725"/>
      <c r="BE4" s="733"/>
      <c r="BF4" s="275"/>
      <c r="BG4" s="275"/>
      <c r="BH4" s="275"/>
      <c r="BI4" s="275"/>
      <c r="BJ4" s="275"/>
      <c r="BK4" s="734">
        <f>X4</f>
        <v>0</v>
      </c>
      <c r="BL4" s="735">
        <v>0</v>
      </c>
      <c r="BM4" s="735">
        <f>Y4+AB4+AP4</f>
        <v>15994505686168.3</v>
      </c>
      <c r="BN4" s="735">
        <f>AC4+AU4</f>
        <v>0</v>
      </c>
      <c r="BO4" s="735">
        <f>AD4+AZ4</f>
        <v>0</v>
      </c>
      <c r="BP4" s="735">
        <f>AE4+BE4</f>
        <v>0</v>
      </c>
      <c r="BQ4" s="744">
        <f>SUM(BK4:BP4)</f>
        <v>15994505686168.3</v>
      </c>
      <c r="BR4" s="353">
        <f>T4</f>
        <v>15994505686168.3</v>
      </c>
      <c r="BS4" s="126"/>
      <c r="BT4" s="745">
        <v>24000000000000</v>
      </c>
      <c r="BU4" s="365">
        <f>BL4/BT4</f>
        <v>0</v>
      </c>
      <c r="BV4" s="369">
        <f>T4/BT4</f>
        <v>0.66643773692368</v>
      </c>
      <c r="BW4" s="369">
        <f>BQ4/BT4</f>
        <v>0.66643773692368</v>
      </c>
    </row>
    <row r="5" s="91" customFormat="1" spans="14:62">
      <c r="N5" s="91">
        <f>N4/J4</f>
        <v>5134.80156328556</v>
      </c>
      <c r="Q5" s="694">
        <v>240000000000000</v>
      </c>
      <c r="R5" s="166"/>
      <c r="S5" s="166"/>
      <c r="U5" s="126">
        <v>24000000000000</v>
      </c>
      <c r="AA5" s="126"/>
      <c r="AB5" s="126"/>
      <c r="AC5" s="126"/>
      <c r="AD5" s="126"/>
      <c r="AF5" s="166"/>
      <c r="AK5" s="167"/>
      <c r="AP5" s="167"/>
      <c r="AU5" s="167"/>
      <c r="AV5" s="167"/>
      <c r="AW5" s="167"/>
      <c r="AX5" s="167"/>
      <c r="AY5" s="167"/>
      <c r="AZ5" s="167"/>
      <c r="BA5" s="167"/>
      <c r="BB5" s="167"/>
      <c r="BC5" s="167"/>
      <c r="BD5" s="167"/>
      <c r="BE5" s="167"/>
      <c r="BF5" s="167"/>
      <c r="BG5" s="275"/>
      <c r="BH5" s="736"/>
      <c r="BI5" s="167"/>
      <c r="BJ5" s="167"/>
    </row>
    <row r="6" s="91" customFormat="1" spans="17:62">
      <c r="Q6" s="695">
        <f>Q4/Q5</f>
        <v>6.13122717969785</v>
      </c>
      <c r="R6" s="166"/>
      <c r="S6" s="166"/>
      <c r="W6" s="373"/>
      <c r="X6" s="373"/>
      <c r="AA6" s="126"/>
      <c r="AB6" s="126"/>
      <c r="AC6" s="126"/>
      <c r="AD6" s="126"/>
      <c r="AF6" s="166"/>
      <c r="AK6" s="167"/>
      <c r="AP6" s="167"/>
      <c r="AU6" s="167"/>
      <c r="AV6" s="167"/>
      <c r="AW6" s="167"/>
      <c r="AX6" s="167"/>
      <c r="AY6" s="167"/>
      <c r="AZ6" s="167"/>
      <c r="BA6" s="167"/>
      <c r="BB6" s="167"/>
      <c r="BC6" s="167"/>
      <c r="BD6" s="167"/>
      <c r="BE6" s="167"/>
      <c r="BF6" s="167"/>
      <c r="BG6" s="275"/>
      <c r="BH6" s="167"/>
      <c r="BI6" s="167"/>
      <c r="BJ6" s="167"/>
    </row>
    <row r="7" s="91" customFormat="1" spans="18:65">
      <c r="R7" s="166"/>
      <c r="S7" s="166"/>
      <c r="AA7" s="714"/>
      <c r="AF7" s="166"/>
      <c r="AK7" s="167"/>
      <c r="AP7" s="167"/>
      <c r="AU7" s="167"/>
      <c r="AV7" s="167"/>
      <c r="AW7" s="167"/>
      <c r="AX7" s="167"/>
      <c r="AY7" s="167"/>
      <c r="AZ7" s="167"/>
      <c r="BA7" s="167"/>
      <c r="BB7" s="167"/>
      <c r="BC7" s="167"/>
      <c r="BD7" s="167"/>
      <c r="BE7" s="167"/>
      <c r="BF7" s="167"/>
      <c r="BG7" s="167"/>
      <c r="BH7" s="167"/>
      <c r="BI7" s="167"/>
      <c r="BJ7" s="167"/>
      <c r="BK7" s="737" t="s">
        <v>289</v>
      </c>
      <c r="BL7" s="738" t="s">
        <v>290</v>
      </c>
      <c r="BM7" s="738" t="s">
        <v>291</v>
      </c>
    </row>
    <row r="8" s="91" customFormat="1" spans="2:67">
      <c r="B8" s="190">
        <v>1.79e-9</v>
      </c>
      <c r="C8" s="182"/>
      <c r="D8" s="182">
        <v>43133663875.6524</v>
      </c>
      <c r="E8" s="182">
        <v>143000000000</v>
      </c>
      <c r="F8" s="182">
        <v>12806280671005.7</v>
      </c>
      <c r="G8" s="214"/>
      <c r="H8" s="216"/>
      <c r="I8" s="210"/>
      <c r="J8" s="216">
        <v>800000000000</v>
      </c>
      <c r="K8" s="677">
        <v>0.1</v>
      </c>
      <c r="L8" s="216">
        <f>K8*1000*J8/(365*24*3600)</f>
        <v>2536783.35870117</v>
      </c>
      <c r="M8" s="678">
        <v>40</v>
      </c>
      <c r="N8" s="126">
        <f>L8/B8*(1-EXP(-B8*M8*365*24*3600))</f>
        <v>1269012784933040</v>
      </c>
      <c r="O8" s="677">
        <v>1</v>
      </c>
      <c r="P8" s="679">
        <f>O8/K8</f>
        <v>10</v>
      </c>
      <c r="Q8" s="216">
        <f>L8/B8*(1-EXP(-B8*P8*365*24*3600))</f>
        <v>611311527901323</v>
      </c>
      <c r="R8" s="218">
        <f>Q8</f>
        <v>611311527901323</v>
      </c>
      <c r="S8" s="218">
        <f>0.1</f>
        <v>0.1</v>
      </c>
      <c r="T8" s="692">
        <f>R8*S8</f>
        <v>61131152790132.3</v>
      </c>
      <c r="U8" s="353">
        <f>T8</f>
        <v>61131152790132.3</v>
      </c>
      <c r="AA8" s="714"/>
      <c r="AF8" s="166"/>
      <c r="AK8" s="167"/>
      <c r="AP8" s="167"/>
      <c r="AU8" s="167"/>
      <c r="AV8" s="167"/>
      <c r="AW8" s="167"/>
      <c r="AX8" s="167"/>
      <c r="AY8" s="167"/>
      <c r="AZ8" s="167"/>
      <c r="BA8" s="167"/>
      <c r="BB8" s="167"/>
      <c r="BC8" s="167"/>
      <c r="BD8" s="167"/>
      <c r="BE8" s="167"/>
      <c r="BF8" s="167"/>
      <c r="BG8" s="167"/>
      <c r="BH8" s="167"/>
      <c r="BI8" s="167"/>
      <c r="BJ8" s="167"/>
      <c r="BK8" s="739">
        <f>后果有效剂量!P5</f>
        <v>0</v>
      </c>
      <c r="BL8" s="740">
        <f>BL$4*后果有效剂量!$I$24*后果有效剂量!$Q5+BM$4*后果有效剂量!$I$24*后果有效剂量!$R5+BN$4*后果有效剂量!$I$24*后果有效剂量!$S5+BO$4*后果有效剂量!$I$24*后果有效剂量!$T5+BP$4*后果有效剂量!$I$24*后果有效剂量!$U5+BL$4*后果有效剂量!$J$24*后果有效剂量!$Q5*后果有效剂量!$Q$3+BM$4*后果有效剂量!$J$24*后果有效剂量!$R5*后果有效剂量!$R$3+BN$4*后果有效剂量!$J$24*后果有效剂量!$S5*后果有效剂量!$S$3+BO$4*后果有效剂量!$J$24*后果有效剂量!$T5*后果有效剂量!$T$3+BP$4*后果有效剂量!$J$24*后果有效剂量!$U5*后果有效剂量!$U$3+BL$4*后果有效剂量!$K$24*后果有效剂量!$Q5+BM$4*后果有效剂量!$K$24*后果有效剂量!$R5+BN$4*后果有效剂量!$K$24*后果有效剂量!$S5+BO$4*后果有效剂量!$K$24*后果有效剂量!$T5+BP$4*后果有效剂量!$K$24*后果有效剂量!$U5</f>
        <v>0</v>
      </c>
      <c r="BM8" s="746">
        <f>BL$4*后果甲状腺剂量!$I$24*后果甲状腺剂量!$Q5+BM$4*后果甲状腺剂量!$I$24*后果甲状腺剂量!$R5+BN$4*后果甲状腺剂量!$I$24*后果甲状腺剂量!$S5+BO$4*后果甲状腺剂量!$I$24*后果甲状腺剂量!$T5+BP$4*后果甲状腺剂量!$I$24*后果甲状腺剂量!$U5+BL$4*后果甲状腺剂量!$J$24*后果甲状腺剂量!$Q5*后果甲状腺剂量!$Q$3+BM$4*后果甲状腺剂量!$J$24*后果甲状腺剂量!$R5*后果甲状腺剂量!$R$3+BN$4*后果甲状腺剂量!$J$24*后果甲状腺剂量!$S5*后果甲状腺剂量!$S$3+BO$4*后果甲状腺剂量!$J$24*后果甲状腺剂量!$T5*后果甲状腺剂量!$T$3+BP$4*后果甲状腺剂量!$J$24*后果甲状腺剂量!$U5*后果甲状腺剂量!$U$3+BL$4*后果甲状腺剂量!$K$24*后果甲状腺剂量!$Q5+BM$4*后果甲状腺剂量!$K$24*后果甲状腺剂量!$R5+BN$4*后果甲状腺剂量!$K$24*后果甲状腺剂量!$S5+BO$4*后果甲状腺剂量!$K$24*后果甲状腺剂量!$T5+BP$4*后果甲状腺剂量!$K$24*后果甲状腺剂量!$U5</f>
        <v>0</v>
      </c>
      <c r="BN8" s="206">
        <f>BL8*1000</f>
        <v>0</v>
      </c>
      <c r="BO8" s="206">
        <f>BM8*1000</f>
        <v>0</v>
      </c>
    </row>
    <row r="9" s="91" customFormat="1" spans="10:67">
      <c r="J9" s="680">
        <f t="shared" ref="J9:Q9" si="0">J4/J8</f>
        <v>1.40171484137555</v>
      </c>
      <c r="K9" s="680">
        <f t="shared" si="0"/>
        <v>3</v>
      </c>
      <c r="L9" s="680">
        <f t="shared" si="0"/>
        <v>4.20514452412665</v>
      </c>
      <c r="M9" s="680">
        <f t="shared" si="0"/>
        <v>1.5</v>
      </c>
      <c r="N9" s="680">
        <f t="shared" si="0"/>
        <v>4.53740270814089</v>
      </c>
      <c r="O9" s="680">
        <f t="shared" si="0"/>
        <v>4.6</v>
      </c>
      <c r="P9" s="680">
        <f t="shared" si="0"/>
        <v>1.53333333333333</v>
      </c>
      <c r="Q9" s="680">
        <f t="shared" si="0"/>
        <v>2.4071107053702</v>
      </c>
      <c r="R9" s="166"/>
      <c r="S9" s="166"/>
      <c r="AA9" s="714"/>
      <c r="AF9" s="166"/>
      <c r="AK9" s="167"/>
      <c r="AP9" s="167"/>
      <c r="AU9" s="167"/>
      <c r="AV9" s="167"/>
      <c r="AW9" s="167"/>
      <c r="AX9" s="167"/>
      <c r="AY9" s="167"/>
      <c r="AZ9" s="167"/>
      <c r="BA9" s="167"/>
      <c r="BB9" s="167"/>
      <c r="BC9" s="167"/>
      <c r="BD9" s="167"/>
      <c r="BE9" s="167"/>
      <c r="BF9" s="167"/>
      <c r="BG9" s="167"/>
      <c r="BH9" s="167"/>
      <c r="BI9" s="167"/>
      <c r="BJ9" s="167"/>
      <c r="BK9" s="739">
        <f>后果有效剂量!P6</f>
        <v>0</v>
      </c>
      <c r="BL9" s="740">
        <f>BL$4*后果有效剂量!$I$24*后果有效剂量!$Q6+BM$4*后果有效剂量!$I$24*后果有效剂量!$R6+BN$4*后果有效剂量!$I$24*后果有效剂量!$S6+BO$4*后果有效剂量!$I$24*后果有效剂量!$T6+BP$4*后果有效剂量!$I$24*后果有效剂量!$U6+BL$4*后果有效剂量!$J$24*后果有效剂量!$Q6*后果有效剂量!$Q$3+BM$4*后果有效剂量!$J$24*后果有效剂量!$R6*后果有效剂量!$R$3+BN$4*后果有效剂量!$J$24*后果有效剂量!$S6*后果有效剂量!$S$3+BO$4*后果有效剂量!$J$24*后果有效剂量!$T6*后果有效剂量!$T$3+BP$4*后果有效剂量!$J$24*后果有效剂量!$U6*后果有效剂量!$U$3+BL$4*后果有效剂量!$K$24*后果有效剂量!$Q6+BM$4*后果有效剂量!$K$24*后果有效剂量!$R6+BN$4*后果有效剂量!$K$24*后果有效剂量!$S6+BO$4*后果有效剂量!$K$24*后果有效剂量!$T6+BP$4*后果有效剂量!$K$24*后果有效剂量!$U6</f>
        <v>0</v>
      </c>
      <c r="BM9" s="746">
        <f>BL$4*后果甲状腺剂量!$I$24*后果甲状腺剂量!$Q6+BM$4*后果甲状腺剂量!$I$24*后果甲状腺剂量!$R6+BN$4*后果甲状腺剂量!$I$24*后果甲状腺剂量!$S6+BO$4*后果甲状腺剂量!$I$24*后果甲状腺剂量!$T6+BP$4*后果甲状腺剂量!$I$24*后果甲状腺剂量!$U6+BL$4*后果甲状腺剂量!$J$24*后果甲状腺剂量!$Q6*后果甲状腺剂量!$Q$3+BM$4*后果甲状腺剂量!$J$24*后果甲状腺剂量!$R6*后果甲状腺剂量!$R$3+BN$4*后果甲状腺剂量!$J$24*后果甲状腺剂量!$S6*后果甲状腺剂量!$S$3+BO$4*后果甲状腺剂量!$J$24*后果甲状腺剂量!$T6*后果甲状腺剂量!$T$3+BP$4*后果甲状腺剂量!$J$24*后果甲状腺剂量!$U6*后果甲状腺剂量!$U$3+BL$4*后果甲状腺剂量!$K$24*后果甲状腺剂量!$Q6+BM$4*后果甲状腺剂量!$K$24*后果甲状腺剂量!$R6+BN$4*后果甲状腺剂量!$K$24*后果甲状腺剂量!$S6+BO$4*后果甲状腺剂量!$K$24*后果甲状腺剂量!$T6+BP$4*后果甲状腺剂量!$K$24*后果甲状腺剂量!$U6</f>
        <v>0</v>
      </c>
      <c r="BN9" s="206">
        <f t="shared" ref="BN9:BN33" si="1">BL9*1000</f>
        <v>0</v>
      </c>
      <c r="BO9" s="206">
        <f t="shared" ref="BO9:BO33" si="2">BM9*1000</f>
        <v>0</v>
      </c>
    </row>
    <row r="10" s="91" customFormat="1" spans="18:67">
      <c r="R10" s="166"/>
      <c r="S10" s="166"/>
      <c r="AA10" s="714">
        <v>0.634430612285241</v>
      </c>
      <c r="AB10" s="91">
        <v>0.253772244914097</v>
      </c>
      <c r="AF10" s="166"/>
      <c r="AK10" s="167"/>
      <c r="AP10" s="167"/>
      <c r="AU10" s="167"/>
      <c r="AV10" s="167"/>
      <c r="AW10" s="167"/>
      <c r="AX10" s="167"/>
      <c r="AY10" s="167"/>
      <c r="AZ10" s="167"/>
      <c r="BA10" s="167"/>
      <c r="BB10" s="167"/>
      <c r="BC10" s="167"/>
      <c r="BD10" s="167"/>
      <c r="BE10" s="167"/>
      <c r="BF10" s="167"/>
      <c r="BG10" s="167"/>
      <c r="BH10" s="167"/>
      <c r="BI10" s="167"/>
      <c r="BJ10" s="167"/>
      <c r="BK10" s="739">
        <f>后果有效剂量!P7</f>
        <v>0</v>
      </c>
      <c r="BL10" s="740">
        <f>BL$4*后果有效剂量!$I$24*后果有效剂量!$Q7+BM$4*后果有效剂量!$I$24*后果有效剂量!$R7+BN$4*后果有效剂量!$I$24*后果有效剂量!$S7+BO$4*后果有效剂量!$I$24*后果有效剂量!$T7+BP$4*后果有效剂量!$I$24*后果有效剂量!$U7+BL$4*后果有效剂量!$J$24*后果有效剂量!$Q7*后果有效剂量!$Q$3+BM$4*后果有效剂量!$J$24*后果有效剂量!$R7*后果有效剂量!$R$3+BN$4*后果有效剂量!$J$24*后果有效剂量!$S7*后果有效剂量!$S$3+BO$4*后果有效剂量!$J$24*后果有效剂量!$T7*后果有效剂量!$T$3+BP$4*后果有效剂量!$J$24*后果有效剂量!$U7*后果有效剂量!$U$3+BL$4*后果有效剂量!$K$24*后果有效剂量!$Q7+BM$4*后果有效剂量!$K$24*后果有效剂量!$R7+BN$4*后果有效剂量!$K$24*后果有效剂量!$S7+BO$4*后果有效剂量!$K$24*后果有效剂量!$T7+BP$4*后果有效剂量!$K$24*后果有效剂量!$U7</f>
        <v>0</v>
      </c>
      <c r="BM10" s="746">
        <f>BL$4*后果甲状腺剂量!$I$24*后果甲状腺剂量!$Q7+BM$4*后果甲状腺剂量!$I$24*后果甲状腺剂量!$R7+BN$4*后果甲状腺剂量!$I$24*后果甲状腺剂量!$S7+BO$4*后果甲状腺剂量!$I$24*后果甲状腺剂量!$T7+BP$4*后果甲状腺剂量!$I$24*后果甲状腺剂量!$U7+BL$4*后果甲状腺剂量!$J$24*后果甲状腺剂量!$Q7*后果甲状腺剂量!$Q$3+BM$4*后果甲状腺剂量!$J$24*后果甲状腺剂量!$R7*后果甲状腺剂量!$R$3+BN$4*后果甲状腺剂量!$J$24*后果甲状腺剂量!$S7*后果甲状腺剂量!$S$3+BO$4*后果甲状腺剂量!$J$24*后果甲状腺剂量!$T7*后果甲状腺剂量!$T$3+BP$4*后果甲状腺剂量!$J$24*后果甲状腺剂量!$U7*后果甲状腺剂量!$U$3+BL$4*后果甲状腺剂量!$K$24*后果甲状腺剂量!$Q7+BM$4*后果甲状腺剂量!$K$24*后果甲状腺剂量!$R7+BN$4*后果甲状腺剂量!$K$24*后果甲状腺剂量!$S7+BO$4*后果甲状腺剂量!$K$24*后果甲状腺剂量!$T7+BP$4*后果甲状腺剂量!$K$24*后果甲状腺剂量!$U7</f>
        <v>0</v>
      </c>
      <c r="BN10" s="206">
        <f t="shared" si="1"/>
        <v>0</v>
      </c>
      <c r="BO10" s="206">
        <f t="shared" si="2"/>
        <v>0</v>
      </c>
    </row>
    <row r="11" s="91" customFormat="1" spans="2:69">
      <c r="B11" s="190">
        <v>1.79e-9</v>
      </c>
      <c r="C11" s="182"/>
      <c r="D11" s="182">
        <v>43133663875.6524</v>
      </c>
      <c r="E11" s="182">
        <v>143000000000</v>
      </c>
      <c r="F11" s="182">
        <v>12806280671005.7</v>
      </c>
      <c r="G11" s="214"/>
      <c r="H11" s="216"/>
      <c r="I11" s="210"/>
      <c r="J11" s="216">
        <v>800000000000</v>
      </c>
      <c r="K11" s="677">
        <v>0.1</v>
      </c>
      <c r="L11" s="216">
        <f>K11*1000*J11/(365*24*3600)</f>
        <v>2536783.35870117</v>
      </c>
      <c r="M11" s="678">
        <v>40</v>
      </c>
      <c r="N11" s="126">
        <f>L11/B11*(1-EXP(-B11*M11*365*24*3600))</f>
        <v>1269012784933040</v>
      </c>
      <c r="O11" s="677">
        <v>1</v>
      </c>
      <c r="P11" s="679">
        <f>O11/K11</f>
        <v>10</v>
      </c>
      <c r="Q11" s="216">
        <f>N11*O11/M11/K11</f>
        <v>317253196233260</v>
      </c>
      <c r="R11" s="218">
        <f>Q11</f>
        <v>317253196233260</v>
      </c>
      <c r="S11" s="218">
        <f>0.1</f>
        <v>0.1</v>
      </c>
      <c r="T11" s="692">
        <f>R11*S11</f>
        <v>31725319623326</v>
      </c>
      <c r="U11" s="353">
        <f>T11</f>
        <v>31725319623326</v>
      </c>
      <c r="AA11" s="714"/>
      <c r="AF11" s="166"/>
      <c r="AK11" s="167"/>
      <c r="AP11" s="167"/>
      <c r="AU11" s="167"/>
      <c r="AV11" s="167"/>
      <c r="AW11" s="167"/>
      <c r="AX11" s="167"/>
      <c r="AY11" s="167"/>
      <c r="AZ11" s="167"/>
      <c r="BA11" s="167"/>
      <c r="BB11" s="167"/>
      <c r="BC11" s="167"/>
      <c r="BD11" s="167"/>
      <c r="BE11" s="167"/>
      <c r="BF11" s="167"/>
      <c r="BG11" s="167"/>
      <c r="BH11" s="167"/>
      <c r="BI11" s="167"/>
      <c r="BJ11" s="167"/>
      <c r="BK11" s="739" t="str">
        <f>后果有效剂量!P8</f>
        <v>500m</v>
      </c>
      <c r="BL11" s="740">
        <f>BL$4*后果有效剂量!$I$24*后果有效剂量!$Q8+BM$4*后果有效剂量!$I$24*后果有效剂量!$R8+BN$4*后果有效剂量!$I$24*后果有效剂量!$S8+BO$4*后果有效剂量!$I$24*后果有效剂量!$T8+BP$4*后果有效剂量!$I$24*后果有效剂量!$U8+BL$4*后果有效剂量!$J$24*后果有效剂量!$Q8*后果有效剂量!$Q$3+BM$4*后果有效剂量!$J$24*后果有效剂量!$R8*后果有效剂量!$R$3+BN$4*后果有效剂量!$J$24*后果有效剂量!$S8*后果有效剂量!$S$3+BO$4*后果有效剂量!$J$24*后果有效剂量!$T8*后果有效剂量!$T$3+BP$4*后果有效剂量!$J$24*后果有效剂量!$U8*后果有效剂量!$U$3+BL$4*后果有效剂量!$K$24*后果有效剂量!$Q8+BM$4*后果有效剂量!$K$24*后果有效剂量!$R8+BN$4*后果有效剂量!$K$24*后果有效剂量!$S8+BO$4*后果有效剂量!$K$24*后果有效剂量!$T8+BP$4*后果有效剂量!$K$24*后果有效剂量!$U8</f>
        <v>7.20472508633451e-5</v>
      </c>
      <c r="BM11" s="746">
        <f>BL$4*后果甲状腺剂量!$I$24*后果甲状腺剂量!$Q8+BM$4*后果甲状腺剂量!$I$24*后果甲状腺剂量!$R8+BN$4*后果甲状腺剂量!$I$24*后果甲状腺剂量!$S8+BO$4*后果甲状腺剂量!$I$24*后果甲状腺剂量!$T8+BP$4*后果甲状腺剂量!$I$24*后果甲状腺剂量!$U8+BL$4*后果甲状腺剂量!$J$24*后果甲状腺剂量!$Q8*后果甲状腺剂量!$Q$3+BM$4*后果甲状腺剂量!$J$24*后果甲状腺剂量!$R8*后果甲状腺剂量!$R$3+BN$4*后果甲状腺剂量!$J$24*后果甲状腺剂量!$S8*后果甲状腺剂量!$S$3+BO$4*后果甲状腺剂量!$J$24*后果甲状腺剂量!$T8*后果甲状腺剂量!$T$3+BP$4*后果甲状腺剂量!$J$24*后果甲状腺剂量!$U8*后果甲状腺剂量!$U$3+BL$4*后果甲状腺剂量!$K$24*后果甲状腺剂量!$Q8+BM$4*后果甲状腺剂量!$K$24*后果甲状腺剂量!$R8+BN$4*后果甲状腺剂量!$K$24*后果甲状腺剂量!$S8+BO$4*后果甲状腺剂量!$K$24*后果甲状腺剂量!$T8+BP$4*后果甲状腺剂量!$K$24*后果甲状腺剂量!$U8</f>
        <v>0.000195484848496349</v>
      </c>
      <c r="BN11" s="206">
        <f t="shared" si="1"/>
        <v>0.0720472508633451</v>
      </c>
      <c r="BO11" s="206">
        <f t="shared" si="2"/>
        <v>0.195484848496349</v>
      </c>
      <c r="BP11" s="254">
        <f>BN11/5*100</f>
        <v>1.4409450172669</v>
      </c>
      <c r="BQ11" s="254">
        <f>BO11/50*100</f>
        <v>0.390969696992698</v>
      </c>
    </row>
    <row r="12" s="91" customFormat="1" spans="10:67">
      <c r="J12" s="680"/>
      <c r="K12" s="680"/>
      <c r="L12" s="680"/>
      <c r="M12" s="680"/>
      <c r="N12" s="680">
        <f>N11/J11</f>
        <v>1586.2659811663</v>
      </c>
      <c r="O12" s="680"/>
      <c r="P12" s="680"/>
      <c r="Q12" s="694">
        <v>240000000000000</v>
      </c>
      <c r="R12" s="166"/>
      <c r="S12" s="166"/>
      <c r="AA12" s="714"/>
      <c r="AF12" s="166"/>
      <c r="AK12" s="167"/>
      <c r="AP12" s="167"/>
      <c r="AU12" s="167"/>
      <c r="AV12" s="167"/>
      <c r="AW12" s="167"/>
      <c r="AX12" s="167"/>
      <c r="AY12" s="167"/>
      <c r="AZ12" s="167"/>
      <c r="BA12" s="167"/>
      <c r="BB12" s="167"/>
      <c r="BC12" s="167"/>
      <c r="BD12" s="167"/>
      <c r="BE12" s="167"/>
      <c r="BF12" s="167"/>
      <c r="BG12" s="167"/>
      <c r="BH12" s="167"/>
      <c r="BI12" s="167"/>
      <c r="BJ12" s="167"/>
      <c r="BK12" s="739" t="str">
        <f>后果有效剂量!P9</f>
        <v>1500m</v>
      </c>
      <c r="BL12" s="740">
        <f>BL$4*后果有效剂量!$I$24*后果有效剂量!$Q9+BM$4*后果有效剂量!$I$24*后果有效剂量!$R9+BN$4*后果有效剂量!$I$24*后果有效剂量!$S9+BO$4*后果有效剂量!$I$24*后果有效剂量!$T9+BP$4*后果有效剂量!$I$24*后果有效剂量!$U9+BL$4*后果有效剂量!$J$24*后果有效剂量!$Q9*后果有效剂量!$Q$3+BM$4*后果有效剂量!$J$24*后果有效剂量!$R9*后果有效剂量!$R$3+BN$4*后果有效剂量!$J$24*后果有效剂量!$S9*后果有效剂量!$S$3+BO$4*后果有效剂量!$J$24*后果有效剂量!$T9*后果有效剂量!$T$3+BP$4*后果有效剂量!$J$24*后果有效剂量!$U9*后果有效剂量!$U$3+BL$4*后果有效剂量!$K$24*后果有效剂量!$Q9+BM$4*后果有效剂量!$K$24*后果有效剂量!$R9+BN$4*后果有效剂量!$K$24*后果有效剂量!$S9+BO$4*后果有效剂量!$K$24*后果有效剂量!$T9+BP$4*后果有效剂量!$K$24*后果有效剂量!$U9</f>
        <v>2.10347742905221e-5</v>
      </c>
      <c r="BM12" s="746">
        <f>BL$4*后果甲状腺剂量!$I$24*后果甲状腺剂量!$Q9+BM$4*后果甲状腺剂量!$I$24*后果甲状腺剂量!$R9+BN$4*后果甲状腺剂量!$I$24*后果甲状腺剂量!$S9+BO$4*后果甲状腺剂量!$I$24*后果甲状腺剂量!$T9+BP$4*后果甲状腺剂量!$I$24*后果甲状腺剂量!$U9+BL$4*后果甲状腺剂量!$J$24*后果甲状腺剂量!$Q9*后果甲状腺剂量!$Q$3+BM$4*后果甲状腺剂量!$J$24*后果甲状腺剂量!$R9*后果甲状腺剂量!$R$3+BN$4*后果甲状腺剂量!$J$24*后果甲状腺剂量!$S9*后果甲状腺剂量!$S$3+BO$4*后果甲状腺剂量!$J$24*后果甲状腺剂量!$T9*后果甲状腺剂量!$T$3+BP$4*后果甲状腺剂量!$J$24*后果甲状腺剂量!$U9*后果甲状腺剂量!$U$3+BL$4*后果甲状腺剂量!$K$24*后果甲状腺剂量!$Q9+BM$4*后果甲状腺剂量!$K$24*后果甲状腺剂量!$R9+BN$4*后果甲状腺剂量!$K$24*后果甲状腺剂量!$S9+BO$4*后果甲状腺剂量!$K$24*后果甲状腺剂量!$T9+BP$4*后果甲状腺剂量!$K$24*后果甲状腺剂量!$U9</f>
        <v>6.23737738243506e-5</v>
      </c>
      <c r="BN12" s="206">
        <f t="shared" si="1"/>
        <v>0.0210347742905221</v>
      </c>
      <c r="BO12" s="206">
        <f t="shared" si="2"/>
        <v>0.0623737738243506</v>
      </c>
    </row>
    <row r="13" s="91" customFormat="1" spans="17:67">
      <c r="Q13" s="695">
        <f>Q11/Q12</f>
        <v>1.32188831763858</v>
      </c>
      <c r="R13" s="166"/>
      <c r="S13" s="166"/>
      <c r="AA13" s="714"/>
      <c r="AF13" s="166"/>
      <c r="AK13" s="167"/>
      <c r="AP13" s="167"/>
      <c r="AU13" s="167"/>
      <c r="AV13" s="167"/>
      <c r="AW13" s="167"/>
      <c r="AX13" s="167"/>
      <c r="AY13" s="167"/>
      <c r="AZ13" s="167"/>
      <c r="BA13" s="167"/>
      <c r="BB13" s="167"/>
      <c r="BC13" s="167"/>
      <c r="BD13" s="167"/>
      <c r="BE13" s="167"/>
      <c r="BF13" s="167"/>
      <c r="BG13" s="167"/>
      <c r="BH13" s="167"/>
      <c r="BI13" s="167"/>
      <c r="BJ13" s="167"/>
      <c r="BK13" s="739" t="str">
        <f>后果有效剂量!P10</f>
        <v>2500m</v>
      </c>
      <c r="BL13" s="740">
        <f>BL$4*后果有效剂量!$I$24*后果有效剂量!$Q10+BM$4*后果有效剂量!$I$24*后果有效剂量!$R10+BN$4*后果有效剂量!$I$24*后果有效剂量!$S10+BO$4*后果有效剂量!$I$24*后果有效剂量!$T10+BP$4*后果有效剂量!$I$24*后果有效剂量!$U10+BL$4*后果有效剂量!$J$24*后果有效剂量!$Q10*后果有效剂量!$Q$3+BM$4*后果有效剂量!$J$24*后果有效剂量!$R10*后果有效剂量!$R$3+BN$4*后果有效剂量!$J$24*后果有效剂量!$S10*后果有效剂量!$S$3+BO$4*后果有效剂量!$J$24*后果有效剂量!$T10*后果有效剂量!$T$3+BP$4*后果有效剂量!$J$24*后果有效剂量!$U10*后果有效剂量!$U$3+BL$4*后果有效剂量!$K$24*后果有效剂量!$Q10+BM$4*后果有效剂量!$K$24*后果有效剂量!$R10+BN$4*后果有效剂量!$K$24*后果有效剂量!$S10+BO$4*后果有效剂量!$K$24*后果有效剂量!$T10+BP$4*后果有效剂量!$K$24*后果有效剂量!$U10</f>
        <v>1.24445251491232e-5</v>
      </c>
      <c r="BM13" s="746">
        <f>BL$4*后果甲状腺剂量!$I$24*后果甲状腺剂量!$Q10+BM$4*后果甲状腺剂量!$I$24*后果甲状腺剂量!$R10+BN$4*后果甲状腺剂量!$I$24*后果甲状腺剂量!$S10+BO$4*后果甲状腺剂量!$I$24*后果甲状腺剂量!$T10+BP$4*后果甲状腺剂量!$I$24*后果甲状腺剂量!$U10+BL$4*后果甲状腺剂量!$J$24*后果甲状腺剂量!$Q10*后果甲状腺剂量!$Q$3+BM$4*后果甲状腺剂量!$J$24*后果甲状腺剂量!$R10*后果甲状腺剂量!$R$3+BN$4*后果甲状腺剂量!$J$24*后果甲状腺剂量!$S10*后果甲状腺剂量!$S$3+BO$4*后果甲状腺剂量!$J$24*后果甲状腺剂量!$T10*后果甲状腺剂量!$T$3+BP$4*后果甲状腺剂量!$J$24*后果甲状腺剂量!$U10*后果甲状腺剂量!$U$3+BL$4*后果甲状腺剂量!$K$24*后果甲状腺剂量!$Q10+BM$4*后果甲状腺剂量!$K$24*后果甲状腺剂量!$R10+BN$4*后果甲状腺剂量!$K$24*后果甲状腺剂量!$S10+BO$4*后果甲状腺剂量!$K$24*后果甲状腺剂量!$T10+BP$4*后果甲状腺剂量!$K$24*后果甲状腺剂量!$U10</f>
        <v>3.99030927858527e-5</v>
      </c>
      <c r="BN13" s="206">
        <f t="shared" si="1"/>
        <v>0.0124445251491232</v>
      </c>
      <c r="BO13" s="206">
        <f t="shared" si="2"/>
        <v>0.0399030927858527</v>
      </c>
    </row>
    <row r="14" s="91" customFormat="1" spans="18:67">
      <c r="R14" s="166"/>
      <c r="S14" s="166"/>
      <c r="AA14" s="714"/>
      <c r="AF14" s="166"/>
      <c r="AK14" s="167"/>
      <c r="AP14" s="167"/>
      <c r="AU14" s="167"/>
      <c r="AV14" s="167"/>
      <c r="AW14" s="167"/>
      <c r="AX14" s="167"/>
      <c r="AY14" s="167"/>
      <c r="AZ14" s="167"/>
      <c r="BA14" s="167"/>
      <c r="BB14" s="167"/>
      <c r="BC14" s="167"/>
      <c r="BD14" s="167"/>
      <c r="BE14" s="167"/>
      <c r="BF14" s="167"/>
      <c r="BG14" s="167"/>
      <c r="BH14" s="167"/>
      <c r="BI14" s="167"/>
      <c r="BJ14" s="167"/>
      <c r="BK14" s="739" t="str">
        <f>后果有效剂量!P11</f>
        <v>4000m</v>
      </c>
      <c r="BL14" s="740">
        <f>BL$4*后果有效剂量!$I$24*后果有效剂量!$Q11+BM$4*后果有效剂量!$I$24*后果有效剂量!$R11+BN$4*后果有效剂量!$I$24*后果有效剂量!$S11+BO$4*后果有效剂量!$I$24*后果有效剂量!$T11+BP$4*后果有效剂量!$I$24*后果有效剂量!$U11+BL$4*后果有效剂量!$J$24*后果有效剂量!$Q11*后果有效剂量!$Q$3+BM$4*后果有效剂量!$J$24*后果有效剂量!$R11*后果有效剂量!$R$3+BN$4*后果有效剂量!$J$24*后果有效剂量!$S11*后果有效剂量!$S$3+BO$4*后果有效剂量!$J$24*后果有效剂量!$T11*后果有效剂量!$T$3+BP$4*后果有效剂量!$J$24*后果有效剂量!$U11*后果有效剂量!$U$3+BL$4*后果有效剂量!$K$24*后果有效剂量!$Q11+BM$4*后果有效剂量!$K$24*后果有效剂量!$R11+BN$4*后果有效剂量!$K$24*后果有效剂量!$S11+BO$4*后果有效剂量!$K$24*后果有效剂量!$T11+BP$4*后果有效剂量!$K$24*后果有效剂量!$U11</f>
        <v>6.22226257456162e-5</v>
      </c>
      <c r="BM14" s="746">
        <f>BL$4*后果甲状腺剂量!$I$24*后果甲状腺剂量!$Q11+BM$4*后果甲状腺剂量!$I$24*后果甲状腺剂量!$R11+BN$4*后果甲状腺剂量!$I$24*后果甲状腺剂量!$S11+BO$4*后果甲状腺剂量!$I$24*后果甲状腺剂量!$T11+BP$4*后果甲状腺剂量!$I$24*后果甲状腺剂量!$U11+BL$4*后果甲状腺剂量!$J$24*后果甲状腺剂量!$Q11*后果甲状腺剂量!$Q$3+BM$4*后果甲状腺剂量!$J$24*后果甲状腺剂量!$R11*后果甲状腺剂量!$R$3+BN$4*后果甲状腺剂量!$J$24*后果甲状腺剂量!$S11*后果甲状腺剂量!$S$3+BO$4*后果甲状腺剂量!$J$24*后果甲状腺剂量!$T11*后果甲状腺剂量!$T$3+BP$4*后果甲状腺剂量!$J$24*后果甲状腺剂量!$U11*后果甲状腺剂量!$U$3+BL$4*后果甲状腺剂量!$K$24*后果甲状腺剂量!$Q11+BM$4*后果甲状腺剂量!$K$24*后果甲状腺剂量!$R11+BN$4*后果甲状腺剂量!$K$24*后果甲状腺剂量!$S11+BO$4*后果甲状腺剂量!$K$24*后果甲状腺剂量!$T11+BP$4*后果甲状腺剂量!$K$24*后果甲状腺剂量!$U11</f>
        <v>2.48890502982465e-5</v>
      </c>
      <c r="BN14" s="206">
        <f t="shared" si="1"/>
        <v>0.0622226257456162</v>
      </c>
      <c r="BO14" s="206">
        <f t="shared" si="2"/>
        <v>0.0248890502982465</v>
      </c>
    </row>
    <row r="15" s="91" customFormat="1" spans="18:67">
      <c r="R15" s="166"/>
      <c r="S15" s="166"/>
      <c r="AA15" s="714"/>
      <c r="AF15" s="166"/>
      <c r="AK15" s="167"/>
      <c r="AP15" s="167"/>
      <c r="AU15" s="167"/>
      <c r="AV15" s="167"/>
      <c r="AW15" s="167"/>
      <c r="AX15" s="167"/>
      <c r="AY15" s="167"/>
      <c r="AZ15" s="167"/>
      <c r="BA15" s="167"/>
      <c r="BB15" s="167"/>
      <c r="BC15" s="167"/>
      <c r="BD15" s="167"/>
      <c r="BE15" s="167"/>
      <c r="BF15" s="167"/>
      <c r="BG15" s="167"/>
      <c r="BH15" s="167"/>
      <c r="BI15" s="167"/>
      <c r="BJ15" s="167"/>
      <c r="BK15" s="739" t="str">
        <f>后果有效剂量!P12</f>
        <v>5000m</v>
      </c>
      <c r="BL15" s="740">
        <f>BL$4*后果有效剂量!$I$24*后果有效剂量!$Q12+BM$4*后果有效剂量!$I$24*后果有效剂量!$R12+BN$4*后果有效剂量!$I$24*后果有效剂量!$S12+BO$4*后果有效剂量!$I$24*后果有效剂量!$T12+BP$4*后果有效剂量!$I$24*后果有效剂量!$U12+BL$4*后果有效剂量!$J$24*后果有效剂量!$Q12*后果有效剂量!$Q$3+BM$4*后果有效剂量!$J$24*后果有效剂量!$R12*后果有效剂量!$R$3+BN$4*后果有效剂量!$J$24*后果有效剂量!$S12*后果有效剂量!$S$3+BO$4*后果有效剂量!$J$24*后果有效剂量!$T12*后果有效剂量!$T$3+BP$4*后果有效剂量!$J$24*后果有效剂量!$U12*后果有效剂量!$U$3+BL$4*后果有效剂量!$K$24*后果有效剂量!$Q12+BM$4*后果有效剂量!$K$24*后果有效剂量!$R12+BN$4*后果有效剂量!$K$24*后果有效剂量!$S12+BO$4*后果有效剂量!$K$24*后果有效剂量!$T12+BP$4*后果有效剂量!$K$24*后果有效剂量!$U12</f>
        <v>6.47417603911877e-6</v>
      </c>
      <c r="BM15" s="746">
        <f>BL$4*后果甲状腺剂量!$I$24*后果甲状腺剂量!$Q12+BM$4*后果甲状腺剂量!$I$24*后果甲状腺剂量!$R12+BN$4*后果甲状腺剂量!$I$24*后果甲状腺剂量!$S12+BO$4*后果甲状腺剂量!$I$24*后果甲状腺剂量!$T12+BP$4*后果甲状腺剂量!$I$24*后果甲状腺剂量!$U12+BL$4*后果甲状腺剂量!$J$24*后果甲状腺剂量!$Q12*后果甲状腺剂量!$Q$3+BM$4*后果甲状腺剂量!$J$24*后果甲状腺剂量!$R12*后果甲状腺剂量!$R$3+BN$4*后果甲状腺剂量!$J$24*后果甲状腺剂量!$S12*后果甲状腺剂量!$S$3+BO$4*后果甲状腺剂量!$J$24*后果甲状腺剂量!$T12*后果甲状腺剂量!$T$3+BP$4*后果甲状腺剂量!$J$24*后果甲状腺剂量!$U12*后果甲状腺剂量!$U$3+BL$4*后果甲状腺剂量!$K$24*后果甲状腺剂量!$Q12+BM$4*后果甲状腺剂量!$K$24*后果甲状腺剂量!$R12+BN$4*后果甲状腺剂量!$K$24*后果甲状腺剂量!$S12+BO$4*后果甲状腺剂量!$K$24*后果甲状腺剂量!$T12+BP$4*后果甲状腺剂量!$K$24*后果甲状腺剂量!$U12</f>
        <v>1.89438925346978e-5</v>
      </c>
      <c r="BN15" s="206">
        <f t="shared" si="1"/>
        <v>0.00647417603911877</v>
      </c>
      <c r="BO15" s="206">
        <f t="shared" si="2"/>
        <v>0.0189438925346978</v>
      </c>
    </row>
    <row r="16" s="91" customFormat="1" spans="18:67">
      <c r="R16" s="166"/>
      <c r="S16" s="166"/>
      <c r="AA16" s="714"/>
      <c r="AF16" s="166"/>
      <c r="AK16" s="167"/>
      <c r="AP16" s="167"/>
      <c r="AU16" s="167"/>
      <c r="AV16" s="167"/>
      <c r="AW16" s="167"/>
      <c r="AX16" s="167"/>
      <c r="AY16" s="167"/>
      <c r="AZ16" s="167"/>
      <c r="BA16" s="167"/>
      <c r="BB16" s="167"/>
      <c r="BC16" s="167"/>
      <c r="BD16" s="167"/>
      <c r="BE16" s="167"/>
      <c r="BF16" s="167"/>
      <c r="BG16" s="167"/>
      <c r="BH16" s="167"/>
      <c r="BI16" s="167"/>
      <c r="BJ16" s="167"/>
      <c r="BK16" s="739" t="str">
        <f>后果有效剂量!P13</f>
        <v>7500m</v>
      </c>
      <c r="BL16" s="740">
        <f>BL$4*后果有效剂量!$I$24*后果有效剂量!$Q13+BM$4*后果有效剂量!$I$24*后果有效剂量!$R13+BN$4*后果有效剂量!$I$24*后果有效剂量!$S13+BO$4*后果有效剂量!$I$24*后果有效剂量!$T13+BP$4*后果有效剂量!$I$24*后果有效剂量!$U13+BL$4*后果有效剂量!$J$24*后果有效剂量!$Q13*后果有效剂量!$Q$3+BM$4*后果有效剂量!$J$24*后果有效剂量!$R13*后果有效剂量!$R$3+BN$4*后果有效剂量!$J$24*后果有效剂量!$S13*后果有效剂量!$S$3+BO$4*后果有效剂量!$J$24*后果有效剂量!$T13*后果有效剂量!$T$3+BP$4*后果有效剂量!$J$24*后果有效剂量!$U13*后果有效剂量!$U$3+BL$4*后果有效剂量!$K$24*后果有效剂量!$Q13+BM$4*后果有效剂量!$K$24*后果有效剂量!$R13+BN$4*后果有效剂量!$K$24*后果有效剂量!$S13+BO$4*后果有效剂量!$K$24*后果有效剂量!$T13+BP$4*后果有效剂量!$K$24*后果有效剂量!$U13</f>
        <v>2.99777022823009e-5</v>
      </c>
      <c r="BM16" s="746">
        <f>BL$4*后果甲状腺剂量!$I$24*后果甲状腺剂量!$Q13+BM$4*后果甲状腺剂量!$I$24*后果甲状腺剂量!$R13+BN$4*后果甲状腺剂量!$I$24*后果甲状腺剂量!$S13+BO$4*后果甲状腺剂量!$I$24*后果甲状腺剂量!$T13+BP$4*后果甲状腺剂量!$I$24*后果甲状腺剂量!$U13+BL$4*后果甲状腺剂量!$J$24*后果甲状腺剂量!$Q13*后果甲状腺剂量!$Q$3+BM$4*后果甲状腺剂量!$J$24*后果甲状腺剂量!$R13*后果甲状腺剂量!$R$3+BN$4*后果甲状腺剂量!$J$24*后果甲状腺剂量!$S13*后果甲状腺剂量!$S$3+BO$4*后果甲状腺剂量!$J$24*后果甲状腺剂量!$T13*后果甲状腺剂量!$T$3+BP$4*后果甲状腺剂量!$J$24*后果甲状腺剂量!$U13*后果甲状腺剂量!$U$3+BL$4*后果甲状腺剂量!$K$24*后果甲状腺剂量!$Q13+BM$4*后果甲状腺剂量!$K$24*后果甲状腺剂量!$R13+BN$4*后果甲状腺剂量!$K$24*后果甲状腺剂量!$S13+BO$4*后果甲状腺剂量!$K$24*后果甲状腺剂量!$T13+BP$4*后果甲状腺剂量!$K$24*后果甲状腺剂量!$U13</f>
        <v>1.19910809129204e-5</v>
      </c>
      <c r="BN16" s="206">
        <f t="shared" si="1"/>
        <v>0.0299777022823009</v>
      </c>
      <c r="BO16" s="206">
        <f t="shared" si="2"/>
        <v>0.0119910809129204</v>
      </c>
    </row>
    <row r="17" s="91" customFormat="1" spans="18:67">
      <c r="R17" s="166"/>
      <c r="S17" s="166"/>
      <c r="AA17" s="714"/>
      <c r="AF17" s="166"/>
      <c r="AK17" s="167"/>
      <c r="AP17" s="167"/>
      <c r="AU17" s="167"/>
      <c r="AV17" s="167"/>
      <c r="AW17" s="167"/>
      <c r="AX17" s="167"/>
      <c r="AY17" s="167"/>
      <c r="AZ17" s="167"/>
      <c r="BA17" s="167"/>
      <c r="BB17" s="167"/>
      <c r="BC17" s="167"/>
      <c r="BD17" s="167"/>
      <c r="BE17" s="167"/>
      <c r="BF17" s="167"/>
      <c r="BG17" s="167"/>
      <c r="BH17" s="167"/>
      <c r="BI17" s="167"/>
      <c r="BJ17" s="167"/>
      <c r="BK17" s="739" t="str">
        <f>后果有效剂量!P14</f>
        <v>15000m</v>
      </c>
      <c r="BL17" s="740">
        <f>BL$4*后果有效剂量!$I$24*后果有效剂量!$Q14+BM$4*后果有效剂量!$I$24*后果有效剂量!$R14+BN$4*后果有效剂量!$I$24*后果有效剂量!$S14+BO$4*后果有效剂量!$I$24*后果有效剂量!$T14+BP$4*后果有效剂量!$I$24*后果有效剂量!$U14+BL$4*后果有效剂量!$J$24*后果有效剂量!$Q14*后果有效剂量!$Q$3+BM$4*后果有效剂量!$J$24*后果有效剂量!$R14*后果有效剂量!$R$3+BN$4*后果有效剂量!$J$24*后果有效剂量!$S14*后果有效剂量!$S$3+BO$4*后果有效剂量!$J$24*后果有效剂量!$T14*后果有效剂量!$T$3+BP$4*后果有效剂量!$J$24*后果有效剂量!$U14*后果有效剂量!$U$3+BL$4*后果有效剂量!$K$24*后果有效剂量!$Q14+BM$4*后果有效剂量!$K$24*后果有效剂量!$R14+BN$4*后果有效剂量!$K$24*后果有效剂量!$S14+BO$4*后果有效剂量!$K$24*后果有效剂量!$T14+BP$4*后果有效剂量!$K$24*后果有效剂量!$U14</f>
        <v>1.25200991884904e-5</v>
      </c>
      <c r="BM17" s="746">
        <f>BL$4*后果甲状腺剂量!$I$24*后果甲状腺剂量!$Q14+BM$4*后果甲状腺剂量!$I$24*后果甲状腺剂量!$R14+BN$4*后果甲状腺剂量!$I$24*后果甲状腺剂量!$S14+BO$4*后果甲状腺剂量!$I$24*后果甲状腺剂量!$T14+BP$4*后果甲状腺剂量!$I$24*后果甲状腺剂量!$U14+BL$4*后果甲状腺剂量!$J$24*后果甲状腺剂量!$Q14*后果甲状腺剂量!$Q$3+BM$4*后果甲状腺剂量!$J$24*后果甲状腺剂量!$R14*后果甲状腺剂量!$R$3+BN$4*后果甲状腺剂量!$J$24*后果甲状腺剂量!$S14*后果甲状腺剂量!$S$3+BO$4*后果甲状腺剂量!$J$24*后果甲状腺剂量!$T14*后果甲状腺剂量!$T$3+BP$4*后果甲状腺剂量!$J$24*后果甲状腺剂量!$U14*后果甲状腺剂量!$U$3+BL$4*后果甲状腺剂量!$K$24*后果甲状腺剂量!$Q14+BM$4*后果甲状腺剂量!$K$24*后果甲状腺剂量!$R14+BN$4*后果甲状腺剂量!$K$24*后果甲状腺剂量!$S14+BO$4*后果甲状腺剂量!$K$24*后果甲状腺剂量!$T14+BP$4*后果甲状腺剂量!$K$24*后果甲状腺剂量!$U14</f>
        <v>5.00803967539616e-6</v>
      </c>
      <c r="BN17" s="206">
        <f t="shared" si="1"/>
        <v>0.0125200991884904</v>
      </c>
      <c r="BO17" s="206">
        <f t="shared" si="2"/>
        <v>0.00500803967539616</v>
      </c>
    </row>
    <row r="18" s="91" customFormat="1" spans="18:67">
      <c r="R18" s="166"/>
      <c r="S18" s="166"/>
      <c r="AA18" s="714"/>
      <c r="AF18" s="166"/>
      <c r="AK18" s="167"/>
      <c r="AP18" s="167"/>
      <c r="AU18" s="167"/>
      <c r="AV18" s="167"/>
      <c r="AW18" s="167"/>
      <c r="AX18" s="167"/>
      <c r="AY18" s="167"/>
      <c r="AZ18" s="167"/>
      <c r="BA18" s="167"/>
      <c r="BB18" s="167"/>
      <c r="BC18" s="167"/>
      <c r="BD18" s="167"/>
      <c r="BE18" s="167"/>
      <c r="BF18" s="167"/>
      <c r="BG18" s="167"/>
      <c r="BH18" s="167"/>
      <c r="BI18" s="167"/>
      <c r="BJ18" s="167"/>
      <c r="BK18" s="739" t="str">
        <f>后果有效剂量!P15</f>
        <v>25000m</v>
      </c>
      <c r="BL18" s="740">
        <f>BL$4*后果有效剂量!$I$24*后果有效剂量!$Q15+BM$4*后果有效剂量!$I$24*后果有效剂量!$R15+BN$4*后果有效剂量!$I$24*后果有效剂量!$S15+BO$4*后果有效剂量!$I$24*后果有效剂量!$T15+BP$4*后果有效剂量!$I$24*后果有效剂量!$U15+BL$4*后果有效剂量!$J$24*后果有效剂量!$Q15*后果有效剂量!$Q$3+BM$4*后果有效剂量!$J$24*后果有效剂量!$R15*后果有效剂量!$R$3+BN$4*后果有效剂量!$J$24*后果有效剂量!$S15*后果有效剂量!$S$3+BO$4*后果有效剂量!$J$24*后果有效剂量!$T15*后果有效剂量!$T$3+BP$4*后果有效剂量!$J$24*后果有效剂量!$U15*后果有效剂量!$U$3+BL$4*后果有效剂量!$K$24*后果有效剂量!$Q15+BM$4*后果有效剂量!$K$24*后果有效剂量!$R15+BN$4*后果有效剂量!$K$24*后果有效剂量!$S15+BO$4*后果有效剂量!$K$24*后果有效剂量!$T15+BP$4*后果有效剂量!$K$24*后果有效剂量!$U15</f>
        <v>6.17187988165019e-7</v>
      </c>
      <c r="BM18" s="746">
        <f>BL$4*后果甲状腺剂量!$I$24*后果甲状腺剂量!$Q15+BM$4*后果甲状腺剂量!$I$24*后果甲状腺剂量!$R15+BN$4*后果甲状腺剂量!$I$24*后果甲状腺剂量!$S15+BO$4*后果甲状腺剂量!$I$24*后果甲状腺剂量!$T15+BP$4*后果甲状腺剂量!$I$24*后果甲状腺剂量!$U15+BL$4*后果甲状腺剂量!$J$24*后果甲状腺剂量!$Q15*后果甲状腺剂量!$Q$3+BM$4*后果甲状腺剂量!$J$24*后果甲状腺剂量!$R15*后果甲状腺剂量!$R$3+BN$4*后果甲状腺剂量!$J$24*后果甲状腺剂量!$S15*后果甲状腺剂量!$S$3+BO$4*后果甲状腺剂量!$J$24*后果甲状腺剂量!$T15*后果甲状腺剂量!$T$3+BP$4*后果甲状腺剂量!$J$24*后果甲状腺剂量!$U15*后果甲状腺剂量!$U$3+BL$4*后果甲状腺剂量!$K$24*后果甲状腺剂量!$Q15+BM$4*后果甲状腺剂量!$K$24*后果甲状腺剂量!$R15+BN$4*后果甲状腺剂量!$K$24*后果甲状腺剂量!$S15+BO$4*后果甲状腺剂量!$K$24*后果甲状腺剂量!$T15+BP$4*后果甲状腺剂量!$K$24*后果甲状腺剂量!$U15</f>
        <v>1.54171040308976e-6</v>
      </c>
      <c r="BN18" s="206">
        <f t="shared" si="1"/>
        <v>0.000617187988165019</v>
      </c>
      <c r="BO18" s="206">
        <f t="shared" si="2"/>
        <v>0.00154171040308976</v>
      </c>
    </row>
    <row r="19" s="91" customFormat="1" spans="18:67">
      <c r="R19" s="166"/>
      <c r="S19" s="166"/>
      <c r="AA19" s="714"/>
      <c r="AF19" s="166"/>
      <c r="AK19" s="167"/>
      <c r="AP19" s="167"/>
      <c r="AU19" s="167"/>
      <c r="AV19" s="167"/>
      <c r="AW19" s="167"/>
      <c r="AX19" s="167"/>
      <c r="AY19" s="167"/>
      <c r="AZ19" s="167"/>
      <c r="BA19" s="167"/>
      <c r="BB19" s="167"/>
      <c r="BC19" s="167"/>
      <c r="BD19" s="167"/>
      <c r="BE19" s="167"/>
      <c r="BF19" s="167"/>
      <c r="BG19" s="167"/>
      <c r="BH19" s="167"/>
      <c r="BI19" s="167"/>
      <c r="BJ19" s="167"/>
      <c r="BK19" s="739" t="str">
        <f>后果有效剂量!P16</f>
        <v>35000m</v>
      </c>
      <c r="BL19" s="740">
        <f>BL$4*后果有效剂量!$I$24*后果有效剂量!$Q16+BM$4*后果有效剂量!$I$24*后果有效剂量!$R16+BN$4*后果有效剂量!$I$24*后果有效剂量!$S16+BO$4*后果有效剂量!$I$24*后果有效剂量!$T16+BP$4*后果有效剂量!$I$24*后果有效剂量!$U16+BL$4*后果有效剂量!$J$24*后果有效剂量!$Q16*后果有效剂量!$Q$3+BM$4*后果有效剂量!$J$24*后果有效剂量!$R16*后果有效剂量!$R$3+BN$4*后果有效剂量!$J$24*后果有效剂量!$S16*后果有效剂量!$S$3+BO$4*后果有效剂量!$J$24*后果有效剂量!$T16*后果有效剂量!$T$3+BP$4*后果有效剂量!$J$24*后果有效剂量!$U16*后果有效剂量!$U$3+BL$4*后果有效剂量!$K$24*后果有效剂量!$Q16+BM$4*后果有效剂量!$K$24*后果有效剂量!$R16+BN$4*后果有效剂量!$K$24*后果有效剂量!$S16+BO$4*后果有效剂量!$K$24*后果有效剂量!$T16+BP$4*后果有效剂量!$K$24*后果有效剂量!$U16</f>
        <v>3.47640581088868e-7</v>
      </c>
      <c r="BM19" s="746">
        <f>BL$4*后果甲状腺剂量!$I$24*后果甲状腺剂量!$Q16+BM$4*后果甲状腺剂量!$I$24*后果甲状腺剂量!$R16+BN$4*后果甲状腺剂量!$I$24*后果甲状腺剂量!$S16+BO$4*后果甲状腺剂量!$I$24*后果甲状腺剂量!$T16+BP$4*后果甲状腺剂量!$I$24*后果甲状腺剂量!$U16+BL$4*后果甲状腺剂量!$J$24*后果甲状腺剂量!$Q16*后果甲状腺剂量!$Q$3+BM$4*后果甲状腺剂量!$J$24*后果甲状腺剂量!$R16*后果甲状腺剂量!$R$3+BN$4*后果甲状腺剂量!$J$24*后果甲状腺剂量!$S16*后果甲状腺剂量!$S$3+BO$4*后果甲状腺剂量!$J$24*后果甲状腺剂量!$T16*后果甲状腺剂量!$T$3+BP$4*后果甲状腺剂量!$J$24*后果甲状腺剂量!$U16*后果甲状腺剂量!$U$3+BL$4*后果甲状腺剂量!$K$24*后果甲状腺剂量!$Q16+BM$4*后果甲状腺剂量!$K$24*后果甲状腺剂量!$R16+BN$4*后果甲状腺剂量!$K$24*后果甲状腺剂量!$S16+BO$4*后果甲状腺剂量!$K$24*后果甲状腺剂量!$T16+BP$4*后果甲状腺剂量!$K$24*后果甲状腺剂量!$U16</f>
        <v>7.88992970992997e-7</v>
      </c>
      <c r="BN19" s="206">
        <f t="shared" si="1"/>
        <v>0.000347640581088868</v>
      </c>
      <c r="BO19" s="206">
        <f t="shared" si="2"/>
        <v>0.000788992970992997</v>
      </c>
    </row>
    <row r="20" s="91" customFormat="1" spans="18:67">
      <c r="R20" s="166"/>
      <c r="S20" s="166"/>
      <c r="AA20" s="714"/>
      <c r="AF20" s="166"/>
      <c r="AK20" s="167"/>
      <c r="AP20" s="167"/>
      <c r="AU20" s="167"/>
      <c r="AV20" s="167"/>
      <c r="AW20" s="167"/>
      <c r="AX20" s="167"/>
      <c r="AY20" s="167"/>
      <c r="AZ20" s="167"/>
      <c r="BA20" s="167"/>
      <c r="BB20" s="167"/>
      <c r="BC20" s="167"/>
      <c r="BD20" s="167"/>
      <c r="BE20" s="167"/>
      <c r="BF20" s="167"/>
      <c r="BG20" s="167"/>
      <c r="BH20" s="167"/>
      <c r="BI20" s="167"/>
      <c r="BJ20" s="167"/>
      <c r="BK20" s="739" t="str">
        <f>后果有效剂量!P17</f>
        <v>45000m</v>
      </c>
      <c r="BL20" s="740">
        <f>BL$4*后果有效剂量!$I$24*后果有效剂量!$Q17+BM$4*后果有效剂量!$I$24*后果有效剂量!$R17+BN$4*后果有效剂量!$I$24*后果有效剂量!$S17+BO$4*后果有效剂量!$I$24*后果有效剂量!$T17+BP$4*后果有效剂量!$I$24*后果有效剂量!$U17+BL$4*后果有效剂量!$J$24*后果有效剂量!$Q17*后果有效剂量!$Q$3+BM$4*后果有效剂量!$J$24*后果有效剂量!$R17*后果有效剂量!$R$3+BN$4*后果有效剂量!$J$24*后果有效剂量!$S17*后果有效剂量!$S$3+BO$4*后果有效剂量!$J$24*后果有效剂量!$T17*后果有效剂量!$T$3+BP$4*后果有效剂量!$J$24*后果有效剂量!$U17*后果有效剂量!$U$3+BL$4*后果有效剂量!$K$24*后果有效剂量!$Q17+BM$4*后果有效剂量!$K$24*后果有效剂量!$R17+BN$4*后果有效剂量!$K$24*后果有效剂量!$S17+BO$4*后果有效剂量!$K$24*后果有效剂量!$T17+BP$4*后果有效剂量!$K$24*后果有效剂量!$U17</f>
        <v>2.8466221494958e-7</v>
      </c>
      <c r="BM20" s="746">
        <f>BL$4*后果甲状腺剂量!$I$24*后果甲状腺剂量!$Q17+BM$4*后果甲状腺剂量!$I$24*后果甲状腺剂量!$R17+BN$4*后果甲状腺剂量!$I$24*后果甲状腺剂量!$S17+BO$4*后果甲状腺剂量!$I$24*后果甲状腺剂量!$T17+BP$4*后果甲状腺剂量!$I$24*后果甲状腺剂量!$U17+BL$4*后果甲状腺剂量!$J$24*后果甲状腺剂量!$Q17*后果甲状腺剂量!$Q$3+BM$4*后果甲状腺剂量!$J$24*后果甲状腺剂量!$R17*后果甲状腺剂量!$R$3+BN$4*后果甲状腺剂量!$J$24*后果甲状腺剂量!$S17*后果甲状腺剂量!$S$3+BO$4*后果甲状腺剂量!$J$24*后果甲状腺剂量!$T17*后果甲状腺剂量!$T$3+BP$4*后果甲状腺剂量!$J$24*后果甲状腺剂量!$U17*后果甲状腺剂量!$U$3+BL$4*后果甲状腺剂量!$K$24*后果甲状腺剂量!$Q17+BM$4*后果甲状腺剂量!$K$24*后果甲状腺剂量!$R17+BN$4*后果甲状腺剂量!$K$24*后果甲状腺剂量!$S17+BO$4*后果甲状腺剂量!$K$24*后果甲状腺剂量!$T17+BP$4*后果甲状腺剂量!$K$24*后果甲状腺剂量!$U17</f>
        <v>6.48929084699221e-7</v>
      </c>
      <c r="BN20" s="206">
        <f t="shared" si="1"/>
        <v>0.00028466221494958</v>
      </c>
      <c r="BO20" s="206">
        <f t="shared" si="2"/>
        <v>0.000648929084699221</v>
      </c>
    </row>
    <row r="21" s="91" customFormat="1" spans="18:67">
      <c r="R21" s="166"/>
      <c r="S21" s="166"/>
      <c r="AA21" s="714"/>
      <c r="AF21" s="166"/>
      <c r="AK21" s="167"/>
      <c r="AP21" s="167"/>
      <c r="AU21" s="167"/>
      <c r="AV21" s="167"/>
      <c r="AW21" s="167"/>
      <c r="AX21" s="167"/>
      <c r="AY21" s="167"/>
      <c r="AZ21" s="167"/>
      <c r="BA21" s="167"/>
      <c r="BB21" s="167"/>
      <c r="BC21" s="167"/>
      <c r="BD21" s="167"/>
      <c r="BE21" s="167"/>
      <c r="BF21" s="167"/>
      <c r="BG21" s="167"/>
      <c r="BH21" s="167"/>
      <c r="BI21" s="167"/>
      <c r="BJ21" s="167"/>
      <c r="BK21" s="739" t="str">
        <f>后果有效剂量!P18</f>
        <v>55000m</v>
      </c>
      <c r="BL21" s="740">
        <f>BL$4*后果有效剂量!$I$24*后果有效剂量!$Q18+BM$4*后果有效剂量!$I$24*后果有效剂量!$R18+BN$4*后果有效剂量!$I$24*后果有效剂量!$S18+BO$4*后果有效剂量!$I$24*后果有效剂量!$T18+BP$4*后果有效剂量!$I$24*后果有效剂量!$U18+BL$4*后果有效剂量!$J$24*后果有效剂量!$Q18*后果有效剂量!$Q$3+BM$4*后果有效剂量!$J$24*后果有效剂量!$R18*后果有效剂量!$R$3+BN$4*后果有效剂量!$J$24*后果有效剂量!$S18*后果有效剂量!$S$3+BO$4*后果有效剂量!$J$24*后果有效剂量!$T18*后果有效剂量!$T$3+BP$4*后果有效剂量!$J$24*后果有效剂量!$U18*后果有效剂量!$U$3+BL$4*后果有效剂量!$K$24*后果有效剂量!$Q18+BM$4*后果有效剂量!$K$24*后果有效剂量!$R18+BN$4*后果有效剂量!$K$24*后果有效剂量!$S18+BO$4*后果有效剂量!$K$24*后果有效剂量!$T18+BP$4*后果有效剂量!$K$24*后果有效剂量!$U18</f>
        <v>1.3880431897099e-6</v>
      </c>
      <c r="BM21" s="746">
        <f>BL$4*后果甲状腺剂量!$I$24*后果甲状腺剂量!$Q18+BM$4*后果甲状腺剂量!$I$24*后果甲状腺剂量!$R18+BN$4*后果甲状腺剂量!$I$24*后果甲状腺剂量!$S18+BO$4*后果甲状腺剂量!$I$24*后果甲状腺剂量!$T18+BP$4*后果甲状腺剂量!$I$24*后果甲状腺剂量!$U18+BL$4*后果甲状腺剂量!$J$24*后果甲状腺剂量!$Q18*后果甲状腺剂量!$Q$3+BM$4*后果甲状腺剂量!$J$24*后果甲状腺剂量!$R18*后果甲状腺剂量!$R$3+BN$4*后果甲状腺剂量!$J$24*后果甲状腺剂量!$S18*后果甲状腺剂量!$S$3+BO$4*后果甲状腺剂量!$J$24*后果甲状腺剂量!$T18*后果甲状腺剂量!$T$3+BP$4*后果甲状腺剂量!$J$24*后果甲状腺剂量!$U18*后果甲状腺剂量!$U$3+BL$4*后果甲状腺剂量!$K$24*后果甲状腺剂量!$Q18+BM$4*后果甲状腺剂量!$K$24*后果甲状腺剂量!$R18+BN$4*后果甲状腺剂量!$K$24*后果甲状腺剂量!$S18+BO$4*后果甲状腺剂量!$K$24*后果甲状腺剂量!$T18+BP$4*后果甲状腺剂量!$K$24*后果甲状腺剂量!$U18</f>
        <v>5.55217275883961e-7</v>
      </c>
      <c r="BN21" s="206">
        <f t="shared" si="1"/>
        <v>0.0013880431897099</v>
      </c>
      <c r="BO21" s="206">
        <f t="shared" si="2"/>
        <v>0.000555217275883961</v>
      </c>
    </row>
    <row r="22" s="91" customFormat="1" spans="18:67">
      <c r="R22" s="166"/>
      <c r="S22" s="166"/>
      <c r="AA22" s="714"/>
      <c r="AF22" s="166"/>
      <c r="AK22" s="167"/>
      <c r="AP22" s="167"/>
      <c r="AU22" s="167"/>
      <c r="AV22" s="167"/>
      <c r="AW22" s="167"/>
      <c r="AX22" s="167"/>
      <c r="AY22" s="167"/>
      <c r="AZ22" s="167"/>
      <c r="BA22" s="167"/>
      <c r="BB22" s="167"/>
      <c r="BC22" s="167"/>
      <c r="BD22" s="167"/>
      <c r="BE22" s="167"/>
      <c r="BF22" s="167"/>
      <c r="BG22" s="167"/>
      <c r="BH22" s="167"/>
      <c r="BI22" s="167"/>
      <c r="BJ22" s="167"/>
      <c r="BK22" s="739" t="str">
        <f>后果有效剂量!P19</f>
        <v>65000m</v>
      </c>
      <c r="BL22" s="740">
        <f>BL$4*后果有效剂量!$I$24*后果有效剂量!$Q19+BM$4*后果有效剂量!$I$24*后果有效剂量!$R19+BN$4*后果有效剂量!$I$24*后果有效剂量!$S19+BO$4*后果有效剂量!$I$24*后果有效剂量!$T19+BP$4*后果有效剂量!$I$24*后果有效剂量!$U19+BL$4*后果有效剂量!$J$24*后果有效剂量!$Q19*后果有效剂量!$Q$3+BM$4*后果有效剂量!$J$24*后果有效剂量!$R19*后果有效剂量!$R$3+BN$4*后果有效剂量!$J$24*后果有效剂量!$S19*后果有效剂量!$S$3+BO$4*后果有效剂量!$J$24*后果有效剂量!$T19*后果有效剂量!$T$3+BP$4*后果有效剂量!$J$24*后果有效剂量!$U19*后果有效剂量!$U$3+BL$4*后果有效剂量!$K$24*后果有效剂量!$Q19+BM$4*后果有效剂量!$K$24*后果有效剂量!$R19+BN$4*后果有效剂量!$K$24*后果有效剂量!$S19+BO$4*后果有效剂量!$K$24*后果有效剂量!$T19+BP$4*后果有效剂量!$K$24*后果有效剂量!$U19</f>
        <v>1.21926116845661e-6</v>
      </c>
      <c r="BM22" s="746">
        <f>BL$4*后果甲状腺剂量!$I$24*后果甲状腺剂量!$Q19+BM$4*后果甲状腺剂量!$I$24*后果甲状腺剂量!$R19+BN$4*后果甲状腺剂量!$I$24*后果甲状腺剂量!$S19+BO$4*后果甲状腺剂量!$I$24*后果甲状腺剂量!$T19+BP$4*后果甲状腺剂量!$I$24*后果甲状腺剂量!$U19+BL$4*后果甲状腺剂量!$J$24*后果甲状腺剂量!$Q19*后果甲状腺剂量!$Q$3+BM$4*后果甲状腺剂量!$J$24*后果甲状腺剂量!$R19*后果甲状腺剂量!$R$3+BN$4*后果甲状腺剂量!$J$24*后果甲状腺剂量!$S19*后果甲状腺剂量!$S$3+BO$4*后果甲状腺剂量!$J$24*后果甲状腺剂量!$T19*后果甲状腺剂量!$T$3+BP$4*后果甲状腺剂量!$J$24*后果甲状腺剂量!$U19*后果甲状腺剂量!$U$3+BL$4*后果甲状腺剂量!$K$24*后果甲状腺剂量!$Q19+BM$4*后果甲状腺剂量!$K$24*后果甲状腺剂量!$R19+BN$4*后果甲状腺剂量!$K$24*后果甲状腺剂量!$S19+BO$4*后果甲状腺剂量!$K$24*后果甲状腺剂量!$T19+BP$4*后果甲状腺剂量!$K$24*后果甲状腺剂量!$U19</f>
        <v>4.87704467382644e-7</v>
      </c>
      <c r="BN22" s="206">
        <f t="shared" si="1"/>
        <v>0.00121926116845661</v>
      </c>
      <c r="BO22" s="206">
        <f t="shared" si="2"/>
        <v>0.000487704467382644</v>
      </c>
    </row>
    <row r="23" s="91" customFormat="1" spans="18:67">
      <c r="R23" s="166"/>
      <c r="S23" s="166"/>
      <c r="AA23" s="714"/>
      <c r="AF23" s="166"/>
      <c r="AK23" s="167"/>
      <c r="AP23" s="167"/>
      <c r="AU23" s="167"/>
      <c r="AV23" s="167"/>
      <c r="AW23" s="167"/>
      <c r="AX23" s="167"/>
      <c r="AY23" s="167"/>
      <c r="AZ23" s="167"/>
      <c r="BA23" s="167"/>
      <c r="BB23" s="167"/>
      <c r="BC23" s="167"/>
      <c r="BD23" s="167"/>
      <c r="BE23" s="167"/>
      <c r="BF23" s="167"/>
      <c r="BG23" s="167"/>
      <c r="BH23" s="167"/>
      <c r="BI23" s="167"/>
      <c r="BJ23" s="167"/>
      <c r="BK23" s="739" t="str">
        <f>后果有效剂量!P20</f>
        <v>75000m</v>
      </c>
      <c r="BL23" s="740">
        <f>BL$4*后果有效剂量!$I$24*后果有效剂量!$Q20+BM$4*后果有效剂量!$I$24*后果有效剂量!$R20+BN$4*后果有效剂量!$I$24*后果有效剂量!$S20+BO$4*后果有效剂量!$I$24*后果有效剂量!$T20+BP$4*后果有效剂量!$I$24*后果有效剂量!$U20+BL$4*后果有效剂量!$J$24*后果有效剂量!$Q20*后果有效剂量!$Q$3+BM$4*后果有效剂量!$J$24*后果有效剂量!$R20*后果有效剂量!$R$3+BN$4*后果有效剂量!$J$24*后果有效剂量!$S20*后果有效剂量!$S$3+BO$4*后果有效剂量!$J$24*后果有效剂量!$T20*后果有效剂量!$T$3+BP$4*后果有效剂量!$J$24*后果有效剂量!$U20*后果有效剂量!$U$3+BL$4*后果有效剂量!$K$24*后果有效剂量!$Q20+BM$4*后果有效剂量!$K$24*后果有效剂量!$R20+BN$4*后果有效剂量!$K$24*后果有效剂量!$S20+BO$4*后果有效剂量!$K$24*后果有效剂量!$T20+BP$4*后果有效剂量!$K$24*后果有效剂量!$U20</f>
        <v>1.09078530153246e-6</v>
      </c>
      <c r="BM23" s="746">
        <f>BL$4*后果甲状腺剂量!$I$24*后果甲状腺剂量!$Q20+BM$4*后果甲状腺剂量!$I$24*后果甲状腺剂量!$R20+BN$4*后果甲状腺剂量!$I$24*后果甲状腺剂量!$S20+BO$4*后果甲状腺剂量!$I$24*后果甲状腺剂量!$T20+BP$4*后果甲状腺剂量!$I$24*后果甲状腺剂量!$U20+BL$4*后果甲状腺剂量!$J$24*后果甲状腺剂量!$Q20*后果甲状腺剂量!$Q$3+BM$4*后果甲状腺剂量!$J$24*后果甲状腺剂量!$R20*后果甲状腺剂量!$R$3+BN$4*后果甲状腺剂量!$J$24*后果甲状腺剂量!$S20*后果甲状腺剂量!$S$3+BO$4*后果甲状腺剂量!$J$24*后果甲状腺剂量!$T20*后果甲状腺剂量!$T$3+BP$4*后果甲状腺剂量!$J$24*后果甲状腺剂量!$U20*后果甲状腺剂量!$U$3+BL$4*后果甲状腺剂量!$K$24*后果甲状腺剂量!$Q20+BM$4*后果甲状腺剂量!$K$24*后果甲状腺剂量!$R20+BN$4*后果甲状腺剂量!$K$24*后果甲状腺剂量!$S20+BO$4*后果甲状腺剂量!$K$24*后果甲状腺剂量!$T20+BP$4*后果甲状腺剂量!$K$24*后果甲状腺剂量!$U20</f>
        <v>4.36314120612985e-7</v>
      </c>
      <c r="BN23" s="206">
        <f t="shared" si="1"/>
        <v>0.00109078530153246</v>
      </c>
      <c r="BO23" s="206">
        <f t="shared" si="2"/>
        <v>0.000436314120612986</v>
      </c>
    </row>
    <row r="24" s="91" customFormat="1" spans="18:67">
      <c r="R24" s="166"/>
      <c r="S24" s="166"/>
      <c r="AA24" s="714"/>
      <c r="AF24" s="166"/>
      <c r="AK24" s="167"/>
      <c r="AP24" s="167"/>
      <c r="AU24" s="167"/>
      <c r="AV24" s="167"/>
      <c r="AW24" s="167"/>
      <c r="AX24" s="167"/>
      <c r="AY24" s="167"/>
      <c r="AZ24" s="167"/>
      <c r="BA24" s="167"/>
      <c r="BB24" s="167"/>
      <c r="BC24" s="167"/>
      <c r="BD24" s="167"/>
      <c r="BE24" s="167"/>
      <c r="BF24" s="167"/>
      <c r="BG24" s="167"/>
      <c r="BH24" s="167"/>
      <c r="BI24" s="167"/>
      <c r="BJ24" s="167"/>
      <c r="BK24" s="739">
        <f>后果有效剂量!P21</f>
        <v>0</v>
      </c>
      <c r="BL24" s="740">
        <f>BL$4*后果有效剂量!$I$24*后果有效剂量!$Q21+BM$4*后果有效剂量!$I$24*后果有效剂量!$R21+BN$4*后果有效剂量!$I$24*后果有效剂量!$S21+BO$4*后果有效剂量!$I$24*后果有效剂量!$T21+BP$4*后果有效剂量!$I$24*后果有效剂量!$U21+BL$4*后果有效剂量!$J$24*后果有效剂量!$Q21*后果有效剂量!$Q$3+BM$4*后果有效剂量!$J$24*后果有效剂量!$R21*后果有效剂量!$R$3+BN$4*后果有效剂量!$J$24*后果有效剂量!$S21*后果有效剂量!$S$3+BO$4*后果有效剂量!$J$24*后果有效剂量!$T21*后果有效剂量!$T$3+BP$4*后果有效剂量!$J$24*后果有效剂量!$U21*后果有效剂量!$U$3+BL$4*后果有效剂量!$K$24*后果有效剂量!$Q21+BM$4*后果有效剂量!$K$24*后果有效剂量!$R21+BN$4*后果有效剂量!$K$24*后果有效剂量!$S21+BO$4*后果有效剂量!$K$24*后果有效剂量!$T21+BP$4*后果有效剂量!$K$24*后果有效剂量!$U21</f>
        <v>0</v>
      </c>
      <c r="BM24" s="746">
        <f>BL$4*后果甲状腺剂量!$I$24*后果甲状腺剂量!$Q21+BM$4*后果甲状腺剂量!$I$24*后果甲状腺剂量!$R21+BN$4*后果甲状腺剂量!$I$24*后果甲状腺剂量!$S21+BO$4*后果甲状腺剂量!$I$24*后果甲状腺剂量!$T21+BP$4*后果甲状腺剂量!$I$24*后果甲状腺剂量!$U21+BL$4*后果甲状腺剂量!$J$24*后果甲状腺剂量!$Q21*后果甲状腺剂量!$Q$3+BM$4*后果甲状腺剂量!$J$24*后果甲状腺剂量!$R21*后果甲状腺剂量!$R$3+BN$4*后果甲状腺剂量!$J$24*后果甲状腺剂量!$S21*后果甲状腺剂量!$S$3+BO$4*后果甲状腺剂量!$J$24*后果甲状腺剂量!$T21*后果甲状腺剂量!$T$3+BP$4*后果甲状腺剂量!$J$24*后果甲状腺剂量!$U21*后果甲状腺剂量!$U$3+BL$4*后果甲状腺剂量!$K$24*后果甲状腺剂量!$Q21+BM$4*后果甲状腺剂量!$K$24*后果甲状腺剂量!$R21+BN$4*后果甲状腺剂量!$K$24*后果甲状腺剂量!$S21+BO$4*后果甲状腺剂量!$K$24*后果甲状腺剂量!$T21+BP$4*后果甲状腺剂量!$K$24*后果甲状腺剂量!$U21</f>
        <v>0</v>
      </c>
      <c r="BN24" s="206">
        <f t="shared" si="1"/>
        <v>0</v>
      </c>
      <c r="BO24" s="206">
        <f t="shared" si="2"/>
        <v>0</v>
      </c>
    </row>
    <row r="25" s="91" customFormat="1" spans="18:67">
      <c r="R25" s="166"/>
      <c r="S25" s="166"/>
      <c r="AA25" s="714"/>
      <c r="AF25" s="166"/>
      <c r="AK25" s="167"/>
      <c r="AP25" s="167"/>
      <c r="AU25" s="167"/>
      <c r="AV25" s="167"/>
      <c r="AW25" s="167"/>
      <c r="AX25" s="167"/>
      <c r="AY25" s="167"/>
      <c r="AZ25" s="167"/>
      <c r="BA25" s="167"/>
      <c r="BB25" s="167"/>
      <c r="BC25" s="167"/>
      <c r="BD25" s="167"/>
      <c r="BE25" s="167"/>
      <c r="BF25" s="167"/>
      <c r="BG25" s="167"/>
      <c r="BH25" s="167"/>
      <c r="BI25" s="167"/>
      <c r="BJ25" s="167"/>
      <c r="BK25" s="739">
        <f>后果有效剂量!P22</f>
        <v>0</v>
      </c>
      <c r="BL25" s="740">
        <f>BL$4*后果有效剂量!$I$24*后果有效剂量!$Q22+BM$4*后果有效剂量!$I$24*后果有效剂量!$R22+BN$4*后果有效剂量!$I$24*后果有效剂量!$S22+BO$4*后果有效剂量!$I$24*后果有效剂量!$T22+BP$4*后果有效剂量!$I$24*后果有效剂量!$U22+BL$4*后果有效剂量!$J$24*后果有效剂量!$Q22*后果有效剂量!$Q$3+BM$4*后果有效剂量!$J$24*后果有效剂量!$R22*后果有效剂量!$R$3+BN$4*后果有效剂量!$J$24*后果有效剂量!$S22*后果有效剂量!$S$3+BO$4*后果有效剂量!$J$24*后果有效剂量!$T22*后果有效剂量!$T$3+BP$4*后果有效剂量!$J$24*后果有效剂量!$U22*后果有效剂量!$U$3+BL$4*后果有效剂量!$K$24*后果有效剂量!$Q22+BM$4*后果有效剂量!$K$24*后果有效剂量!$R22+BN$4*后果有效剂量!$K$24*后果有效剂量!$S22+BO$4*后果有效剂量!$K$24*后果有效剂量!$T22+BP$4*后果有效剂量!$K$24*后果有效剂量!$U22</f>
        <v>0</v>
      </c>
      <c r="BM25" s="746">
        <f>BL$4*后果甲状腺剂量!$I$24*后果甲状腺剂量!$Q22+BM$4*后果甲状腺剂量!$I$24*后果甲状腺剂量!$R22+BN$4*后果甲状腺剂量!$I$24*后果甲状腺剂量!$S22+BO$4*后果甲状腺剂量!$I$24*后果甲状腺剂量!$T22+BP$4*后果甲状腺剂量!$I$24*后果甲状腺剂量!$U22+BL$4*后果甲状腺剂量!$J$24*后果甲状腺剂量!$Q22*后果甲状腺剂量!$Q$3+BM$4*后果甲状腺剂量!$J$24*后果甲状腺剂量!$R22*后果甲状腺剂量!$R$3+BN$4*后果甲状腺剂量!$J$24*后果甲状腺剂量!$S22*后果甲状腺剂量!$S$3+BO$4*后果甲状腺剂量!$J$24*后果甲状腺剂量!$T22*后果甲状腺剂量!$T$3+BP$4*后果甲状腺剂量!$J$24*后果甲状腺剂量!$U22*后果甲状腺剂量!$U$3+BL$4*后果甲状腺剂量!$K$24*后果甲状腺剂量!$Q22+BM$4*后果甲状腺剂量!$K$24*后果甲状腺剂量!$R22+BN$4*后果甲状腺剂量!$K$24*后果甲状腺剂量!$S22+BO$4*后果甲状腺剂量!$K$24*后果甲状腺剂量!$T22+BP$4*后果甲状腺剂量!$K$24*后果甲状腺剂量!$U22</f>
        <v>0</v>
      </c>
      <c r="BN25" s="206">
        <f t="shared" si="1"/>
        <v>0</v>
      </c>
      <c r="BO25" s="206">
        <f t="shared" si="2"/>
        <v>0</v>
      </c>
    </row>
    <row r="26" s="91" customFormat="1" spans="18:67">
      <c r="R26" s="166"/>
      <c r="S26" s="166"/>
      <c r="AA26" s="714"/>
      <c r="AF26" s="166"/>
      <c r="AK26" s="167"/>
      <c r="AP26" s="167"/>
      <c r="AU26" s="167"/>
      <c r="AV26" s="167"/>
      <c r="AW26" s="167"/>
      <c r="AX26" s="167"/>
      <c r="AY26" s="167"/>
      <c r="AZ26" s="167"/>
      <c r="BA26" s="167"/>
      <c r="BB26" s="167"/>
      <c r="BC26" s="167"/>
      <c r="BD26" s="167"/>
      <c r="BE26" s="167"/>
      <c r="BF26" s="167"/>
      <c r="BG26" s="167"/>
      <c r="BH26" s="167"/>
      <c r="BI26" s="167"/>
      <c r="BJ26" s="167"/>
      <c r="BK26" s="739">
        <f>后果有效剂量!P23</f>
        <v>0</v>
      </c>
      <c r="BL26" s="740">
        <f>BL$4*后果有效剂量!$I$24*后果有效剂量!$Q23+BM$4*后果有效剂量!$I$24*后果有效剂量!$R23+BN$4*后果有效剂量!$I$24*后果有效剂量!$S23+BO$4*后果有效剂量!$I$24*后果有效剂量!$T23+BP$4*后果有效剂量!$I$24*后果有效剂量!$U23+BL$4*后果有效剂量!$J$24*后果有效剂量!$Q23*后果有效剂量!$Q$3+BM$4*后果有效剂量!$J$24*后果有效剂量!$R23*后果有效剂量!$R$3+BN$4*后果有效剂量!$J$24*后果有效剂量!$S23*后果有效剂量!$S$3+BO$4*后果有效剂量!$J$24*后果有效剂量!$T23*后果有效剂量!$T$3+BP$4*后果有效剂量!$J$24*后果有效剂量!$U23*后果有效剂量!$U$3+BL$4*后果有效剂量!$K$24*后果有效剂量!$Q23+BM$4*后果有效剂量!$K$24*后果有效剂量!$R23+BN$4*后果有效剂量!$K$24*后果有效剂量!$S23+BO$4*后果有效剂量!$K$24*后果有效剂量!$T23+BP$4*后果有效剂量!$K$24*后果有效剂量!$U23</f>
        <v>0</v>
      </c>
      <c r="BM26" s="746">
        <f>BL$4*后果甲状腺剂量!$I$24*后果甲状腺剂量!$Q23+BM$4*后果甲状腺剂量!$I$24*后果甲状腺剂量!$R23+BN$4*后果甲状腺剂量!$I$24*后果甲状腺剂量!$S23+BO$4*后果甲状腺剂量!$I$24*后果甲状腺剂量!$T23+BP$4*后果甲状腺剂量!$I$24*后果甲状腺剂量!$U23+BL$4*后果甲状腺剂量!$J$24*后果甲状腺剂量!$Q23*后果甲状腺剂量!$Q$3+BM$4*后果甲状腺剂量!$J$24*后果甲状腺剂量!$R23*后果甲状腺剂量!$R$3+BN$4*后果甲状腺剂量!$J$24*后果甲状腺剂量!$S23*后果甲状腺剂量!$S$3+BO$4*后果甲状腺剂量!$J$24*后果甲状腺剂量!$T23*后果甲状腺剂量!$T$3+BP$4*后果甲状腺剂量!$J$24*后果甲状腺剂量!$U23*后果甲状腺剂量!$U$3+BL$4*后果甲状腺剂量!$K$24*后果甲状腺剂量!$Q23+BM$4*后果甲状腺剂量!$K$24*后果甲状腺剂量!$R23+BN$4*后果甲状腺剂量!$K$24*后果甲状腺剂量!$S23+BO$4*后果甲状腺剂量!$K$24*后果甲状腺剂量!$T23+BP$4*后果甲状腺剂量!$K$24*后果甲状腺剂量!$U23</f>
        <v>0</v>
      </c>
      <c r="BN26" s="206">
        <f t="shared" si="1"/>
        <v>0</v>
      </c>
      <c r="BO26" s="206">
        <f t="shared" si="2"/>
        <v>0</v>
      </c>
    </row>
    <row r="27" s="91" customFormat="1" spans="18:67">
      <c r="R27" s="166"/>
      <c r="S27" s="166"/>
      <c r="AA27" s="714"/>
      <c r="AF27" s="166"/>
      <c r="AK27" s="167"/>
      <c r="AP27" s="167"/>
      <c r="AU27" s="167"/>
      <c r="AV27" s="167"/>
      <c r="AW27" s="167"/>
      <c r="AX27" s="167"/>
      <c r="AY27" s="167"/>
      <c r="AZ27" s="167"/>
      <c r="BA27" s="167"/>
      <c r="BB27" s="167"/>
      <c r="BC27" s="167"/>
      <c r="BD27" s="167"/>
      <c r="BE27" s="167"/>
      <c r="BF27" s="167"/>
      <c r="BG27" s="167"/>
      <c r="BH27" s="167"/>
      <c r="BI27" s="167"/>
      <c r="BJ27" s="167"/>
      <c r="BK27" s="739">
        <f>后果有效剂量!P24</f>
        <v>0</v>
      </c>
      <c r="BL27" s="740">
        <f>BL$4*后果有效剂量!$I$24*后果有效剂量!$Q24+BM$4*后果有效剂量!$I$24*后果有效剂量!$R24+BN$4*后果有效剂量!$I$24*后果有效剂量!$S24+BO$4*后果有效剂量!$I$24*后果有效剂量!$T24+BP$4*后果有效剂量!$I$24*后果有效剂量!$U24+BL$4*后果有效剂量!$J$24*后果有效剂量!$Q24*后果有效剂量!$Q$3+BM$4*后果有效剂量!$J$24*后果有效剂量!$R24*后果有效剂量!$R$3+BN$4*后果有效剂量!$J$24*后果有效剂量!$S24*后果有效剂量!$S$3+BO$4*后果有效剂量!$J$24*后果有效剂量!$T24*后果有效剂量!$T$3+BP$4*后果有效剂量!$J$24*后果有效剂量!$U24*后果有效剂量!$U$3+BL$4*后果有效剂量!$K$24*后果有效剂量!$Q24+BM$4*后果有效剂量!$K$24*后果有效剂量!$R24+BN$4*后果有效剂量!$K$24*后果有效剂量!$S24+BO$4*后果有效剂量!$K$24*后果有效剂量!$T24+BP$4*后果有效剂量!$K$24*后果有效剂量!$U24</f>
        <v>0</v>
      </c>
      <c r="BM27" s="746">
        <f>BL$4*后果甲状腺剂量!$I$24*后果甲状腺剂量!$Q24+BM$4*后果甲状腺剂量!$I$24*后果甲状腺剂量!$R24+BN$4*后果甲状腺剂量!$I$24*后果甲状腺剂量!$S24+BO$4*后果甲状腺剂量!$I$24*后果甲状腺剂量!$T24+BP$4*后果甲状腺剂量!$I$24*后果甲状腺剂量!$U24+BL$4*后果甲状腺剂量!$J$24*后果甲状腺剂量!$Q24*后果甲状腺剂量!$Q$3+BM$4*后果甲状腺剂量!$J$24*后果甲状腺剂量!$R24*后果甲状腺剂量!$R$3+BN$4*后果甲状腺剂量!$J$24*后果甲状腺剂量!$S24*后果甲状腺剂量!$S$3+BO$4*后果甲状腺剂量!$J$24*后果甲状腺剂量!$T24*后果甲状腺剂量!$T$3+BP$4*后果甲状腺剂量!$J$24*后果甲状腺剂量!$U24*后果甲状腺剂量!$U$3+BL$4*后果甲状腺剂量!$K$24*后果甲状腺剂量!$Q24+BM$4*后果甲状腺剂量!$K$24*后果甲状腺剂量!$R24+BN$4*后果甲状腺剂量!$K$24*后果甲状腺剂量!$S24+BO$4*后果甲状腺剂量!$K$24*后果甲状腺剂量!$T24+BP$4*后果甲状腺剂量!$K$24*后果甲状腺剂量!$U24</f>
        <v>0</v>
      </c>
      <c r="BN27" s="206">
        <f t="shared" si="1"/>
        <v>0</v>
      </c>
      <c r="BO27" s="206">
        <f t="shared" si="2"/>
        <v>0</v>
      </c>
    </row>
    <row r="28" s="91" customFormat="1" spans="18:69">
      <c r="R28" s="166"/>
      <c r="S28" s="166"/>
      <c r="AA28" s="714"/>
      <c r="AF28" s="166"/>
      <c r="AK28" s="167"/>
      <c r="AP28" s="167"/>
      <c r="AU28" s="167"/>
      <c r="AV28" s="167"/>
      <c r="AW28" s="167"/>
      <c r="AX28" s="167"/>
      <c r="AY28" s="167"/>
      <c r="AZ28" s="167"/>
      <c r="BA28" s="167"/>
      <c r="BB28" s="167"/>
      <c r="BC28" s="167"/>
      <c r="BD28" s="167"/>
      <c r="BE28" s="167"/>
      <c r="BF28" s="167"/>
      <c r="BG28" s="167"/>
      <c r="BH28" s="167"/>
      <c r="BI28" s="167"/>
      <c r="BJ28" s="167"/>
      <c r="BK28" s="739">
        <f>后果有效剂量!P25</f>
        <v>0</v>
      </c>
      <c r="BL28" s="740">
        <f>BL$4*后果有效剂量!$I$24*后果有效剂量!$Q25+BM$4*后果有效剂量!$I$24*后果有效剂量!$R25+BN$4*后果有效剂量!$I$24*后果有效剂量!$S25+BO$4*后果有效剂量!$I$24*后果有效剂量!$T25+BP$4*后果有效剂量!$I$24*后果有效剂量!$U25+BL$4*后果有效剂量!$J$24*后果有效剂量!$Q25*后果有效剂量!$Q$3+BM$4*后果有效剂量!$J$24*后果有效剂量!$R25*后果有效剂量!$R$3+BN$4*后果有效剂量!$J$24*后果有效剂量!$S25*后果有效剂量!$S$3+BO$4*后果有效剂量!$J$24*后果有效剂量!$T25*后果有效剂量!$T$3+BP$4*后果有效剂量!$J$24*后果有效剂量!$U25*后果有效剂量!$U$3+BL$4*后果有效剂量!$K$24*后果有效剂量!$Q25+BM$4*后果有效剂量!$K$24*后果有效剂量!$R25+BN$4*后果有效剂量!$K$24*后果有效剂量!$S25+BO$4*后果有效剂量!$K$24*后果有效剂量!$T25+BP$4*后果有效剂量!$K$24*后果有效剂量!$U25</f>
        <v>0</v>
      </c>
      <c r="BM28" s="746">
        <f>BL$4*后果甲状腺剂量!$I$24*后果甲状腺剂量!$Q25+BM$4*后果甲状腺剂量!$I$24*后果甲状腺剂量!$R25+BN$4*后果甲状腺剂量!$I$24*后果甲状腺剂量!$S25+BO$4*后果甲状腺剂量!$I$24*后果甲状腺剂量!$T25+BP$4*后果甲状腺剂量!$I$24*后果甲状腺剂量!$U25+BL$4*后果甲状腺剂量!$J$24*后果甲状腺剂量!$Q25*后果甲状腺剂量!$Q$3+BM$4*后果甲状腺剂量!$J$24*后果甲状腺剂量!$R25*后果甲状腺剂量!$R$3+BN$4*后果甲状腺剂量!$J$24*后果甲状腺剂量!$S25*后果甲状腺剂量!$S$3+BO$4*后果甲状腺剂量!$J$24*后果甲状腺剂量!$T25*后果甲状腺剂量!$T$3+BP$4*后果甲状腺剂量!$J$24*后果甲状腺剂量!$U25*后果甲状腺剂量!$U$3+BL$4*后果甲状腺剂量!$K$24*后果甲状腺剂量!$Q25+BM$4*后果甲状腺剂量!$K$24*后果甲状腺剂量!$R25+BN$4*后果甲状腺剂量!$K$24*后果甲状腺剂量!$S25+BO$4*后果甲状腺剂量!$K$24*后果甲状腺剂量!$T25+BP$4*后果甲状腺剂量!$K$24*后果甲状腺剂量!$U25</f>
        <v>0</v>
      </c>
      <c r="BN28" s="206">
        <f t="shared" si="1"/>
        <v>0</v>
      </c>
      <c r="BO28" s="206">
        <f t="shared" si="2"/>
        <v>0</v>
      </c>
      <c r="BP28" s="254">
        <f t="shared" ref="BP28:BP33" si="3">BN28/5*100</f>
        <v>0</v>
      </c>
      <c r="BQ28" s="254">
        <f t="shared" ref="BQ28:BQ33" si="4">BO28/50*100</f>
        <v>0</v>
      </c>
    </row>
    <row r="29" s="91" customFormat="1" spans="18:69">
      <c r="R29" s="166"/>
      <c r="S29" s="166"/>
      <c r="AA29" s="714"/>
      <c r="AF29" s="166"/>
      <c r="AK29" s="167"/>
      <c r="AP29" s="167"/>
      <c r="AU29" s="167"/>
      <c r="AV29" s="167"/>
      <c r="AW29" s="167"/>
      <c r="AX29" s="167"/>
      <c r="AY29" s="167"/>
      <c r="AZ29" s="167"/>
      <c r="BA29" s="167"/>
      <c r="BB29" s="167"/>
      <c r="BC29" s="167"/>
      <c r="BD29" s="167"/>
      <c r="BE29" s="167"/>
      <c r="BF29" s="167"/>
      <c r="BG29" s="167"/>
      <c r="BH29" s="167"/>
      <c r="BI29" s="167"/>
      <c r="BJ29" s="167"/>
      <c r="BK29" s="739">
        <f>后果有效剂量!P26</f>
        <v>0</v>
      </c>
      <c r="BL29" s="740">
        <f>BL$4*后果有效剂量!$I$24*后果有效剂量!$Q26+BM$4*后果有效剂量!$I$24*后果有效剂量!$R26+BN$4*后果有效剂量!$I$24*后果有效剂量!$S26+BO$4*后果有效剂量!$I$24*后果有效剂量!$T26+BP$4*后果有效剂量!$I$24*后果有效剂量!$U26+BL$4*后果有效剂量!$J$24*后果有效剂量!$Q26*后果有效剂量!$Q$3+BM$4*后果有效剂量!$J$24*后果有效剂量!$R26*后果有效剂量!$R$3+BN$4*后果有效剂量!$J$24*后果有效剂量!$S26*后果有效剂量!$S$3+BO$4*后果有效剂量!$J$24*后果有效剂量!$T26*后果有效剂量!$T$3+BP$4*后果有效剂量!$J$24*后果有效剂量!$U26*后果有效剂量!$U$3+BL$4*后果有效剂量!$K$24*后果有效剂量!$Q26+BM$4*后果有效剂量!$K$24*后果有效剂量!$R26+BN$4*后果有效剂量!$K$24*后果有效剂量!$S26+BO$4*后果有效剂量!$K$24*后果有效剂量!$T26+BP$4*后果有效剂量!$K$24*后果有效剂量!$U26</f>
        <v>0</v>
      </c>
      <c r="BM29" s="746">
        <f>BL$4*后果甲状腺剂量!$I$24*后果甲状腺剂量!$Q26+BM$4*后果甲状腺剂量!$I$24*后果甲状腺剂量!$R26+BN$4*后果甲状腺剂量!$I$24*后果甲状腺剂量!$S26+BO$4*后果甲状腺剂量!$I$24*后果甲状腺剂量!$T26+BP$4*后果甲状腺剂量!$I$24*后果甲状腺剂量!$U26+BL$4*后果甲状腺剂量!$J$24*后果甲状腺剂量!$Q26*后果甲状腺剂量!$Q$3+BM$4*后果甲状腺剂量!$J$24*后果甲状腺剂量!$R26*后果甲状腺剂量!$R$3+BN$4*后果甲状腺剂量!$J$24*后果甲状腺剂量!$S26*后果甲状腺剂量!$S$3+BO$4*后果甲状腺剂量!$J$24*后果甲状腺剂量!$T26*后果甲状腺剂量!$T$3+BP$4*后果甲状腺剂量!$J$24*后果甲状腺剂量!$U26*后果甲状腺剂量!$U$3+BL$4*后果甲状腺剂量!$K$24*后果甲状腺剂量!$Q26+BM$4*后果甲状腺剂量!$K$24*后果甲状腺剂量!$R26+BN$4*后果甲状腺剂量!$K$24*后果甲状腺剂量!$S26+BO$4*后果甲状腺剂量!$K$24*后果甲状腺剂量!$T26+BP$4*后果甲状腺剂量!$K$24*后果甲状腺剂量!$U26</f>
        <v>0</v>
      </c>
      <c r="BN29" s="206">
        <f t="shared" si="1"/>
        <v>0</v>
      </c>
      <c r="BO29" s="206">
        <f t="shared" si="2"/>
        <v>0</v>
      </c>
      <c r="BP29" s="254">
        <f t="shared" si="3"/>
        <v>0</v>
      </c>
      <c r="BQ29" s="254">
        <f t="shared" si="4"/>
        <v>0</v>
      </c>
    </row>
    <row r="30" s="91" customFormat="1" spans="18:69">
      <c r="R30" s="166"/>
      <c r="S30" s="166"/>
      <c r="AA30" s="714"/>
      <c r="AF30" s="166"/>
      <c r="AK30" s="167"/>
      <c r="AP30" s="167"/>
      <c r="AU30" s="167"/>
      <c r="AV30" s="167"/>
      <c r="AW30" s="167"/>
      <c r="AX30" s="167"/>
      <c r="AY30" s="167"/>
      <c r="AZ30" s="167"/>
      <c r="BA30" s="167"/>
      <c r="BB30" s="167"/>
      <c r="BC30" s="167"/>
      <c r="BD30" s="167"/>
      <c r="BE30" s="167"/>
      <c r="BF30" s="167"/>
      <c r="BG30" s="167"/>
      <c r="BH30" s="167"/>
      <c r="BI30" s="167"/>
      <c r="BJ30" s="167"/>
      <c r="BK30" s="739">
        <f>后果有效剂量!P27</f>
        <v>0</v>
      </c>
      <c r="BL30" s="740">
        <f>BL$4*后果有效剂量!$I$24*后果有效剂量!$Q27+BM$4*后果有效剂量!$I$24*后果有效剂量!$R27+BN$4*后果有效剂量!$I$24*后果有效剂量!$S27+BO$4*后果有效剂量!$I$24*后果有效剂量!$T27+BP$4*后果有效剂量!$I$24*后果有效剂量!$U27+BL$4*后果有效剂量!$J$24*后果有效剂量!$Q27*后果有效剂量!$Q$3+BM$4*后果有效剂量!$J$24*后果有效剂量!$R27*后果有效剂量!$R$3+BN$4*后果有效剂量!$J$24*后果有效剂量!$S27*后果有效剂量!$S$3+BO$4*后果有效剂量!$J$24*后果有效剂量!$T27*后果有效剂量!$T$3+BP$4*后果有效剂量!$J$24*后果有效剂量!$U27*后果有效剂量!$U$3+BL$4*后果有效剂量!$K$24*后果有效剂量!$Q27+BM$4*后果有效剂量!$K$24*后果有效剂量!$R27+BN$4*后果有效剂量!$K$24*后果有效剂量!$S27+BO$4*后果有效剂量!$K$24*后果有效剂量!$T27+BP$4*后果有效剂量!$K$24*后果有效剂量!$U27</f>
        <v>0</v>
      </c>
      <c r="BM30" s="746">
        <f>BL$4*后果甲状腺剂量!$I$24*后果甲状腺剂量!$Q27+BM$4*后果甲状腺剂量!$I$24*后果甲状腺剂量!$R27+BN$4*后果甲状腺剂量!$I$24*后果甲状腺剂量!$S27+BO$4*后果甲状腺剂量!$I$24*后果甲状腺剂量!$T27+BP$4*后果甲状腺剂量!$I$24*后果甲状腺剂量!$U27+BL$4*后果甲状腺剂量!$J$24*后果甲状腺剂量!$Q27*后果甲状腺剂量!$Q$3+BM$4*后果甲状腺剂量!$J$24*后果甲状腺剂量!$R27*后果甲状腺剂量!$R$3+BN$4*后果甲状腺剂量!$J$24*后果甲状腺剂量!$S27*后果甲状腺剂量!$S$3+BO$4*后果甲状腺剂量!$J$24*后果甲状腺剂量!$T27*后果甲状腺剂量!$T$3+BP$4*后果甲状腺剂量!$J$24*后果甲状腺剂量!$U27*后果甲状腺剂量!$U$3+BL$4*后果甲状腺剂量!$K$24*后果甲状腺剂量!$Q27+BM$4*后果甲状腺剂量!$K$24*后果甲状腺剂量!$R27+BN$4*后果甲状腺剂量!$K$24*后果甲状腺剂量!$S27+BO$4*后果甲状腺剂量!$K$24*后果甲状腺剂量!$T27+BP$4*后果甲状腺剂量!$K$24*后果甲状腺剂量!$U27</f>
        <v>0</v>
      </c>
      <c r="BN30" s="206">
        <f t="shared" si="1"/>
        <v>0</v>
      </c>
      <c r="BO30" s="206">
        <f t="shared" si="2"/>
        <v>0</v>
      </c>
      <c r="BP30" s="254">
        <f t="shared" si="3"/>
        <v>0</v>
      </c>
      <c r="BQ30" s="254">
        <f t="shared" si="4"/>
        <v>0</v>
      </c>
    </row>
    <row r="31" s="91" customFormat="1" spans="18:69">
      <c r="R31" s="166"/>
      <c r="S31" s="166"/>
      <c r="AA31" s="714"/>
      <c r="AF31" s="166"/>
      <c r="AK31" s="167"/>
      <c r="AP31" s="167"/>
      <c r="AU31" s="167"/>
      <c r="AV31" s="167"/>
      <c r="AW31" s="167"/>
      <c r="AX31" s="167"/>
      <c r="AY31" s="167"/>
      <c r="AZ31" s="167"/>
      <c r="BA31" s="167"/>
      <c r="BB31" s="167"/>
      <c r="BC31" s="167"/>
      <c r="BD31" s="167"/>
      <c r="BE31" s="167"/>
      <c r="BF31" s="167"/>
      <c r="BG31" s="167"/>
      <c r="BH31" s="167"/>
      <c r="BI31" s="167"/>
      <c r="BJ31" s="167"/>
      <c r="BK31" s="739">
        <f>后果有效剂量!P28</f>
        <v>0</v>
      </c>
      <c r="BL31" s="740">
        <f>BL$4*后果有效剂量!$I$24*后果有效剂量!$Q28+BM$4*后果有效剂量!$I$24*后果有效剂量!$R28+BN$4*后果有效剂量!$I$24*后果有效剂量!$S28+BO$4*后果有效剂量!$I$24*后果有效剂量!$T28+BP$4*后果有效剂量!$I$24*后果有效剂量!$U28+BL$4*后果有效剂量!$J$24*后果有效剂量!$Q28*后果有效剂量!$Q$3+BM$4*后果有效剂量!$J$24*后果有效剂量!$R28*后果有效剂量!$R$3+BN$4*后果有效剂量!$J$24*后果有效剂量!$S28*后果有效剂量!$S$3+BO$4*后果有效剂量!$J$24*后果有效剂量!$T28*后果有效剂量!$T$3+BP$4*后果有效剂量!$J$24*后果有效剂量!$U28*后果有效剂量!$U$3+BL$4*后果有效剂量!$K$24*后果有效剂量!$Q28+BM$4*后果有效剂量!$K$24*后果有效剂量!$R28+BN$4*后果有效剂量!$K$24*后果有效剂量!$S28+BO$4*后果有效剂量!$K$24*后果有效剂量!$T28+BP$4*后果有效剂量!$K$24*后果有效剂量!$U28</f>
        <v>0</v>
      </c>
      <c r="BM31" s="746">
        <f>BL$4*后果甲状腺剂量!$I$24*后果甲状腺剂量!$Q28+BM$4*后果甲状腺剂量!$I$24*后果甲状腺剂量!$R28+BN$4*后果甲状腺剂量!$I$24*后果甲状腺剂量!$S28+BO$4*后果甲状腺剂量!$I$24*后果甲状腺剂量!$T28+BP$4*后果甲状腺剂量!$I$24*后果甲状腺剂量!$U28+BL$4*后果甲状腺剂量!$J$24*后果甲状腺剂量!$Q28*后果甲状腺剂量!$Q$3+BM$4*后果甲状腺剂量!$J$24*后果甲状腺剂量!$R28*后果甲状腺剂量!$R$3+BN$4*后果甲状腺剂量!$J$24*后果甲状腺剂量!$S28*后果甲状腺剂量!$S$3+BO$4*后果甲状腺剂量!$J$24*后果甲状腺剂量!$T28*后果甲状腺剂量!$T$3+BP$4*后果甲状腺剂量!$J$24*后果甲状腺剂量!$U28*后果甲状腺剂量!$U$3+BL$4*后果甲状腺剂量!$K$24*后果甲状腺剂量!$Q28+BM$4*后果甲状腺剂量!$K$24*后果甲状腺剂量!$R28+BN$4*后果甲状腺剂量!$K$24*后果甲状腺剂量!$S28+BO$4*后果甲状腺剂量!$K$24*后果甲状腺剂量!$T28+BP$4*后果甲状腺剂量!$K$24*后果甲状腺剂量!$U28</f>
        <v>0</v>
      </c>
      <c r="BN31" s="206">
        <f t="shared" si="1"/>
        <v>0</v>
      </c>
      <c r="BO31" s="206">
        <f t="shared" si="2"/>
        <v>0</v>
      </c>
      <c r="BP31" s="254">
        <f t="shared" si="3"/>
        <v>0</v>
      </c>
      <c r="BQ31" s="254">
        <f t="shared" si="4"/>
        <v>0</v>
      </c>
    </row>
    <row r="32" s="91" customFormat="1" spans="18:69">
      <c r="R32" s="166"/>
      <c r="S32" s="166"/>
      <c r="AA32" s="714"/>
      <c r="AF32" s="166"/>
      <c r="AK32" s="167"/>
      <c r="AP32" s="167"/>
      <c r="AU32" s="167"/>
      <c r="AV32" s="167"/>
      <c r="AW32" s="167"/>
      <c r="AX32" s="167"/>
      <c r="AY32" s="167"/>
      <c r="AZ32" s="167"/>
      <c r="BA32" s="167"/>
      <c r="BB32" s="167"/>
      <c r="BC32" s="167"/>
      <c r="BD32" s="167"/>
      <c r="BE32" s="167"/>
      <c r="BF32" s="167"/>
      <c r="BG32" s="167"/>
      <c r="BH32" s="167"/>
      <c r="BI32" s="167"/>
      <c r="BJ32" s="167"/>
      <c r="BK32" s="739">
        <f>后果有效剂量!P29</f>
        <v>0</v>
      </c>
      <c r="BL32" s="740">
        <f>BL$4*后果有效剂量!$I$24*后果有效剂量!$Q29+BM$4*后果有效剂量!$I$24*后果有效剂量!$R29+BN$4*后果有效剂量!$I$24*后果有效剂量!$S29+BO$4*后果有效剂量!$I$24*后果有效剂量!$T29+BP$4*后果有效剂量!$I$24*后果有效剂量!$U29+BL$4*后果有效剂量!$J$24*后果有效剂量!$Q29*后果有效剂量!$Q$3+BM$4*后果有效剂量!$J$24*后果有效剂量!$R29*后果有效剂量!$R$3+BN$4*后果有效剂量!$J$24*后果有效剂量!$S29*后果有效剂量!$S$3+BO$4*后果有效剂量!$J$24*后果有效剂量!$T29*后果有效剂量!$T$3+BP$4*后果有效剂量!$J$24*后果有效剂量!$U29*后果有效剂量!$U$3+BL$4*后果有效剂量!$K$24*后果有效剂量!$Q29+BM$4*后果有效剂量!$K$24*后果有效剂量!$R29+BN$4*后果有效剂量!$K$24*后果有效剂量!$S29+BO$4*后果有效剂量!$K$24*后果有效剂量!$T29+BP$4*后果有效剂量!$K$24*后果有效剂量!$U29</f>
        <v>0</v>
      </c>
      <c r="BM32" s="746">
        <f>BL$4*后果甲状腺剂量!$I$24*后果甲状腺剂量!$Q29+BM$4*后果甲状腺剂量!$I$24*后果甲状腺剂量!$R29+BN$4*后果甲状腺剂量!$I$24*后果甲状腺剂量!$S29+BO$4*后果甲状腺剂量!$I$24*后果甲状腺剂量!$T29+BP$4*后果甲状腺剂量!$I$24*后果甲状腺剂量!$U29+BL$4*后果甲状腺剂量!$J$24*后果甲状腺剂量!$Q29*后果甲状腺剂量!$Q$3+BM$4*后果甲状腺剂量!$J$24*后果甲状腺剂量!$R29*后果甲状腺剂量!$R$3+BN$4*后果甲状腺剂量!$J$24*后果甲状腺剂量!$S29*后果甲状腺剂量!$S$3+BO$4*后果甲状腺剂量!$J$24*后果甲状腺剂量!$T29*后果甲状腺剂量!$T$3+BP$4*后果甲状腺剂量!$J$24*后果甲状腺剂量!$U29*后果甲状腺剂量!$U$3+BL$4*后果甲状腺剂量!$K$24*后果甲状腺剂量!$Q29+BM$4*后果甲状腺剂量!$K$24*后果甲状腺剂量!$R29+BN$4*后果甲状腺剂量!$K$24*后果甲状腺剂量!$S29+BO$4*后果甲状腺剂量!$K$24*后果甲状腺剂量!$T29+BP$4*后果甲状腺剂量!$K$24*后果甲状腺剂量!$U29</f>
        <v>0</v>
      </c>
      <c r="BN32" s="206">
        <f t="shared" si="1"/>
        <v>0</v>
      </c>
      <c r="BO32" s="206">
        <f t="shared" si="2"/>
        <v>0</v>
      </c>
      <c r="BP32" s="254">
        <f t="shared" si="3"/>
        <v>0</v>
      </c>
      <c r="BQ32" s="254">
        <f t="shared" si="4"/>
        <v>0</v>
      </c>
    </row>
    <row r="33" s="91" customFormat="1" spans="18:69">
      <c r="R33" s="166"/>
      <c r="S33" s="166"/>
      <c r="AA33" s="714"/>
      <c r="AF33" s="166"/>
      <c r="AK33" s="167"/>
      <c r="AP33" s="167"/>
      <c r="AU33" s="167"/>
      <c r="AV33" s="167"/>
      <c r="AW33" s="167"/>
      <c r="AX33" s="167"/>
      <c r="AY33" s="167"/>
      <c r="AZ33" s="167"/>
      <c r="BA33" s="167"/>
      <c r="BB33" s="167"/>
      <c r="BC33" s="167"/>
      <c r="BD33" s="167"/>
      <c r="BE33" s="167"/>
      <c r="BF33" s="167"/>
      <c r="BG33" s="167"/>
      <c r="BH33" s="167"/>
      <c r="BI33" s="167"/>
      <c r="BJ33" s="167"/>
      <c r="BK33" s="739">
        <f>后果有效剂量!P30</f>
        <v>0</v>
      </c>
      <c r="BL33" s="740">
        <f>BL$4*后果有效剂量!$I$24*后果有效剂量!$Q30+BM$4*后果有效剂量!$I$24*后果有效剂量!$R30+BN$4*后果有效剂量!$I$24*后果有效剂量!$S30+BO$4*后果有效剂量!$I$24*后果有效剂量!$T30+BP$4*后果有效剂量!$I$24*后果有效剂量!$U30+BL$4*后果有效剂量!$J$24*后果有效剂量!$Q30*后果有效剂量!$Q$3+BM$4*后果有效剂量!$J$24*后果有效剂量!$R30*后果有效剂量!$R$3+BN$4*后果有效剂量!$J$24*后果有效剂量!$S30*后果有效剂量!$S$3+BO$4*后果有效剂量!$J$24*后果有效剂量!$T30*后果有效剂量!$T$3+BP$4*后果有效剂量!$J$24*后果有效剂量!$U30*后果有效剂量!$U$3+BL$4*后果有效剂量!$K$24*后果有效剂量!$Q30+BM$4*后果有效剂量!$K$24*后果有效剂量!$R30+BN$4*后果有效剂量!$K$24*后果有效剂量!$S30+BO$4*后果有效剂量!$K$24*后果有效剂量!$T30+BP$4*后果有效剂量!$K$24*后果有效剂量!$U30</f>
        <v>0</v>
      </c>
      <c r="BM33" s="746">
        <f>BL$4*后果甲状腺剂量!$I$24*后果甲状腺剂量!$Q30+BM$4*后果甲状腺剂量!$I$24*后果甲状腺剂量!$R30+BN$4*后果甲状腺剂量!$I$24*后果甲状腺剂量!$S30+BO$4*后果甲状腺剂量!$I$24*后果甲状腺剂量!$T30+BP$4*后果甲状腺剂量!$I$24*后果甲状腺剂量!$U30+BL$4*后果甲状腺剂量!$J$24*后果甲状腺剂量!$Q30*后果甲状腺剂量!$Q$3+BM$4*后果甲状腺剂量!$J$24*后果甲状腺剂量!$R30*后果甲状腺剂量!$R$3+BN$4*后果甲状腺剂量!$J$24*后果甲状腺剂量!$S30*后果甲状腺剂量!$S$3+BO$4*后果甲状腺剂量!$J$24*后果甲状腺剂量!$T30*后果甲状腺剂量!$T$3+BP$4*后果甲状腺剂量!$J$24*后果甲状腺剂量!$U30*后果甲状腺剂量!$U$3+BL$4*后果甲状腺剂量!$K$24*后果甲状腺剂量!$Q30+BM$4*后果甲状腺剂量!$K$24*后果甲状腺剂量!$R30+BN$4*后果甲状腺剂量!$K$24*后果甲状腺剂量!$S30+BO$4*后果甲状腺剂量!$K$24*后果甲状腺剂量!$T30+BP$4*后果甲状腺剂量!$K$24*后果甲状腺剂量!$U30</f>
        <v>0</v>
      </c>
      <c r="BN33" s="206">
        <f t="shared" si="1"/>
        <v>0</v>
      </c>
      <c r="BO33" s="206">
        <f t="shared" si="2"/>
        <v>0</v>
      </c>
      <c r="BP33" s="254">
        <f t="shared" si="3"/>
        <v>0</v>
      </c>
      <c r="BQ33" s="254">
        <f t="shared" si="4"/>
        <v>0</v>
      </c>
    </row>
    <row r="34" s="91" customFormat="1" spans="18:62">
      <c r="R34" s="166"/>
      <c r="S34" s="166"/>
      <c r="AA34" s="714"/>
      <c r="AF34" s="166"/>
      <c r="AK34" s="167"/>
      <c r="AP34" s="167"/>
      <c r="AU34" s="167"/>
      <c r="AV34" s="167"/>
      <c r="AW34" s="167"/>
      <c r="AX34" s="167"/>
      <c r="AY34" s="167"/>
      <c r="AZ34" s="167"/>
      <c r="BA34" s="167"/>
      <c r="BB34" s="167"/>
      <c r="BC34" s="167"/>
      <c r="BD34" s="167"/>
      <c r="BE34" s="167"/>
      <c r="BF34" s="167"/>
      <c r="BG34" s="167"/>
      <c r="BH34" s="167"/>
      <c r="BI34" s="167"/>
      <c r="BJ34" s="167"/>
    </row>
    <row r="35" s="91" customFormat="1" spans="18:62">
      <c r="R35" s="166"/>
      <c r="S35" s="166"/>
      <c r="AA35" s="714"/>
      <c r="AF35" s="166"/>
      <c r="AK35" s="167"/>
      <c r="AP35" s="167"/>
      <c r="AU35" s="167"/>
      <c r="AV35" s="167"/>
      <c r="AW35" s="167"/>
      <c r="AX35" s="167"/>
      <c r="AY35" s="167"/>
      <c r="AZ35" s="167"/>
      <c r="BA35" s="167"/>
      <c r="BB35" s="167"/>
      <c r="BC35" s="167"/>
      <c r="BD35" s="167"/>
      <c r="BE35" s="167"/>
      <c r="BF35" s="167"/>
      <c r="BG35" s="167"/>
      <c r="BH35" s="167"/>
      <c r="BI35" s="167"/>
      <c r="BJ35" s="167"/>
    </row>
    <row r="36" s="91" customFormat="1" spans="18:62">
      <c r="R36" s="166"/>
      <c r="S36" s="166"/>
      <c r="AA36" s="714"/>
      <c r="AF36" s="166"/>
      <c r="AK36" s="167"/>
      <c r="AP36" s="167"/>
      <c r="AU36" s="167"/>
      <c r="AV36" s="167"/>
      <c r="AW36" s="167"/>
      <c r="AX36" s="167"/>
      <c r="AY36" s="167"/>
      <c r="AZ36" s="167"/>
      <c r="BA36" s="167"/>
      <c r="BB36" s="167"/>
      <c r="BC36" s="167"/>
      <c r="BD36" s="167"/>
      <c r="BE36" s="167"/>
      <c r="BF36" s="167"/>
      <c r="BG36" s="167"/>
      <c r="BH36" s="167"/>
      <c r="BI36" s="167"/>
      <c r="BJ36" s="167"/>
    </row>
  </sheetData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7"/>
  <sheetViews>
    <sheetView zoomScale="90" zoomScaleNormal="90" workbookViewId="0">
      <selection activeCell="D25" sqref="D25"/>
    </sheetView>
  </sheetViews>
  <sheetFormatPr defaultColWidth="9" defaultRowHeight="15"/>
  <cols>
    <col min="1" max="4" width="14.125" style="198" customWidth="1"/>
    <col min="5" max="5" width="9" style="198"/>
    <col min="6" max="6" width="12.625" style="198" customWidth="1"/>
    <col min="7" max="7" width="9.375" style="198"/>
    <col min="8" max="10" width="9" style="198"/>
    <col min="11" max="19" width="9.125" style="198" customWidth="1"/>
    <col min="20" max="21" width="9" style="198"/>
    <col min="22" max="22" width="9.375" style="198"/>
    <col min="23" max="23" width="9" style="198"/>
    <col min="24" max="24" width="9.375" style="198"/>
    <col min="25" max="25" width="9" style="198"/>
    <col min="26" max="26" width="9.375" style="198"/>
    <col min="27" max="16384" width="9" style="198"/>
  </cols>
  <sheetData>
    <row r="1" ht="19.5" spans="1:26">
      <c r="A1" s="637" t="s">
        <v>392</v>
      </c>
      <c r="B1" s="637"/>
      <c r="C1" s="637"/>
      <c r="D1" s="637"/>
      <c r="F1" s="638" t="s">
        <v>393</v>
      </c>
      <c r="G1" s="639" t="s">
        <v>394</v>
      </c>
      <c r="H1" s="640">
        <v>0.025</v>
      </c>
      <c r="I1" s="198">
        <f>H1/H13</f>
        <v>2.5</v>
      </c>
      <c r="J1" s="198" t="s">
        <v>395</v>
      </c>
      <c r="K1" s="654" t="s">
        <v>392</v>
      </c>
      <c r="L1" s="637"/>
      <c r="M1" s="637"/>
      <c r="N1" s="637"/>
      <c r="P1" s="637" t="s">
        <v>396</v>
      </c>
      <c r="U1" s="658" t="s">
        <v>397</v>
      </c>
      <c r="V1" s="659"/>
      <c r="W1" s="659"/>
      <c r="X1" s="659"/>
      <c r="Y1" s="659"/>
      <c r="Z1" s="659"/>
    </row>
    <row r="2" spans="1:26">
      <c r="A2" s="637" t="s">
        <v>398</v>
      </c>
      <c r="B2" s="637" t="s">
        <v>399</v>
      </c>
      <c r="C2" s="637" t="s">
        <v>398</v>
      </c>
      <c r="D2" s="637" t="s">
        <v>399</v>
      </c>
      <c r="F2" s="198" t="s">
        <v>398</v>
      </c>
      <c r="G2" s="637" t="s">
        <v>400</v>
      </c>
      <c r="H2" s="637" t="s">
        <v>398</v>
      </c>
      <c r="I2" s="637" t="s">
        <v>400</v>
      </c>
      <c r="K2" s="637" t="s">
        <v>398</v>
      </c>
      <c r="L2" s="637" t="s">
        <v>399</v>
      </c>
      <c r="M2" s="637" t="s">
        <v>398</v>
      </c>
      <c r="N2" s="637" t="s">
        <v>399</v>
      </c>
      <c r="P2" s="198" t="s">
        <v>398</v>
      </c>
      <c r="Q2" s="637" t="s">
        <v>400</v>
      </c>
      <c r="R2" s="637" t="s">
        <v>398</v>
      </c>
      <c r="S2" s="637" t="s">
        <v>400</v>
      </c>
      <c r="U2" s="660" t="s">
        <v>35</v>
      </c>
      <c r="V2" s="661" t="s">
        <v>401</v>
      </c>
      <c r="W2" s="662" t="s">
        <v>35</v>
      </c>
      <c r="X2" s="661" t="s">
        <v>401</v>
      </c>
      <c r="Y2" s="662" t="s">
        <v>35</v>
      </c>
      <c r="Z2" s="666" t="s">
        <v>401</v>
      </c>
    </row>
    <row r="3" ht="16.5" spans="1:26">
      <c r="A3" s="637" t="s">
        <v>46</v>
      </c>
      <c r="B3" s="641">
        <v>20500000</v>
      </c>
      <c r="C3" s="637" t="s">
        <v>57</v>
      </c>
      <c r="D3" s="642">
        <v>296000000000000</v>
      </c>
      <c r="F3" s="637" t="s">
        <v>402</v>
      </c>
      <c r="G3" s="643">
        <f t="shared" ref="G3:G11" si="0">G15*$I$1</f>
        <v>2.5e-5</v>
      </c>
      <c r="H3" s="637" t="s">
        <v>57</v>
      </c>
      <c r="I3" s="643">
        <f t="shared" ref="I3:I11" si="1">I15*$I$1</f>
        <v>7.5e-7</v>
      </c>
      <c r="K3" s="637" t="s">
        <v>402</v>
      </c>
      <c r="L3" s="645">
        <v>20500000</v>
      </c>
      <c r="M3" s="637" t="s">
        <v>57</v>
      </c>
      <c r="N3" s="645">
        <v>74900000000000</v>
      </c>
      <c r="P3" s="637" t="s">
        <v>402</v>
      </c>
      <c r="Q3" s="650">
        <f>L15/L3</f>
        <v>1e-5</v>
      </c>
      <c r="R3" s="637" t="s">
        <v>57</v>
      </c>
      <c r="S3" s="650">
        <f t="shared" ref="S3:S11" si="2">N15/N3</f>
        <v>3.00400534045394e-7</v>
      </c>
      <c r="U3" s="660" t="s">
        <v>403</v>
      </c>
      <c r="V3" s="663">
        <v>1470000000000000</v>
      </c>
      <c r="W3" s="662" t="s">
        <v>404</v>
      </c>
      <c r="X3" s="664">
        <v>1.09e+16</v>
      </c>
      <c r="Y3" s="662" t="s">
        <v>52</v>
      </c>
      <c r="Z3" s="667">
        <v>4400000000000000</v>
      </c>
    </row>
    <row r="4" ht="16.5" spans="1:26">
      <c r="A4" s="637" t="s">
        <v>47</v>
      </c>
      <c r="B4" s="644">
        <v>267000000000000</v>
      </c>
      <c r="C4" s="637" t="s">
        <v>59</v>
      </c>
      <c r="D4" s="642">
        <v>7360000000000</v>
      </c>
      <c r="F4" s="637" t="s">
        <v>47</v>
      </c>
      <c r="G4" s="643">
        <f t="shared" si="0"/>
        <v>2.5e-5</v>
      </c>
      <c r="H4" s="637" t="s">
        <v>59</v>
      </c>
      <c r="I4" s="643">
        <f t="shared" si="1"/>
        <v>7.5e-7</v>
      </c>
      <c r="K4" s="637" t="s">
        <v>47</v>
      </c>
      <c r="L4" s="645">
        <v>266000000000000</v>
      </c>
      <c r="M4" s="637" t="s">
        <v>59</v>
      </c>
      <c r="N4" s="645">
        <v>950000000000</v>
      </c>
      <c r="P4" s="637" t="s">
        <v>47</v>
      </c>
      <c r="Q4" s="650">
        <f t="shared" ref="Q4:Q11" si="3">L16/L4</f>
        <v>1e-5</v>
      </c>
      <c r="R4" s="637" t="s">
        <v>59</v>
      </c>
      <c r="S4" s="650">
        <f t="shared" si="2"/>
        <v>3e-7</v>
      </c>
      <c r="U4" s="660" t="s">
        <v>405</v>
      </c>
      <c r="V4" s="663">
        <v>2.02e+16</v>
      </c>
      <c r="W4" s="662" t="s">
        <v>406</v>
      </c>
      <c r="X4" s="664">
        <v>1.23e+16</v>
      </c>
      <c r="Y4" s="662" t="s">
        <v>407</v>
      </c>
      <c r="Z4" s="667">
        <v>52400000000000</v>
      </c>
    </row>
    <row r="5" ht="16.5" spans="1:26">
      <c r="A5" s="637" t="s">
        <v>48</v>
      </c>
      <c r="B5" s="641">
        <v>9820000000</v>
      </c>
      <c r="C5" s="637" t="s">
        <v>51</v>
      </c>
      <c r="D5" s="645">
        <v>96400000000000</v>
      </c>
      <c r="F5" s="637" t="s">
        <v>408</v>
      </c>
      <c r="G5" s="643">
        <f t="shared" si="0"/>
        <v>2.5e-5</v>
      </c>
      <c r="H5" s="637" t="s">
        <v>409</v>
      </c>
      <c r="I5" s="643">
        <f t="shared" si="1"/>
        <v>2.5e-5</v>
      </c>
      <c r="K5" s="637" t="s">
        <v>408</v>
      </c>
      <c r="L5" s="645">
        <v>9820000000</v>
      </c>
      <c r="M5" s="637" t="s">
        <v>409</v>
      </c>
      <c r="N5" s="645">
        <v>64000000000000</v>
      </c>
      <c r="P5" s="637" t="s">
        <v>408</v>
      </c>
      <c r="Q5" s="650">
        <f t="shared" si="3"/>
        <v>1e-5</v>
      </c>
      <c r="R5" s="637" t="s">
        <v>409</v>
      </c>
      <c r="S5" s="650">
        <f t="shared" si="2"/>
        <v>1e-5</v>
      </c>
      <c r="U5" s="660" t="s">
        <v>410</v>
      </c>
      <c r="V5" s="663">
        <v>25800000000000</v>
      </c>
      <c r="W5" s="662" t="s">
        <v>411</v>
      </c>
      <c r="X5" s="664">
        <v>1.09e+16</v>
      </c>
      <c r="Y5" s="662" t="s">
        <v>54</v>
      </c>
      <c r="Z5" s="667">
        <v>99600000000000</v>
      </c>
    </row>
    <row r="6" ht="16.5" spans="1:26">
      <c r="A6" s="637" t="s">
        <v>50</v>
      </c>
      <c r="B6" s="641">
        <v>365000000</v>
      </c>
      <c r="C6" s="637" t="s">
        <v>52</v>
      </c>
      <c r="D6" s="642">
        <v>4030000000000000</v>
      </c>
      <c r="F6" s="637" t="s">
        <v>50</v>
      </c>
      <c r="G6" s="643">
        <f t="shared" si="0"/>
        <v>2.5e-5</v>
      </c>
      <c r="H6" s="637" t="s">
        <v>52</v>
      </c>
      <c r="I6" s="643">
        <f t="shared" si="1"/>
        <v>2.5e-5</v>
      </c>
      <c r="K6" s="637" t="s">
        <v>50</v>
      </c>
      <c r="L6" s="645">
        <v>365000000</v>
      </c>
      <c r="M6" s="637" t="s">
        <v>52</v>
      </c>
      <c r="N6" s="645">
        <v>2280000000000000</v>
      </c>
      <c r="P6" s="637" t="s">
        <v>50</v>
      </c>
      <c r="Q6" s="650">
        <f t="shared" si="3"/>
        <v>1e-5</v>
      </c>
      <c r="R6" s="637" t="s">
        <v>52</v>
      </c>
      <c r="S6" s="650">
        <f t="shared" si="2"/>
        <v>1e-5</v>
      </c>
      <c r="U6" s="660" t="s">
        <v>412</v>
      </c>
      <c r="V6" s="663">
        <v>5630000000000</v>
      </c>
      <c r="W6" s="662" t="s">
        <v>413</v>
      </c>
      <c r="X6" s="664">
        <v>45600000000000</v>
      </c>
      <c r="Y6" s="662" t="s">
        <v>414</v>
      </c>
      <c r="Z6" s="667">
        <v>1460000000000</v>
      </c>
    </row>
    <row r="7" ht="16.5" spans="1:26">
      <c r="A7" s="637" t="s">
        <v>60</v>
      </c>
      <c r="B7" s="644">
        <v>9250000000000000</v>
      </c>
      <c r="C7" s="637" t="s">
        <v>53</v>
      </c>
      <c r="D7" s="642">
        <v>45600000000000</v>
      </c>
      <c r="F7" s="637" t="s">
        <v>60</v>
      </c>
      <c r="G7" s="643">
        <f t="shared" si="0"/>
        <v>2.5e-9</v>
      </c>
      <c r="H7" s="637" t="s">
        <v>415</v>
      </c>
      <c r="I7" s="643">
        <f t="shared" si="1"/>
        <v>2.5e-5</v>
      </c>
      <c r="K7" s="637" t="s">
        <v>60</v>
      </c>
      <c r="L7" s="645">
        <v>8040000000000000</v>
      </c>
      <c r="M7" s="637" t="s">
        <v>415</v>
      </c>
      <c r="N7" s="645">
        <v>21700000000000</v>
      </c>
      <c r="P7" s="637" t="s">
        <v>60</v>
      </c>
      <c r="Q7" s="650">
        <f t="shared" si="3"/>
        <v>1e-9</v>
      </c>
      <c r="R7" s="637" t="s">
        <v>415</v>
      </c>
      <c r="S7" s="650">
        <f t="shared" si="2"/>
        <v>1e-5</v>
      </c>
      <c r="U7" s="660" t="s">
        <v>416</v>
      </c>
      <c r="V7" s="664">
        <v>17000000000000</v>
      </c>
      <c r="W7" s="662" t="s">
        <v>417</v>
      </c>
      <c r="X7" s="664">
        <v>135000000000000</v>
      </c>
      <c r="Y7" s="662" t="s">
        <v>62</v>
      </c>
      <c r="Z7" s="667">
        <v>2990000000000000</v>
      </c>
    </row>
    <row r="8" ht="16.5" spans="1:26">
      <c r="A8" s="637" t="s">
        <v>61</v>
      </c>
      <c r="B8" s="644">
        <v>1640000000000000</v>
      </c>
      <c r="C8" s="637" t="s">
        <v>54</v>
      </c>
      <c r="D8" s="642">
        <v>82500000000000</v>
      </c>
      <c r="F8" s="637" t="s">
        <v>61</v>
      </c>
      <c r="G8" s="643">
        <f t="shared" si="0"/>
        <v>2.5e-9</v>
      </c>
      <c r="H8" s="637" t="s">
        <v>54</v>
      </c>
      <c r="I8" s="643">
        <f t="shared" si="1"/>
        <v>2.5e-5</v>
      </c>
      <c r="K8" s="637" t="s">
        <v>61</v>
      </c>
      <c r="L8" s="645">
        <v>1630000000000000</v>
      </c>
      <c r="M8" s="637" t="s">
        <v>54</v>
      </c>
      <c r="N8" s="645">
        <v>12800000000000</v>
      </c>
      <c r="P8" s="637" t="s">
        <v>61</v>
      </c>
      <c r="Q8" s="650">
        <f t="shared" si="3"/>
        <v>1e-9</v>
      </c>
      <c r="R8" s="637" t="s">
        <v>54</v>
      </c>
      <c r="S8" s="650">
        <f t="shared" si="2"/>
        <v>1e-5</v>
      </c>
      <c r="U8" s="660" t="s">
        <v>418</v>
      </c>
      <c r="V8" s="664">
        <v>4200000000000000</v>
      </c>
      <c r="W8" s="662" t="s">
        <v>419</v>
      </c>
      <c r="X8" s="664">
        <v>7920000000000</v>
      </c>
      <c r="Y8" s="662" t="s">
        <v>420</v>
      </c>
      <c r="Z8" s="667">
        <v>260000000000000</v>
      </c>
    </row>
    <row r="9" ht="16.5" spans="1:26">
      <c r="A9" s="637" t="s">
        <v>64</v>
      </c>
      <c r="B9" s="644">
        <v>46300000000000</v>
      </c>
      <c r="C9" s="637" t="s">
        <v>421</v>
      </c>
      <c r="D9" s="642">
        <v>1180000000000</v>
      </c>
      <c r="F9" s="637" t="s">
        <v>413</v>
      </c>
      <c r="G9" s="643">
        <f t="shared" si="0"/>
        <v>2.5e-9</v>
      </c>
      <c r="H9" s="637" t="s">
        <v>422</v>
      </c>
      <c r="I9" s="643">
        <f t="shared" si="1"/>
        <v>2.5e-5</v>
      </c>
      <c r="K9" s="637" t="s">
        <v>413</v>
      </c>
      <c r="L9" s="645">
        <v>44200000000000</v>
      </c>
      <c r="M9" s="637" t="s">
        <v>422</v>
      </c>
      <c r="N9" s="645">
        <v>159000000000</v>
      </c>
      <c r="P9" s="637" t="s">
        <v>413</v>
      </c>
      <c r="Q9" s="650">
        <f t="shared" si="3"/>
        <v>1e-9</v>
      </c>
      <c r="R9" s="637" t="s">
        <v>422</v>
      </c>
      <c r="S9" s="650">
        <f t="shared" si="2"/>
        <v>1e-5</v>
      </c>
      <c r="U9" s="660" t="s">
        <v>423</v>
      </c>
      <c r="V9" s="664">
        <v>7840000000000</v>
      </c>
      <c r="W9" s="662" t="s">
        <v>424</v>
      </c>
      <c r="X9" s="664">
        <v>1730000000000</v>
      </c>
      <c r="Y9" s="662" t="s">
        <v>63</v>
      </c>
      <c r="Z9" s="667">
        <v>2700000000000000</v>
      </c>
    </row>
    <row r="10" ht="16.5" spans="1:26">
      <c r="A10" s="637" t="s">
        <v>55</v>
      </c>
      <c r="B10" s="644">
        <v>3130000000000000</v>
      </c>
      <c r="C10" s="637" t="s">
        <v>62</v>
      </c>
      <c r="D10" s="642">
        <v>2950000000000000</v>
      </c>
      <c r="F10" s="637" t="s">
        <v>55</v>
      </c>
      <c r="G10" s="643">
        <f t="shared" si="0"/>
        <v>7.5e-7</v>
      </c>
      <c r="H10" s="637" t="s">
        <v>62</v>
      </c>
      <c r="I10" s="643">
        <f t="shared" si="1"/>
        <v>7.5e-7</v>
      </c>
      <c r="K10" s="637" t="s">
        <v>55</v>
      </c>
      <c r="L10" s="645">
        <v>1900000000000000</v>
      </c>
      <c r="M10" s="637" t="s">
        <v>62</v>
      </c>
      <c r="N10" s="645">
        <v>2950000000000000</v>
      </c>
      <c r="P10" s="637" t="s">
        <v>55</v>
      </c>
      <c r="Q10" s="650">
        <f t="shared" si="3"/>
        <v>3e-7</v>
      </c>
      <c r="R10" s="637" t="s">
        <v>62</v>
      </c>
      <c r="S10" s="650">
        <f t="shared" si="2"/>
        <v>3e-7</v>
      </c>
      <c r="U10" s="660" t="s">
        <v>425</v>
      </c>
      <c r="V10" s="664">
        <v>14100000000000</v>
      </c>
      <c r="W10" s="662" t="s">
        <v>426</v>
      </c>
      <c r="X10" s="664">
        <v>71200000000000</v>
      </c>
      <c r="Y10" s="662" t="s">
        <v>427</v>
      </c>
      <c r="Z10" s="667">
        <v>2560000000000000</v>
      </c>
    </row>
    <row r="11" ht="16.5" spans="1:26">
      <c r="A11" s="637" t="s">
        <v>56</v>
      </c>
      <c r="B11" s="644">
        <v>1300000000000000</v>
      </c>
      <c r="C11" s="637" t="s">
        <v>63</v>
      </c>
      <c r="D11" s="642">
        <v>2720000000000000</v>
      </c>
      <c r="F11" s="637" t="s">
        <v>56</v>
      </c>
      <c r="G11" s="643">
        <f t="shared" si="0"/>
        <v>7.5e-7</v>
      </c>
      <c r="H11" s="637" t="s">
        <v>63</v>
      </c>
      <c r="I11" s="643">
        <f t="shared" si="1"/>
        <v>7.5e-7</v>
      </c>
      <c r="K11" s="637" t="s">
        <v>56</v>
      </c>
      <c r="L11" s="645">
        <v>751000000000000</v>
      </c>
      <c r="M11" s="637" t="s">
        <v>63</v>
      </c>
      <c r="N11" s="645">
        <v>2700000000000000</v>
      </c>
      <c r="P11" s="637" t="s">
        <v>56</v>
      </c>
      <c r="Q11" s="650">
        <f t="shared" si="3"/>
        <v>2.99600532623169e-7</v>
      </c>
      <c r="R11" s="637" t="s">
        <v>63</v>
      </c>
      <c r="S11" s="650">
        <f t="shared" si="2"/>
        <v>3e-7</v>
      </c>
      <c r="U11" s="660" t="s">
        <v>428</v>
      </c>
      <c r="V11" s="664">
        <v>880000000000000</v>
      </c>
      <c r="W11" s="662" t="s">
        <v>429</v>
      </c>
      <c r="X11" s="664">
        <v>57600000000000</v>
      </c>
      <c r="Y11" s="662" t="s">
        <v>430</v>
      </c>
      <c r="Z11" s="667">
        <v>9200000000000000</v>
      </c>
    </row>
    <row r="12" ht="16.5" spans="1:26">
      <c r="A12" s="637"/>
      <c r="B12" s="645"/>
      <c r="C12" s="637"/>
      <c r="D12" s="645"/>
      <c r="G12" s="646"/>
      <c r="I12" s="646"/>
      <c r="K12" s="637"/>
      <c r="L12" s="645"/>
      <c r="M12" s="637"/>
      <c r="N12" s="645"/>
      <c r="Q12" s="646"/>
      <c r="S12" s="646"/>
      <c r="U12" s="660" t="s">
        <v>431</v>
      </c>
      <c r="V12" s="664">
        <v>43200000000000</v>
      </c>
      <c r="W12" s="662" t="s">
        <v>432</v>
      </c>
      <c r="X12" s="664">
        <v>5280000000000</v>
      </c>
      <c r="Y12" s="662" t="s">
        <v>433</v>
      </c>
      <c r="Z12" s="667">
        <v>1.05e+16</v>
      </c>
    </row>
    <row r="13" ht="16.5" spans="1:26">
      <c r="A13" s="637" t="s">
        <v>434</v>
      </c>
      <c r="B13" s="645"/>
      <c r="C13" s="637"/>
      <c r="D13" s="645"/>
      <c r="F13" s="647" t="s">
        <v>435</v>
      </c>
      <c r="G13" s="648" t="s">
        <v>394</v>
      </c>
      <c r="H13" s="649">
        <v>0.01</v>
      </c>
      <c r="J13" s="655"/>
      <c r="K13" s="654" t="s">
        <v>434</v>
      </c>
      <c r="L13" s="645"/>
      <c r="M13" s="637"/>
      <c r="N13" s="645"/>
      <c r="U13" s="660"/>
      <c r="V13" s="665"/>
      <c r="W13" s="662" t="s">
        <v>436</v>
      </c>
      <c r="X13" s="664">
        <v>196000000000000</v>
      </c>
      <c r="Y13" s="662" t="s">
        <v>437</v>
      </c>
      <c r="Z13" s="667">
        <v>1.64e+16</v>
      </c>
    </row>
    <row r="14" ht="16.5" spans="1:26">
      <c r="A14" s="637" t="s">
        <v>398</v>
      </c>
      <c r="B14" s="637" t="s">
        <v>438</v>
      </c>
      <c r="C14" s="637" t="s">
        <v>398</v>
      </c>
      <c r="D14" s="637" t="s">
        <v>438</v>
      </c>
      <c r="F14" s="198" t="s">
        <v>398</v>
      </c>
      <c r="G14" s="637" t="s">
        <v>400</v>
      </c>
      <c r="H14" s="637" t="s">
        <v>398</v>
      </c>
      <c r="I14" s="637" t="s">
        <v>400</v>
      </c>
      <c r="K14" s="637" t="s">
        <v>398</v>
      </c>
      <c r="L14" s="637" t="s">
        <v>438</v>
      </c>
      <c r="M14" s="637" t="s">
        <v>398</v>
      </c>
      <c r="N14" s="637" t="s">
        <v>438</v>
      </c>
      <c r="U14" s="660" t="s">
        <v>65</v>
      </c>
      <c r="V14" s="664">
        <v>17500000000000</v>
      </c>
      <c r="W14" s="662" t="s">
        <v>439</v>
      </c>
      <c r="X14" s="664">
        <v>14900000000000</v>
      </c>
      <c r="Y14" s="662" t="s">
        <v>440</v>
      </c>
      <c r="Z14" s="667">
        <v>2.2e+16</v>
      </c>
    </row>
    <row r="15" ht="16.5" spans="1:26">
      <c r="A15" s="637" t="s">
        <v>402</v>
      </c>
      <c r="B15" s="644">
        <f>B3*G3</f>
        <v>512.5</v>
      </c>
      <c r="C15" s="637" t="s">
        <v>57</v>
      </c>
      <c r="D15" s="644">
        <f t="shared" ref="D15:D23" si="4">D3*I3</f>
        <v>222000000</v>
      </c>
      <c r="F15" s="637" t="s">
        <v>402</v>
      </c>
      <c r="G15" s="650">
        <v>1e-5</v>
      </c>
      <c r="H15" s="637" t="s">
        <v>57</v>
      </c>
      <c r="I15" s="650">
        <v>3e-7</v>
      </c>
      <c r="K15" s="637" t="s">
        <v>402</v>
      </c>
      <c r="L15" s="645">
        <v>205</v>
      </c>
      <c r="M15" s="637" t="s">
        <v>57</v>
      </c>
      <c r="N15" s="645">
        <v>22500000</v>
      </c>
      <c r="U15" s="660" t="s">
        <v>47</v>
      </c>
      <c r="V15" s="664">
        <v>253000000000000</v>
      </c>
      <c r="W15" s="662" t="s">
        <v>441</v>
      </c>
      <c r="X15" s="664">
        <v>113000000000000</v>
      </c>
      <c r="Y15" s="662" t="s">
        <v>442</v>
      </c>
      <c r="Z15" s="667">
        <v>9400000000000000</v>
      </c>
    </row>
    <row r="16" ht="16.5" spans="1:26">
      <c r="A16" s="637" t="s">
        <v>47</v>
      </c>
      <c r="B16" s="644">
        <f t="shared" ref="B16:B23" si="5">B4*G4</f>
        <v>6675000000</v>
      </c>
      <c r="C16" s="637" t="s">
        <v>59</v>
      </c>
      <c r="D16" s="644">
        <f t="shared" si="4"/>
        <v>5520000</v>
      </c>
      <c r="F16" s="637" t="s">
        <v>47</v>
      </c>
      <c r="G16" s="650">
        <v>1e-5</v>
      </c>
      <c r="H16" s="637" t="s">
        <v>59</v>
      </c>
      <c r="I16" s="650">
        <v>3e-7</v>
      </c>
      <c r="K16" s="637" t="s">
        <v>47</v>
      </c>
      <c r="L16" s="645">
        <v>2660000000</v>
      </c>
      <c r="M16" s="637" t="s">
        <v>59</v>
      </c>
      <c r="N16" s="645">
        <v>285000</v>
      </c>
      <c r="U16" s="660" t="s">
        <v>443</v>
      </c>
      <c r="V16" s="664">
        <v>4760000000000</v>
      </c>
      <c r="W16" s="662" t="s">
        <v>444</v>
      </c>
      <c r="X16" s="664">
        <v>44000000000000</v>
      </c>
      <c r="Y16" s="662" t="s">
        <v>445</v>
      </c>
      <c r="Z16" s="667">
        <v>2.18e+16</v>
      </c>
    </row>
    <row r="17" ht="16.5" spans="1:26">
      <c r="A17" s="637" t="s">
        <v>408</v>
      </c>
      <c r="B17" s="644">
        <f t="shared" si="5"/>
        <v>245500</v>
      </c>
      <c r="C17" s="637" t="s">
        <v>409</v>
      </c>
      <c r="D17" s="644">
        <f t="shared" si="4"/>
        <v>2410000000</v>
      </c>
      <c r="F17" s="637" t="s">
        <v>408</v>
      </c>
      <c r="G17" s="650">
        <v>1e-5</v>
      </c>
      <c r="H17" s="637" t="s">
        <v>409</v>
      </c>
      <c r="I17" s="650">
        <v>1e-5</v>
      </c>
      <c r="K17" s="637" t="s">
        <v>408</v>
      </c>
      <c r="L17" s="645">
        <v>98200</v>
      </c>
      <c r="M17" s="637" t="s">
        <v>409</v>
      </c>
      <c r="N17" s="645">
        <v>640000000</v>
      </c>
      <c r="U17" s="660" t="s">
        <v>60</v>
      </c>
      <c r="V17" s="664">
        <v>9400000000000000</v>
      </c>
      <c r="W17" s="662" t="s">
        <v>446</v>
      </c>
      <c r="X17" s="664">
        <v>259000000000000</v>
      </c>
      <c r="Y17" s="662" t="s">
        <v>447</v>
      </c>
      <c r="Z17" s="667">
        <v>3180000000000000</v>
      </c>
    </row>
    <row r="18" ht="16.5" spans="1:26">
      <c r="A18" s="637" t="s">
        <v>50</v>
      </c>
      <c r="B18" s="644">
        <f t="shared" si="5"/>
        <v>9125</v>
      </c>
      <c r="C18" s="637" t="s">
        <v>52</v>
      </c>
      <c r="D18" s="644">
        <f t="shared" si="4"/>
        <v>100750000000</v>
      </c>
      <c r="F18" s="637" t="s">
        <v>50</v>
      </c>
      <c r="G18" s="650">
        <v>1e-5</v>
      </c>
      <c r="H18" s="637" t="s">
        <v>52</v>
      </c>
      <c r="I18" s="650">
        <v>1e-5</v>
      </c>
      <c r="K18" s="637" t="s">
        <v>50</v>
      </c>
      <c r="L18" s="645">
        <v>3650</v>
      </c>
      <c r="M18" s="637" t="s">
        <v>52</v>
      </c>
      <c r="N18" s="645">
        <v>22800000000</v>
      </c>
      <c r="U18" s="660" t="s">
        <v>61</v>
      </c>
      <c r="V18" s="664">
        <v>1640000000000000</v>
      </c>
      <c r="W18" s="662" t="s">
        <v>448</v>
      </c>
      <c r="X18" s="664">
        <v>154000000000000</v>
      </c>
      <c r="Y18" s="662" t="s">
        <v>449</v>
      </c>
      <c r="Z18" s="667">
        <v>3980000000000000</v>
      </c>
    </row>
    <row r="19" ht="16.5" spans="1:26">
      <c r="A19" s="637" t="s">
        <v>60</v>
      </c>
      <c r="B19" s="644">
        <f t="shared" si="5"/>
        <v>23125000</v>
      </c>
      <c r="C19" s="637" t="s">
        <v>415</v>
      </c>
      <c r="D19" s="644">
        <f t="shared" si="4"/>
        <v>1140000000</v>
      </c>
      <c r="F19" s="637" t="s">
        <v>60</v>
      </c>
      <c r="G19" s="650">
        <v>1e-9</v>
      </c>
      <c r="H19" s="637" t="s">
        <v>415</v>
      </c>
      <c r="I19" s="650">
        <v>1e-5</v>
      </c>
      <c r="K19" s="637" t="s">
        <v>60</v>
      </c>
      <c r="L19" s="645">
        <v>8040000</v>
      </c>
      <c r="M19" s="637" t="s">
        <v>415</v>
      </c>
      <c r="N19" s="645">
        <v>217000000</v>
      </c>
      <c r="U19" s="660" t="s">
        <v>450</v>
      </c>
      <c r="V19" s="664">
        <v>1640000000000000</v>
      </c>
      <c r="W19" s="662" t="s">
        <v>451</v>
      </c>
      <c r="X19" s="664">
        <v>338000000000000</v>
      </c>
      <c r="Y19" s="662" t="s">
        <v>452</v>
      </c>
      <c r="Z19" s="667">
        <v>504000000000000</v>
      </c>
    </row>
    <row r="20" ht="16.5" spans="1:26">
      <c r="A20" s="637" t="s">
        <v>61</v>
      </c>
      <c r="B20" s="644">
        <f t="shared" si="5"/>
        <v>4100000</v>
      </c>
      <c r="C20" s="637" t="s">
        <v>54</v>
      </c>
      <c r="D20" s="644">
        <f t="shared" si="4"/>
        <v>2062500000</v>
      </c>
      <c r="F20" s="637" t="s">
        <v>61</v>
      </c>
      <c r="G20" s="650">
        <v>1e-9</v>
      </c>
      <c r="H20" s="637" t="s">
        <v>54</v>
      </c>
      <c r="I20" s="650">
        <v>1e-5</v>
      </c>
      <c r="K20" s="637" t="s">
        <v>61</v>
      </c>
      <c r="L20" s="645">
        <v>1630000</v>
      </c>
      <c r="M20" s="637" t="s">
        <v>54</v>
      </c>
      <c r="N20" s="645">
        <v>128000000</v>
      </c>
      <c r="U20" s="660" t="s">
        <v>453</v>
      </c>
      <c r="V20" s="664">
        <v>1.27e+16</v>
      </c>
      <c r="W20" s="662" t="s">
        <v>454</v>
      </c>
      <c r="X20" s="664">
        <v>520000000000000</v>
      </c>
      <c r="Y20" s="662" t="s">
        <v>455</v>
      </c>
      <c r="Z20" s="667">
        <v>520000000000000</v>
      </c>
    </row>
    <row r="21" ht="16.5" spans="1:26">
      <c r="A21" s="637" t="s">
        <v>413</v>
      </c>
      <c r="B21" s="644">
        <f t="shared" si="5"/>
        <v>115750</v>
      </c>
      <c r="C21" s="637" t="s">
        <v>422</v>
      </c>
      <c r="D21" s="644">
        <f t="shared" si="4"/>
        <v>29500000</v>
      </c>
      <c r="F21" s="637" t="s">
        <v>413</v>
      </c>
      <c r="G21" s="650">
        <v>1e-9</v>
      </c>
      <c r="H21" s="637" t="s">
        <v>422</v>
      </c>
      <c r="I21" s="650">
        <v>1e-5</v>
      </c>
      <c r="K21" s="637" t="s">
        <v>413</v>
      </c>
      <c r="L21" s="645">
        <v>44200</v>
      </c>
      <c r="M21" s="637" t="s">
        <v>422</v>
      </c>
      <c r="N21" s="645">
        <v>1590000</v>
      </c>
      <c r="U21" s="660" t="s">
        <v>456</v>
      </c>
      <c r="V21" s="664">
        <v>1.85e+16</v>
      </c>
      <c r="W21" s="662" t="s">
        <v>457</v>
      </c>
      <c r="X21" s="664">
        <v>1450000000000000</v>
      </c>
      <c r="Y21" s="662" t="s">
        <v>458</v>
      </c>
      <c r="Z21" s="667">
        <v>9680000000000</v>
      </c>
    </row>
    <row r="22" ht="16.5" spans="1:26">
      <c r="A22" s="637" t="s">
        <v>55</v>
      </c>
      <c r="B22" s="644">
        <f t="shared" si="5"/>
        <v>2347500000</v>
      </c>
      <c r="C22" s="637" t="s">
        <v>62</v>
      </c>
      <c r="D22" s="644">
        <f t="shared" si="4"/>
        <v>2212500000</v>
      </c>
      <c r="F22" s="637" t="s">
        <v>55</v>
      </c>
      <c r="G22" s="650">
        <v>3e-7</v>
      </c>
      <c r="H22" s="637" t="s">
        <v>62</v>
      </c>
      <c r="I22" s="650">
        <v>3e-7</v>
      </c>
      <c r="K22" s="637" t="s">
        <v>55</v>
      </c>
      <c r="L22" s="645">
        <v>570000000</v>
      </c>
      <c r="M22" s="637" t="s">
        <v>62</v>
      </c>
      <c r="N22" s="645">
        <v>885000000</v>
      </c>
      <c r="U22" s="660" t="s">
        <v>459</v>
      </c>
      <c r="V22" s="664">
        <v>2.22e+16</v>
      </c>
      <c r="W22" s="662" t="s">
        <v>55</v>
      </c>
      <c r="X22" s="664">
        <v>3400000000000000</v>
      </c>
      <c r="Y22" s="662" t="s">
        <v>460</v>
      </c>
      <c r="Z22" s="667">
        <v>192000000000000</v>
      </c>
    </row>
    <row r="23" ht="16.5" spans="1:26">
      <c r="A23" s="637" t="s">
        <v>56</v>
      </c>
      <c r="B23" s="644">
        <f t="shared" si="5"/>
        <v>975000000</v>
      </c>
      <c r="C23" s="637" t="s">
        <v>63</v>
      </c>
      <c r="D23" s="644">
        <f t="shared" si="4"/>
        <v>2040000000</v>
      </c>
      <c r="F23" s="637" t="s">
        <v>56</v>
      </c>
      <c r="G23" s="650">
        <v>3e-7</v>
      </c>
      <c r="H23" s="637" t="s">
        <v>63</v>
      </c>
      <c r="I23" s="650">
        <v>3e-7</v>
      </c>
      <c r="K23" s="637" t="s">
        <v>56</v>
      </c>
      <c r="L23" s="645">
        <v>225000000</v>
      </c>
      <c r="M23" s="637" t="s">
        <v>63</v>
      </c>
      <c r="N23" s="645">
        <v>810000000</v>
      </c>
      <c r="U23" s="660" t="s">
        <v>461</v>
      </c>
      <c r="V23" s="664">
        <v>137000000000000</v>
      </c>
      <c r="W23" s="662" t="s">
        <v>56</v>
      </c>
      <c r="X23" s="664">
        <v>1500000000000000</v>
      </c>
      <c r="Y23" s="662" t="s">
        <v>462</v>
      </c>
      <c r="Z23" s="667">
        <v>4480000000000</v>
      </c>
    </row>
    <row r="24" ht="16.5" spans="21:26">
      <c r="U24" s="660" t="s">
        <v>463</v>
      </c>
      <c r="V24" s="664">
        <v>1530000000000000</v>
      </c>
      <c r="W24" s="662" t="s">
        <v>57</v>
      </c>
      <c r="X24" s="664">
        <v>361000000000000</v>
      </c>
      <c r="Y24" s="662" t="s">
        <v>464</v>
      </c>
      <c r="Z24" s="667">
        <v>1370000000000000</v>
      </c>
    </row>
    <row r="25" ht="16.5" spans="11:26">
      <c r="K25" s="637" t="s">
        <v>402</v>
      </c>
      <c r="L25" s="656">
        <f>B3/L3</f>
        <v>1</v>
      </c>
      <c r="M25" s="637" t="s">
        <v>57</v>
      </c>
      <c r="N25" s="656">
        <f t="shared" ref="N25:N33" si="6">D3/N3</f>
        <v>3.95193591455274</v>
      </c>
      <c r="U25" s="660" t="s">
        <v>465</v>
      </c>
      <c r="V25" s="664">
        <v>1480000000000000</v>
      </c>
      <c r="W25" s="662" t="s">
        <v>59</v>
      </c>
      <c r="X25" s="664">
        <v>9080000000000</v>
      </c>
      <c r="Y25" s="662" t="s">
        <v>466</v>
      </c>
      <c r="Z25" s="667">
        <v>10600000000000</v>
      </c>
    </row>
    <row r="26" ht="16.5" spans="1:26">
      <c r="A26" s="637" t="s">
        <v>46</v>
      </c>
      <c r="B26" s="645">
        <f>B15</f>
        <v>512.5</v>
      </c>
      <c r="K26" s="637" t="s">
        <v>47</v>
      </c>
      <c r="L26" s="656">
        <f t="shared" ref="L26:L33" si="7">B4/L4</f>
        <v>1.00375939849624</v>
      </c>
      <c r="M26" s="637" t="s">
        <v>59</v>
      </c>
      <c r="N26" s="656">
        <f t="shared" si="6"/>
        <v>7.74736842105263</v>
      </c>
      <c r="U26" s="660" t="s">
        <v>467</v>
      </c>
      <c r="V26" s="664">
        <v>1.36e+16</v>
      </c>
      <c r="W26" s="662" t="s">
        <v>409</v>
      </c>
      <c r="X26" s="664">
        <v>96400000000000</v>
      </c>
      <c r="Y26" s="661" t="s">
        <v>468</v>
      </c>
      <c r="Z26" s="667">
        <v>2.4e+17</v>
      </c>
    </row>
    <row r="27" spans="1:14">
      <c r="A27" s="637" t="s">
        <v>47</v>
      </c>
      <c r="B27" s="645">
        <f>B16</f>
        <v>6675000000</v>
      </c>
      <c r="K27" s="637" t="s">
        <v>408</v>
      </c>
      <c r="L27" s="656">
        <f t="shared" si="7"/>
        <v>1</v>
      </c>
      <c r="M27" s="637" t="s">
        <v>409</v>
      </c>
      <c r="N27" s="656">
        <f t="shared" si="6"/>
        <v>1.50625</v>
      </c>
    </row>
    <row r="28" spans="1:14">
      <c r="A28" s="637" t="s">
        <v>48</v>
      </c>
      <c r="B28" s="645">
        <f>B17</f>
        <v>245500</v>
      </c>
      <c r="K28" s="637" t="s">
        <v>50</v>
      </c>
      <c r="L28" s="656">
        <f t="shared" si="7"/>
        <v>1</v>
      </c>
      <c r="M28" s="637" t="s">
        <v>52</v>
      </c>
      <c r="N28" s="656">
        <f t="shared" si="6"/>
        <v>1.76754385964912</v>
      </c>
    </row>
    <row r="29" spans="1:14">
      <c r="A29" s="637" t="s">
        <v>49</v>
      </c>
      <c r="B29" s="645">
        <v>0</v>
      </c>
      <c r="K29" s="637" t="s">
        <v>60</v>
      </c>
      <c r="L29" s="656">
        <f t="shared" si="7"/>
        <v>1.15049751243781</v>
      </c>
      <c r="M29" s="637" t="s">
        <v>415</v>
      </c>
      <c r="N29" s="656">
        <f t="shared" si="6"/>
        <v>2.10138248847926</v>
      </c>
    </row>
    <row r="30" spans="1:14">
      <c r="A30" s="637" t="s">
        <v>50</v>
      </c>
      <c r="B30" s="645">
        <f>B18</f>
        <v>9125</v>
      </c>
      <c r="K30" s="637" t="s">
        <v>61</v>
      </c>
      <c r="L30" s="656">
        <f t="shared" si="7"/>
        <v>1.00613496932515</v>
      </c>
      <c r="M30" s="637" t="s">
        <v>54</v>
      </c>
      <c r="N30" s="656">
        <f t="shared" si="6"/>
        <v>6.4453125</v>
      </c>
    </row>
    <row r="31" spans="1:14">
      <c r="A31" s="637" t="s">
        <v>51</v>
      </c>
      <c r="B31" s="645">
        <f>D17</f>
        <v>2410000000</v>
      </c>
      <c r="K31" s="637" t="s">
        <v>413</v>
      </c>
      <c r="L31" s="656">
        <f t="shared" si="7"/>
        <v>1.04751131221719</v>
      </c>
      <c r="M31" s="637" t="s">
        <v>422</v>
      </c>
      <c r="N31" s="656">
        <f t="shared" si="6"/>
        <v>7.42138364779874</v>
      </c>
    </row>
    <row r="32" spans="1:14">
      <c r="A32" s="637" t="s">
        <v>52</v>
      </c>
      <c r="B32" s="645">
        <f>D18</f>
        <v>100750000000</v>
      </c>
      <c r="K32" s="637" t="s">
        <v>55</v>
      </c>
      <c r="L32" s="656">
        <f t="shared" si="7"/>
        <v>1.64736842105263</v>
      </c>
      <c r="M32" s="637" t="s">
        <v>62</v>
      </c>
      <c r="N32" s="656">
        <f t="shared" si="6"/>
        <v>1</v>
      </c>
    </row>
    <row r="33" spans="1:14">
      <c r="A33" s="637" t="s">
        <v>53</v>
      </c>
      <c r="B33" s="645">
        <f>D19</f>
        <v>1140000000</v>
      </c>
      <c r="K33" s="637" t="s">
        <v>56</v>
      </c>
      <c r="L33" s="656">
        <f t="shared" si="7"/>
        <v>1.73102529960053</v>
      </c>
      <c r="M33" s="637" t="s">
        <v>63</v>
      </c>
      <c r="N33" s="656">
        <f t="shared" si="6"/>
        <v>1.00740740740741</v>
      </c>
    </row>
    <row r="34" spans="1:2">
      <c r="A34" s="637" t="s">
        <v>54</v>
      </c>
      <c r="B34" s="645">
        <f>D20</f>
        <v>2062500000</v>
      </c>
    </row>
    <row r="35" spans="1:2">
      <c r="A35" s="637" t="s">
        <v>55</v>
      </c>
      <c r="B35" s="645">
        <f>B22</f>
        <v>2347500000</v>
      </c>
    </row>
    <row r="36" spans="1:2">
      <c r="A36" s="637" t="s">
        <v>56</v>
      </c>
      <c r="B36" s="645">
        <f>B23</f>
        <v>975000000</v>
      </c>
    </row>
    <row r="37" spans="1:14">
      <c r="A37" s="637" t="s">
        <v>57</v>
      </c>
      <c r="B37" s="645">
        <f>D15</f>
        <v>222000000</v>
      </c>
      <c r="K37" s="637" t="s">
        <v>402</v>
      </c>
      <c r="L37" s="657">
        <f>B15/L15</f>
        <v>2.5</v>
      </c>
      <c r="M37" s="637" t="s">
        <v>57</v>
      </c>
      <c r="N37" s="657">
        <f t="shared" ref="N37:N45" si="8">D15/N15</f>
        <v>9.86666666666667</v>
      </c>
    </row>
    <row r="38" spans="1:14">
      <c r="A38" s="637" t="s">
        <v>58</v>
      </c>
      <c r="B38" s="645">
        <v>0</v>
      </c>
      <c r="K38" s="637" t="s">
        <v>47</v>
      </c>
      <c r="L38" s="657">
        <f t="shared" ref="L38:L45" si="9">B16/L16</f>
        <v>2.5093984962406</v>
      </c>
      <c r="M38" s="637" t="s">
        <v>59</v>
      </c>
      <c r="N38" s="657">
        <f t="shared" si="8"/>
        <v>19.3684210526316</v>
      </c>
    </row>
    <row r="39" spans="1:14">
      <c r="A39" s="637" t="s">
        <v>59</v>
      </c>
      <c r="B39" s="645">
        <f>D16</f>
        <v>5520000</v>
      </c>
      <c r="K39" s="637" t="s">
        <v>408</v>
      </c>
      <c r="L39" s="657">
        <f t="shared" si="9"/>
        <v>2.5</v>
      </c>
      <c r="M39" s="637" t="s">
        <v>409</v>
      </c>
      <c r="N39" s="657">
        <f t="shared" si="8"/>
        <v>3.765625</v>
      </c>
    </row>
    <row r="40" spans="1:14">
      <c r="A40" s="637" t="s">
        <v>60</v>
      </c>
      <c r="B40" s="645">
        <f>B19</f>
        <v>23125000</v>
      </c>
      <c r="K40" s="637" t="s">
        <v>50</v>
      </c>
      <c r="L40" s="657">
        <f t="shared" si="9"/>
        <v>2.5</v>
      </c>
      <c r="M40" s="637" t="s">
        <v>52</v>
      </c>
      <c r="N40" s="657">
        <f t="shared" si="8"/>
        <v>4.41885964912281</v>
      </c>
    </row>
    <row r="41" spans="1:14">
      <c r="A41" s="637" t="s">
        <v>61</v>
      </c>
      <c r="B41" s="645">
        <f>B20</f>
        <v>4100000</v>
      </c>
      <c r="K41" s="637" t="s">
        <v>60</v>
      </c>
      <c r="L41" s="657">
        <f t="shared" si="9"/>
        <v>2.87624378109453</v>
      </c>
      <c r="M41" s="637" t="s">
        <v>415</v>
      </c>
      <c r="N41" s="657">
        <f t="shared" si="8"/>
        <v>5.25345622119816</v>
      </c>
    </row>
    <row r="42" spans="1:14">
      <c r="A42" s="637" t="s">
        <v>62</v>
      </c>
      <c r="B42" s="645">
        <f>D22</f>
        <v>2212500000</v>
      </c>
      <c r="K42" s="637" t="s">
        <v>61</v>
      </c>
      <c r="L42" s="657">
        <f t="shared" si="9"/>
        <v>2.51533742331288</v>
      </c>
      <c r="M42" s="637" t="s">
        <v>54</v>
      </c>
      <c r="N42" s="657">
        <f t="shared" si="8"/>
        <v>16.11328125</v>
      </c>
    </row>
    <row r="43" spans="1:14">
      <c r="A43" s="637" t="s">
        <v>63</v>
      </c>
      <c r="B43" s="645">
        <f>D23</f>
        <v>2040000000</v>
      </c>
      <c r="K43" s="637" t="s">
        <v>413</v>
      </c>
      <c r="L43" s="657">
        <f t="shared" si="9"/>
        <v>2.61877828054299</v>
      </c>
      <c r="M43" s="637" t="s">
        <v>422</v>
      </c>
      <c r="N43" s="657">
        <f t="shared" si="8"/>
        <v>18.5534591194969</v>
      </c>
    </row>
    <row r="44" spans="1:14">
      <c r="A44" s="637" t="s">
        <v>64</v>
      </c>
      <c r="B44" s="645">
        <f>B21</f>
        <v>115750</v>
      </c>
      <c r="K44" s="637" t="s">
        <v>55</v>
      </c>
      <c r="L44" s="657">
        <f t="shared" si="9"/>
        <v>4.11842105263158</v>
      </c>
      <c r="M44" s="637" t="s">
        <v>62</v>
      </c>
      <c r="N44" s="657">
        <f t="shared" si="8"/>
        <v>2.5</v>
      </c>
    </row>
    <row r="45" spans="1:14">
      <c r="A45" s="637" t="s">
        <v>65</v>
      </c>
      <c r="B45" s="645">
        <v>0</v>
      </c>
      <c r="K45" s="637" t="s">
        <v>56</v>
      </c>
      <c r="L45" s="657">
        <f t="shared" si="9"/>
        <v>4.33333333333333</v>
      </c>
      <c r="M45" s="637" t="s">
        <v>63</v>
      </c>
      <c r="N45" s="657">
        <f t="shared" si="8"/>
        <v>2.51851851851852</v>
      </c>
    </row>
    <row r="46" spans="1:2">
      <c r="A46" s="637" t="s">
        <v>66</v>
      </c>
      <c r="B46" s="645">
        <v>0</v>
      </c>
    </row>
    <row r="47" spans="1:2">
      <c r="A47" s="637" t="s">
        <v>67</v>
      </c>
      <c r="B47" s="645">
        <v>0</v>
      </c>
    </row>
    <row r="48" spans="1:2">
      <c r="A48" s="637" t="s">
        <v>68</v>
      </c>
      <c r="B48" s="645">
        <v>0</v>
      </c>
    </row>
    <row r="50" ht="13.5" spans="1:3">
      <c r="A50" s="651" t="s">
        <v>289</v>
      </c>
      <c r="B50" s="652" t="s">
        <v>290</v>
      </c>
      <c r="C50" s="652" t="s">
        <v>291</v>
      </c>
    </row>
    <row r="51" spans="1:5">
      <c r="A51" s="653">
        <f>后果有效剂量!P5</f>
        <v>0</v>
      </c>
      <c r="B51" s="334">
        <f>SUMPRODUCT(B$26:B$48,后果有效剂量!$I$5:$I$27)*后果有效剂量!$Q5+SUMPRODUCT(B$26:B$48,后果有效剂量!$J$5:$J$27)*后果有效剂量!$Q5*后果有效剂量!$Q$3+SUMPRODUCT(B$26:B$48,后果有效剂量!$K$5:$K$27)*后果有效剂量!$Q5</f>
        <v>0</v>
      </c>
      <c r="C51" s="334">
        <f>SUMPRODUCT(B$26:B$48,后果甲状腺剂量!$I$5:$I$27)*后果甲状腺剂量!$Q5+SUMPRODUCT(B$26:B$48,后果甲状腺剂量!$J$5:$J$27)*后果甲状腺剂量!$Q5*后果甲状腺剂量!$Q$3+SUMPRODUCT(B$26:B$48,后果甲状腺剂量!$K$5:$K$27)*后果甲状腺剂量!$Q5</f>
        <v>0</v>
      </c>
      <c r="D51" s="333">
        <f t="shared" ref="D51:D76" si="10">B51*1000</f>
        <v>0</v>
      </c>
      <c r="E51" s="333">
        <f t="shared" ref="E51:E76" si="11">C51*1000</f>
        <v>0</v>
      </c>
    </row>
    <row r="52" spans="1:5">
      <c r="A52" s="653">
        <f>后果有效剂量!P6</f>
        <v>0</v>
      </c>
      <c r="B52" s="334">
        <f>SUMPRODUCT(B$26:B$48,后果有效剂量!$I$5:$I$27)*后果有效剂量!$Q6+SUMPRODUCT(B$26:B$48,后果有效剂量!$J$5:$J$27)*后果有效剂量!$Q6*后果有效剂量!$Q$3+SUMPRODUCT(B$26:B$48,后果有效剂量!$K$5:$K$27)*后果有效剂量!$Q6</f>
        <v>0</v>
      </c>
      <c r="C52" s="334">
        <f>SUMPRODUCT(B$26:B$48,后果甲状腺剂量!$I$5:$I$27)*后果甲状腺剂量!$Q6+SUMPRODUCT(B$26:B$48,后果甲状腺剂量!$J$5:$J$27)*后果甲状腺剂量!$Q6*后果甲状腺剂量!$Q$3+SUMPRODUCT(B$26:B$48,后果甲状腺剂量!$K$5:$K$27)*后果甲状腺剂量!$Q6</f>
        <v>0</v>
      </c>
      <c r="D52" s="333">
        <f t="shared" si="10"/>
        <v>0</v>
      </c>
      <c r="E52" s="333">
        <f t="shared" si="11"/>
        <v>0</v>
      </c>
    </row>
    <row r="53" spans="1:5">
      <c r="A53" s="653">
        <f>后果有效剂量!P7</f>
        <v>0</v>
      </c>
      <c r="B53" s="334">
        <f>SUMPRODUCT(B$26:B$48,后果有效剂量!$I$5:$I$27)*后果有效剂量!$Q7+SUMPRODUCT(B$26:B$48,后果有效剂量!$J$5:$J$27)*后果有效剂量!$Q7*后果有效剂量!$Q$3+SUMPRODUCT(B$26:B$48,后果有效剂量!$K$5:$K$27)*后果有效剂量!$Q7</f>
        <v>0</v>
      </c>
      <c r="C53" s="334">
        <f>SUMPRODUCT(B$26:B$48,后果甲状腺剂量!$I$5:$I$27)*后果甲状腺剂量!$Q7+SUMPRODUCT(B$26:B$48,后果甲状腺剂量!$J$5:$J$27)*后果甲状腺剂量!$Q7*后果甲状腺剂量!$Q$3+SUMPRODUCT(B$26:B$48,后果甲状腺剂量!$K$5:$K$27)*后果甲状腺剂量!$Q7</f>
        <v>0</v>
      </c>
      <c r="D53" s="333">
        <f t="shared" si="10"/>
        <v>0</v>
      </c>
      <c r="E53" s="333">
        <f t="shared" si="11"/>
        <v>0</v>
      </c>
    </row>
    <row r="54" spans="1:7">
      <c r="A54" s="653" t="str">
        <f>后果有效剂量!P8</f>
        <v>500m</v>
      </c>
      <c r="B54" s="334">
        <f>SUMPRODUCT(B$26:B$48,后果有效剂量!$I$5:$I$27)*后果有效剂量!$Q8+SUMPRODUCT(B$26:B$48,后果有效剂量!$J$5:$J$27)*后果有效剂量!$Q8*后果有效剂量!$Q$3+SUMPRODUCT(B$26:B$48,后果有效剂量!$K$5:$K$27)*后果有效剂量!$Q8</f>
        <v>2.30633276027529e-5</v>
      </c>
      <c r="C54" s="334">
        <f>SUMPRODUCT(B$26:B$48,后果甲状腺剂量!$I$5:$I$27)*后果甲状腺剂量!$Q8+SUMPRODUCT(B$26:B$48,后果甲状腺剂量!$J$5:$J$27)*后果甲状腺剂量!$Q8*后果甲状腺剂量!$Q$3+SUMPRODUCT(B$26:B$48,后果甲状腺剂量!$K$5:$K$27)*后果甲状腺剂量!$Q8</f>
        <v>0.0010251959741698</v>
      </c>
      <c r="D54" s="333">
        <f t="shared" si="10"/>
        <v>0.0230633276027529</v>
      </c>
      <c r="E54" s="333">
        <f t="shared" si="11"/>
        <v>1.0251959741698</v>
      </c>
      <c r="F54" s="357">
        <f>D54/5*100</f>
        <v>0.461266552055059</v>
      </c>
      <c r="G54" s="357">
        <f>E54/50*100</f>
        <v>2.0503919483396</v>
      </c>
    </row>
    <row r="55" spans="1:5">
      <c r="A55" s="653" t="str">
        <f>后果有效剂量!P9</f>
        <v>1500m</v>
      </c>
      <c r="B55" s="334">
        <f>SUMPRODUCT(B$26:B$48,后果有效剂量!$I$5:$I$27)*后果有效剂量!$Q9+SUMPRODUCT(B$26:B$48,后果有效剂量!$J$5:$J$27)*后果有效剂量!$Q9*后果有效剂量!$Q$3+SUMPRODUCT(B$26:B$48,后果有效剂量!$K$5:$K$27)*后果有效剂量!$Q9</f>
        <v>7.74007366260189e-6</v>
      </c>
      <c r="C55" s="334">
        <f>SUMPRODUCT(B$26:B$48,后果甲状腺剂量!$I$5:$I$27)*后果甲状腺剂量!$Q9+SUMPRODUCT(B$26:B$48,后果甲状腺剂量!$J$5:$J$27)*后果甲状腺剂量!$Q9*后果甲状腺剂量!$Q$3+SUMPRODUCT(B$26:B$48,后果甲状腺剂量!$K$5:$K$27)*后果甲状腺剂量!$Q9</f>
        <v>0.000376465406908254</v>
      </c>
      <c r="D55" s="333">
        <f t="shared" si="10"/>
        <v>0.00774007366260189</v>
      </c>
      <c r="E55" s="333">
        <f t="shared" si="11"/>
        <v>0.376465406908254</v>
      </c>
    </row>
    <row r="56" spans="1:5">
      <c r="A56" s="653" t="str">
        <f>后果有效剂量!P10</f>
        <v>2500m</v>
      </c>
      <c r="B56" s="334">
        <f>SUMPRODUCT(B$26:B$48,后果有效剂量!$I$5:$I$27)*后果有效剂量!$Q10+SUMPRODUCT(B$26:B$48,后果有效剂量!$J$5:$J$27)*后果有效剂量!$Q10*后果有效剂量!$Q$3+SUMPRODUCT(B$26:B$48,后果有效剂量!$K$5:$K$27)*后果有效剂量!$Q10</f>
        <v>5.22977950175803e-6</v>
      </c>
      <c r="C56" s="334">
        <f>SUMPRODUCT(B$26:B$48,后果甲状腺剂量!$I$5:$I$27)*后果甲状腺剂量!$Q10+SUMPRODUCT(B$26:B$48,后果甲状腺剂量!$J$5:$J$27)*后果甲状腺剂量!$Q10*后果甲状腺剂量!$Q$3+SUMPRODUCT(B$26:B$48,后果甲状腺剂量!$K$5:$K$27)*后果甲状腺剂量!$Q10</f>
        <v>0.000277979367422434</v>
      </c>
      <c r="D56" s="333">
        <f t="shared" si="10"/>
        <v>0.00522977950175803</v>
      </c>
      <c r="E56" s="333">
        <f t="shared" si="11"/>
        <v>0.277979367422434</v>
      </c>
    </row>
    <row r="57" spans="1:5">
      <c r="A57" s="653" t="str">
        <f>后果有效剂量!P11</f>
        <v>4000m</v>
      </c>
      <c r="B57" s="334">
        <f>SUMPRODUCT(B$26:B$48,后果有效剂量!$I$5:$I$27)*后果有效剂量!$Q11+SUMPRODUCT(B$26:B$48,后果有效剂量!$J$5:$J$27)*后果有效剂量!$Q11*后果有效剂量!$Q$3+SUMPRODUCT(B$26:B$48,后果有效剂量!$K$5:$K$27)*后果有效剂量!$Q11</f>
        <v>3.01235299301263e-5</v>
      </c>
      <c r="C57" s="334">
        <f>SUMPRODUCT(B$26:B$48,后果甲状腺剂量!$I$5:$I$27)*后果甲状腺剂量!$Q11+SUMPRODUCT(B$26:B$48,后果甲状腺剂量!$J$5:$J$27)*后果甲状腺剂量!$Q11*后果甲状腺剂量!$Q$3+SUMPRODUCT(B$26:B$48,后果甲状腺剂量!$K$5:$K$27)*后果甲状腺剂量!$Q11</f>
        <v>0.000193610780695674</v>
      </c>
      <c r="D57" s="333">
        <f t="shared" si="10"/>
        <v>0.0301235299301263</v>
      </c>
      <c r="E57" s="333">
        <f t="shared" si="11"/>
        <v>0.193610780695674</v>
      </c>
    </row>
    <row r="58" spans="1:5">
      <c r="A58" s="653" t="str">
        <f>后果有效剂量!P12</f>
        <v>5000m</v>
      </c>
      <c r="B58" s="334">
        <f>SUMPRODUCT(B$26:B$48,后果有效剂量!$I$5:$I$27)*后果有效剂量!$Q12+SUMPRODUCT(B$26:B$48,后果有效剂量!$J$5:$J$27)*后果有效剂量!$Q12*后果有效剂量!$Q$3+SUMPRODUCT(B$26:B$48,后果有效剂量!$K$5:$K$27)*后果有效剂量!$Q12</f>
        <v>2.85545960795989e-6</v>
      </c>
      <c r="C58" s="334">
        <f>SUMPRODUCT(B$26:B$48,后果甲状腺剂量!$I$5:$I$27)*后果甲状腺剂量!$Q12+SUMPRODUCT(B$26:B$48,后果甲状腺剂量!$J$5:$J$27)*后果甲状腺剂量!$Q12*后果甲状腺剂量!$Q$3+SUMPRODUCT(B$26:B$48,后果甲状腺剂量!$K$5:$K$27)*后果甲状腺剂量!$Q12</f>
        <v>0.000153611331211672</v>
      </c>
      <c r="D58" s="333">
        <f t="shared" si="10"/>
        <v>0.00285545960795989</v>
      </c>
      <c r="E58" s="333">
        <f t="shared" si="11"/>
        <v>0.153611331211672</v>
      </c>
    </row>
    <row r="59" spans="1:5">
      <c r="A59" s="653" t="str">
        <f>后果有效剂量!P13</f>
        <v>7500m</v>
      </c>
      <c r="B59" s="334">
        <f>SUMPRODUCT(B$26:B$48,后果有效剂量!$I$5:$I$27)*后果有效剂量!$Q13+SUMPRODUCT(B$26:B$48,后果有效剂量!$J$5:$J$27)*后果有效剂量!$Q13*后果有效剂量!$Q$3+SUMPRODUCT(B$26:B$48,后果有效剂量!$K$5:$K$27)*后果有效剂量!$Q13</f>
        <v>1.63692098405026e-5</v>
      </c>
      <c r="C59" s="334">
        <f>SUMPRODUCT(B$26:B$48,后果甲状腺剂量!$I$5:$I$27)*后果甲状腺剂量!$Q13+SUMPRODUCT(B$26:B$48,后果甲状腺剂量!$J$5:$J$27)*后果甲状腺剂量!$Q13*后果甲状腺剂量!$Q$3+SUMPRODUCT(B$26:B$48,后果甲状腺剂量!$K$5:$K$27)*后果甲状腺剂量!$Q13</f>
        <v>0.000105208636037753</v>
      </c>
      <c r="D59" s="333">
        <f t="shared" si="10"/>
        <v>0.0163692098405026</v>
      </c>
      <c r="E59" s="333">
        <f t="shared" si="11"/>
        <v>0.105208636037753</v>
      </c>
    </row>
    <row r="60" spans="1:5">
      <c r="A60" s="653" t="str">
        <f>后果有效剂量!P14</f>
        <v>15000m</v>
      </c>
      <c r="B60" s="334">
        <f>SUMPRODUCT(B$26:B$48,后果有效剂量!$I$5:$I$27)*后果有效剂量!$Q14+SUMPRODUCT(B$26:B$48,后果有效剂量!$J$5:$J$27)*后果有效剂量!$Q14*后果有效剂量!$Q$3+SUMPRODUCT(B$26:B$48,后果有效剂量!$K$5:$K$27)*后果有效剂量!$Q14</f>
        <v>7.42628689249641e-6</v>
      </c>
      <c r="C60" s="334">
        <f>SUMPRODUCT(B$26:B$48,后果甲状腺剂量!$I$5:$I$27)*后果甲状腺剂量!$Q14+SUMPRODUCT(B$26:B$48,后果甲状腺剂量!$J$5:$J$27)*后果甲状腺剂量!$Q14*后果甲状腺剂量!$Q$3+SUMPRODUCT(B$26:B$48,后果甲状腺剂量!$K$5:$K$27)*后果甲状腺剂量!$Q14</f>
        <v>4.77304355187251e-5</v>
      </c>
      <c r="D60" s="333">
        <f t="shared" si="10"/>
        <v>0.00742628689249641</v>
      </c>
      <c r="E60" s="333">
        <f t="shared" si="11"/>
        <v>0.0477304355187251</v>
      </c>
    </row>
    <row r="61" spans="1:5">
      <c r="A61" s="653" t="str">
        <f>后果有效剂量!P15</f>
        <v>25000m</v>
      </c>
      <c r="B61" s="334">
        <f>SUMPRODUCT(B$26:B$48,后果有效剂量!$I$5:$I$27)*后果有效剂量!$Q15+SUMPRODUCT(B$26:B$48,后果有效剂量!$J$5:$J$27)*后果有效剂量!$Q15*后果有效剂量!$Q$3+SUMPRODUCT(B$26:B$48,后果有效剂量!$K$5:$K$27)*后果有效剂量!$Q15</f>
        <v>3.44642469165854e-7</v>
      </c>
      <c r="C61" s="334">
        <f>SUMPRODUCT(B$26:B$48,后果甲状腺剂量!$I$5:$I$27)*后果甲状腺剂量!$Q15+SUMPRODUCT(B$26:B$48,后果甲状腺剂量!$J$5:$J$27)*后果甲状腺剂量!$Q15*后果甲状腺剂量!$Q$3+SUMPRODUCT(B$26:B$48,后果甲状腺剂量!$K$5:$K$27)*后果甲状腺剂量!$Q15</f>
        <v>1.38149359142225e-5</v>
      </c>
      <c r="D61" s="333">
        <f t="shared" si="10"/>
        <v>0.000344642469165854</v>
      </c>
      <c r="E61" s="333">
        <f t="shared" si="11"/>
        <v>0.0138149359142225</v>
      </c>
    </row>
    <row r="62" spans="1:5">
      <c r="A62" s="653" t="str">
        <f>后果有效剂量!P16</f>
        <v>35000m</v>
      </c>
      <c r="B62" s="334">
        <f>SUMPRODUCT(B$26:B$48,后果有效剂量!$I$5:$I$27)*后果有效剂量!$Q16+SUMPRODUCT(B$26:B$48,后果有效剂量!$J$5:$J$27)*后果有效剂量!$Q16*后果有效剂量!$Q$3+SUMPRODUCT(B$26:B$48,后果有效剂量!$K$5:$K$27)*后果有效剂量!$Q16</f>
        <v>1.92455885664696e-7</v>
      </c>
      <c r="C62" s="334">
        <f>SUMPRODUCT(B$26:B$48,后果甲状腺剂量!$I$5:$I$27)*后果甲状腺剂量!$Q16+SUMPRODUCT(B$26:B$48,后果甲状腺剂量!$J$5:$J$27)*后果甲状腺剂量!$Q16*后果甲状腺剂量!$Q$3+SUMPRODUCT(B$26:B$48,后果甲状腺剂量!$K$5:$K$27)*后果甲状腺剂量!$Q16</f>
        <v>6.9242744484911e-6</v>
      </c>
      <c r="D62" s="333">
        <f t="shared" si="10"/>
        <v>0.000192455885664696</v>
      </c>
      <c r="E62" s="333">
        <f t="shared" si="11"/>
        <v>0.0069242744484911</v>
      </c>
    </row>
    <row r="63" spans="1:5">
      <c r="A63" s="653" t="str">
        <f>后果有效剂量!P17</f>
        <v>45000m</v>
      </c>
      <c r="B63" s="334">
        <f>SUMPRODUCT(B$26:B$48,后果有效剂量!$I$5:$I$27)*后果有效剂量!$Q17+SUMPRODUCT(B$26:B$48,后果有效剂量!$J$5:$J$27)*后果有效剂量!$Q17*后果有效剂量!$Q$3+SUMPRODUCT(B$26:B$48,后果有效剂量!$K$5:$K$27)*后果有效剂量!$Q17</f>
        <v>1.64215076355202e-7</v>
      </c>
      <c r="C63" s="334">
        <f>SUMPRODUCT(B$26:B$48,后果甲状腺剂量!$I$5:$I$27)*后果甲状腺剂量!$Q17+SUMPRODUCT(B$26:B$48,后果甲状腺剂量!$J$5:$J$27)*后果甲状腺剂量!$Q17*后果甲状腺剂量!$Q$3+SUMPRODUCT(B$26:B$48,后果甲状腺剂量!$K$5:$K$27)*后果甲状腺剂量!$Q17</f>
        <v>5.9494979484608e-6</v>
      </c>
      <c r="D63" s="333">
        <f t="shared" si="10"/>
        <v>0.000164215076355202</v>
      </c>
      <c r="E63" s="333">
        <f t="shared" si="11"/>
        <v>0.0059494979484608</v>
      </c>
    </row>
    <row r="64" spans="1:5">
      <c r="A64" s="653" t="str">
        <f>后果有效剂量!P18</f>
        <v>55000m</v>
      </c>
      <c r="B64" s="334">
        <f>SUMPRODUCT(B$26:B$48,后果有效剂量!$I$5:$I$27)*后果有效剂量!$Q18+SUMPRODUCT(B$26:B$48,后果有效剂量!$J$5:$J$27)*后果有效剂量!$Q18*后果有效剂量!$Q$3+SUMPRODUCT(B$26:B$48,后果有效剂量!$K$5:$K$27)*后果有效剂量!$Q18</f>
        <v>8.21075381776011e-7</v>
      </c>
      <c r="C64" s="334">
        <f>SUMPRODUCT(B$26:B$48,后果甲状腺剂量!$I$5:$I$27)*后果甲状腺剂量!$Q18+SUMPRODUCT(B$26:B$48,后果甲状腺剂量!$J$5:$J$27)*后果甲状腺剂量!$Q18*后果甲状腺剂量!$Q$3+SUMPRODUCT(B$26:B$48,后果甲状腺剂量!$K$5:$K$27)*后果甲状腺剂量!$Q18</f>
        <v>5.27723829326749e-6</v>
      </c>
      <c r="D64" s="333">
        <f t="shared" si="10"/>
        <v>0.000821075381776011</v>
      </c>
      <c r="E64" s="333">
        <f t="shared" si="11"/>
        <v>0.00527723829326749</v>
      </c>
    </row>
    <row r="65" spans="1:5">
      <c r="A65" s="653" t="str">
        <f>后果有效剂量!P19</f>
        <v>65000m</v>
      </c>
      <c r="B65" s="334">
        <f>SUMPRODUCT(B$26:B$48,后果有效剂量!$I$5:$I$27)*后果有效剂量!$Q19+SUMPRODUCT(B$26:B$48,后果有效剂量!$J$5:$J$27)*后果有效剂量!$Q19*后果有效剂量!$Q$3+SUMPRODUCT(B$26:B$48,后果有效剂量!$K$5:$K$27)*后果有效剂量!$Q19</f>
        <v>7.42628689249641e-7</v>
      </c>
      <c r="C65" s="334">
        <f>SUMPRODUCT(B$26:B$48,后果甲状腺剂量!$I$5:$I$27)*后果甲状腺剂量!$Q19+SUMPRODUCT(B$26:B$48,后果甲状腺剂量!$J$5:$J$27)*后果甲状腺剂量!$Q19*后果甲状腺剂量!$Q$3+SUMPRODUCT(B$26:B$48,后果甲状腺剂量!$K$5:$K$27)*后果甲状腺剂量!$Q19</f>
        <v>4.77304355187251e-6</v>
      </c>
      <c r="D65" s="333">
        <f t="shared" si="10"/>
        <v>0.000742628689249641</v>
      </c>
      <c r="E65" s="333">
        <f t="shared" si="11"/>
        <v>0.00477304355187251</v>
      </c>
    </row>
    <row r="66" spans="1:5">
      <c r="A66" s="653" t="str">
        <f>后果有效剂量!P20</f>
        <v>75000m</v>
      </c>
      <c r="B66" s="334">
        <f>SUMPRODUCT(B$26:B$48,后果有效剂量!$I$5:$I$27)*后果有效剂量!$Q20+SUMPRODUCT(B$26:B$48,后果有效剂量!$J$5:$J$27)*后果有效剂量!$Q20*后果有效剂量!$Q$3+SUMPRODUCT(B$26:B$48,后果有效剂量!$K$5:$K$27)*后果有效剂量!$Q20</f>
        <v>6.79871335228544e-7</v>
      </c>
      <c r="C66" s="334">
        <f>SUMPRODUCT(B$26:B$48,后果甲状腺剂量!$I$5:$I$27)*后果甲状腺剂量!$Q20+SUMPRODUCT(B$26:B$48,后果甲状腺剂量!$J$5:$J$27)*后果甲状腺剂量!$Q20*后果甲状腺剂量!$Q$3+SUMPRODUCT(B$26:B$48,后果甲状腺剂量!$K$5:$K$27)*后果甲状腺剂量!$Q20</f>
        <v>4.36968775875652e-6</v>
      </c>
      <c r="D66" s="333">
        <f t="shared" si="10"/>
        <v>0.000679871335228544</v>
      </c>
      <c r="E66" s="333">
        <f t="shared" si="11"/>
        <v>0.00436968775875652</v>
      </c>
    </row>
    <row r="67" spans="1:5">
      <c r="A67" s="653">
        <f>后果有效剂量!P21</f>
        <v>0</v>
      </c>
      <c r="B67" s="334">
        <f>SUMPRODUCT(B$26:B$48,后果有效剂量!$I$5:$I$27)*后果有效剂量!$Q21+SUMPRODUCT(B$26:B$48,后果有效剂量!$J$5:$J$27)*后果有效剂量!$Q21*后果有效剂量!$Q$3+SUMPRODUCT(B$26:B$48,后果有效剂量!$K$5:$K$27)*后果有效剂量!$Q21</f>
        <v>0</v>
      </c>
      <c r="C67" s="334">
        <f>SUMPRODUCT(B$26:B$48,后果甲状腺剂量!$I$5:$I$27)*后果甲状腺剂量!$Q21+SUMPRODUCT(B$26:B$48,后果甲状腺剂量!$J$5:$J$27)*后果甲状腺剂量!$Q21*后果甲状腺剂量!$Q$3+SUMPRODUCT(B$26:B$48,后果甲状腺剂量!$K$5:$K$27)*后果甲状腺剂量!$Q21</f>
        <v>0</v>
      </c>
      <c r="D67" s="333">
        <f t="shared" si="10"/>
        <v>0</v>
      </c>
      <c r="E67" s="333">
        <f t="shared" si="11"/>
        <v>0</v>
      </c>
    </row>
    <row r="68" spans="1:5">
      <c r="A68" s="653">
        <f>后果有效剂量!P22</f>
        <v>0</v>
      </c>
      <c r="B68" s="334">
        <f>SUMPRODUCT(B$26:B$48,后果有效剂量!$I$5:$I$27)*后果有效剂量!$Q22+SUMPRODUCT(B$26:B$48,后果有效剂量!$J$5:$J$27)*后果有效剂量!$Q22*后果有效剂量!$Q$3+SUMPRODUCT(B$26:B$48,后果有效剂量!$K$5:$K$27)*后果有效剂量!$Q22</f>
        <v>0</v>
      </c>
      <c r="C68" s="334">
        <f>SUMPRODUCT(B$26:B$48,后果甲状腺剂量!$I$5:$I$27)*后果甲状腺剂量!$Q22+SUMPRODUCT(B$26:B$48,后果甲状腺剂量!$J$5:$J$27)*后果甲状腺剂量!$Q22*后果甲状腺剂量!$Q$3+SUMPRODUCT(B$26:B$48,后果甲状腺剂量!$K$5:$K$27)*后果甲状腺剂量!$Q22</f>
        <v>0</v>
      </c>
      <c r="D68" s="333">
        <f t="shared" si="10"/>
        <v>0</v>
      </c>
      <c r="E68" s="333">
        <f t="shared" si="11"/>
        <v>0</v>
      </c>
    </row>
    <row r="69" spans="1:5">
      <c r="A69" s="653">
        <f>后果有效剂量!P23</f>
        <v>0</v>
      </c>
      <c r="B69" s="334">
        <f>SUMPRODUCT(B$26:B$48,后果有效剂量!$I$5:$I$27)*后果有效剂量!$Q23+SUMPRODUCT(B$26:B$48,后果有效剂量!$J$5:$J$27)*后果有效剂量!$Q23*后果有效剂量!$Q$3+SUMPRODUCT(B$26:B$48,后果有效剂量!$K$5:$K$27)*后果有效剂量!$Q23</f>
        <v>0</v>
      </c>
      <c r="C69" s="334">
        <f>SUMPRODUCT(B$26:B$48,后果甲状腺剂量!$I$5:$I$27)*后果甲状腺剂量!$Q23+SUMPRODUCT(B$26:B$48,后果甲状腺剂量!$J$5:$J$27)*后果甲状腺剂量!$Q23*后果甲状腺剂量!$Q$3+SUMPRODUCT(B$26:B$48,后果甲状腺剂量!$K$5:$K$27)*后果甲状腺剂量!$Q23</f>
        <v>0</v>
      </c>
      <c r="D69" s="333">
        <f t="shared" si="10"/>
        <v>0</v>
      </c>
      <c r="E69" s="333">
        <f t="shared" si="11"/>
        <v>0</v>
      </c>
    </row>
    <row r="70" spans="1:5">
      <c r="A70" s="653">
        <f>后果有效剂量!P24</f>
        <v>0</v>
      </c>
      <c r="B70" s="334">
        <f>SUMPRODUCT(B$26:B$48,后果有效剂量!$I$5:$I$27)*后果有效剂量!$Q24+SUMPRODUCT(B$26:B$48,后果有效剂量!$J$5:$J$27)*后果有效剂量!$Q24*后果有效剂量!$Q$3+SUMPRODUCT(B$26:B$48,后果有效剂量!$K$5:$K$27)*后果有效剂量!$Q24</f>
        <v>0</v>
      </c>
      <c r="C70" s="334">
        <f>SUMPRODUCT(B$26:B$48,后果甲状腺剂量!$I$5:$I$27)*后果甲状腺剂量!$Q24+SUMPRODUCT(B$26:B$48,后果甲状腺剂量!$J$5:$J$27)*后果甲状腺剂量!$Q24*后果甲状腺剂量!$Q$3+SUMPRODUCT(B$26:B$48,后果甲状腺剂量!$K$5:$K$27)*后果甲状腺剂量!$Q24</f>
        <v>0</v>
      </c>
      <c r="D70" s="333">
        <f t="shared" si="10"/>
        <v>0</v>
      </c>
      <c r="E70" s="333">
        <f t="shared" si="11"/>
        <v>0</v>
      </c>
    </row>
    <row r="71" spans="1:7">
      <c r="A71" s="653">
        <f>后果有效剂量!P25</f>
        <v>0</v>
      </c>
      <c r="B71" s="334">
        <f>SUMPRODUCT(B$26:B$48,后果有效剂量!$I$5:$I$27)*后果有效剂量!$Q25+SUMPRODUCT(B$26:B$48,后果有效剂量!$J$5:$J$27)*后果有效剂量!$Q25*后果有效剂量!$Q$3+SUMPRODUCT(B$26:B$48,后果有效剂量!$K$5:$K$27)*后果有效剂量!$Q25</f>
        <v>0</v>
      </c>
      <c r="C71" s="334">
        <f>SUMPRODUCT(B$26:B$48,后果甲状腺剂量!$I$5:$I$27)*后果甲状腺剂量!$Q25+SUMPRODUCT(B$26:B$48,后果甲状腺剂量!$J$5:$J$27)*后果甲状腺剂量!$Q25*后果甲状腺剂量!$Q$3+SUMPRODUCT(B$26:B$48,后果甲状腺剂量!$K$5:$K$27)*后果甲状腺剂量!$Q25</f>
        <v>0</v>
      </c>
      <c r="D71" s="333">
        <f t="shared" si="10"/>
        <v>0</v>
      </c>
      <c r="E71" s="333">
        <f t="shared" si="11"/>
        <v>0</v>
      </c>
      <c r="F71" s="357">
        <f t="shared" ref="F71:F76" si="12">D71/5*100</f>
        <v>0</v>
      </c>
      <c r="G71" s="357">
        <f t="shared" ref="G71:G76" si="13">E71/50*100</f>
        <v>0</v>
      </c>
    </row>
    <row r="72" spans="1:7">
      <c r="A72" s="653">
        <f>后果有效剂量!P26</f>
        <v>0</v>
      </c>
      <c r="B72" s="334">
        <f>SUMPRODUCT(B$26:B$48,后果有效剂量!$I$5:$I$27)*后果有效剂量!$Q26+SUMPRODUCT(B$26:B$48,后果有效剂量!$J$5:$J$27)*后果有效剂量!$Q26*后果有效剂量!$Q$3+SUMPRODUCT(B$26:B$48,后果有效剂量!$K$5:$K$27)*后果有效剂量!$Q26</f>
        <v>0</v>
      </c>
      <c r="C72" s="334">
        <f>SUMPRODUCT(B$26:B$48,后果甲状腺剂量!$I$5:$I$27)*后果甲状腺剂量!$Q26+SUMPRODUCT(B$26:B$48,后果甲状腺剂量!$J$5:$J$27)*后果甲状腺剂量!$Q26*后果甲状腺剂量!$Q$3+SUMPRODUCT(B$26:B$48,后果甲状腺剂量!$K$5:$K$27)*后果甲状腺剂量!$Q26</f>
        <v>0</v>
      </c>
      <c r="D72" s="333">
        <f t="shared" si="10"/>
        <v>0</v>
      </c>
      <c r="E72" s="333">
        <f t="shared" si="11"/>
        <v>0</v>
      </c>
      <c r="F72" s="357">
        <f t="shared" si="12"/>
        <v>0</v>
      </c>
      <c r="G72" s="357">
        <f t="shared" si="13"/>
        <v>0</v>
      </c>
    </row>
    <row r="73" spans="1:7">
      <c r="A73" s="653">
        <f>后果有效剂量!P27</f>
        <v>0</v>
      </c>
      <c r="B73" s="334">
        <f>SUMPRODUCT(B$26:B$48,后果有效剂量!$I$5:$I$27)*后果有效剂量!$Q27+SUMPRODUCT(B$26:B$48,后果有效剂量!$J$5:$J$27)*后果有效剂量!$Q27*后果有效剂量!$Q$3+SUMPRODUCT(B$26:B$48,后果有效剂量!$K$5:$K$27)*后果有效剂量!$Q27</f>
        <v>0</v>
      </c>
      <c r="C73" s="334">
        <f>SUMPRODUCT(B$26:B$48,后果甲状腺剂量!$I$5:$I$27)*后果甲状腺剂量!$Q27+SUMPRODUCT(B$26:B$48,后果甲状腺剂量!$J$5:$J$27)*后果甲状腺剂量!$Q27*后果甲状腺剂量!$Q$3+SUMPRODUCT(B$26:B$48,后果甲状腺剂量!$K$5:$K$27)*后果甲状腺剂量!$Q27</f>
        <v>0</v>
      </c>
      <c r="D73" s="333">
        <f t="shared" si="10"/>
        <v>0</v>
      </c>
      <c r="E73" s="333">
        <f t="shared" si="11"/>
        <v>0</v>
      </c>
      <c r="F73" s="357">
        <f t="shared" si="12"/>
        <v>0</v>
      </c>
      <c r="G73" s="357">
        <f t="shared" si="13"/>
        <v>0</v>
      </c>
    </row>
    <row r="74" spans="1:7">
      <c r="A74" s="653">
        <f>后果有效剂量!P28</f>
        <v>0</v>
      </c>
      <c r="B74" s="334">
        <f>SUMPRODUCT(B$26:B$48,后果有效剂量!$I$5:$I$27)*后果有效剂量!$Q28+SUMPRODUCT(B$26:B$48,后果有效剂量!$J$5:$J$27)*后果有效剂量!$Q28*后果有效剂量!$Q$3+SUMPRODUCT(B$26:B$48,后果有效剂量!$K$5:$K$27)*后果有效剂量!$Q28</f>
        <v>0</v>
      </c>
      <c r="C74" s="334">
        <f>SUMPRODUCT(B$26:B$48,后果甲状腺剂量!$I$5:$I$27)*后果甲状腺剂量!$Q28+SUMPRODUCT(B$26:B$48,后果甲状腺剂量!$J$5:$J$27)*后果甲状腺剂量!$Q28*后果甲状腺剂量!$Q$3+SUMPRODUCT(B$26:B$48,后果甲状腺剂量!$K$5:$K$27)*后果甲状腺剂量!$Q28</f>
        <v>0</v>
      </c>
      <c r="D74" s="333">
        <f t="shared" si="10"/>
        <v>0</v>
      </c>
      <c r="E74" s="333">
        <f t="shared" si="11"/>
        <v>0</v>
      </c>
      <c r="F74" s="357">
        <f t="shared" si="12"/>
        <v>0</v>
      </c>
      <c r="G74" s="357">
        <f t="shared" si="13"/>
        <v>0</v>
      </c>
    </row>
    <row r="75" spans="1:7">
      <c r="A75" s="653">
        <f>后果有效剂量!P29</f>
        <v>0</v>
      </c>
      <c r="B75" s="334">
        <f>SUMPRODUCT(B$26:B$48,后果有效剂量!$I$5:$I$27)*后果有效剂量!$Q29+SUMPRODUCT(B$26:B$48,后果有效剂量!$J$5:$J$27)*后果有效剂量!$Q29*后果有效剂量!$Q$3+SUMPRODUCT(B$26:B$48,后果有效剂量!$K$5:$K$27)*后果有效剂量!$Q29</f>
        <v>0</v>
      </c>
      <c r="C75" s="334">
        <f>SUMPRODUCT(B$26:B$48,后果甲状腺剂量!$I$5:$I$27)*后果甲状腺剂量!$Q29+SUMPRODUCT(B$26:B$48,后果甲状腺剂量!$J$5:$J$27)*后果甲状腺剂量!$Q29*后果甲状腺剂量!$Q$3+SUMPRODUCT(B$26:B$48,后果甲状腺剂量!$K$5:$K$27)*后果甲状腺剂量!$Q29</f>
        <v>0</v>
      </c>
      <c r="D75" s="333">
        <f t="shared" si="10"/>
        <v>0</v>
      </c>
      <c r="E75" s="333">
        <f t="shared" si="11"/>
        <v>0</v>
      </c>
      <c r="F75" s="357">
        <f t="shared" si="12"/>
        <v>0</v>
      </c>
      <c r="G75" s="357">
        <f t="shared" si="13"/>
        <v>0</v>
      </c>
    </row>
    <row r="76" spans="1:7">
      <c r="A76" s="653">
        <f>后果有效剂量!P30</f>
        <v>0</v>
      </c>
      <c r="B76" s="334">
        <f>SUMPRODUCT(B$26:B$48,后果有效剂量!$I$5:$I$27)*后果有效剂量!$Q30+SUMPRODUCT(B$26:B$48,后果有效剂量!$J$5:$J$27)*后果有效剂量!$Q30*后果有效剂量!$Q$3+SUMPRODUCT(B$26:B$48,后果有效剂量!$K$5:$K$27)*后果有效剂量!$Q30</f>
        <v>0</v>
      </c>
      <c r="C76" s="334">
        <f>SUMPRODUCT(B$26:B$48,后果甲状腺剂量!$I$5:$I$27)*后果甲状腺剂量!$Q30+SUMPRODUCT(B$26:B$48,后果甲状腺剂量!$J$5:$J$27)*后果甲状腺剂量!$Q30*后果甲状腺剂量!$Q$3+SUMPRODUCT(B$26:B$48,后果甲状腺剂量!$K$5:$K$27)*后果甲状腺剂量!$Q30</f>
        <v>0</v>
      </c>
      <c r="D76" s="333">
        <f t="shared" si="10"/>
        <v>0</v>
      </c>
      <c r="E76" s="333">
        <f t="shared" si="11"/>
        <v>0</v>
      </c>
      <c r="F76" s="357">
        <f t="shared" si="12"/>
        <v>0</v>
      </c>
      <c r="G76" s="357">
        <f t="shared" si="13"/>
        <v>0</v>
      </c>
    </row>
    <row r="77" spans="1:3">
      <c r="A77" s="653"/>
      <c r="B77" s="334"/>
      <c r="C77" s="334"/>
    </row>
  </sheetData>
  <pageMargins left="0.75" right="0.75" top="1" bottom="1" header="0.5" footer="0.5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S77"/>
  <sheetViews>
    <sheetView zoomScale="115" zoomScaleNormal="115" workbookViewId="0">
      <selection activeCell="B2" sqref="B2"/>
    </sheetView>
  </sheetViews>
  <sheetFormatPr defaultColWidth="9" defaultRowHeight="12.75"/>
  <cols>
    <col min="1" max="1" width="9.025" style="391" customWidth="1"/>
    <col min="2" max="2" width="19.0166666666667" style="390" customWidth="1"/>
    <col min="3" max="3" width="7.825" style="390" customWidth="1"/>
    <col min="4" max="4" width="5.65" style="390" customWidth="1"/>
    <col min="5" max="5" width="6.625" style="390" customWidth="1"/>
    <col min="6" max="6" width="3.58333333333333" style="390" customWidth="1"/>
    <col min="7" max="7" width="9.00833333333333" style="392" customWidth="1"/>
    <col min="8" max="12" width="9.00833333333333" style="390" customWidth="1"/>
    <col min="13" max="13" width="9.55833333333333" style="390" customWidth="1"/>
    <col min="14" max="14" width="9.00833333333333" style="390" customWidth="1"/>
    <col min="15" max="15" width="9.00833333333333" style="390" hidden="1" customWidth="1"/>
    <col min="16" max="16" width="1.84166666666667" style="390" customWidth="1"/>
    <col min="17" max="17" width="9.00833333333333" style="392" hidden="1" customWidth="1"/>
    <col min="18" max="22" width="9.00833333333333" style="390" customWidth="1"/>
    <col min="23" max="23" width="9.55833333333333" style="390" customWidth="1"/>
    <col min="24" max="24" width="9.00833333333333" style="390" customWidth="1"/>
    <col min="25" max="25" width="3.475" style="393" customWidth="1"/>
    <col min="26" max="26" width="7.5" style="394" customWidth="1"/>
    <col min="27" max="35" width="8.81666666666667" style="390" customWidth="1"/>
    <col min="36" max="36" width="7.93333333333333" style="390" customWidth="1"/>
    <col min="37" max="37" width="7.39166666666667" style="390" customWidth="1"/>
    <col min="38" max="39" width="8.81666666666667" style="390" customWidth="1"/>
    <col min="40" max="40" width="7.60833333333333" style="390" customWidth="1"/>
    <col min="41" max="42" width="8.81666666666667" style="390" customWidth="1"/>
    <col min="43" max="46" width="9.35" style="390" customWidth="1"/>
    <col min="47" max="47" width="7.93333333333333" style="390" customWidth="1"/>
    <col min="48" max="54" width="8.15833333333333" style="394" customWidth="1"/>
    <col min="55" max="55" width="9.11666666666667" style="394" customWidth="1"/>
    <col min="56" max="173" width="8.15833333333333" style="394" customWidth="1"/>
    <col min="174" max="174" width="8.15833333333333" style="393" customWidth="1"/>
    <col min="175" max="176" width="10.375" style="390"/>
    <col min="177" max="179" width="9.375" style="390"/>
    <col min="180" max="184" width="9" style="390"/>
    <col min="185" max="185" width="11.125" style="390"/>
    <col min="186" max="186" width="9" style="390"/>
    <col min="187" max="188" width="10.375" style="390"/>
    <col min="189" max="193" width="9.375" style="390"/>
    <col min="194" max="194" width="8.125" style="390" customWidth="1"/>
    <col min="195" max="196" width="5.625" style="390" customWidth="1"/>
    <col min="197" max="197" width="4.875" style="390" customWidth="1"/>
    <col min="198" max="198" width="5.75" style="390" customWidth="1"/>
    <col min="199" max="199" width="8.125" style="390" customWidth="1"/>
    <col min="200" max="200" width="11.125" style="390"/>
    <col min="201" max="201" width="12.625" style="390"/>
    <col min="202" max="16384" width="9" style="390"/>
  </cols>
  <sheetData>
    <row r="1" ht="13.5" spans="1:194">
      <c r="A1" s="395" t="s">
        <v>154</v>
      </c>
      <c r="B1" s="396" t="s">
        <v>257</v>
      </c>
      <c r="G1" s="397"/>
      <c r="H1" s="398" t="s">
        <v>156</v>
      </c>
      <c r="I1" s="398" t="s">
        <v>157</v>
      </c>
      <c r="J1" s="388"/>
      <c r="K1" s="388"/>
      <c r="L1" s="388"/>
      <c r="M1" s="388"/>
      <c r="N1" s="388"/>
      <c r="O1" s="388"/>
      <c r="Q1" s="397"/>
      <c r="R1" s="398" t="s">
        <v>158</v>
      </c>
      <c r="S1" s="388"/>
      <c r="T1" s="388"/>
      <c r="U1" s="388"/>
      <c r="V1" s="388"/>
      <c r="W1" s="388"/>
      <c r="X1" s="388"/>
      <c r="Y1" s="478"/>
      <c r="AA1" s="479" t="s">
        <v>159</v>
      </c>
      <c r="AB1" s="480"/>
      <c r="AC1" s="480"/>
      <c r="AD1" s="480"/>
      <c r="AE1" s="480"/>
      <c r="AF1" s="481" t="s">
        <v>156</v>
      </c>
      <c r="AG1" s="480"/>
      <c r="AH1" s="507"/>
      <c r="AI1" s="508"/>
      <c r="AJ1" s="480"/>
      <c r="AK1" s="508"/>
      <c r="AL1" s="508"/>
      <c r="AM1" s="508"/>
      <c r="AN1" s="508"/>
      <c r="AO1" s="508"/>
      <c r="AP1" s="534" t="s">
        <v>160</v>
      </c>
      <c r="AQ1" s="535"/>
      <c r="AR1" s="536"/>
      <c r="AS1" s="537"/>
      <c r="AT1" s="538"/>
      <c r="AU1" s="539"/>
      <c r="AV1" s="536" t="s">
        <v>161</v>
      </c>
      <c r="AW1" s="538"/>
      <c r="AX1" s="538"/>
      <c r="AY1" s="538"/>
      <c r="AZ1" s="538"/>
      <c r="BA1" s="538"/>
      <c r="BB1" s="538"/>
      <c r="BC1" s="538"/>
      <c r="BD1" s="538"/>
      <c r="BE1" s="538"/>
      <c r="BF1" s="538"/>
      <c r="BG1" s="538"/>
      <c r="BH1" s="538"/>
      <c r="BI1" s="538"/>
      <c r="BJ1" s="538"/>
      <c r="BK1" s="538"/>
      <c r="BL1" s="538"/>
      <c r="BM1" s="538"/>
      <c r="BN1" s="538"/>
      <c r="BO1" s="538"/>
      <c r="BP1" s="538"/>
      <c r="BQ1" s="538"/>
      <c r="BR1" s="538"/>
      <c r="BS1" s="538"/>
      <c r="BT1" s="538"/>
      <c r="BU1" s="538"/>
      <c r="BV1" s="538"/>
      <c r="BW1" s="538"/>
      <c r="BX1" s="538"/>
      <c r="BY1" s="538"/>
      <c r="BZ1" s="538"/>
      <c r="CA1" s="538"/>
      <c r="CB1" s="538"/>
      <c r="CC1" s="538"/>
      <c r="CD1" s="538"/>
      <c r="CE1" s="538"/>
      <c r="CF1" s="538"/>
      <c r="CG1" s="538"/>
      <c r="CH1" s="538"/>
      <c r="CI1" s="538"/>
      <c r="CJ1" s="538"/>
      <c r="CK1" s="538"/>
      <c r="CL1" s="538"/>
      <c r="CM1" s="538"/>
      <c r="CN1" s="538"/>
      <c r="CO1" s="538"/>
      <c r="CP1" s="538"/>
      <c r="CQ1" s="538"/>
      <c r="CR1" s="538"/>
      <c r="CS1" s="538"/>
      <c r="CT1" s="538"/>
      <c r="CU1" s="538"/>
      <c r="CV1" s="538"/>
      <c r="CW1" s="538"/>
      <c r="CX1" s="538"/>
      <c r="CY1" s="538"/>
      <c r="CZ1" s="538"/>
      <c r="DA1" s="538"/>
      <c r="DB1" s="538"/>
      <c r="DC1" s="538"/>
      <c r="DD1" s="538"/>
      <c r="DE1" s="538"/>
      <c r="DF1" s="538"/>
      <c r="DG1" s="538"/>
      <c r="DH1" s="538"/>
      <c r="DI1" s="538"/>
      <c r="DJ1" s="538"/>
      <c r="DK1" s="538"/>
      <c r="DL1" s="538"/>
      <c r="DM1" s="538"/>
      <c r="DN1" s="538"/>
      <c r="DO1" s="538"/>
      <c r="DP1" s="538"/>
      <c r="DQ1" s="538"/>
      <c r="DR1" s="538"/>
      <c r="DS1" s="538"/>
      <c r="DT1" s="538"/>
      <c r="DU1" s="538"/>
      <c r="DV1" s="538"/>
      <c r="DW1" s="538"/>
      <c r="DX1" s="538"/>
      <c r="DY1" s="538"/>
      <c r="DZ1" s="538"/>
      <c r="EA1" s="538"/>
      <c r="EB1" s="538"/>
      <c r="EC1" s="538"/>
      <c r="ED1" s="538"/>
      <c r="EE1" s="538"/>
      <c r="EF1" s="538"/>
      <c r="EG1" s="538"/>
      <c r="EH1" s="538"/>
      <c r="EI1" s="538"/>
      <c r="EJ1" s="538"/>
      <c r="EK1" s="538"/>
      <c r="EL1" s="538"/>
      <c r="EM1" s="538"/>
      <c r="EN1" s="538"/>
      <c r="EO1" s="538"/>
      <c r="EP1" s="538"/>
      <c r="EQ1" s="538"/>
      <c r="ER1" s="538"/>
      <c r="ES1" s="538"/>
      <c r="ET1" s="538"/>
      <c r="EU1" s="538"/>
      <c r="EV1" s="538"/>
      <c r="EW1" s="538"/>
      <c r="EX1" s="538"/>
      <c r="EY1" s="538"/>
      <c r="EZ1" s="538"/>
      <c r="FA1" s="538"/>
      <c r="FB1" s="538"/>
      <c r="FC1" s="538"/>
      <c r="FD1" s="538"/>
      <c r="FE1" s="538"/>
      <c r="FF1" s="538"/>
      <c r="FG1" s="538"/>
      <c r="FH1" s="538"/>
      <c r="FI1" s="538"/>
      <c r="FJ1" s="538"/>
      <c r="FK1" s="538"/>
      <c r="FL1" s="538"/>
      <c r="FM1" s="538"/>
      <c r="FN1" s="538"/>
      <c r="FO1" s="538"/>
      <c r="FP1" s="538"/>
      <c r="FQ1" s="538"/>
      <c r="FR1" s="604"/>
      <c r="FS1" s="390" t="s">
        <v>162</v>
      </c>
      <c r="FX1" s="611" t="s">
        <v>163</v>
      </c>
      <c r="GE1" s="390" t="s">
        <v>164</v>
      </c>
      <c r="GL1" s="611" t="s">
        <v>163</v>
      </c>
    </row>
    <row r="2" spans="1:174">
      <c r="A2" s="399" t="s">
        <v>165</v>
      </c>
      <c r="B2" s="633" t="s">
        <v>310</v>
      </c>
      <c r="G2" s="401"/>
      <c r="H2" s="388"/>
      <c r="I2" s="388"/>
      <c r="J2" s="388"/>
      <c r="K2" s="388"/>
      <c r="L2" s="388"/>
      <c r="M2" s="388"/>
      <c r="N2" s="388"/>
      <c r="O2" s="388"/>
      <c r="Q2" s="401"/>
      <c r="R2" s="388"/>
      <c r="S2" s="388"/>
      <c r="T2" s="388"/>
      <c r="U2" s="388"/>
      <c r="V2" s="388"/>
      <c r="W2" s="388"/>
      <c r="X2" s="388"/>
      <c r="Y2" s="478"/>
      <c r="AA2" s="482"/>
      <c r="AB2" s="388"/>
      <c r="AC2" s="388"/>
      <c r="AD2" s="388"/>
      <c r="AE2" s="483"/>
      <c r="AF2" s="484"/>
      <c r="AG2" s="388"/>
      <c r="AH2" s="509"/>
      <c r="AJ2" s="388"/>
      <c r="AO2" s="540"/>
      <c r="AP2" s="541"/>
      <c r="AQ2" s="542"/>
      <c r="AR2" s="543" t="s">
        <v>167</v>
      </c>
      <c r="AS2" s="544"/>
      <c r="AT2" s="545" t="s">
        <v>168</v>
      </c>
      <c r="AU2" s="546"/>
      <c r="AV2" s="547" t="s">
        <v>169</v>
      </c>
      <c r="AW2" s="573" t="s">
        <v>170</v>
      </c>
      <c r="AX2" s="573" t="s">
        <v>171</v>
      </c>
      <c r="AY2" s="538"/>
      <c r="AZ2" s="538"/>
      <c r="BA2" s="574" t="s">
        <v>172</v>
      </c>
      <c r="BB2" s="574" t="s">
        <v>173</v>
      </c>
      <c r="BC2" s="574" t="s">
        <v>174</v>
      </c>
      <c r="BD2" s="538"/>
      <c r="BE2" s="538"/>
      <c r="BF2" s="538"/>
      <c r="BG2" s="538"/>
      <c r="BH2" s="538"/>
      <c r="BI2" s="538"/>
      <c r="BJ2" s="538"/>
      <c r="BK2" s="538"/>
      <c r="BL2" s="538"/>
      <c r="BM2" s="538"/>
      <c r="BN2" s="538"/>
      <c r="BO2" s="538"/>
      <c r="BP2" s="588"/>
      <c r="BQ2" s="589" t="s">
        <v>175</v>
      </c>
      <c r="BR2" s="573" t="s">
        <v>170</v>
      </c>
      <c r="BS2" s="573" t="s">
        <v>171</v>
      </c>
      <c r="BT2" s="573"/>
      <c r="BU2" s="538"/>
      <c r="BV2" s="574" t="s">
        <v>172</v>
      </c>
      <c r="BW2" s="574" t="s">
        <v>173</v>
      </c>
      <c r="BX2" s="574" t="s">
        <v>174</v>
      </c>
      <c r="BY2" s="538"/>
      <c r="BZ2" s="538"/>
      <c r="CA2" s="538"/>
      <c r="CB2" s="538"/>
      <c r="CC2" s="538"/>
      <c r="CD2" s="538"/>
      <c r="CE2" s="538"/>
      <c r="CF2" s="538"/>
      <c r="CG2" s="538"/>
      <c r="CH2" s="538"/>
      <c r="CI2" s="538"/>
      <c r="CJ2" s="538"/>
      <c r="CK2" s="588"/>
      <c r="CL2" s="589" t="s">
        <v>176</v>
      </c>
      <c r="CM2" s="573" t="s">
        <v>170</v>
      </c>
      <c r="CN2" s="573" t="s">
        <v>171</v>
      </c>
      <c r="CO2" s="538"/>
      <c r="CP2" s="538"/>
      <c r="CQ2" s="574" t="s">
        <v>172</v>
      </c>
      <c r="CR2" s="574" t="s">
        <v>173</v>
      </c>
      <c r="CS2" s="574" t="s">
        <v>174</v>
      </c>
      <c r="CT2" s="538"/>
      <c r="CU2" s="538"/>
      <c r="CV2" s="538"/>
      <c r="CW2" s="538"/>
      <c r="CX2" s="538"/>
      <c r="CY2" s="538"/>
      <c r="CZ2" s="538"/>
      <c r="DA2" s="538"/>
      <c r="DB2" s="538"/>
      <c r="DC2" s="538"/>
      <c r="DD2" s="538"/>
      <c r="DE2" s="538"/>
      <c r="DF2" s="588"/>
      <c r="DG2" s="589" t="s">
        <v>177</v>
      </c>
      <c r="DH2" s="573" t="s">
        <v>170</v>
      </c>
      <c r="DI2" s="573" t="s">
        <v>171</v>
      </c>
      <c r="DJ2" s="538"/>
      <c r="DK2" s="538"/>
      <c r="DL2" s="574" t="s">
        <v>172</v>
      </c>
      <c r="DM2" s="574" t="s">
        <v>173</v>
      </c>
      <c r="DN2" s="574" t="s">
        <v>174</v>
      </c>
      <c r="DO2" s="538"/>
      <c r="DP2" s="538"/>
      <c r="DQ2" s="538"/>
      <c r="DR2" s="538"/>
      <c r="DS2" s="538"/>
      <c r="DT2" s="538"/>
      <c r="DU2" s="538"/>
      <c r="DV2" s="538"/>
      <c r="DW2" s="538"/>
      <c r="DX2" s="538"/>
      <c r="DY2" s="538"/>
      <c r="DZ2" s="538"/>
      <c r="EA2" s="588"/>
      <c r="EB2" s="589" t="s">
        <v>178</v>
      </c>
      <c r="EC2" s="573" t="s">
        <v>170</v>
      </c>
      <c r="ED2" s="573" t="s">
        <v>171</v>
      </c>
      <c r="EE2" s="538"/>
      <c r="EF2" s="538"/>
      <c r="EG2" s="574" t="s">
        <v>172</v>
      </c>
      <c r="EH2" s="574" t="s">
        <v>173</v>
      </c>
      <c r="EI2" s="574" t="s">
        <v>174</v>
      </c>
      <c r="EJ2" s="538"/>
      <c r="EK2" s="538"/>
      <c r="EL2" s="538"/>
      <c r="EM2" s="538"/>
      <c r="EN2" s="538"/>
      <c r="EO2" s="538"/>
      <c r="EP2" s="538"/>
      <c r="EQ2" s="538"/>
      <c r="ER2" s="538"/>
      <c r="ES2" s="538"/>
      <c r="ET2" s="538"/>
      <c r="EU2" s="538"/>
      <c r="EV2" s="588"/>
      <c r="EW2" s="589" t="s">
        <v>179</v>
      </c>
      <c r="EX2" s="573" t="s">
        <v>170</v>
      </c>
      <c r="EY2" s="573" t="s">
        <v>171</v>
      </c>
      <c r="EZ2" s="538"/>
      <c r="FA2" s="538"/>
      <c r="FB2" s="574" t="s">
        <v>172</v>
      </c>
      <c r="FC2" s="574" t="s">
        <v>173</v>
      </c>
      <c r="FD2" s="574" t="s">
        <v>174</v>
      </c>
      <c r="FE2" s="538"/>
      <c r="FF2" s="538"/>
      <c r="FG2" s="538"/>
      <c r="FH2" s="538"/>
      <c r="FI2" s="538"/>
      <c r="FJ2" s="538"/>
      <c r="FK2" s="538"/>
      <c r="FL2" s="538"/>
      <c r="FM2" s="538"/>
      <c r="FN2" s="538"/>
      <c r="FO2" s="538"/>
      <c r="FP2" s="538"/>
      <c r="FQ2" s="588"/>
      <c r="FR2" s="604"/>
    </row>
    <row r="3" spans="7:174">
      <c r="G3" s="401"/>
      <c r="H3" s="388"/>
      <c r="I3" s="388"/>
      <c r="J3" s="388"/>
      <c r="K3" s="388"/>
      <c r="L3" s="388"/>
      <c r="M3" s="388"/>
      <c r="N3" s="388"/>
      <c r="O3" s="388"/>
      <c r="Q3" s="401"/>
      <c r="R3" s="388"/>
      <c r="S3" s="388"/>
      <c r="T3" s="388"/>
      <c r="U3" s="388"/>
      <c r="V3" s="388"/>
      <c r="W3" s="388"/>
      <c r="X3" s="388"/>
      <c r="Y3" s="478"/>
      <c r="Z3" s="485"/>
      <c r="AA3" s="486"/>
      <c r="AB3" s="388"/>
      <c r="AC3" s="388"/>
      <c r="AD3" s="388"/>
      <c r="AE3" s="483"/>
      <c r="AF3" s="487" t="s">
        <v>180</v>
      </c>
      <c r="AG3" s="510"/>
      <c r="AH3" s="511" t="s">
        <v>181</v>
      </c>
      <c r="AI3" s="512"/>
      <c r="AJ3" s="513"/>
      <c r="AK3" s="512"/>
      <c r="AL3" s="512"/>
      <c r="AM3" s="512"/>
      <c r="AN3" s="512"/>
      <c r="AO3" s="548"/>
      <c r="AP3" s="549"/>
      <c r="AQ3" s="510"/>
      <c r="AR3" s="550">
        <f>C14</f>
        <v>0</v>
      </c>
      <c r="AS3" s="513"/>
      <c r="AT3" s="551">
        <f>C15</f>
        <v>0</v>
      </c>
      <c r="AU3" s="552"/>
      <c r="AV3" s="553">
        <f>AX3-AW3</f>
        <v>2</v>
      </c>
      <c r="AW3" s="553">
        <v>0</v>
      </c>
      <c r="AX3" s="553">
        <v>2</v>
      </c>
      <c r="AY3" s="575"/>
      <c r="AZ3" s="575"/>
      <c r="BA3" s="553">
        <f>$C$17</f>
        <v>0.00159901742569031</v>
      </c>
      <c r="BB3" s="576">
        <f ca="1">$C$18</f>
        <v>0.01</v>
      </c>
      <c r="BC3" s="577">
        <f>$C$19</f>
        <v>1e+20</v>
      </c>
      <c r="BD3" s="578"/>
      <c r="BE3" s="578"/>
      <c r="BF3" s="578"/>
      <c r="BG3" s="578"/>
      <c r="BH3" s="578"/>
      <c r="BI3" s="578"/>
      <c r="BJ3" s="578"/>
      <c r="BK3" s="578"/>
      <c r="BL3" s="578"/>
      <c r="BM3" s="578"/>
      <c r="BN3" s="575"/>
      <c r="BO3" s="575"/>
      <c r="BP3" s="590"/>
      <c r="BQ3" s="591">
        <f>BS3-BR3</f>
        <v>6</v>
      </c>
      <c r="BR3" s="553">
        <v>2</v>
      </c>
      <c r="BS3" s="553">
        <v>8</v>
      </c>
      <c r="BT3" s="553"/>
      <c r="BU3" s="575"/>
      <c r="BV3" s="553">
        <f>$C$20</f>
        <v>0.00159901742569031</v>
      </c>
      <c r="BW3" s="576">
        <f ca="1">$C$21</f>
        <v>0.456917291923662</v>
      </c>
      <c r="BX3" s="577">
        <f>$C$22</f>
        <v>1e+20</v>
      </c>
      <c r="BY3" s="578"/>
      <c r="BZ3" s="578"/>
      <c r="CA3" s="578"/>
      <c r="CB3" s="578"/>
      <c r="CC3" s="578"/>
      <c r="CD3" s="578"/>
      <c r="CE3" s="578"/>
      <c r="CF3" s="578"/>
      <c r="CG3" s="578"/>
      <c r="CH3" s="578"/>
      <c r="CI3" s="575"/>
      <c r="CJ3" s="575"/>
      <c r="CK3" s="590"/>
      <c r="CL3" s="591">
        <f>CN3-CM3</f>
        <v>16</v>
      </c>
      <c r="CM3" s="553">
        <v>8</v>
      </c>
      <c r="CN3" s="553">
        <v>24</v>
      </c>
      <c r="CO3" s="575"/>
      <c r="CP3" s="575"/>
      <c r="CQ3" s="553">
        <f>$C$23</f>
        <v>0</v>
      </c>
      <c r="CR3" s="576">
        <f ca="1">$C$24</f>
        <v>0.330071491132861</v>
      </c>
      <c r="CS3" s="577">
        <f>$C$25</f>
        <v>1e+20</v>
      </c>
      <c r="CT3" s="578"/>
      <c r="CU3" s="578"/>
      <c r="CV3" s="578"/>
      <c r="CW3" s="578"/>
      <c r="CX3" s="578"/>
      <c r="CY3" s="578"/>
      <c r="CZ3" s="578"/>
      <c r="DA3" s="578"/>
      <c r="DB3" s="578"/>
      <c r="DC3" s="578"/>
      <c r="DD3" s="575"/>
      <c r="DE3" s="575"/>
      <c r="DF3" s="590"/>
      <c r="DG3" s="591">
        <f>DI3-DH3</f>
        <v>24</v>
      </c>
      <c r="DH3" s="553">
        <v>24</v>
      </c>
      <c r="DI3" s="553">
        <v>48</v>
      </c>
      <c r="DJ3" s="575"/>
      <c r="DK3" s="575"/>
      <c r="DL3" s="553">
        <f>$C$26</f>
        <v>0</v>
      </c>
      <c r="DM3" s="576">
        <f ca="1">$C$27</f>
        <v>0.0838589630528763</v>
      </c>
      <c r="DN3" s="577">
        <f>$C$28</f>
        <v>1e+20</v>
      </c>
      <c r="DO3" s="578"/>
      <c r="DP3" s="578"/>
      <c r="DQ3" s="578"/>
      <c r="DR3" s="578"/>
      <c r="DS3" s="578"/>
      <c r="DT3" s="578"/>
      <c r="DU3" s="578"/>
      <c r="DV3" s="578"/>
      <c r="DW3" s="578"/>
      <c r="DX3" s="578"/>
      <c r="DY3" s="575"/>
      <c r="DZ3" s="575"/>
      <c r="EA3" s="590"/>
      <c r="EB3" s="591">
        <f>ED3-EC3</f>
        <v>48</v>
      </c>
      <c r="EC3" s="553">
        <v>48</v>
      </c>
      <c r="ED3" s="553">
        <v>96</v>
      </c>
      <c r="EE3" s="575"/>
      <c r="EF3" s="575"/>
      <c r="EG3" s="553">
        <f>$C$29</f>
        <v>0</v>
      </c>
      <c r="EH3" s="576">
        <f ca="1">$C$30</f>
        <v>0.01</v>
      </c>
      <c r="EI3" s="577">
        <f>$C$31</f>
        <v>1e+20</v>
      </c>
      <c r="EJ3" s="578"/>
      <c r="EK3" s="578"/>
      <c r="EL3" s="578"/>
      <c r="EM3" s="578"/>
      <c r="EN3" s="578"/>
      <c r="EO3" s="578"/>
      <c r="EP3" s="578"/>
      <c r="EQ3" s="578"/>
      <c r="ER3" s="578"/>
      <c r="ES3" s="578"/>
      <c r="ET3" s="575"/>
      <c r="EU3" s="575"/>
      <c r="EV3" s="590"/>
      <c r="EW3" s="591">
        <f>EY3-EX3</f>
        <v>624</v>
      </c>
      <c r="EX3" s="553">
        <v>96</v>
      </c>
      <c r="EY3" s="553">
        <f>30*24</f>
        <v>720</v>
      </c>
      <c r="EZ3" s="575"/>
      <c r="FA3" s="575"/>
      <c r="FB3" s="553">
        <f>$C$32</f>
        <v>0</v>
      </c>
      <c r="FC3" s="576">
        <f ca="1">$C$33</f>
        <v>0.01</v>
      </c>
      <c r="FD3" s="577">
        <f>$C$34</f>
        <v>1e+20</v>
      </c>
      <c r="FE3" s="578"/>
      <c r="FF3" s="578"/>
      <c r="FG3" s="578"/>
      <c r="FH3" s="578"/>
      <c r="FI3" s="578"/>
      <c r="FJ3" s="578"/>
      <c r="FK3" s="578"/>
      <c r="FL3" s="578"/>
      <c r="FM3" s="578"/>
      <c r="FN3" s="578"/>
      <c r="FO3" s="575"/>
      <c r="FP3" s="575"/>
      <c r="FQ3" s="590"/>
      <c r="FR3" s="604"/>
    </row>
    <row r="4" s="387" customFormat="1" ht="60" spans="1:201">
      <c r="A4" s="402" t="s">
        <v>182</v>
      </c>
      <c r="B4" s="403" t="s">
        <v>183</v>
      </c>
      <c r="C4" s="403" t="s">
        <v>184</v>
      </c>
      <c r="D4" s="403" t="s">
        <v>185</v>
      </c>
      <c r="E4" s="403" t="s">
        <v>186</v>
      </c>
      <c r="G4" s="404" t="s">
        <v>35</v>
      </c>
      <c r="H4" s="405" t="s">
        <v>160</v>
      </c>
      <c r="I4" s="448" t="s">
        <v>187</v>
      </c>
      <c r="J4" s="448" t="s">
        <v>188</v>
      </c>
      <c r="K4" s="448" t="s">
        <v>189</v>
      </c>
      <c r="L4" s="448" t="s">
        <v>190</v>
      </c>
      <c r="M4" s="448" t="s">
        <v>191</v>
      </c>
      <c r="N4" s="405" t="s">
        <v>192</v>
      </c>
      <c r="O4" s="449" t="s">
        <v>193</v>
      </c>
      <c r="Q4" s="476" t="str">
        <f t="shared" ref="Q4:Q27" si="0">G4</f>
        <v>核素</v>
      </c>
      <c r="R4" s="405" t="s">
        <v>160</v>
      </c>
      <c r="S4" s="448" t="s">
        <v>187</v>
      </c>
      <c r="T4" s="448" t="s">
        <v>188</v>
      </c>
      <c r="U4" s="448" t="s">
        <v>189</v>
      </c>
      <c r="V4" s="448" t="s">
        <v>190</v>
      </c>
      <c r="W4" s="448" t="s">
        <v>191</v>
      </c>
      <c r="X4" s="405" t="s">
        <v>192</v>
      </c>
      <c r="Y4" s="488"/>
      <c r="Z4" s="489" t="s">
        <v>194</v>
      </c>
      <c r="AA4" s="490" t="s">
        <v>195</v>
      </c>
      <c r="AB4" s="491" t="s">
        <v>40</v>
      </c>
      <c r="AC4" s="491" t="s">
        <v>196</v>
      </c>
      <c r="AD4" s="491" t="s">
        <v>42</v>
      </c>
      <c r="AE4" s="491" t="s">
        <v>43</v>
      </c>
      <c r="AF4" s="492" t="s">
        <v>197</v>
      </c>
      <c r="AG4" s="514" t="s">
        <v>198</v>
      </c>
      <c r="AH4" s="515" t="s">
        <v>199</v>
      </c>
      <c r="AI4" s="514" t="s">
        <v>200</v>
      </c>
      <c r="AJ4" s="516" t="s">
        <v>201</v>
      </c>
      <c r="AK4" s="514" t="s">
        <v>202</v>
      </c>
      <c r="AL4" s="514" t="s">
        <v>203</v>
      </c>
      <c r="AM4" s="517" t="s">
        <v>204</v>
      </c>
      <c r="AN4" s="514" t="s">
        <v>205</v>
      </c>
      <c r="AO4" s="514" t="s">
        <v>206</v>
      </c>
      <c r="AP4" s="554" t="s">
        <v>207</v>
      </c>
      <c r="AQ4" s="555" t="s">
        <v>208</v>
      </c>
      <c r="AR4" s="556" t="s">
        <v>209</v>
      </c>
      <c r="AS4" s="557" t="s">
        <v>210</v>
      </c>
      <c r="AT4" s="556" t="s">
        <v>211</v>
      </c>
      <c r="AU4" s="558" t="s">
        <v>212</v>
      </c>
      <c r="AV4" s="559" t="s">
        <v>213</v>
      </c>
      <c r="AW4" s="559" t="s">
        <v>214</v>
      </c>
      <c r="AX4" s="559" t="s">
        <v>215</v>
      </c>
      <c r="AY4" s="579" t="s">
        <v>216</v>
      </c>
      <c r="AZ4" s="559" t="s">
        <v>217</v>
      </c>
      <c r="BA4" s="559" t="s">
        <v>218</v>
      </c>
      <c r="BB4" s="559" t="s">
        <v>219</v>
      </c>
      <c r="BC4" s="559" t="s">
        <v>220</v>
      </c>
      <c r="BD4" s="559" t="s">
        <v>221</v>
      </c>
      <c r="BE4" s="559" t="s">
        <v>222</v>
      </c>
      <c r="BF4" s="559" t="s">
        <v>223</v>
      </c>
      <c r="BG4" s="559" t="s">
        <v>224</v>
      </c>
      <c r="BH4" s="559" t="s">
        <v>225</v>
      </c>
      <c r="BI4" s="559" t="s">
        <v>226</v>
      </c>
      <c r="BJ4" s="559" t="s">
        <v>227</v>
      </c>
      <c r="BK4" s="559" t="s">
        <v>228</v>
      </c>
      <c r="BL4" s="579" t="s">
        <v>229</v>
      </c>
      <c r="BM4" s="559" t="s">
        <v>230</v>
      </c>
      <c r="BN4" s="559" t="s">
        <v>231</v>
      </c>
      <c r="BO4" s="559" t="s">
        <v>232</v>
      </c>
      <c r="BP4" s="592" t="s">
        <v>233</v>
      </c>
      <c r="BQ4" s="593" t="s">
        <v>213</v>
      </c>
      <c r="BR4" s="559" t="s">
        <v>214</v>
      </c>
      <c r="BS4" s="559" t="s">
        <v>215</v>
      </c>
      <c r="BT4" s="579" t="s">
        <v>216</v>
      </c>
      <c r="BU4" s="559" t="s">
        <v>217</v>
      </c>
      <c r="BV4" s="559" t="s">
        <v>218</v>
      </c>
      <c r="BW4" s="559" t="s">
        <v>219</v>
      </c>
      <c r="BX4" s="559" t="s">
        <v>220</v>
      </c>
      <c r="BY4" s="559" t="s">
        <v>221</v>
      </c>
      <c r="BZ4" s="559" t="s">
        <v>222</v>
      </c>
      <c r="CA4" s="559" t="s">
        <v>223</v>
      </c>
      <c r="CB4" s="559" t="s">
        <v>224</v>
      </c>
      <c r="CC4" s="559" t="s">
        <v>225</v>
      </c>
      <c r="CD4" s="559" t="s">
        <v>226</v>
      </c>
      <c r="CE4" s="559" t="s">
        <v>227</v>
      </c>
      <c r="CF4" s="559" t="s">
        <v>228</v>
      </c>
      <c r="CG4" s="579" t="s">
        <v>229</v>
      </c>
      <c r="CH4" s="559" t="s">
        <v>230</v>
      </c>
      <c r="CI4" s="559" t="s">
        <v>231</v>
      </c>
      <c r="CJ4" s="559" t="s">
        <v>232</v>
      </c>
      <c r="CK4" s="592" t="s">
        <v>233</v>
      </c>
      <c r="CL4" s="593" t="s">
        <v>213</v>
      </c>
      <c r="CM4" s="559" t="s">
        <v>214</v>
      </c>
      <c r="CN4" s="559" t="s">
        <v>215</v>
      </c>
      <c r="CO4" s="579" t="s">
        <v>216</v>
      </c>
      <c r="CP4" s="559" t="s">
        <v>217</v>
      </c>
      <c r="CQ4" s="559" t="s">
        <v>218</v>
      </c>
      <c r="CR4" s="559" t="s">
        <v>219</v>
      </c>
      <c r="CS4" s="559" t="s">
        <v>220</v>
      </c>
      <c r="CT4" s="559" t="s">
        <v>221</v>
      </c>
      <c r="CU4" s="559" t="s">
        <v>222</v>
      </c>
      <c r="CV4" s="559" t="s">
        <v>223</v>
      </c>
      <c r="CW4" s="559" t="s">
        <v>224</v>
      </c>
      <c r="CX4" s="559" t="s">
        <v>225</v>
      </c>
      <c r="CY4" s="559" t="s">
        <v>226</v>
      </c>
      <c r="CZ4" s="559" t="s">
        <v>227</v>
      </c>
      <c r="DA4" s="559" t="s">
        <v>228</v>
      </c>
      <c r="DB4" s="579" t="s">
        <v>229</v>
      </c>
      <c r="DC4" s="559" t="s">
        <v>230</v>
      </c>
      <c r="DD4" s="559" t="s">
        <v>231</v>
      </c>
      <c r="DE4" s="559" t="s">
        <v>232</v>
      </c>
      <c r="DF4" s="592" t="s">
        <v>233</v>
      </c>
      <c r="DG4" s="593" t="s">
        <v>213</v>
      </c>
      <c r="DH4" s="559" t="s">
        <v>214</v>
      </c>
      <c r="DI4" s="559" t="s">
        <v>215</v>
      </c>
      <c r="DJ4" s="579" t="s">
        <v>216</v>
      </c>
      <c r="DK4" s="559" t="s">
        <v>217</v>
      </c>
      <c r="DL4" s="559" t="s">
        <v>218</v>
      </c>
      <c r="DM4" s="559" t="s">
        <v>219</v>
      </c>
      <c r="DN4" s="559" t="s">
        <v>220</v>
      </c>
      <c r="DO4" s="559" t="s">
        <v>221</v>
      </c>
      <c r="DP4" s="559" t="s">
        <v>222</v>
      </c>
      <c r="DQ4" s="559" t="s">
        <v>223</v>
      </c>
      <c r="DR4" s="559" t="s">
        <v>224</v>
      </c>
      <c r="DS4" s="559" t="s">
        <v>225</v>
      </c>
      <c r="DT4" s="559" t="s">
        <v>226</v>
      </c>
      <c r="DU4" s="559" t="s">
        <v>227</v>
      </c>
      <c r="DV4" s="559" t="s">
        <v>228</v>
      </c>
      <c r="DW4" s="579" t="s">
        <v>229</v>
      </c>
      <c r="DX4" s="559" t="s">
        <v>230</v>
      </c>
      <c r="DY4" s="559" t="s">
        <v>231</v>
      </c>
      <c r="DZ4" s="559" t="s">
        <v>232</v>
      </c>
      <c r="EA4" s="592" t="s">
        <v>233</v>
      </c>
      <c r="EB4" s="593" t="s">
        <v>213</v>
      </c>
      <c r="EC4" s="559" t="s">
        <v>214</v>
      </c>
      <c r="ED4" s="559" t="s">
        <v>215</v>
      </c>
      <c r="EE4" s="579" t="s">
        <v>216</v>
      </c>
      <c r="EF4" s="559" t="s">
        <v>217</v>
      </c>
      <c r="EG4" s="559" t="s">
        <v>218</v>
      </c>
      <c r="EH4" s="559" t="s">
        <v>219</v>
      </c>
      <c r="EI4" s="559" t="s">
        <v>220</v>
      </c>
      <c r="EJ4" s="559" t="s">
        <v>221</v>
      </c>
      <c r="EK4" s="559" t="s">
        <v>222</v>
      </c>
      <c r="EL4" s="559" t="s">
        <v>223</v>
      </c>
      <c r="EM4" s="559" t="s">
        <v>224</v>
      </c>
      <c r="EN4" s="559" t="s">
        <v>225</v>
      </c>
      <c r="EO4" s="559" t="s">
        <v>226</v>
      </c>
      <c r="EP4" s="559" t="s">
        <v>227</v>
      </c>
      <c r="EQ4" s="559" t="s">
        <v>228</v>
      </c>
      <c r="ER4" s="579" t="s">
        <v>229</v>
      </c>
      <c r="ES4" s="559" t="s">
        <v>230</v>
      </c>
      <c r="ET4" s="559" t="s">
        <v>231</v>
      </c>
      <c r="EU4" s="559" t="s">
        <v>232</v>
      </c>
      <c r="EV4" s="592" t="s">
        <v>233</v>
      </c>
      <c r="EW4" s="593" t="s">
        <v>213</v>
      </c>
      <c r="EX4" s="559" t="s">
        <v>214</v>
      </c>
      <c r="EY4" s="559" t="s">
        <v>215</v>
      </c>
      <c r="EZ4" s="579" t="s">
        <v>216</v>
      </c>
      <c r="FA4" s="559" t="s">
        <v>217</v>
      </c>
      <c r="FB4" s="559" t="s">
        <v>218</v>
      </c>
      <c r="FC4" s="559" t="s">
        <v>219</v>
      </c>
      <c r="FD4" s="559" t="s">
        <v>220</v>
      </c>
      <c r="FE4" s="559" t="s">
        <v>221</v>
      </c>
      <c r="FF4" s="559" t="s">
        <v>222</v>
      </c>
      <c r="FG4" s="559" t="s">
        <v>223</v>
      </c>
      <c r="FH4" s="559" t="s">
        <v>224</v>
      </c>
      <c r="FI4" s="559" t="s">
        <v>225</v>
      </c>
      <c r="FJ4" s="559" t="s">
        <v>226</v>
      </c>
      <c r="FK4" s="559" t="s">
        <v>227</v>
      </c>
      <c r="FL4" s="559" t="s">
        <v>228</v>
      </c>
      <c r="FM4" s="579" t="s">
        <v>229</v>
      </c>
      <c r="FN4" s="559" t="s">
        <v>230</v>
      </c>
      <c r="FO4" s="559" t="s">
        <v>231</v>
      </c>
      <c r="FP4" s="559" t="s">
        <v>232</v>
      </c>
      <c r="FQ4" s="592" t="s">
        <v>233</v>
      </c>
      <c r="FR4" s="605"/>
      <c r="FS4" s="606" t="s">
        <v>160</v>
      </c>
      <c r="FT4" s="607" t="s">
        <v>234</v>
      </c>
      <c r="FU4" s="607" t="s">
        <v>235</v>
      </c>
      <c r="FV4" s="607" t="s">
        <v>236</v>
      </c>
      <c r="FW4" s="612" t="s">
        <v>237</v>
      </c>
      <c r="FX4" s="606" t="s">
        <v>160</v>
      </c>
      <c r="FY4" s="607" t="s">
        <v>234</v>
      </c>
      <c r="FZ4" s="607" t="s">
        <v>235</v>
      </c>
      <c r="GA4" s="607" t="s">
        <v>236</v>
      </c>
      <c r="GB4" s="613" t="s">
        <v>238</v>
      </c>
      <c r="GC4" s="616" t="s">
        <v>192</v>
      </c>
      <c r="GE4" s="606" t="s">
        <v>239</v>
      </c>
      <c r="GF4" s="607" t="s">
        <v>234</v>
      </c>
      <c r="GG4" s="607" t="s">
        <v>235</v>
      </c>
      <c r="GH4" s="607" t="s">
        <v>240</v>
      </c>
      <c r="GI4" s="607" t="s">
        <v>241</v>
      </c>
      <c r="GJ4" s="607" t="s">
        <v>242</v>
      </c>
      <c r="GK4" s="612" t="s">
        <v>243</v>
      </c>
      <c r="GL4" s="606" t="s">
        <v>239</v>
      </c>
      <c r="GM4" s="607" t="s">
        <v>234</v>
      </c>
      <c r="GN4" s="607" t="s">
        <v>235</v>
      </c>
      <c r="GO4" s="607" t="s">
        <v>244</v>
      </c>
      <c r="GP4" s="607" t="s">
        <v>242</v>
      </c>
      <c r="GQ4" s="612" t="s">
        <v>243</v>
      </c>
      <c r="GR4" s="387" t="s">
        <v>245</v>
      </c>
      <c r="GS4" s="387" t="s">
        <v>246</v>
      </c>
    </row>
    <row r="5" spans="1:201">
      <c r="A5" s="406" t="s">
        <v>247</v>
      </c>
      <c r="B5" s="407" t="s">
        <v>248</v>
      </c>
      <c r="C5" s="408">
        <v>1</v>
      </c>
      <c r="D5" s="409" t="s">
        <v>249</v>
      </c>
      <c r="E5" s="410"/>
      <c r="G5" s="411" t="s">
        <v>46</v>
      </c>
      <c r="H5" s="412">
        <f ca="1" t="shared" ref="H5:H27" si="1">AU5</f>
        <v>0</v>
      </c>
      <c r="I5" s="412">
        <f ca="1" t="shared" ref="I5:I27" si="2">BP5</f>
        <v>8631966.95997879</v>
      </c>
      <c r="J5" s="412">
        <f ca="1" t="shared" ref="J5:J27" si="3">CK5</f>
        <v>214399.861732806</v>
      </c>
      <c r="K5" s="412">
        <f ca="1" t="shared" ref="K5:K27" si="4">DF5</f>
        <v>5168.05429922701</v>
      </c>
      <c r="L5" s="412">
        <f ca="1" t="shared" ref="L5:L27" si="5">EA5+EV5</f>
        <v>11.9382120986021</v>
      </c>
      <c r="M5" s="412">
        <f ca="1" t="shared" ref="M5:M27" si="6">FQ5</f>
        <v>5.25896311597858e-13</v>
      </c>
      <c r="N5" s="412">
        <f ca="1" t="shared" ref="N5:N27" si="7">SUM(H5:M5)</f>
        <v>8851546.81422292</v>
      </c>
      <c r="O5" s="450">
        <f ca="1" t="shared" ref="O5:O27" si="8">AS5</f>
        <v>0</v>
      </c>
      <c r="P5" s="451"/>
      <c r="Q5" s="477" t="str">
        <f t="shared" si="0"/>
        <v>Kr-83m</v>
      </c>
      <c r="R5" s="412">
        <f ca="1" t="shared" ref="R5:R27" si="9">H5</f>
        <v>0</v>
      </c>
      <c r="S5" s="412">
        <f ca="1">I5*(1-过滤效率!$B2)</f>
        <v>8631966.95997879</v>
      </c>
      <c r="T5" s="412">
        <f ca="1">J5*(1-过滤效率!$B2)</f>
        <v>214399.861732806</v>
      </c>
      <c r="U5" s="412">
        <f ca="1">K5*(1-过滤效率!$B2)</f>
        <v>5168.05429922701</v>
      </c>
      <c r="V5" s="412">
        <f ca="1">L5*(1-过滤效率!$B2)</f>
        <v>11.9382120986021</v>
      </c>
      <c r="W5" s="412">
        <f ca="1">M5*(1-过滤效率!$B2)</f>
        <v>5.25896311597858e-13</v>
      </c>
      <c r="X5" s="412">
        <f ca="1" t="shared" ref="X5:X27" si="10">SUM(R5:W5)</f>
        <v>8851546.81422292</v>
      </c>
      <c r="Y5" s="493"/>
      <c r="Z5" s="494">
        <f>VLOOKUP(G5,衰变常数!$A$1:$H$3800,7,FALSE)</f>
        <v>0.000105213597534903</v>
      </c>
      <c r="AA5" s="495">
        <f>正常源项!C2</f>
        <v>2.35e+16</v>
      </c>
      <c r="AB5" s="496">
        <f>正常源项!F2</f>
        <v>0</v>
      </c>
      <c r="AC5" s="496">
        <f>正常源项!I2</f>
        <v>4250000000</v>
      </c>
      <c r="AD5" s="496">
        <f>正常源项!L2</f>
        <v>179000000</v>
      </c>
      <c r="AE5" s="497"/>
      <c r="AF5" s="498"/>
      <c r="AG5" s="483"/>
      <c r="AH5" s="518"/>
      <c r="AI5" s="483"/>
      <c r="AK5" s="519"/>
      <c r="AL5" s="519">
        <f t="shared" ref="AL5:AL18" si="11">AA5*0.0000007*0.000209</f>
        <v>3438050</v>
      </c>
      <c r="AM5" s="520">
        <f t="shared" ref="AM5:AM18" si="12">(0.00016*2%+0.00026*2%)/2*AA5</f>
        <v>98700000000</v>
      </c>
      <c r="AN5" s="519">
        <f ca="1">MAX(INDIRECT("'"&amp;$B$2&amp;"-事故进程'!Y"&amp;(ROW()+22)),INDIRECT("'"&amp;$B$2&amp;"-事故进程'!Z"&amp;(ROW()+22)),INDIRECT("'"&amp;$B$2&amp;"-事故进程'!AA"&amp;(ROW()+22)))</f>
        <v>6.34129472458561e-11</v>
      </c>
      <c r="AO5" s="519">
        <f ca="1" t="shared" ref="AO5:AO23" si="13">AA5*(EXP(-Z5*$C$12*3600)-EXP(-(Z5+AN5)*$C$12*3600))</f>
        <v>5241849.6670097</v>
      </c>
      <c r="AP5" s="560">
        <f t="shared" ref="AP5:AP27" si="14">AA5*EXP(-Z5*$C$12*3600)</f>
        <v>850436118695.649</v>
      </c>
      <c r="AQ5" s="561">
        <f ca="1">(AC5*$C$5+AD5*$C$8+AF5+AG5+AI5+(AL5+AM5)*$C$10)*EXP(-Z5*$C$12*3600)+AO5*$C$11</f>
        <v>8967608.06112097</v>
      </c>
      <c r="AR5" s="562">
        <f ca="1">AQ5*(1-AR$3)</f>
        <v>8967608.06112097</v>
      </c>
      <c r="AS5" s="563">
        <f ca="1" t="shared" ref="AS5:AS27" si="15">(AQ5-AR5)+AB5*EXP(-Z5*$C$12*3600)</f>
        <v>0</v>
      </c>
      <c r="AT5" s="562">
        <f ca="1">AS5*(1-AT$3)</f>
        <v>0</v>
      </c>
      <c r="AU5" s="564">
        <f ca="1" t="shared" ref="AU5:AU27" si="16">AS5-AT5</f>
        <v>0</v>
      </c>
      <c r="AV5" s="565">
        <f>AV$3*3600</f>
        <v>7200</v>
      </c>
      <c r="AW5" s="580">
        <f>AP5*EXP(-Z5*AW$3*3600)</f>
        <v>850436118695.649</v>
      </c>
      <c r="AX5" s="580">
        <f ca="1" t="shared" ref="AX5:AX27" si="17">AR5</f>
        <v>8967608.06112097</v>
      </c>
      <c r="AY5" s="581">
        <f ca="1" t="shared" ref="AY5:AY27" si="18">AT5</f>
        <v>0</v>
      </c>
      <c r="AZ5" s="580">
        <v>0</v>
      </c>
      <c r="BA5" s="580">
        <f ca="1">MAX(INDIRECT("'"&amp;$B$2&amp;"-事故进程'!Y"&amp;(ROW()+22)),INDIRECT("'"&amp;$B$2&amp;"-事故进程'!Z"&amp;(ROW()+22)))</f>
        <v>5.73335971691486e-11</v>
      </c>
      <c r="BB5" s="580">
        <f ca="1">SUM(BA$3,-LN(1-BB$3)/AV5)</f>
        <v>0.00160041330566996</v>
      </c>
      <c r="BC5" s="580">
        <f>BC$3/24/3600</f>
        <v>1157407407407410</v>
      </c>
      <c r="BD5" s="582">
        <f ca="1" t="shared" ref="BD5:BD27" si="19">EXP(-AV5*($Z5+BA5))</f>
        <v>0.46881909258106</v>
      </c>
      <c r="BE5" s="582">
        <f ca="1" t="shared" ref="BE5:BE27" si="20">EXP(-AV5*($Z5+BB5))</f>
        <v>4.64131093249407e-6</v>
      </c>
      <c r="BF5" s="582">
        <f t="shared" ref="BF5:BF27" si="21">EXP(-AV5*($Z5+BC5))</f>
        <v>0</v>
      </c>
      <c r="BG5" s="582">
        <f ca="1" t="shared" ref="BG5:BG27" si="22">AW5*BA5+AX5*(BA5-BB5)</f>
        <v>-14303.1201850586</v>
      </c>
      <c r="BH5" s="582">
        <f ca="1" t="shared" ref="BH5:BH27" si="23">(AW5*BB5*BA5/(BA5-BC5)+AX5*BB5)/(BB5-BC5)+AY5</f>
        <v>-1.24000236815482e-11</v>
      </c>
      <c r="BI5" s="582">
        <f ca="1" t="shared" ref="BI5:BI27" si="24">IF(BB5=0,0,BB5/(BB5-BA5))</f>
        <v>1.00000003582425</v>
      </c>
      <c r="BJ5" s="580">
        <f ca="1" t="shared" ref="BJ5:BJ27" si="25">AW5*BD5</f>
        <v>398700689465.052</v>
      </c>
      <c r="BK5" s="580">
        <f ca="1" t="shared" ref="BK5:BK27" si="26">BA5/(BB5-BA5)*BJ5+(AX5-AW5*BA5/(BB5-BA5))*BE5</f>
        <v>14324.6314492621</v>
      </c>
      <c r="BL5" s="586">
        <f ca="1" t="shared" ref="BL5:BL27" si="27">BF5*BH5+BI5*(BE5*BG5/(BB5-BC5)-BJ5*BA5/(BA5-BC5))</f>
        <v>1.98074857854679e-14</v>
      </c>
      <c r="BM5" s="594">
        <f ca="1" t="shared" ref="BM5:BM27" si="28">(AW5+AX5+AY5+AZ5)*EXP(-$Z5*AV5)-BJ5-BK5-BL5</f>
        <v>4354447.41383882</v>
      </c>
      <c r="BN5" s="580">
        <f ca="1" t="shared" ref="BN5:BN27" si="29">AW5*BA5/($Z5+BA5)*(1-BD5)</f>
        <v>246162.127519567</v>
      </c>
      <c r="BO5" s="580">
        <f ca="1" t="shared" ref="BO5:BO27" si="30">BI5*(BN5-(1-BE5)*BG5/($Z5+BB5))</f>
        <v>8631966.95997879</v>
      </c>
      <c r="BP5" s="595">
        <f ca="1" t="shared" ref="BP5:BP27" si="31">BC5*(1-BF5)*BH5/($Z5+BC5)+BC5*BI5*((1-BE5)*BG5/($Z5+BB5)/(BB5-BC5)-BN5/(BA5-BC5))</f>
        <v>8631966.95997879</v>
      </c>
      <c r="BQ5" s="596">
        <f>BQ$3*3600</f>
        <v>21600</v>
      </c>
      <c r="BR5" s="580">
        <f ca="1" t="shared" ref="BR5:BU5" si="32">BJ5</f>
        <v>398700689465.052</v>
      </c>
      <c r="BS5" s="580">
        <f ca="1" t="shared" si="32"/>
        <v>14324.6314492621</v>
      </c>
      <c r="BT5" s="581">
        <f ca="1" t="shared" si="32"/>
        <v>1.98074857854679e-14</v>
      </c>
      <c r="BU5" s="580">
        <f ca="1" t="shared" si="32"/>
        <v>4354447.41383882</v>
      </c>
      <c r="BV5" s="580">
        <f ca="1">MAX(INDIRECT("'"&amp;$B$2&amp;"-事故进程'!Z"&amp;(ROW()+22)),INDIRECT("'"&amp;$B$2&amp;"-事故进程'!AA"&amp;(ROW()+22)))</f>
        <v>6.34129472458561e-11</v>
      </c>
      <c r="BW5" s="580">
        <f ca="1">SUM(BV$3,-LN(1-BW$3)/BQ5)</f>
        <v>0.00162728102077123</v>
      </c>
      <c r="BX5" s="580">
        <f>BX$3/24/3600</f>
        <v>1157407407407410</v>
      </c>
      <c r="BY5" s="582">
        <f ca="1" t="shared" ref="BY5:BY27" si="33">EXP(-BQ5*($Z5+BV5))</f>
        <v>0.103042363780429</v>
      </c>
      <c r="BZ5" s="582">
        <f ca="1" t="shared" ref="BZ5:BZ27" si="34">EXP(-BQ5*($Z5+BW5))</f>
        <v>5.5960602618748e-17</v>
      </c>
      <c r="CA5" s="582">
        <f t="shared" ref="CA5:CA27" si="35">EXP(-BQ5*($Z5+BX5))</f>
        <v>0</v>
      </c>
      <c r="CB5" s="582">
        <f ca="1" t="shared" ref="CB5:CB27" si="36">BR5*BV5+BS5*(BV5-BW5)</f>
        <v>1.972585809374</v>
      </c>
      <c r="CC5" s="582">
        <f ca="1" t="shared" ref="CC5:CC27" si="37">(BR5*BW5*BV5/(BV5-BX5)+BS5*BW5)/(BW5-BX5)+BT5</f>
        <v>-3.32527780836965e-16</v>
      </c>
      <c r="CD5" s="582">
        <f ca="1" t="shared" ref="CD5:CD27" si="38">IF(BW5=0,0,BW5/(BW5-BV5))</f>
        <v>1.00000003896865</v>
      </c>
      <c r="CE5" s="580">
        <f ca="1" t="shared" ref="CE5:CE27" si="39">BR5*BY5</f>
        <v>41083061483.3658</v>
      </c>
      <c r="CF5" s="580">
        <f ca="1" t="shared" ref="CF5:CF27" si="40">BV5/(BW5-BV5)*CE5+(BS5-BR5*BV5/(BW5-BV5))*BZ5</f>
        <v>1600.95157431953</v>
      </c>
      <c r="CG5" s="586">
        <f ca="1" t="shared" ref="CG5:CG27" si="41">CA5*CC5+CD5*(BZ5*CB5/(BW5-BX5)-CE5*BV5/(BV5-BX5))</f>
        <v>2.2508911688233e-15</v>
      </c>
      <c r="CH5" s="594">
        <f ca="1" t="shared" ref="CH5:CH27" si="42">(BR5+BS5+BT5+BU5)*EXP(-$Z5*BQ5)-CE5-CF5-CG5</f>
        <v>504840.578950888</v>
      </c>
      <c r="CI5" s="580">
        <f ca="1" t="shared" ref="CI5:CI27" si="43">BR5*BV5/($Z5+BV5)*(1-BY5)</f>
        <v>215538.434582475</v>
      </c>
      <c r="CJ5" s="580">
        <f ca="1" t="shared" ref="CJ5:CJ27" si="44">CD5*(CI5-(1-BZ5)*CB5/($Z5+BW5))</f>
        <v>214399.861732806</v>
      </c>
      <c r="CK5" s="595">
        <f ca="1" t="shared" ref="CK5:CK27" si="45">BX5*(1-CA5)*CC5/($Z5+BX5)+BX5*CD5*((1-BZ5)*CB5/($Z5+BW5)/(BW5-BX5)-CI5/(BV5-BX5))</f>
        <v>214399.861732806</v>
      </c>
      <c r="CL5" s="596">
        <f>CL$3*3600</f>
        <v>57600</v>
      </c>
      <c r="CM5" s="580">
        <f ca="1" t="shared" ref="CM5:CP5" si="46">CE5</f>
        <v>41083061483.3658</v>
      </c>
      <c r="CN5" s="580">
        <f ca="1" t="shared" si="46"/>
        <v>1600.95157431953</v>
      </c>
      <c r="CO5" s="581">
        <f ca="1" t="shared" si="46"/>
        <v>2.2508911688233e-15</v>
      </c>
      <c r="CP5" s="580">
        <f ca="1" t="shared" si="46"/>
        <v>504840.578950888</v>
      </c>
      <c r="CQ5" s="580">
        <f ca="1">MAX(INDIRECT("'"&amp;$B$2&amp;"-事故进程'!AA"&amp;(ROW()+22)),INDIRECT("'"&amp;$B$2&amp;"-事故进程'!AB"&amp;(ROW()+22)))</f>
        <v>2.12345685220129e-10</v>
      </c>
      <c r="CR5" s="580">
        <f ca="1">SUM(CQ$3,-LN(1-CR$3)/CL5)</f>
        <v>6.95458811586267e-6</v>
      </c>
      <c r="CS5" s="580">
        <f>CS$3/24/3600</f>
        <v>1157407407407410</v>
      </c>
      <c r="CT5" s="582">
        <f ca="1" t="shared" ref="CT5:CT27" si="47">EXP(-CL5*($Z5+CQ5))</f>
        <v>0.00233366461895279</v>
      </c>
      <c r="CU5" s="582">
        <f ca="1" t="shared" ref="CU5:CU27" si="48">EXP(-CL5*($Z5+CR5))</f>
        <v>0.00156340758046649</v>
      </c>
      <c r="CV5" s="582">
        <f t="shared" ref="CV5:CV27" si="49">EXP(-CL5*($Z5+CS5))</f>
        <v>0</v>
      </c>
      <c r="CW5" s="582">
        <f ca="1" t="shared" ref="CW5:CW27" si="50">CM5*CQ5+CN5*(CQ5-CR5)</f>
        <v>8.71267722278832</v>
      </c>
      <c r="CX5" s="582">
        <f ca="1" t="shared" ref="CX5:CX27" si="51">(CM5*CR5*CQ5/(CQ5-CS5)+CN5*CR5)/(CR5-CS5)+CO5</f>
        <v>2.24127142842629e-15</v>
      </c>
      <c r="CY5" s="582">
        <f ca="1" t="shared" ref="CY5:CY27" si="52">IF(CR5=0,0,CR5/(CR5-CQ5))</f>
        <v>1.00003053411151</v>
      </c>
      <c r="CZ5" s="580">
        <f ca="1" t="shared" ref="CZ5:CZ27" si="53">CM5*CT5</f>
        <v>95874087.0219928</v>
      </c>
      <c r="DA5" s="580">
        <f ca="1" t="shared" ref="DA5:DA27" si="54">CQ5/(CR5-CQ5)*CZ5+(CN5-CM5*CQ5/(CR5-CQ5))*CU5</f>
        <v>968.740158701902</v>
      </c>
      <c r="DB5" s="586">
        <f ca="1" t="shared" ref="DB5:DB27" si="55">CV5*CX5+CY5*(CU5*CW5/(CR5-CS5)-CZ5*CQ5/(CQ5-CS5))</f>
        <v>5.82093111893803e-18</v>
      </c>
      <c r="DC5" s="594">
        <f ca="1" t="shared" ref="DC5:DC27" si="56">(CM5+CN5+CO5+CP5)*EXP(-$Z5*CL5)-CZ5-DA5-DB5</f>
        <v>1385.79279508197</v>
      </c>
      <c r="DD5" s="580">
        <f ca="1" t="shared" ref="DD5:DD27" si="57">CM5*CQ5/($Z5+CQ5)*(1-CT5)</f>
        <v>82721.5781160323</v>
      </c>
      <c r="DE5" s="580">
        <f ca="1" t="shared" ref="DE5:DE27" si="58">CY5*(DD5-(1-CU5)*CW5/($Z5+CR5))</f>
        <v>5168.054299227</v>
      </c>
      <c r="DF5" s="595">
        <f ca="1" t="shared" ref="DF5:DF27" si="59">CS5*(1-CV5)*CX5/($Z5+CS5)+CS5*CY5*((1-CU5)*CW5/($Z5+CR5)/(CR5-CS5)-DD5/(CQ5-CS5))</f>
        <v>5168.05429922701</v>
      </c>
      <c r="DG5" s="596">
        <f>DG$3*3600</f>
        <v>86400</v>
      </c>
      <c r="DH5" s="580">
        <f ca="1" t="shared" ref="DH5:DK5" si="60">CZ5</f>
        <v>95874087.0219928</v>
      </c>
      <c r="DI5" s="580">
        <f ca="1" t="shared" si="60"/>
        <v>968.740158701902</v>
      </c>
      <c r="DJ5" s="581">
        <f ca="1" t="shared" si="60"/>
        <v>5.82093111893803e-18</v>
      </c>
      <c r="DK5" s="580">
        <f ca="1" t="shared" si="60"/>
        <v>1385.79279508197</v>
      </c>
      <c r="DL5" s="580">
        <f ca="1">MAX(INDIRECT("'"&amp;$B$2&amp;"-事故进程'!AB"&amp;(ROW()+22)),INDIRECT("'"&amp;$B$2&amp;"-事故进程'!AC"&amp;(ROW()+22)))</f>
        <v>3.10187632066041e-10</v>
      </c>
      <c r="DM5" s="580">
        <f ca="1">SUM(DL$3,-LN(1-DM$3)/DG5)</f>
        <v>1.01371476497628e-6</v>
      </c>
      <c r="DN5" s="580">
        <f>DN$3/24/3600</f>
        <v>1157407407407410</v>
      </c>
      <c r="DO5" s="582">
        <f ca="1" t="shared" ref="DO5:DO27" si="61">EXP(-DG5*($Z5+DL5))</f>
        <v>0.000112733759797675</v>
      </c>
      <c r="DP5" s="582">
        <f ca="1" t="shared" ref="DP5:DP27" si="62">EXP(-DG5*($Z5+DM5))</f>
        <v>0.000103282791563547</v>
      </c>
      <c r="DQ5" s="582">
        <f t="shared" ref="DQ5:DQ27" si="63">EXP(-DG5*($Z5+DN5))</f>
        <v>0</v>
      </c>
      <c r="DR5" s="582">
        <f ca="1" t="shared" ref="DR5:DR27" si="64">DH5*DL5+DI5*(DL5-DM5)</f>
        <v>0.0287572303187598</v>
      </c>
      <c r="DS5" s="582">
        <f ca="1" t="shared" ref="DS5:DS27" si="65">(DH5*DM5*DL5/(DL5-DN5)+DI5*DM5)/(DM5-DN5)+DJ5</f>
        <v>4.97246048014947e-18</v>
      </c>
      <c r="DT5" s="582">
        <f ca="1" t="shared" ref="DT5:DT27" si="66">IF(DM5=0,0,DM5/(DM5-DL5))</f>
        <v>1.00030608469608</v>
      </c>
      <c r="DU5" s="580">
        <f ca="1" t="shared" ref="DU5:DU27" si="67">DH5*DO5</f>
        <v>10808.2462971587</v>
      </c>
      <c r="DV5" s="580">
        <f ca="1" t="shared" ref="DV5:DV27" si="68">DL5/(DM5-DL5)*DU5+(DI5-DH5*DL5/(DM5-DL5))*DP5</f>
        <v>0.377398434243414</v>
      </c>
      <c r="DW5" s="586">
        <f ca="1" t="shared" ref="DW5:DW27" si="69">DQ5*DS5+DT5*(DP5*DR5/(DM5-DN5)-DU5*DL5/(DL5-DN5))</f>
        <v>3.30544251421756e-22</v>
      </c>
      <c r="DX5" s="594">
        <f ca="1" t="shared" ref="DX5:DX27" si="70">(DH5+DI5+DJ5+DK5)*EXP(-$Z5*DG5)-DU5-DV5-DW5</f>
        <v>0.177711199313226</v>
      </c>
      <c r="DY5" s="580">
        <f ca="1" t="shared" ref="DY5:DY27" si="71">DH5*DL5/($Z5+DL5)*(1-DO5)</f>
        <v>282.62046424449</v>
      </c>
      <c r="DZ5" s="580">
        <f ca="1" t="shared" ref="DZ5:DZ27" si="72">DT5*(DY5-(1-DP5)*DR5/($Z5+DM5))</f>
        <v>11.9379859846744</v>
      </c>
      <c r="EA5" s="595">
        <f ca="1" t="shared" ref="EA5:EA27" si="73">DN5*(1-DQ5)*DS5/($Z5+DN5)+DN5*DT5*((1-DP5)*DR5/($Z5+DM5)/(DM5-DN5)-DY5/(DL5-DN5))</f>
        <v>11.9379859846745</v>
      </c>
      <c r="EB5" s="596">
        <f>EB$3*3600</f>
        <v>172800</v>
      </c>
      <c r="EC5" s="580">
        <f ca="1" t="shared" ref="EC5:EF5" si="74">DU5</f>
        <v>10808.2462971587</v>
      </c>
      <c r="ED5" s="580">
        <f ca="1" t="shared" si="74"/>
        <v>0.377398434243414</v>
      </c>
      <c r="EE5" s="581">
        <f ca="1" t="shared" si="74"/>
        <v>3.30544251421756e-22</v>
      </c>
      <c r="EF5" s="580">
        <f ca="1" t="shared" si="74"/>
        <v>0.177711199313226</v>
      </c>
      <c r="EG5" s="580">
        <f ca="1">MAX(INDIRECT("'"&amp;$B$2&amp;"-事故进程'!AC"&amp;(ROW()+22)),INDIRECT("'"&amp;$B$2&amp;"-事故进程'!AD"&amp;(ROW()+22)),INDIRECT("'"&amp;$B$2&amp;"-事故进程'!AE"&amp;(ROW()+22)))</f>
        <v>3.10187632066041e-10</v>
      </c>
      <c r="EH5" s="580">
        <f ca="1">SUM(EG$3,-LN(1-EH$3)/EB5)</f>
        <v>5.81616658188741e-8</v>
      </c>
      <c r="EI5" s="580">
        <f>EI$3/24/3600</f>
        <v>1157407407407410</v>
      </c>
      <c r="EJ5" s="582">
        <f ca="1" t="shared" ref="EJ5:EJ27" si="75">EXP(-EB5*($Z5+EG5))</f>
        <v>1.27089005981198e-8</v>
      </c>
      <c r="EK5" s="582">
        <f ca="1" t="shared" ref="EK5:EK27" si="76">EXP(-EB5*($Z5+EH5))</f>
        <v>1.25824860006339e-8</v>
      </c>
      <c r="EL5" s="582">
        <f t="shared" ref="EL5:EL27" si="77">EXP(-EB5*($Z5+EI5))</f>
        <v>0</v>
      </c>
      <c r="EM5" s="582">
        <f ca="1" t="shared" ref="EM5:EM27" si="78">EC5*EG5+ED5*(EG5-EH5)</f>
        <v>3.33075126841584e-6</v>
      </c>
      <c r="EN5" s="582">
        <f ca="1" t="shared" ref="EN5:EN27" si="79">(EC5*EH5*EG5/(EG5-EI5)+ED5*EH5)/(EH5-EI5)+EE5</f>
        <v>3.11579346348096e-22</v>
      </c>
      <c r="EO5" s="582">
        <f ca="1" t="shared" ref="EO5:EO27" si="80">IF(EH5=0,0,EH5/(EH5-EG5))</f>
        <v>1.00536179267649</v>
      </c>
      <c r="EP5" s="580">
        <f ca="1" t="shared" ref="EP5:EP27" si="81">EC5*EJ5</f>
        <v>0.000137360927830586</v>
      </c>
      <c r="EQ5" s="580">
        <f ca="1" t="shared" ref="EQ5:EQ27" si="82">EG5/(EH5-EG5)*EP5+(ED5-EC5*EG5/(EH5-EG5))*EK5</f>
        <v>1.20745356492394e-8</v>
      </c>
      <c r="ER5" s="586">
        <f ca="1" t="shared" ref="ER5:ER27" si="83">EL5*EN5+EO5*(EK5*EM5/(EH5-EI5)-EP5*EG5/(EG5-EI5))</f>
        <v>6.06765692749671e-31</v>
      </c>
      <c r="ES5" s="594">
        <f ca="1" t="shared" ref="ES5:ES27" si="84">(EC5+ED5+EE5+EF5)*EXP(-$Z5*EB5)-EP5-EQ5-ER5</f>
        <v>2.34347679044936e-9</v>
      </c>
      <c r="ET5" s="580">
        <f ca="1" t="shared" ref="ET5:ET27" si="85">EC5*EG5/($Z5+EG5)*(1-EJ5)</f>
        <v>0.0318644593254327</v>
      </c>
      <c r="EU5" s="580">
        <f ca="1" t="shared" ref="EU5:EU27" si="86">EO5*(ET5-(1-EK5)*EM5/($Z5+EH5))</f>
        <v>0.0002261139276694</v>
      </c>
      <c r="EV5" s="595">
        <f ca="1" t="shared" ref="EV5:EV27" si="87">EI5*(1-EL5)*EN5/($Z5+EI5)+EI5*EO5*((1-EK5)*EM5/($Z5+EH5)/(EH5-EI5)-ET5/(EG5-EI5))</f>
        <v>0.0002261139276694</v>
      </c>
      <c r="EW5" s="596">
        <f>EW$3*3600</f>
        <v>2246400</v>
      </c>
      <c r="EX5" s="580">
        <f ca="1" t="shared" ref="EX5:FA5" si="88">EP5</f>
        <v>0.000137360927830586</v>
      </c>
      <c r="EY5" s="580">
        <f ca="1" t="shared" si="88"/>
        <v>1.20745356492394e-8</v>
      </c>
      <c r="EZ5" s="581">
        <f ca="1" t="shared" si="88"/>
        <v>6.06765692749671e-31</v>
      </c>
      <c r="FA5" s="580">
        <f ca="1" t="shared" si="88"/>
        <v>2.34347679044936e-9</v>
      </c>
      <c r="FB5" s="580">
        <f ca="1">INDIRECT("'"&amp;$B$2&amp;"-事故进程'!AE"&amp;(ROW()+22))</f>
        <v>2.24729259278157e-10</v>
      </c>
      <c r="FC5" s="580">
        <f ca="1">SUM(FB$3,-LN(1-FC$3)/EW5)</f>
        <v>4.47397429375955e-9</v>
      </c>
      <c r="FD5" s="580">
        <f>FD$3/24/3600</f>
        <v>1157407407407410</v>
      </c>
      <c r="FE5" s="582">
        <f ca="1" t="shared" ref="FE5:FE27" si="89">EXP(-EW5*($Z5+FB5))</f>
        <v>2.25676922528196e-103</v>
      </c>
      <c r="FF5" s="582">
        <f ca="1" t="shared" ref="FF5:FF27" si="90">EXP(-EW5*($Z5+FC5))</f>
        <v>2.23532971377545e-103</v>
      </c>
      <c r="FG5" s="582">
        <f t="shared" ref="FG5:FG27" si="91">EXP(-EW5*($Z5+FD5))</f>
        <v>0</v>
      </c>
      <c r="FH5" s="582">
        <f ca="1" t="shared" ref="FH5:FH27" si="92">EX5*FB5+EY5*(FB5-FC5)</f>
        <v>3.08177119044768e-14</v>
      </c>
      <c r="FI5" s="582">
        <f ca="1" t="shared" ref="FI5:FI27" si="93">(EX5*FC5*FB5/(FB5-FD5)+EY5*FC5)/(FC5-FD5)+EZ5</f>
        <v>5.60091408692005e-31</v>
      </c>
      <c r="FJ5" s="582">
        <f ca="1" t="shared" ref="FJ5:FJ27" si="94">IF(FC5=0,0,FC5/(FC5-FB5))</f>
        <v>1.05288686753871</v>
      </c>
      <c r="FK5" s="580">
        <f ca="1" t="shared" ref="FK5:FK27" si="95">EX5*FE5</f>
        <v>3.09991914684242e-107</v>
      </c>
      <c r="FL5" s="580">
        <f ca="1" t="shared" ref="FL5:FL27" si="96">FB5/(FC5-FB5)*FK5+(EY5-EX5*FB5/(FC5-FB5))*FF5</f>
        <v>1.82739811956732e-110</v>
      </c>
      <c r="FM5" s="586">
        <f ca="1" t="shared" ref="FM5:FM27" si="97">FG5*FI5+FJ5*(FF5*FH5/(FC5-FD5)-FK5*FB5/(FB5-FD5))</f>
        <v>7.06383263065709e-134</v>
      </c>
      <c r="FN5" s="594">
        <f ca="1" t="shared" ref="FN5:FN27" si="98">(EX5+EY5+EZ5+FA5)*EXP(-$Z5*EW5)-FK5-FL5-FM5</f>
        <v>6.3480321753611e-112</v>
      </c>
      <c r="FO5" s="580">
        <f ca="1" t="shared" ref="FO5:FO27" si="99">EX5*FB5/($Z5+FB5)*(1-FE5)</f>
        <v>2.93393195882805e-10</v>
      </c>
      <c r="FP5" s="580">
        <f ca="1" t="shared" ref="FP5:FP27" si="100">FJ5*(FO5-(1-FF5)*FH5/($Z5+FC5))</f>
        <v>5.25896311597852e-13</v>
      </c>
      <c r="FQ5" s="595">
        <f ca="1" t="shared" ref="FQ5:FQ27" si="101">FD5*(1-FG5)*FI5/($Z5+FD5)+FD5*FJ5*((1-FF5)*FH5/($Z5+FC5)/(FC5-FD5)-FO5/(FB5-FD5))</f>
        <v>5.25896311597858e-13</v>
      </c>
      <c r="FR5" s="608" t="str">
        <f t="shared" ref="FR5:FR27" si="102">G5</f>
        <v>Kr-83m</v>
      </c>
      <c r="FS5" s="609">
        <v>5560000000</v>
      </c>
      <c r="FT5" s="610">
        <v>3000000000</v>
      </c>
      <c r="FU5" s="610">
        <v>217000000</v>
      </c>
      <c r="FV5" s="610">
        <v>395000</v>
      </c>
      <c r="FW5" s="610">
        <v>8780000000</v>
      </c>
      <c r="FX5" s="614">
        <f ca="1" t="shared" ref="FX5:FX26" si="103">H5/FS5</f>
        <v>0</v>
      </c>
      <c r="FY5" s="614">
        <f ca="1" t="shared" ref="FY5:FY23" si="104">(I5+J5)/FT5</f>
        <v>0.00294878894057053</v>
      </c>
      <c r="FZ5" s="614">
        <f ca="1" t="shared" ref="FZ5:FZ23" si="105">K5/FU5</f>
        <v>2.38159184296175e-5</v>
      </c>
      <c r="GA5" s="614">
        <f ca="1" t="shared" ref="GA5:GA23" si="106">L5/FV5</f>
        <v>3.0223321768613e-5</v>
      </c>
      <c r="GB5" s="614">
        <f ca="1" t="shared" ref="GB5:GB26" si="107">SUM(H5:L5)/FW5</f>
        <v>0.00100814883988872</v>
      </c>
      <c r="GC5" s="455">
        <f ca="1" t="shared" ref="GC5:GC26" si="108">N5/FW5</f>
        <v>0.00100814883988872</v>
      </c>
      <c r="GE5" s="609">
        <v>1129063323.15744</v>
      </c>
      <c r="GF5" s="610">
        <v>140440921.932809</v>
      </c>
      <c r="GG5" s="610">
        <v>12115600.5687868</v>
      </c>
      <c r="GH5" s="610">
        <v>33581.6637031985</v>
      </c>
      <c r="GI5" s="610">
        <v>57.1973546594997</v>
      </c>
      <c r="GJ5" s="610">
        <v>4.31110717077839e-8</v>
      </c>
      <c r="GK5" s="617">
        <v>1281653484.52009</v>
      </c>
      <c r="GL5" s="614">
        <f ca="1" t="shared" ref="GL5:GL27" si="109">H5/GE5</f>
        <v>0</v>
      </c>
      <c r="GM5" s="614">
        <f ca="1" t="shared" ref="GM5:GM27" si="110">(I5+J5)/GF5</f>
        <v>0.0629899512190895</v>
      </c>
      <c r="GN5" s="614">
        <f ca="1" t="shared" ref="GN5:GN27" si="111">K5/GG5</f>
        <v>0.000426561957856334</v>
      </c>
      <c r="GO5" s="614">
        <f ca="1" t="shared" ref="GO5:GO27" si="112">L5/(GH5+GI5)</f>
        <v>0.000354893469135851</v>
      </c>
      <c r="GP5" s="614">
        <f ca="1" t="shared" ref="GP5:GP27" si="113">M5/GJ5</f>
        <v>1.2198636933976e-5</v>
      </c>
      <c r="GQ5" s="614">
        <f ca="1" t="shared" ref="GQ5:GQ27" si="114">N5/GK5</f>
        <v>0.00690634943152154</v>
      </c>
      <c r="GR5" s="451">
        <f t="shared" ref="GR5:GR27" si="115">Z5</f>
        <v>0.000105213597534903</v>
      </c>
      <c r="GS5" s="390">
        <f t="shared" ref="GS5:GS27" si="116">LN(2)/GR5</f>
        <v>6588.00000000004</v>
      </c>
    </row>
    <row r="6" spans="1:201">
      <c r="A6" s="413"/>
      <c r="B6" s="407" t="s">
        <v>250</v>
      </c>
      <c r="C6" s="414">
        <v>0</v>
      </c>
      <c r="D6" s="409" t="s">
        <v>251</v>
      </c>
      <c r="E6" s="410"/>
      <c r="G6" s="411" t="s">
        <v>47</v>
      </c>
      <c r="H6" s="412">
        <f ca="1" t="shared" si="1"/>
        <v>0</v>
      </c>
      <c r="I6" s="412">
        <f ca="1" t="shared" si="2"/>
        <v>87492911126.4515</v>
      </c>
      <c r="J6" s="412">
        <f ca="1" t="shared" si="3"/>
        <v>9781114.14422205</v>
      </c>
      <c r="K6" s="412">
        <f ca="1" t="shared" si="4"/>
        <v>132769526.437236</v>
      </c>
      <c r="L6" s="412">
        <f ca="1" t="shared" si="5"/>
        <v>169441110.057</v>
      </c>
      <c r="M6" s="412">
        <f ca="1" t="shared" si="6"/>
        <v>229857854.479409</v>
      </c>
      <c r="N6" s="412">
        <f ca="1" t="shared" si="7"/>
        <v>88034760731.5694</v>
      </c>
      <c r="O6" s="450">
        <f ca="1" t="shared" si="8"/>
        <v>0</v>
      </c>
      <c r="P6" s="451"/>
      <c r="Q6" s="477" t="str">
        <f t="shared" si="0"/>
        <v>Kr-85</v>
      </c>
      <c r="R6" s="412">
        <f ca="1" t="shared" si="9"/>
        <v>0</v>
      </c>
      <c r="S6" s="412">
        <f ca="1">I6*(1-过滤效率!$B3)</f>
        <v>87492911126.4515</v>
      </c>
      <c r="T6" s="412">
        <f ca="1">J6*(1-过滤效率!$B3)</f>
        <v>9781114.14422205</v>
      </c>
      <c r="U6" s="412">
        <f ca="1">K6*(1-过滤效率!$B3)</f>
        <v>132769526.437236</v>
      </c>
      <c r="V6" s="412">
        <f ca="1">L6*(1-过滤效率!$B3)</f>
        <v>169441110.057</v>
      </c>
      <c r="W6" s="412">
        <f ca="1">M6*(1-过滤效率!$B3)</f>
        <v>229857854.479409</v>
      </c>
      <c r="X6" s="412">
        <f ca="1" t="shared" si="10"/>
        <v>88034760731.5694</v>
      </c>
      <c r="Y6" s="493"/>
      <c r="Z6" s="494">
        <f>VLOOKUP(G6,衰变常数!$A$1:$H$3800,7,FALSE)</f>
        <v>2.04207062814938e-9</v>
      </c>
      <c r="AA6" s="495">
        <f>正常源项!C3</f>
        <v>1860000000000000</v>
      </c>
      <c r="AB6" s="496">
        <f>正常源项!F3</f>
        <v>0</v>
      </c>
      <c r="AC6" s="496">
        <f>正常源项!I3</f>
        <v>46200000</v>
      </c>
      <c r="AD6" s="496">
        <f>正常源项!L3</f>
        <v>1030000000</v>
      </c>
      <c r="AE6" s="496"/>
      <c r="AF6" s="498"/>
      <c r="AG6" s="519"/>
      <c r="AH6" s="518"/>
      <c r="AI6" s="519"/>
      <c r="AJ6" s="521">
        <v>0.00066</v>
      </c>
      <c r="AK6" s="521">
        <v>5.457e-5</v>
      </c>
      <c r="AL6" s="522">
        <f>AA6*(AJ6-AK6)*0.00000209</f>
        <v>2353548.582</v>
      </c>
      <c r="AM6" s="522">
        <f>(0.00016*10%+0.00026*30%)/2*AA6</f>
        <v>87420000000</v>
      </c>
      <c r="AN6" s="519">
        <f ca="1">MAX(INDIRECT("'"&amp;$B$2&amp;"-事故进程'!Y"&amp;(ROW()+22)),INDIRECT("'"&amp;$B$2&amp;"-事故进程'!Z"&amp;(ROW()+22)),INDIRECT("'"&amp;$B$2&amp;"-事故进程'!AA"&amp;(ROW()+22)))</f>
        <v>2.22353e-13</v>
      </c>
      <c r="AO6" s="519">
        <f ca="1" t="shared" si="13"/>
        <v>40191664.809619</v>
      </c>
      <c r="AP6" s="560">
        <f t="shared" si="14"/>
        <v>1859630846604700</v>
      </c>
      <c r="AQ6" s="561">
        <f ca="1">(AC6*$C$5+AD6*$C$8+AF6+AG6+AI6+(AL6+AM6)*$C$10)*EXP(-Z6*$C$12*3600)+AO6*$C$11</f>
        <v>87491385367.4108</v>
      </c>
      <c r="AR6" s="562">
        <f ca="1">AQ6*(1-AR$3)</f>
        <v>87491385367.4108</v>
      </c>
      <c r="AS6" s="563">
        <f ca="1" t="shared" si="15"/>
        <v>0</v>
      </c>
      <c r="AT6" s="562">
        <f ca="1">AS6*(1-AT$3)</f>
        <v>0</v>
      </c>
      <c r="AU6" s="564">
        <f ca="1" t="shared" si="16"/>
        <v>0</v>
      </c>
      <c r="AV6" s="565">
        <f>AV$3*3600</f>
        <v>7200</v>
      </c>
      <c r="AW6" s="580">
        <f>AP6*EXP(-Z6*AW$3*3600)</f>
        <v>1859630846604700</v>
      </c>
      <c r="AX6" s="580">
        <f ca="1" t="shared" si="17"/>
        <v>87491385367.4108</v>
      </c>
      <c r="AY6" s="581">
        <f ca="1" t="shared" si="18"/>
        <v>0</v>
      </c>
      <c r="AZ6" s="580">
        <v>0</v>
      </c>
      <c r="BA6" s="580">
        <f ca="1">MAX(INDIRECT("'"&amp;$B$2&amp;"-事故进程'!Y"&amp;(ROW()+22)),INDIRECT("'"&amp;$B$2&amp;"-事故进程'!Z"&amp;(ROW()+22)))</f>
        <v>2.047507e-13</v>
      </c>
      <c r="BB6" s="580">
        <f ca="1">SUM(BA$3,-LN(1-BB$3)/AV6)</f>
        <v>0.00160041330566996</v>
      </c>
      <c r="BC6" s="580">
        <f>BC$3/24/3600</f>
        <v>1157407407407410</v>
      </c>
      <c r="BD6" s="582">
        <f ca="1" t="shared" si="19"/>
        <v>0.999985295725381</v>
      </c>
      <c r="BE6" s="582">
        <f ca="1" t="shared" si="20"/>
        <v>9.89985444227571e-6</v>
      </c>
      <c r="BF6" s="582">
        <f t="shared" si="21"/>
        <v>0</v>
      </c>
      <c r="BG6" s="582">
        <f ca="1" t="shared" si="22"/>
        <v>-140021996.494871</v>
      </c>
      <c r="BH6" s="582">
        <f ca="1" t="shared" si="23"/>
        <v>-1.20979333964306e-7</v>
      </c>
      <c r="BI6" s="582">
        <f ca="1" t="shared" si="24"/>
        <v>1.00000000012794</v>
      </c>
      <c r="BJ6" s="580">
        <f ca="1" t="shared" si="25"/>
        <v>1859603502082040</v>
      </c>
      <c r="BK6" s="580">
        <f ca="1" t="shared" si="26"/>
        <v>1104060.11794321</v>
      </c>
      <c r="BL6" s="586">
        <f ca="1" t="shared" si="27"/>
        <v>1.52664696260571e-12</v>
      </c>
      <c r="BM6" s="594">
        <f ca="1" t="shared" si="28"/>
        <v>87491736375.632</v>
      </c>
      <c r="BN6" s="580">
        <f ca="1" t="shared" si="29"/>
        <v>2741457.01083713</v>
      </c>
      <c r="BO6" s="580">
        <f ca="1" t="shared" si="30"/>
        <v>87492911126.4515</v>
      </c>
      <c r="BP6" s="595">
        <f ca="1" t="shared" si="31"/>
        <v>87492911126.4515</v>
      </c>
      <c r="BQ6" s="596">
        <f>BQ$3*3600</f>
        <v>21600</v>
      </c>
      <c r="BR6" s="580">
        <f ca="1" t="shared" ref="BR6:BU6" si="117">BJ6</f>
        <v>1859603502082040</v>
      </c>
      <c r="BS6" s="580">
        <f ca="1" t="shared" si="117"/>
        <v>1104060.11794321</v>
      </c>
      <c r="BT6" s="581">
        <f ca="1" t="shared" si="117"/>
        <v>1.52664696260571e-12</v>
      </c>
      <c r="BU6" s="580">
        <f ca="1" t="shared" si="117"/>
        <v>87491736375.632</v>
      </c>
      <c r="BV6" s="580">
        <f ca="1">MAX(INDIRECT("'"&amp;$B$2&amp;"-事故进程'!Z"&amp;(ROW()+22)),INDIRECT("'"&amp;$B$2&amp;"-事故进程'!AA"&amp;(ROW()+22)))</f>
        <v>2.22353e-13</v>
      </c>
      <c r="BW6" s="580">
        <f ca="1">SUM(BV$3,-LN(1-BW$3)/BQ6)</f>
        <v>0.00162728102077123</v>
      </c>
      <c r="BX6" s="580">
        <f>BX$3/24/3600</f>
        <v>1157407407407410</v>
      </c>
      <c r="BY6" s="582">
        <f ca="1" t="shared" si="33"/>
        <v>0.999955887444595</v>
      </c>
      <c r="BZ6" s="582">
        <f ca="1" t="shared" si="34"/>
        <v>5.43058753918505e-16</v>
      </c>
      <c r="CA6" s="582">
        <f t="shared" si="35"/>
        <v>0</v>
      </c>
      <c r="CB6" s="582">
        <f ca="1" t="shared" si="36"/>
        <v>-1383.1276579755</v>
      </c>
      <c r="CC6" s="582">
        <f ca="1" t="shared" si="37"/>
        <v>-2.56293268158858e-14</v>
      </c>
      <c r="CD6" s="582">
        <f ca="1" t="shared" si="38"/>
        <v>1.00000000013664</v>
      </c>
      <c r="CE6" s="580">
        <f ca="1" t="shared" si="39"/>
        <v>1859521470219520</v>
      </c>
      <c r="CF6" s="580">
        <f ca="1" t="shared" si="40"/>
        <v>254086.523622245</v>
      </c>
      <c r="CG6" s="586">
        <f ca="1" t="shared" si="41"/>
        <v>3.57238233380926e-13</v>
      </c>
      <c r="CH6" s="594">
        <f ca="1" t="shared" si="42"/>
        <v>87497658192.4764</v>
      </c>
      <c r="CI6" s="580">
        <f ca="1" t="shared" si="43"/>
        <v>8931152.82419523</v>
      </c>
      <c r="CJ6" s="580">
        <f ca="1" t="shared" si="44"/>
        <v>9781114.14422205</v>
      </c>
      <c r="CK6" s="595">
        <f ca="1" t="shared" si="45"/>
        <v>9781114.14422205</v>
      </c>
      <c r="CL6" s="596">
        <f>CL$3*3600</f>
        <v>57600</v>
      </c>
      <c r="CM6" s="580">
        <f ca="1" t="shared" ref="CM6:CP6" si="118">CE6</f>
        <v>1859521470219520</v>
      </c>
      <c r="CN6" s="580">
        <f ca="1" t="shared" si="118"/>
        <v>254086.523622245</v>
      </c>
      <c r="CO6" s="581">
        <f ca="1" t="shared" si="118"/>
        <v>3.57238233380926e-13</v>
      </c>
      <c r="CP6" s="580">
        <f ca="1" t="shared" si="118"/>
        <v>87497658192.4764</v>
      </c>
      <c r="CQ6" s="580">
        <f ca="1">MAX(INDIRECT("'"&amp;$B$2&amp;"-事故进程'!AA"&amp;(ROW()+22)),INDIRECT("'"&amp;$B$2&amp;"-事故进程'!AB"&amp;(ROW()+22)))</f>
        <v>7.0381727e-12</v>
      </c>
      <c r="CR6" s="580">
        <f ca="1">SUM(CQ$3,-LN(1-CR$3)/CL6)</f>
        <v>6.95458811586267e-6</v>
      </c>
      <c r="CS6" s="580">
        <f>CS$3/24/3600</f>
        <v>1157407407407410</v>
      </c>
      <c r="CT6" s="582">
        <f ca="1" t="shared" si="47"/>
        <v>0.99988197829818</v>
      </c>
      <c r="CU6" s="582">
        <f ca="1" t="shared" si="48"/>
        <v>0.669849714320605</v>
      </c>
      <c r="CV6" s="582">
        <f t="shared" si="49"/>
        <v>0</v>
      </c>
      <c r="CW6" s="582">
        <f ca="1" t="shared" si="50"/>
        <v>13085.8661814336</v>
      </c>
      <c r="CX6" s="582">
        <f ca="1" t="shared" si="51"/>
        <v>3.55711487391333e-13</v>
      </c>
      <c r="CY6" s="582">
        <f ca="1" t="shared" si="52"/>
        <v>1.00000101201965</v>
      </c>
      <c r="CZ6" s="580">
        <f ca="1" t="shared" si="53"/>
        <v>1859302006331040</v>
      </c>
      <c r="DA6" s="580">
        <f ca="1" t="shared" si="54"/>
        <v>621248764.013038</v>
      </c>
      <c r="DB6" s="586">
        <f ca="1" t="shared" si="55"/>
        <v>3.73293729031632e-12</v>
      </c>
      <c r="DC6" s="594">
        <f ca="1" t="shared" si="56"/>
        <v>87620131187.237</v>
      </c>
      <c r="DD6" s="580">
        <f ca="1" t="shared" si="57"/>
        <v>753803188.945711</v>
      </c>
      <c r="DE6" s="580">
        <f ca="1" t="shared" si="58"/>
        <v>132769526.437236</v>
      </c>
      <c r="DF6" s="595">
        <f ca="1" t="shared" si="59"/>
        <v>132769526.437236</v>
      </c>
      <c r="DG6" s="596">
        <f>DG$3*3600</f>
        <v>86400</v>
      </c>
      <c r="DH6" s="580">
        <f ca="1" t="shared" ref="DH6:DK6" si="119">CZ6</f>
        <v>1859302006331040</v>
      </c>
      <c r="DI6" s="580">
        <f ca="1" t="shared" si="119"/>
        <v>621248764.013038</v>
      </c>
      <c r="DJ6" s="581">
        <f ca="1" t="shared" si="119"/>
        <v>3.73293729031632e-12</v>
      </c>
      <c r="DK6" s="580">
        <f ca="1" t="shared" si="119"/>
        <v>87620131187.237</v>
      </c>
      <c r="DL6" s="580">
        <f ca="1">MAX(INDIRECT("'"&amp;$B$2&amp;"-事故进程'!AB"&amp;(ROW()+22)),INDIRECT("'"&amp;$B$2&amp;"-事故进程'!AC"&amp;(ROW()+22)))</f>
        <v>1.11891224e-11</v>
      </c>
      <c r="DM6" s="580">
        <f ca="1">SUM(DL$3,-LN(1-DM$3)/DG6)</f>
        <v>1.01371476497628e-6</v>
      </c>
      <c r="DN6" s="580">
        <f>DN$3/24/3600</f>
        <v>1157407407407410</v>
      </c>
      <c r="DO6" s="582">
        <f ca="1" t="shared" si="61"/>
        <v>0.999822614092293</v>
      </c>
      <c r="DP6" s="582">
        <f ca="1" t="shared" si="62"/>
        <v>0.915979411951367</v>
      </c>
      <c r="DQ6" s="582">
        <f t="shared" si="63"/>
        <v>0</v>
      </c>
      <c r="DR6" s="582">
        <f ca="1" t="shared" si="64"/>
        <v>20174.1956338288</v>
      </c>
      <c r="DS6" s="582">
        <f ca="1" t="shared" si="65"/>
        <v>3.18881683560629e-12</v>
      </c>
      <c r="DT6" s="582">
        <f ca="1" t="shared" si="66"/>
        <v>1.00001103786419</v>
      </c>
      <c r="DU6" s="580">
        <f ca="1" t="shared" si="67"/>
        <v>1858972192356950</v>
      </c>
      <c r="DV6" s="580">
        <f ca="1" t="shared" si="68"/>
        <v>2289741893.48869</v>
      </c>
      <c r="DW6" s="586">
        <f ca="1" t="shared" si="69"/>
        <v>2.00546942291789e-12</v>
      </c>
      <c r="DX6" s="594">
        <f ca="1" t="shared" si="70"/>
        <v>87733214544.0113</v>
      </c>
      <c r="DY6" s="580">
        <f ca="1" t="shared" si="71"/>
        <v>1797302520.72432</v>
      </c>
      <c r="DZ6" s="580">
        <f ca="1" t="shared" si="72"/>
        <v>128550433.725295</v>
      </c>
      <c r="EA6" s="595">
        <f ca="1" t="shared" si="73"/>
        <v>128550433.725295</v>
      </c>
      <c r="EB6" s="596">
        <f>EB$3*3600</f>
        <v>172800</v>
      </c>
      <c r="EC6" s="580">
        <f ca="1" t="shared" ref="EC6:EF6" si="120">DU6</f>
        <v>1858972192356950</v>
      </c>
      <c r="ED6" s="580">
        <f ca="1" t="shared" si="120"/>
        <v>2289741893.48869</v>
      </c>
      <c r="EE6" s="581">
        <f ca="1" t="shared" si="120"/>
        <v>2.00546942291789e-12</v>
      </c>
      <c r="EF6" s="580">
        <f ca="1" t="shared" si="120"/>
        <v>87733214544.0113</v>
      </c>
      <c r="EG6" s="580">
        <f ca="1">MAX(INDIRECT("'"&amp;$B$2&amp;"-事故进程'!AC"&amp;(ROW()+22)),INDIRECT("'"&amp;$B$2&amp;"-事故进程'!AD"&amp;(ROW()+22)),INDIRECT("'"&amp;$B$2&amp;"-事故进程'!AE"&amp;(ROW()+22)))</f>
        <v>1.11891224e-11</v>
      </c>
      <c r="EH6" s="580">
        <f ca="1">SUM(EG$3,-LN(1-EH$3)/EB6)</f>
        <v>5.81616658188741e-8</v>
      </c>
      <c r="EI6" s="580">
        <f>EI$3/24/3600</f>
        <v>1157407407407410</v>
      </c>
      <c r="EJ6" s="582">
        <f ca="1" t="shared" si="75"/>
        <v>0.999645259650347</v>
      </c>
      <c r="EK6" s="582">
        <f ca="1" t="shared" si="76"/>
        <v>0.989650720522216</v>
      </c>
      <c r="EL6" s="582">
        <f t="shared" si="77"/>
        <v>0</v>
      </c>
      <c r="EM6" s="582">
        <f ca="1" t="shared" si="78"/>
        <v>20667.11781586</v>
      </c>
      <c r="EN6" s="582">
        <f ca="1" t="shared" si="79"/>
        <v>1.89040604768092e-12</v>
      </c>
      <c r="EO6" s="582">
        <f ca="1" t="shared" si="80"/>
        <v>1.00019241669262</v>
      </c>
      <c r="EP6" s="580">
        <f ca="1" t="shared" si="81"/>
        <v>1858312739911430</v>
      </c>
      <c r="EQ6" s="580">
        <f ca="1" t="shared" si="82"/>
        <v>5841064184.87299</v>
      </c>
      <c r="ER6" s="586">
        <f ca="1" t="shared" si="83"/>
        <v>2.9352328399916e-13</v>
      </c>
      <c r="ES6" s="594">
        <f ca="1" t="shared" si="84"/>
        <v>87743146115.377</v>
      </c>
      <c r="ET6" s="580">
        <f ca="1" t="shared" si="85"/>
        <v>3593648649.58529</v>
      </c>
      <c r="EU6" s="580">
        <f ca="1" t="shared" si="86"/>
        <v>40890676.3317049</v>
      </c>
      <c r="EV6" s="595">
        <f ca="1" t="shared" si="87"/>
        <v>40890676.331705</v>
      </c>
      <c r="EW6" s="596">
        <f>EW$3*3600</f>
        <v>2246400</v>
      </c>
      <c r="EX6" s="580">
        <f ca="1" t="shared" ref="EX6:FA6" si="121">EP6</f>
        <v>1858312739911430</v>
      </c>
      <c r="EY6" s="580">
        <f ca="1" t="shared" si="121"/>
        <v>5841064184.87299</v>
      </c>
      <c r="EZ6" s="581">
        <f ca="1" t="shared" si="121"/>
        <v>2.9352328399916e-13</v>
      </c>
      <c r="FA6" s="580">
        <f ca="1" t="shared" si="121"/>
        <v>87743146115.377</v>
      </c>
      <c r="FB6" s="580">
        <f ca="1">INDIRECT("'"&amp;$B$2&amp;"-事故进程'!AE"&amp;(ROW()+22))</f>
        <v>8.2318198e-12</v>
      </c>
      <c r="FC6" s="580">
        <f ca="1">SUM(FB$3,-LN(1-FC$3)/EW6)</f>
        <v>4.47397429375955e-9</v>
      </c>
      <c r="FD6" s="580">
        <f>FD$3/24/3600</f>
        <v>1157407407407410</v>
      </c>
      <c r="FE6" s="582">
        <f ca="1" t="shared" si="89"/>
        <v>0.995404791009702</v>
      </c>
      <c r="FF6" s="582">
        <f ca="1" t="shared" si="90"/>
        <v>0.985468966183817</v>
      </c>
      <c r="FG6" s="582">
        <f t="shared" si="91"/>
        <v>0</v>
      </c>
      <c r="FH6" s="582">
        <f ca="1" t="shared" si="92"/>
        <v>15271.2109185717</v>
      </c>
      <c r="FI6" s="582">
        <f ca="1" t="shared" si="93"/>
        <v>2.70944569845378e-13</v>
      </c>
      <c r="FJ6" s="582">
        <f ca="1" t="shared" si="94"/>
        <v>1.00184332613177</v>
      </c>
      <c r="FK6" s="580">
        <f ca="1" t="shared" si="95"/>
        <v>1849773404502210</v>
      </c>
      <c r="FL6" s="580">
        <f ca="1" t="shared" si="96"/>
        <v>39791121281.8496</v>
      </c>
      <c r="FM6" s="586">
        <f ca="1" t="shared" si="97"/>
        <v>1.53813128026923e-13</v>
      </c>
      <c r="FN6" s="594">
        <f ca="1" t="shared" si="98"/>
        <v>87571024705.1504</v>
      </c>
      <c r="FO6" s="580">
        <f ca="1" t="shared" si="99"/>
        <v>34284829719.0569</v>
      </c>
      <c r="FP6" s="580">
        <f ca="1" t="shared" si="100"/>
        <v>229857854.479409</v>
      </c>
      <c r="FQ6" s="595">
        <f ca="1" t="shared" si="101"/>
        <v>229857854.479409</v>
      </c>
      <c r="FR6" s="608" t="str">
        <f t="shared" si="102"/>
        <v>Kr-85</v>
      </c>
      <c r="FS6" s="609">
        <v>1710000000</v>
      </c>
      <c r="FT6" s="610">
        <v>34200000</v>
      </c>
      <c r="FU6" s="610">
        <v>98400000</v>
      </c>
      <c r="FV6" s="610">
        <v>246000000</v>
      </c>
      <c r="FW6" s="610">
        <v>2090000000</v>
      </c>
      <c r="FX6" s="614">
        <f ca="1" t="shared" si="103"/>
        <v>0</v>
      </c>
      <c r="FY6" s="614">
        <f ca="1" t="shared" si="104"/>
        <v>2558.558252649</v>
      </c>
      <c r="FZ6" s="614">
        <f ca="1" t="shared" si="105"/>
        <v>1.34928380525646</v>
      </c>
      <c r="GA6" s="614">
        <f ca="1" t="shared" si="106"/>
        <v>0.688785000231709</v>
      </c>
      <c r="GB6" s="614">
        <f ca="1" t="shared" si="107"/>
        <v>42.0119152521962</v>
      </c>
      <c r="GC6" s="455">
        <f ca="1" t="shared" si="108"/>
        <v>42.1218950868753</v>
      </c>
      <c r="GE6" s="609">
        <v>344912399.137776</v>
      </c>
      <c r="GF6" s="610">
        <v>48589529.562346</v>
      </c>
      <c r="GG6" s="610">
        <v>104276496.307748</v>
      </c>
      <c r="GH6" s="610">
        <v>150434983.759559</v>
      </c>
      <c r="GI6" s="610">
        <v>286420913.446382</v>
      </c>
      <c r="GJ6" s="610">
        <v>1510069381.54833</v>
      </c>
      <c r="GK6" s="617">
        <v>2444703703.76214</v>
      </c>
      <c r="GL6" s="614">
        <f ca="1" t="shared" si="109"/>
        <v>0</v>
      </c>
      <c r="GM6" s="614">
        <f ca="1" t="shared" si="110"/>
        <v>1800.85489669785</v>
      </c>
      <c r="GN6" s="614">
        <f ca="1" t="shared" si="111"/>
        <v>1.27324498941159</v>
      </c>
      <c r="GO6" s="614">
        <f ca="1" t="shared" si="112"/>
        <v>0.38786499424803</v>
      </c>
      <c r="GP6" s="614">
        <f ca="1" t="shared" si="113"/>
        <v>0.152216750626204</v>
      </c>
      <c r="GQ6" s="614">
        <f ca="1" t="shared" si="114"/>
        <v>36.0104010134616</v>
      </c>
      <c r="GR6" s="451">
        <f t="shared" si="115"/>
        <v>2.04207062814938e-9</v>
      </c>
      <c r="GS6" s="390">
        <f t="shared" si="116"/>
        <v>339433500.000001</v>
      </c>
    </row>
    <row r="7" spans="1:201">
      <c r="A7" s="413"/>
      <c r="B7" s="407" t="s">
        <v>252</v>
      </c>
      <c r="C7" s="415">
        <v>0</v>
      </c>
      <c r="D7" s="409" t="s">
        <v>253</v>
      </c>
      <c r="E7" s="410" t="s">
        <v>254</v>
      </c>
      <c r="G7" s="411" t="s">
        <v>48</v>
      </c>
      <c r="H7" s="412">
        <f ca="1" t="shared" si="1"/>
        <v>0</v>
      </c>
      <c r="I7" s="412">
        <f ca="1" t="shared" si="2"/>
        <v>8506928034.86003</v>
      </c>
      <c r="J7" s="412">
        <f ca="1" t="shared" si="3"/>
        <v>423801705.42864</v>
      </c>
      <c r="K7" s="412">
        <f ca="1" t="shared" si="4"/>
        <v>96956081.5998351</v>
      </c>
      <c r="L7" s="412">
        <f ca="1" t="shared" si="5"/>
        <v>5937967.67966382</v>
      </c>
      <c r="M7" s="412">
        <f ca="1" t="shared" si="6"/>
        <v>2.21684674272015</v>
      </c>
      <c r="N7" s="412">
        <f ca="1" t="shared" si="7"/>
        <v>9033623791.78501</v>
      </c>
      <c r="O7" s="450">
        <f ca="1" t="shared" si="8"/>
        <v>0</v>
      </c>
      <c r="P7" s="451"/>
      <c r="Q7" s="477" t="str">
        <f t="shared" si="0"/>
        <v>Kr-85m</v>
      </c>
      <c r="R7" s="412">
        <f ca="1" t="shared" si="9"/>
        <v>0</v>
      </c>
      <c r="S7" s="412">
        <f ca="1">I7*(1-过滤效率!$B4)</f>
        <v>8506928034.86003</v>
      </c>
      <c r="T7" s="412">
        <f ca="1">J7*(1-过滤效率!$B4)</f>
        <v>423801705.42864</v>
      </c>
      <c r="U7" s="412">
        <f ca="1">K7*(1-过滤效率!$B4)</f>
        <v>96956081.5998351</v>
      </c>
      <c r="V7" s="412">
        <f ca="1">L7*(1-过滤效率!$B4)</f>
        <v>5937967.67966382</v>
      </c>
      <c r="W7" s="412">
        <f ca="1">M7*(1-过滤效率!$B4)</f>
        <v>2.21684674272015</v>
      </c>
      <c r="X7" s="412">
        <f ca="1" t="shared" si="10"/>
        <v>9033623791.78501</v>
      </c>
      <c r="Y7" s="493"/>
      <c r="Z7" s="494">
        <f>VLOOKUP(G7,衰变常数!$A$1:$H$3800,7,FALSE)</f>
        <v>4.29778757787664e-5</v>
      </c>
      <c r="AA7" s="495">
        <f>正常源项!C4</f>
        <v>6.59e+16</v>
      </c>
      <c r="AB7" s="496">
        <f>正常源项!F4</f>
        <v>0</v>
      </c>
      <c r="AC7" s="496">
        <f>正常源项!I4</f>
        <v>17900000000</v>
      </c>
      <c r="AD7" s="496">
        <f>正常源项!L4</f>
        <v>1580000000</v>
      </c>
      <c r="AE7" s="497"/>
      <c r="AF7" s="498"/>
      <c r="AG7" s="483"/>
      <c r="AH7" s="518"/>
      <c r="AI7" s="483"/>
      <c r="AJ7" s="521"/>
      <c r="AK7" s="521"/>
      <c r="AL7" s="519">
        <f t="shared" si="11"/>
        <v>9641170</v>
      </c>
      <c r="AM7" s="520">
        <f t="shared" si="12"/>
        <v>276780000000</v>
      </c>
      <c r="AN7" s="519">
        <f ca="1">MAX(INDIRECT("'"&amp;$B$2&amp;"-事故进程'!Y"&amp;(ROW()+22)),INDIRECT("'"&amp;$B$2&amp;"-事故进程'!Z"&amp;(ROW()+22)),INDIRECT("'"&amp;$B$2&amp;"-事故进程'!AA"&amp;(ROW()+22)))</f>
        <v>4.07367032121221e-11</v>
      </c>
      <c r="AO7" s="519">
        <f ca="1" t="shared" si="13"/>
        <v>4002150545.95955</v>
      </c>
      <c r="AP7" s="560">
        <f t="shared" si="14"/>
        <v>1010746246358030</v>
      </c>
      <c r="AQ7" s="561">
        <f ca="1">(AC7*$C$5+AD7*$C$8+AF7+AG7+AI7+(AL7+AM7)*$C$10)*EXP(-Z7*$C$12*3600)+AO7*$C$11</f>
        <v>8521975259.96826</v>
      </c>
      <c r="AR7" s="562">
        <f ca="1">AQ7*(1-AR$3)</f>
        <v>8521975259.96826</v>
      </c>
      <c r="AS7" s="563">
        <f ca="1" t="shared" si="15"/>
        <v>0</v>
      </c>
      <c r="AT7" s="562">
        <f ca="1">AS7*(1-AT$3)</f>
        <v>0</v>
      </c>
      <c r="AU7" s="564">
        <f ca="1" t="shared" si="16"/>
        <v>0</v>
      </c>
      <c r="AV7" s="565">
        <f>AV$3*3600</f>
        <v>7200</v>
      </c>
      <c r="AW7" s="580">
        <f>AP7*EXP(-Z7*AW$3*3600)</f>
        <v>1010746246358030</v>
      </c>
      <c r="AX7" s="580">
        <f ca="1" t="shared" si="17"/>
        <v>8521975259.96826</v>
      </c>
      <c r="AY7" s="581">
        <f ca="1" t="shared" si="18"/>
        <v>0</v>
      </c>
      <c r="AZ7" s="580">
        <v>0</v>
      </c>
      <c r="BA7" s="580">
        <f ca="1">MAX(INDIRECT("'"&amp;$B$2&amp;"-事故进程'!Y"&amp;(ROW()+22)),INDIRECT("'"&amp;$B$2&amp;"-事故进程'!Z"&amp;(ROW()+22)))</f>
        <v>3.68314838060086e-11</v>
      </c>
      <c r="BB7" s="580">
        <f ca="1">SUM(BA$3,-LN(1-BB$3)/AV7)</f>
        <v>0.00160041330566996</v>
      </c>
      <c r="BC7" s="580">
        <f>BC$3/24/3600</f>
        <v>1157407407407410</v>
      </c>
      <c r="BD7" s="582">
        <f ca="1" t="shared" si="19"/>
        <v>0.733857089121469</v>
      </c>
      <c r="BE7" s="582">
        <f ca="1" t="shared" si="20"/>
        <v>7.26518710893316e-6</v>
      </c>
      <c r="BF7" s="582">
        <f t="shared" si="21"/>
        <v>0</v>
      </c>
      <c r="BG7" s="582">
        <f ca="1" t="shared" si="22"/>
        <v>-13601454.9987617</v>
      </c>
      <c r="BH7" s="582">
        <f ca="1" t="shared" si="23"/>
        <v>-1.17838217634999e-8</v>
      </c>
      <c r="BI7" s="582">
        <f ca="1" t="shared" si="24"/>
        <v>1.00000002301373</v>
      </c>
      <c r="BJ7" s="580">
        <f ca="1" t="shared" si="25"/>
        <v>741743298192759</v>
      </c>
      <c r="BK7" s="580">
        <f ca="1" t="shared" si="26"/>
        <v>17132027.0363798</v>
      </c>
      <c r="BL7" s="586">
        <f ca="1" t="shared" si="27"/>
        <v>2.36894319551114e-11</v>
      </c>
      <c r="BM7" s="594">
        <f ca="1" t="shared" si="28"/>
        <v>6433482060.58862</v>
      </c>
      <c r="BN7" s="580">
        <f ca="1" t="shared" si="29"/>
        <v>230531850.603534</v>
      </c>
      <c r="BO7" s="580">
        <f ca="1" t="shared" si="30"/>
        <v>8506928034.86003</v>
      </c>
      <c r="BP7" s="595">
        <f ca="1" t="shared" si="31"/>
        <v>8506928034.86003</v>
      </c>
      <c r="BQ7" s="596">
        <f>BQ$3*3600</f>
        <v>21600</v>
      </c>
      <c r="BR7" s="580">
        <f ca="1" t="shared" ref="BR7:BU7" si="122">BJ7</f>
        <v>741743298192759</v>
      </c>
      <c r="BS7" s="580">
        <f ca="1" t="shared" si="122"/>
        <v>17132027.0363798</v>
      </c>
      <c r="BT7" s="581">
        <f ca="1" t="shared" si="122"/>
        <v>2.36894319551114e-11</v>
      </c>
      <c r="BU7" s="580">
        <f ca="1" t="shared" si="122"/>
        <v>6433482060.58862</v>
      </c>
      <c r="BV7" s="580">
        <f ca="1">MAX(INDIRECT("'"&amp;$B$2&amp;"-事故进程'!Z"&amp;(ROW()+22)),INDIRECT("'"&amp;$B$2&amp;"-事故进程'!AA"&amp;(ROW()+22)))</f>
        <v>4.07367032121221e-11</v>
      </c>
      <c r="BW7" s="580">
        <f ca="1">SUM(BV$3,-LN(1-BW$3)/BQ7)</f>
        <v>0.00162728102077123</v>
      </c>
      <c r="BX7" s="580">
        <f>BX$3/24/3600</f>
        <v>1157407407407410</v>
      </c>
      <c r="BY7" s="582">
        <f ca="1" t="shared" si="33"/>
        <v>0.395215933352301</v>
      </c>
      <c r="BZ7" s="582">
        <f ca="1" t="shared" si="34"/>
        <v>2.14635128219996e-16</v>
      </c>
      <c r="CA7" s="582">
        <f t="shared" si="35"/>
        <v>0</v>
      </c>
      <c r="CB7" s="582">
        <f ca="1" t="shared" si="36"/>
        <v>2337.55485232091</v>
      </c>
      <c r="CC7" s="582">
        <f ca="1" t="shared" si="37"/>
        <v>-3.97697836193875e-13</v>
      </c>
      <c r="CD7" s="582">
        <f ca="1" t="shared" si="38"/>
        <v>1.0000000250336</v>
      </c>
      <c r="CE7" s="580">
        <f ca="1" t="shared" si="39"/>
        <v>293148769903065</v>
      </c>
      <c r="CF7" s="580">
        <f ca="1" t="shared" si="40"/>
        <v>7338569.41920778</v>
      </c>
      <c r="CG7" s="586">
        <f ca="1" t="shared" si="41"/>
        <v>1.03178143314625e-11</v>
      </c>
      <c r="CH7" s="594">
        <f ca="1" t="shared" si="42"/>
        <v>2799994606.45579</v>
      </c>
      <c r="CI7" s="580">
        <f ca="1" t="shared" si="43"/>
        <v>425201211.299796</v>
      </c>
      <c r="CJ7" s="580">
        <f ca="1" t="shared" si="44"/>
        <v>423801705.42864</v>
      </c>
      <c r="CK7" s="595">
        <f ca="1" t="shared" si="45"/>
        <v>423801705.42864</v>
      </c>
      <c r="CL7" s="596">
        <f>CL$3*3600</f>
        <v>57600</v>
      </c>
      <c r="CM7" s="580">
        <f ca="1" t="shared" ref="CM7:CP7" si="123">CE7</f>
        <v>293148769903065</v>
      </c>
      <c r="CN7" s="580">
        <f ca="1" t="shared" si="123"/>
        <v>7338569.41920778</v>
      </c>
      <c r="CO7" s="581">
        <f ca="1" t="shared" si="123"/>
        <v>1.03178143314625e-11</v>
      </c>
      <c r="CP7" s="580">
        <f ca="1" t="shared" si="123"/>
        <v>2799994606.45579</v>
      </c>
      <c r="CQ7" s="580">
        <f ca="1">MAX(INDIRECT("'"&amp;$B$2&amp;"-事故进程'!AA"&amp;(ROW()+22)),INDIRECT("'"&amp;$B$2&amp;"-事故进程'!AB"&amp;(ROW()+22)))</f>
        <v>1.35754884388422e-10</v>
      </c>
      <c r="CR7" s="580">
        <f ca="1">SUM(CQ$3,-LN(1-CR$3)/CL7)</f>
        <v>6.95458811586267e-6</v>
      </c>
      <c r="CS7" s="580">
        <f>CS$3/24/3600</f>
        <v>1157407407407410</v>
      </c>
      <c r="CT7" s="582">
        <f ca="1" t="shared" si="47"/>
        <v>0.084118104277004</v>
      </c>
      <c r="CU7" s="582">
        <f ca="1" t="shared" si="48"/>
        <v>0.056353556820887</v>
      </c>
      <c r="CV7" s="582">
        <f t="shared" si="49"/>
        <v>0</v>
      </c>
      <c r="CW7" s="582">
        <f ca="1" t="shared" si="50"/>
        <v>39745.3416353751</v>
      </c>
      <c r="CX7" s="582">
        <f ca="1" t="shared" si="51"/>
        <v>1.02737185987554e-11</v>
      </c>
      <c r="CY7" s="582">
        <f ca="1" t="shared" si="52"/>
        <v>1.00001952057148</v>
      </c>
      <c r="CZ7" s="580">
        <f ca="1" t="shared" si="53"/>
        <v>24659118795381.5</v>
      </c>
      <c r="DA7" s="580">
        <f ca="1" t="shared" si="54"/>
        <v>159294275.878376</v>
      </c>
      <c r="DB7" s="586">
        <f ca="1" t="shared" si="55"/>
        <v>9.57161731347681e-13</v>
      </c>
      <c r="DC7" s="594">
        <f ca="1" t="shared" si="56"/>
        <v>269677388.703655</v>
      </c>
      <c r="DD7" s="580">
        <f ca="1" t="shared" si="57"/>
        <v>848079756.251002</v>
      </c>
      <c r="DE7" s="580">
        <f ca="1" t="shared" si="58"/>
        <v>96956081.5998351</v>
      </c>
      <c r="DF7" s="595">
        <f ca="1" t="shared" si="59"/>
        <v>96956081.5998351</v>
      </c>
      <c r="DG7" s="596">
        <f>DG$3*3600</f>
        <v>86400</v>
      </c>
      <c r="DH7" s="580">
        <f ca="1" t="shared" ref="DH7:DK7" si="124">CZ7</f>
        <v>24659118795381.5</v>
      </c>
      <c r="DI7" s="580">
        <f ca="1" t="shared" si="124"/>
        <v>159294275.878376</v>
      </c>
      <c r="DJ7" s="581">
        <f ca="1" t="shared" si="124"/>
        <v>9.57161731347681e-13</v>
      </c>
      <c r="DK7" s="580">
        <f ca="1" t="shared" si="124"/>
        <v>269677388.703655</v>
      </c>
      <c r="DL7" s="580">
        <f ca="1">MAX(INDIRECT("'"&amp;$B$2&amp;"-事故进程'!AB"&amp;(ROW()+22)),INDIRECT("'"&amp;$B$2&amp;"-事故进程'!AC"&amp;(ROW()+22)))</f>
        <v>1.98049967659929e-10</v>
      </c>
      <c r="DM7" s="580">
        <f ca="1">SUM(DL$3,-LN(1-DM$3)/DG7)</f>
        <v>1.01371476497628e-6</v>
      </c>
      <c r="DN7" s="580">
        <f>DN$3/24/3600</f>
        <v>1157407407407410</v>
      </c>
      <c r="DO7" s="582">
        <f ca="1" t="shared" si="61"/>
        <v>0.0243967444734815</v>
      </c>
      <c r="DP7" s="582">
        <f ca="1" t="shared" si="62"/>
        <v>0.0223512412404461</v>
      </c>
      <c r="DQ7" s="582">
        <f t="shared" si="63"/>
        <v>0</v>
      </c>
      <c r="DR7" s="582">
        <f ca="1" t="shared" si="64"/>
        <v>4722.29026873973</v>
      </c>
      <c r="DS7" s="582">
        <f ca="1" t="shared" si="65"/>
        <v>8.17643910396606e-13</v>
      </c>
      <c r="DT7" s="582">
        <f ca="1" t="shared" si="66"/>
        <v>1.00019540868417</v>
      </c>
      <c r="DU7" s="580">
        <f ca="1" t="shared" si="67"/>
        <v>601602220192.147</v>
      </c>
      <c r="DV7" s="580">
        <f ca="1" t="shared" si="68"/>
        <v>13416898.8511135</v>
      </c>
      <c r="DW7" s="586">
        <f ca="1" t="shared" si="69"/>
        <v>1.17511849142498e-14</v>
      </c>
      <c r="DX7" s="594">
        <f ca="1" t="shared" si="70"/>
        <v>7343207.13643537</v>
      </c>
      <c r="DY7" s="580">
        <f ca="1" t="shared" si="71"/>
        <v>110860956.651551</v>
      </c>
      <c r="DZ7" s="580">
        <f ca="1" t="shared" si="72"/>
        <v>5916117.97547608</v>
      </c>
      <c r="EA7" s="595">
        <f ca="1" t="shared" si="73"/>
        <v>5916117.97547607</v>
      </c>
      <c r="EB7" s="596">
        <f>EB$3*3600</f>
        <v>172800</v>
      </c>
      <c r="EC7" s="580">
        <f ca="1" t="shared" ref="EC7:EF7" si="125">DU7</f>
        <v>601602220192.147</v>
      </c>
      <c r="ED7" s="580">
        <f ca="1" t="shared" si="125"/>
        <v>13416898.8511135</v>
      </c>
      <c r="EE7" s="581">
        <f ca="1" t="shared" si="125"/>
        <v>1.17511849142498e-14</v>
      </c>
      <c r="EF7" s="580">
        <f ca="1" t="shared" si="125"/>
        <v>7343207.13643537</v>
      </c>
      <c r="EG7" s="580">
        <f ca="1">MAX(INDIRECT("'"&amp;$B$2&amp;"-事故进程'!AC"&amp;(ROW()+22)),INDIRECT("'"&amp;$B$2&amp;"-事故进程'!AD"&amp;(ROW()+22)),INDIRECT("'"&amp;$B$2&amp;"-事故进程'!AE"&amp;(ROW()+22)))</f>
        <v>1.98049967659929e-10</v>
      </c>
      <c r="EH7" s="580">
        <f ca="1">SUM(EG$3,-LN(1-EH$3)/EB7)</f>
        <v>5.81616658188741e-8</v>
      </c>
      <c r="EI7" s="580">
        <f>EI$3/24/3600</f>
        <v>1157407407407410</v>
      </c>
      <c r="EJ7" s="582">
        <f ca="1" t="shared" si="75"/>
        <v>0.000595201140904349</v>
      </c>
      <c r="EK7" s="582">
        <f ca="1" t="shared" si="76"/>
        <v>0.000589269295733614</v>
      </c>
      <c r="EL7" s="582">
        <f t="shared" si="77"/>
        <v>0</v>
      </c>
      <c r="EM7" s="582">
        <f ca="1" t="shared" si="78"/>
        <v>118.369608282276</v>
      </c>
      <c r="EN7" s="582">
        <f ca="1" t="shared" si="79"/>
        <v>1.10769632164191e-14</v>
      </c>
      <c r="EO7" s="582">
        <f ca="1" t="shared" si="80"/>
        <v>1.00341679801633</v>
      </c>
      <c r="EP7" s="580">
        <f ca="1" t="shared" si="81"/>
        <v>358074327.828955</v>
      </c>
      <c r="EQ7" s="580">
        <f ca="1" t="shared" si="82"/>
        <v>20099.3902900317</v>
      </c>
      <c r="ER7" s="586">
        <f ca="1" t="shared" si="83"/>
        <v>1.01002811432712e-18</v>
      </c>
      <c r="ES7" s="594">
        <f ca="1" t="shared" si="84"/>
        <v>4512.07109796023</v>
      </c>
      <c r="ET7" s="580">
        <f ca="1" t="shared" si="85"/>
        <v>2770630.99939436</v>
      </c>
      <c r="EU7" s="580">
        <f ca="1" t="shared" si="86"/>
        <v>21849.704187749</v>
      </c>
      <c r="EV7" s="595">
        <f ca="1" t="shared" si="87"/>
        <v>21849.7041877492</v>
      </c>
      <c r="EW7" s="596">
        <f>EW$3*3600</f>
        <v>2246400</v>
      </c>
      <c r="EX7" s="580">
        <f ca="1" t="shared" ref="EX7:FA7" si="126">EP7</f>
        <v>358074327.828955</v>
      </c>
      <c r="EY7" s="580">
        <f ca="1" t="shared" si="126"/>
        <v>20099.3902900317</v>
      </c>
      <c r="EZ7" s="581">
        <f ca="1" t="shared" si="126"/>
        <v>1.01002811432712e-18</v>
      </c>
      <c r="FA7" s="580">
        <f ca="1" t="shared" si="126"/>
        <v>4512.07109796023</v>
      </c>
      <c r="FB7" s="580">
        <f ca="1">INDIRECT("'"&amp;$B$2&amp;"-事故进程'!AE"&amp;(ROW()+22))</f>
        <v>1.43825466101109e-10</v>
      </c>
      <c r="FC7" s="580">
        <f ca="1">SUM(FB$3,-LN(1-FC$3)/EW7)</f>
        <v>4.47397429375955e-9</v>
      </c>
      <c r="FD7" s="580">
        <f>FD$3/24/3600</f>
        <v>1157407407407410</v>
      </c>
      <c r="FE7" s="582">
        <f ca="1" t="shared" si="89"/>
        <v>1.17674325194989e-42</v>
      </c>
      <c r="FF7" s="582">
        <f ca="1" t="shared" si="90"/>
        <v>1.16535227172754e-42</v>
      </c>
      <c r="FG7" s="582">
        <f t="shared" si="91"/>
        <v>0</v>
      </c>
      <c r="FH7" s="582">
        <f ca="1" t="shared" si="92"/>
        <v>0.0514131737475396</v>
      </c>
      <c r="FI7" s="582">
        <f ca="1" t="shared" si="93"/>
        <v>9.32333643994265e-19</v>
      </c>
      <c r="FJ7" s="582">
        <f ca="1" t="shared" si="94"/>
        <v>1.03321490134067</v>
      </c>
      <c r="FK7" s="580">
        <f ca="1" t="shared" si="95"/>
        <v>4.21361548969214e-34</v>
      </c>
      <c r="FL7" s="580">
        <f ca="1" t="shared" si="96"/>
        <v>1.5890039385472e-37</v>
      </c>
      <c r="FM7" s="586">
        <f ca="1" t="shared" si="97"/>
        <v>6.14231663651377e-61</v>
      </c>
      <c r="FN7" s="594">
        <f ca="1" t="shared" si="98"/>
        <v>6.22983412786578e-39</v>
      </c>
      <c r="FO7" s="580">
        <f ca="1" t="shared" si="99"/>
        <v>1198.29176804994</v>
      </c>
      <c r="FP7" s="580">
        <f ca="1" t="shared" si="100"/>
        <v>2.21684674272009</v>
      </c>
      <c r="FQ7" s="595">
        <f ca="1" t="shared" si="101"/>
        <v>2.21684674272015</v>
      </c>
      <c r="FR7" s="608" t="str">
        <f t="shared" si="102"/>
        <v>Kr-85m</v>
      </c>
      <c r="FS7" s="609">
        <v>25800000000</v>
      </c>
      <c r="FT7" s="610">
        <v>10200000000</v>
      </c>
      <c r="FU7" s="610">
        <v>5430000000</v>
      </c>
      <c r="FV7" s="610">
        <v>383000000</v>
      </c>
      <c r="FW7" s="610">
        <v>41900000000</v>
      </c>
      <c r="FX7" s="614">
        <f ca="1" t="shared" si="103"/>
        <v>0</v>
      </c>
      <c r="FY7" s="614">
        <f ca="1" t="shared" si="104"/>
        <v>0.875561739243987</v>
      </c>
      <c r="FZ7" s="614">
        <f ca="1" t="shared" si="105"/>
        <v>0.0178556319705037</v>
      </c>
      <c r="GA7" s="614">
        <f ca="1" t="shared" si="106"/>
        <v>0.0155038320617854</v>
      </c>
      <c r="GB7" s="614">
        <f ca="1" t="shared" si="107"/>
        <v>0.215599613116185</v>
      </c>
      <c r="GC7" s="455">
        <f ca="1" t="shared" si="108"/>
        <v>0.215599613169093</v>
      </c>
      <c r="GE7" s="609">
        <v>5259743761.79492</v>
      </c>
      <c r="GF7" s="610">
        <v>976546118.342223</v>
      </c>
      <c r="GG7" s="610">
        <v>622523452.601644</v>
      </c>
      <c r="GH7" s="610">
        <v>64174600.6380256</v>
      </c>
      <c r="GI7" s="610">
        <v>3576578.05754994</v>
      </c>
      <c r="GJ7" s="610">
        <v>836.702638547422</v>
      </c>
      <c r="GK7" s="617">
        <v>6926565348.137</v>
      </c>
      <c r="GL7" s="614">
        <f ca="1" t="shared" si="109"/>
        <v>0</v>
      </c>
      <c r="GM7" s="614">
        <f ca="1" t="shared" si="110"/>
        <v>9.1452206634638</v>
      </c>
      <c r="GN7" s="614">
        <f ca="1" t="shared" si="111"/>
        <v>0.155746873783851</v>
      </c>
      <c r="GO7" s="614">
        <f ca="1" t="shared" si="112"/>
        <v>0.0876437546030708</v>
      </c>
      <c r="GP7" s="614">
        <f ca="1" t="shared" si="113"/>
        <v>0.00264950370727737</v>
      </c>
      <c r="GQ7" s="614">
        <f ca="1" t="shared" si="114"/>
        <v>1.30419960510655</v>
      </c>
      <c r="GR7" s="451">
        <f t="shared" si="115"/>
        <v>4.29778757787664e-5</v>
      </c>
      <c r="GS7" s="390">
        <f t="shared" si="116"/>
        <v>16128</v>
      </c>
    </row>
    <row r="8" spans="1:201">
      <c r="A8" s="413"/>
      <c r="B8" s="407" t="s">
        <v>255</v>
      </c>
      <c r="C8" s="416">
        <v>0</v>
      </c>
      <c r="D8" s="409" t="s">
        <v>249</v>
      </c>
      <c r="E8" s="410"/>
      <c r="G8" s="411" t="s">
        <v>49</v>
      </c>
      <c r="H8" s="412">
        <f ca="1" t="shared" si="1"/>
        <v>0</v>
      </c>
      <c r="I8" s="412">
        <f ca="1" t="shared" si="2"/>
        <v>574183.8113723</v>
      </c>
      <c r="J8" s="412">
        <f ca="1" t="shared" si="3"/>
        <v>8416.35451949946</v>
      </c>
      <c r="K8" s="412">
        <f ca="1" t="shared" si="4"/>
        <v>50.5886439140665</v>
      </c>
      <c r="L8" s="412">
        <f ca="1" t="shared" si="5"/>
        <v>0.0105501095802003</v>
      </c>
      <c r="M8" s="412">
        <f ca="1" t="shared" si="6"/>
        <v>3.11670868881278e-21</v>
      </c>
      <c r="N8" s="412">
        <f ca="1" t="shared" si="7"/>
        <v>582650.765085823</v>
      </c>
      <c r="O8" s="450">
        <f ca="1" t="shared" si="8"/>
        <v>0</v>
      </c>
      <c r="P8" s="451"/>
      <c r="Q8" s="477" t="str">
        <f t="shared" si="0"/>
        <v>Kr-87</v>
      </c>
      <c r="R8" s="412">
        <f ca="1" t="shared" si="9"/>
        <v>0</v>
      </c>
      <c r="S8" s="412">
        <f ca="1">I8*(1-过滤效率!$B5)</f>
        <v>574183.8113723</v>
      </c>
      <c r="T8" s="412">
        <f ca="1">J8*(1-过滤效率!$B5)</f>
        <v>8416.35451949946</v>
      </c>
      <c r="U8" s="412">
        <f ca="1">K8*(1-过滤效率!$B5)</f>
        <v>50.5886439140665</v>
      </c>
      <c r="V8" s="412">
        <f ca="1">L8*(1-过滤效率!$B5)</f>
        <v>0.0105501095802003</v>
      </c>
      <c r="W8" s="412">
        <f ca="1">M8*(1-过滤效率!$B5)</f>
        <v>3.11670868881278e-21</v>
      </c>
      <c r="X8" s="412">
        <f ca="1" t="shared" si="10"/>
        <v>582650.765085823</v>
      </c>
      <c r="Y8" s="493"/>
      <c r="Z8" s="494">
        <f>VLOOKUP(G8,衰变常数!$A$1:$H$3800,7,FALSE)</f>
        <v>0.000151408296321525</v>
      </c>
      <c r="AA8" s="495">
        <f>正常源项!C5</f>
        <v>1.29e+17</v>
      </c>
      <c r="AB8" s="496">
        <f>正常源项!F5</f>
        <v>0</v>
      </c>
      <c r="AC8" s="496">
        <f>正常源项!I5</f>
        <v>19400000000</v>
      </c>
      <c r="AD8" s="496">
        <f>正常源项!L5</f>
        <v>567000000</v>
      </c>
      <c r="AE8" s="497"/>
      <c r="AF8" s="498"/>
      <c r="AG8" s="483"/>
      <c r="AH8" s="518"/>
      <c r="AI8" s="483"/>
      <c r="AJ8" s="521"/>
      <c r="AK8" s="521"/>
      <c r="AL8" s="519">
        <f t="shared" si="11"/>
        <v>18872700</v>
      </c>
      <c r="AM8" s="520">
        <f t="shared" si="12"/>
        <v>541800000000</v>
      </c>
      <c r="AN8" s="519">
        <f ca="1">MAX(INDIRECT("'"&amp;$B$2&amp;"-事故进程'!Y"&amp;(ROW()+22)),INDIRECT("'"&amp;$B$2&amp;"-事故进程'!Z"&amp;(ROW()+22)),INDIRECT("'"&amp;$B$2&amp;"-事故进程'!AA"&amp;(ROW()+22)))</f>
        <v>7.57574211255599e-11</v>
      </c>
      <c r="AO8" s="519">
        <f ca="1" t="shared" si="13"/>
        <v>385671.017241341</v>
      </c>
      <c r="AP8" s="560">
        <f t="shared" si="14"/>
        <v>52375376139.2961</v>
      </c>
      <c r="AQ8" s="561">
        <f ca="1">(AC8*$C$5+AD8*$C$8+AF8+AG8+AI8+(AL8+AM8)*$C$10)*EXP(-Z8*$C$12*3600)+AO8*$C$11</f>
        <v>613531.866498195</v>
      </c>
      <c r="AR8" s="562">
        <f ca="1">AQ8*(1-AR$3)</f>
        <v>613531.866498195</v>
      </c>
      <c r="AS8" s="563">
        <f ca="1" t="shared" si="15"/>
        <v>0</v>
      </c>
      <c r="AT8" s="562">
        <f ca="1">AS8*(1-AT$3)</f>
        <v>0</v>
      </c>
      <c r="AU8" s="564">
        <f ca="1" t="shared" si="16"/>
        <v>0</v>
      </c>
      <c r="AV8" s="565">
        <f>AV$3*3600</f>
        <v>7200</v>
      </c>
      <c r="AW8" s="580">
        <f>AP8*EXP(-Z8*AW$3*3600)</f>
        <v>52375376139.2961</v>
      </c>
      <c r="AX8" s="580">
        <f ca="1" t="shared" si="17"/>
        <v>613531.866498195</v>
      </c>
      <c r="AY8" s="581">
        <f ca="1" t="shared" si="18"/>
        <v>0</v>
      </c>
      <c r="AZ8" s="580">
        <v>0</v>
      </c>
      <c r="BA8" s="580">
        <f ca="1">MAX(INDIRECT("'"&amp;$B$2&amp;"-事故进程'!Y"&amp;(ROW()+22)),INDIRECT("'"&amp;$B$2&amp;"-事故进程'!Z"&amp;(ROW()+22)))</f>
        <v>6.84945191553734e-11</v>
      </c>
      <c r="BB8" s="580">
        <f ca="1">SUM(BA$3,-LN(1-BB$3)/AV8)</f>
        <v>0.00160041330566996</v>
      </c>
      <c r="BC8" s="580">
        <f>BC$3/24/3600</f>
        <v>1157407407407410</v>
      </c>
      <c r="BD8" s="582">
        <f ca="1" t="shared" si="19"/>
        <v>0.336169350491012</v>
      </c>
      <c r="BE8" s="582">
        <f ca="1" t="shared" si="20"/>
        <v>3.32807821113746e-6</v>
      </c>
      <c r="BF8" s="582">
        <f t="shared" si="21"/>
        <v>0</v>
      </c>
      <c r="BG8" s="582">
        <f ca="1" t="shared" si="22"/>
        <v>-978.317094368426</v>
      </c>
      <c r="BH8" s="582">
        <f ca="1" t="shared" si="23"/>
        <v>-8.4836554208315e-13</v>
      </c>
      <c r="BI8" s="582">
        <f ca="1" t="shared" si="24"/>
        <v>1.00000004279802</v>
      </c>
      <c r="BJ8" s="580">
        <f ca="1" t="shared" si="25"/>
        <v>17606996178.4696</v>
      </c>
      <c r="BK8" s="580">
        <f ca="1" t="shared" si="26"/>
        <v>755.579012177067</v>
      </c>
      <c r="BL8" s="586">
        <f ca="1" t="shared" si="27"/>
        <v>1.0447822407512e-15</v>
      </c>
      <c r="BM8" s="594">
        <f ca="1" t="shared" si="28"/>
        <v>214178.209619262</v>
      </c>
      <c r="BN8" s="580">
        <f ca="1" t="shared" si="29"/>
        <v>15728.6122871844</v>
      </c>
      <c r="BO8" s="580">
        <f ca="1" t="shared" si="30"/>
        <v>574183.811372299</v>
      </c>
      <c r="BP8" s="595">
        <f ca="1" t="shared" si="31"/>
        <v>574183.8113723</v>
      </c>
      <c r="BQ8" s="596">
        <f>BQ$3*3600</f>
        <v>21600</v>
      </c>
      <c r="BR8" s="580">
        <f ca="1" t="shared" ref="BR8:BU8" si="127">BJ8</f>
        <v>17606996178.4696</v>
      </c>
      <c r="BS8" s="580">
        <f ca="1" t="shared" si="127"/>
        <v>755.579012177067</v>
      </c>
      <c r="BT8" s="581">
        <f ca="1" t="shared" si="127"/>
        <v>1.0447822407512e-15</v>
      </c>
      <c r="BU8" s="580">
        <f ca="1" t="shared" si="127"/>
        <v>214178.209619262</v>
      </c>
      <c r="BV8" s="580">
        <f ca="1">MAX(INDIRECT("'"&amp;$B$2&amp;"-事故进程'!Z"&amp;(ROW()+22)),INDIRECT("'"&amp;$B$2&amp;"-事故进程'!AA"&amp;(ROW()+22)))</f>
        <v>7.57574211255599e-11</v>
      </c>
      <c r="BW8" s="580">
        <f ca="1">SUM(BV$3,-LN(1-BW$3)/BQ8)</f>
        <v>0.00162728102077123</v>
      </c>
      <c r="BX8" s="580">
        <f>BX$3/24/3600</f>
        <v>1157407407407410</v>
      </c>
      <c r="BY8" s="582">
        <f ca="1" t="shared" si="33"/>
        <v>0.0379904359330923</v>
      </c>
      <c r="BZ8" s="582">
        <f ca="1" t="shared" si="34"/>
        <v>2.06319825888739e-17</v>
      </c>
      <c r="CA8" s="582">
        <f t="shared" si="35"/>
        <v>0</v>
      </c>
      <c r="CB8" s="582">
        <f ca="1" t="shared" si="36"/>
        <v>0.104321295280347</v>
      </c>
      <c r="CC8" s="582">
        <f ca="1" t="shared" si="37"/>
        <v>-1.75397889332202e-17</v>
      </c>
      <c r="CD8" s="582">
        <f ca="1" t="shared" si="38"/>
        <v>1.0000000465546</v>
      </c>
      <c r="CE8" s="580">
        <f ca="1" t="shared" si="39"/>
        <v>668897460.29235</v>
      </c>
      <c r="CF8" s="580">
        <f ca="1" t="shared" si="40"/>
        <v>31.1402568465244</v>
      </c>
      <c r="CG8" s="586">
        <f ca="1" t="shared" si="41"/>
        <v>4.37822918913231e-17</v>
      </c>
      <c r="CH8" s="594">
        <f ca="1" t="shared" si="42"/>
        <v>9228.85957304182</v>
      </c>
      <c r="CI8" s="580">
        <f ca="1" t="shared" si="43"/>
        <v>8475.00478368654</v>
      </c>
      <c r="CJ8" s="580">
        <f ca="1" t="shared" si="44"/>
        <v>8416.35451949946</v>
      </c>
      <c r="CK8" s="595">
        <f ca="1" t="shared" si="45"/>
        <v>8416.35451949946</v>
      </c>
      <c r="CL8" s="596">
        <f>CL$3*3600</f>
        <v>57600</v>
      </c>
      <c r="CM8" s="580">
        <f ca="1" t="shared" ref="CM8:CP8" si="128">CE8</f>
        <v>668897460.29235</v>
      </c>
      <c r="CN8" s="580">
        <f ca="1" t="shared" si="128"/>
        <v>31.1402568465244</v>
      </c>
      <c r="CO8" s="581">
        <f ca="1" t="shared" si="128"/>
        <v>4.37822918913231e-17</v>
      </c>
      <c r="CP8" s="580">
        <f ca="1" t="shared" si="128"/>
        <v>9228.85957304182</v>
      </c>
      <c r="CQ8" s="580">
        <f ca="1">MAX(INDIRECT("'"&amp;$B$2&amp;"-事故进程'!AA"&amp;(ROW()+22)),INDIRECT("'"&amp;$B$2&amp;"-事故进程'!AB"&amp;(ROW()+22)))</f>
        <v>2.5404213206774e-10</v>
      </c>
      <c r="CR8" s="580">
        <f ca="1">SUM(CQ$3,-LN(1-CR$3)/CL8)</f>
        <v>6.95458811586267e-6</v>
      </c>
      <c r="CS8" s="580">
        <f>CS$3/24/3600</f>
        <v>1157407407407410</v>
      </c>
      <c r="CT8" s="582">
        <f ca="1" t="shared" si="47"/>
        <v>0.000163102372696675</v>
      </c>
      <c r="CU8" s="582">
        <f ca="1" t="shared" si="48"/>
        <v>0.000109268528229127</v>
      </c>
      <c r="CV8" s="582">
        <f t="shared" si="49"/>
        <v>0</v>
      </c>
      <c r="CW8" s="582">
        <f ca="1" t="shared" si="50"/>
        <v>0.169711577198113</v>
      </c>
      <c r="CX8" s="582">
        <f ca="1" t="shared" si="51"/>
        <v>4.35951774329191e-17</v>
      </c>
      <c r="CY8" s="582">
        <f ca="1" t="shared" si="52"/>
        <v>1.00003653004434</v>
      </c>
      <c r="CZ8" s="580">
        <f ca="1" t="shared" si="53"/>
        <v>109098.762864462</v>
      </c>
      <c r="DA8" s="580">
        <f ca="1" t="shared" si="54"/>
        <v>1.31882477357593</v>
      </c>
      <c r="DB8" s="586">
        <f ca="1" t="shared" si="55"/>
        <v>7.92450699599504e-21</v>
      </c>
      <c r="DC8" s="594">
        <f ca="1" t="shared" si="56"/>
        <v>1.78796025230823</v>
      </c>
      <c r="DD8" s="580">
        <f ca="1" t="shared" si="57"/>
        <v>1122.13227626161</v>
      </c>
      <c r="DE8" s="580">
        <f ca="1" t="shared" si="58"/>
        <v>50.5886439140665</v>
      </c>
      <c r="DF8" s="595">
        <f ca="1" t="shared" si="59"/>
        <v>50.5886439140665</v>
      </c>
      <c r="DG8" s="596">
        <f>DG$3*3600</f>
        <v>86400</v>
      </c>
      <c r="DH8" s="580">
        <f ca="1" t="shared" ref="DH8:DK8" si="129">CZ8</f>
        <v>109098.762864462</v>
      </c>
      <c r="DI8" s="580">
        <f ca="1" t="shared" si="129"/>
        <v>1.31882477357593</v>
      </c>
      <c r="DJ8" s="581">
        <f ca="1" t="shared" si="129"/>
        <v>7.92450699599504e-21</v>
      </c>
      <c r="DK8" s="580">
        <f ca="1" t="shared" si="129"/>
        <v>1.78796025230823</v>
      </c>
      <c r="DL8" s="580">
        <f ca="1">MAX(INDIRECT("'"&amp;$B$2&amp;"-事故进程'!AB"&amp;(ROW()+22)),INDIRECT("'"&amp;$B$2&amp;"-事故进程'!AC"&amp;(ROW()+22)))</f>
        <v>3.71236763216498e-10</v>
      </c>
      <c r="DM8" s="580">
        <f ca="1">SUM(DL$3,-LN(1-DM$3)/DG8)</f>
        <v>1.01371476497628e-6</v>
      </c>
      <c r="DN8" s="580">
        <f>DN$3/24/3600</f>
        <v>1157407407407410</v>
      </c>
      <c r="DO8" s="582">
        <f ca="1" t="shared" si="61"/>
        <v>2.08298441640486e-6</v>
      </c>
      <c r="DP8" s="582">
        <f ca="1" t="shared" si="62"/>
        <v>1.90836871286051e-6</v>
      </c>
      <c r="DQ8" s="582">
        <f t="shared" si="63"/>
        <v>0</v>
      </c>
      <c r="DR8" s="582">
        <f ca="1" t="shared" si="64"/>
        <v>3.91650490475769e-5</v>
      </c>
      <c r="DS8" s="582">
        <f ca="1" t="shared" si="65"/>
        <v>6.76941490237772e-21</v>
      </c>
      <c r="DT8" s="582">
        <f ca="1" t="shared" si="66"/>
        <v>1.00036634838323</v>
      </c>
      <c r="DU8" s="580">
        <f ca="1" t="shared" si="67"/>
        <v>0.227251022895724</v>
      </c>
      <c r="DV8" s="580">
        <f ca="1" t="shared" si="68"/>
        <v>9.49587150802862e-6</v>
      </c>
      <c r="DW8" s="586">
        <f ca="1" t="shared" si="69"/>
        <v>8.31695485306133e-27</v>
      </c>
      <c r="DX8" s="594">
        <f ca="1" t="shared" si="70"/>
        <v>4.26488166990962e-6</v>
      </c>
      <c r="DY8" s="580">
        <f ca="1" t="shared" si="71"/>
        <v>0.267497151160128</v>
      </c>
      <c r="DZ8" s="580">
        <f ca="1" t="shared" si="72"/>
        <v>0.0105501057199198</v>
      </c>
      <c r="EA8" s="595">
        <f ca="1" t="shared" si="73"/>
        <v>0.0105501057199198</v>
      </c>
      <c r="EB8" s="596">
        <f>EB$3*3600</f>
        <v>172800</v>
      </c>
      <c r="EC8" s="580">
        <f ca="1" t="shared" ref="EC8:EF8" si="130">DU8</f>
        <v>0.227251022895724</v>
      </c>
      <c r="ED8" s="580">
        <f ca="1" t="shared" si="130"/>
        <v>9.49587150802862e-6</v>
      </c>
      <c r="EE8" s="581">
        <f ca="1" t="shared" si="130"/>
        <v>8.31695485306133e-27</v>
      </c>
      <c r="EF8" s="580">
        <f ca="1" t="shared" si="130"/>
        <v>4.26488166990962e-6</v>
      </c>
      <c r="EG8" s="580">
        <f ca="1">MAX(INDIRECT("'"&amp;$B$2&amp;"-事故进程'!AC"&amp;(ROW()+22)),INDIRECT("'"&amp;$B$2&amp;"-事故进程'!AD"&amp;(ROW()+22)),INDIRECT("'"&amp;$B$2&amp;"-事故进程'!AE"&amp;(ROW()+22)))</f>
        <v>3.71236763216498e-10</v>
      </c>
      <c r="EH8" s="580">
        <f ca="1">SUM(EG$3,-LN(1-EH$3)/EB8)</f>
        <v>5.81616658188741e-8</v>
      </c>
      <c r="EI8" s="580">
        <f>EI$3/24/3600</f>
        <v>1157407407407410</v>
      </c>
      <c r="EJ8" s="582">
        <f ca="1" t="shared" si="75"/>
        <v>4.3388240789855e-12</v>
      </c>
      <c r="EK8" s="582">
        <f ca="1" t="shared" si="76"/>
        <v>4.29571139800897e-12</v>
      </c>
      <c r="EL8" s="582">
        <f t="shared" si="77"/>
        <v>0</v>
      </c>
      <c r="EM8" s="582">
        <f ca="1" t="shared" si="78"/>
        <v>8.38151636887404e-11</v>
      </c>
      <c r="EN8" s="582">
        <f ca="1" t="shared" si="79"/>
        <v>7.83977136367442e-27</v>
      </c>
      <c r="EO8" s="582">
        <f ca="1" t="shared" si="80"/>
        <v>1.00642384507751</v>
      </c>
      <c r="EP8" s="580">
        <f ca="1" t="shared" si="81"/>
        <v>9.86002210114051e-13</v>
      </c>
      <c r="EQ8" s="580">
        <f ca="1" t="shared" si="82"/>
        <v>1.03728508704619e-16</v>
      </c>
      <c r="ER8" s="586">
        <f ca="1" t="shared" si="83"/>
        <v>5.21253175032143e-39</v>
      </c>
      <c r="ES8" s="594">
        <f ca="1" t="shared" si="84"/>
        <v>1.92345960614416e-17</v>
      </c>
      <c r="ET8" s="580">
        <f ca="1" t="shared" si="85"/>
        <v>5.57193557922322e-7</v>
      </c>
      <c r="EU8" s="580">
        <f ca="1" t="shared" si="86"/>
        <v>3.86028047783394e-9</v>
      </c>
      <c r="EV8" s="595">
        <f ca="1" t="shared" si="87"/>
        <v>3.86028047783403e-9</v>
      </c>
      <c r="EW8" s="596">
        <f>EW$3*3600</f>
        <v>2246400</v>
      </c>
      <c r="EX8" s="580">
        <f ca="1" t="shared" ref="EX8:FA8" si="131">EP8</f>
        <v>9.86002210114051e-13</v>
      </c>
      <c r="EY8" s="580">
        <f ca="1" t="shared" si="131"/>
        <v>1.03728508704619e-16</v>
      </c>
      <c r="EZ8" s="581">
        <f ca="1" t="shared" si="131"/>
        <v>5.21253175032143e-39</v>
      </c>
      <c r="FA8" s="580">
        <f ca="1" t="shared" si="131"/>
        <v>1.92345960614416e-17</v>
      </c>
      <c r="FB8" s="580">
        <f ca="1">INDIRECT("'"&amp;$B$2&amp;"-事故进程'!AE"&amp;(ROW()+22))</f>
        <v>2.68773255494827e-10</v>
      </c>
      <c r="FC8" s="580">
        <f ca="1">SUM(FB$3,-LN(1-FC$3)/EW8)</f>
        <v>4.47397429375955e-9</v>
      </c>
      <c r="FD8" s="580">
        <f>FD$3/24/3600</f>
        <v>1157407407407410</v>
      </c>
      <c r="FE8" s="582">
        <f ca="1" t="shared" si="89"/>
        <v>1.93168587927384e-148</v>
      </c>
      <c r="FF8" s="582">
        <f ca="1" t="shared" si="90"/>
        <v>1.91352400444903e-148</v>
      </c>
      <c r="FG8" s="582">
        <f t="shared" si="91"/>
        <v>0</v>
      </c>
      <c r="FH8" s="582">
        <f ca="1" t="shared" si="92"/>
        <v>2.64574824704946e-22</v>
      </c>
      <c r="FI8" s="582">
        <f ca="1" t="shared" si="93"/>
        <v>4.81156776952747e-39</v>
      </c>
      <c r="FJ8" s="582">
        <f ca="1" t="shared" si="94"/>
        <v>1.06391448424205</v>
      </c>
      <c r="FK8" s="580">
        <f ca="1" t="shared" si="95"/>
        <v>1.90464654621011e-160</v>
      </c>
      <c r="FL8" s="580">
        <f ca="1" t="shared" si="96"/>
        <v>1.34304512309153e-163</v>
      </c>
      <c r="FM8" s="586">
        <f ca="1" t="shared" si="97"/>
        <v>5.1915594436451e-187</v>
      </c>
      <c r="FN8" s="594">
        <f ca="1" t="shared" si="98"/>
        <v>4.49443695306873e-165</v>
      </c>
      <c r="FO8" s="580">
        <f ca="1" t="shared" si="99"/>
        <v>1.75030404502911e-18</v>
      </c>
      <c r="FP8" s="580">
        <f ca="1" t="shared" si="100"/>
        <v>3.11670868881287e-21</v>
      </c>
      <c r="FQ8" s="595">
        <f ca="1" t="shared" si="101"/>
        <v>3.11670868881278e-21</v>
      </c>
      <c r="FR8" s="608" t="str">
        <f t="shared" si="102"/>
        <v>Kr-87</v>
      </c>
      <c r="FS8" s="609">
        <v>27500000000</v>
      </c>
      <c r="FT8" s="610">
        <v>14800000000</v>
      </c>
      <c r="FU8" s="610">
        <v>275000000</v>
      </c>
      <c r="FV8" s="610">
        <v>35400</v>
      </c>
      <c r="FW8" s="610">
        <v>42600000000</v>
      </c>
      <c r="FX8" s="614">
        <f ca="1" t="shared" si="103"/>
        <v>0</v>
      </c>
      <c r="FY8" s="614">
        <f ca="1" t="shared" si="104"/>
        <v>3.93648760737702e-5</v>
      </c>
      <c r="FZ8" s="614">
        <f ca="1" t="shared" si="105"/>
        <v>1.8395870514206e-7</v>
      </c>
      <c r="GA8" s="614">
        <f ca="1" t="shared" si="106"/>
        <v>2.98025694355939e-7</v>
      </c>
      <c r="GB8" s="614">
        <f ca="1" t="shared" si="107"/>
        <v>1.36772480067095e-5</v>
      </c>
      <c r="GC8" s="455">
        <f ca="1" t="shared" si="108"/>
        <v>1.36772480067095e-5</v>
      </c>
      <c r="GE8" s="609">
        <v>5569472797.165</v>
      </c>
      <c r="GF8" s="610">
        <v>501084525.35194</v>
      </c>
      <c r="GG8" s="610">
        <v>11010571.8988812</v>
      </c>
      <c r="GH8" s="610">
        <v>2147.88383110428</v>
      </c>
      <c r="GI8" s="610">
        <v>0.343857374846796</v>
      </c>
      <c r="GJ8" s="610">
        <v>1.82273555504902e-14</v>
      </c>
      <c r="GK8" s="617">
        <v>6081570042.64351</v>
      </c>
      <c r="GL8" s="614">
        <f ca="1" t="shared" si="109"/>
        <v>0</v>
      </c>
      <c r="GM8" s="614">
        <f ca="1" t="shared" si="110"/>
        <v>0.00116267842333109</v>
      </c>
      <c r="GN8" s="614">
        <f ca="1" t="shared" si="111"/>
        <v>4.59455188873585e-6</v>
      </c>
      <c r="GO8" s="614">
        <f ca="1" t="shared" si="112"/>
        <v>4.91107606366873e-6</v>
      </c>
      <c r="GP8" s="614">
        <f ca="1" t="shared" si="113"/>
        <v>1.70990722169183e-7</v>
      </c>
      <c r="GQ8" s="614">
        <f ca="1" t="shared" si="114"/>
        <v>9.58059778972074e-5</v>
      </c>
      <c r="GR8" s="451">
        <f t="shared" si="115"/>
        <v>0.000151408296321525</v>
      </c>
      <c r="GS8" s="390">
        <f t="shared" si="116"/>
        <v>4578.00000000003</v>
      </c>
    </row>
    <row r="9" spans="1:201">
      <c r="A9" s="413"/>
      <c r="B9" s="407" t="s">
        <v>256</v>
      </c>
      <c r="C9" s="634">
        <f>1/19</f>
        <v>0.0526315789473684</v>
      </c>
      <c r="D9" s="409" t="s">
        <v>249</v>
      </c>
      <c r="E9" s="409" t="s">
        <v>257</v>
      </c>
      <c r="G9" s="411" t="s">
        <v>50</v>
      </c>
      <c r="H9" s="412">
        <f ca="1" t="shared" si="1"/>
        <v>0</v>
      </c>
      <c r="I9" s="412">
        <f ca="1" t="shared" si="2"/>
        <v>2386999526.37195</v>
      </c>
      <c r="J9" s="412">
        <f ca="1" t="shared" si="3"/>
        <v>91460731.5714507</v>
      </c>
      <c r="K9" s="412">
        <f ca="1" t="shared" si="4"/>
        <v>7962859.46901759</v>
      </c>
      <c r="L9" s="412">
        <f ca="1" t="shared" si="5"/>
        <v>127388.182167478</v>
      </c>
      <c r="M9" s="412">
        <f ca="1" t="shared" si="6"/>
        <v>8.33570959876388e-5</v>
      </c>
      <c r="N9" s="412">
        <f ca="1" t="shared" si="7"/>
        <v>2486550505.59467</v>
      </c>
      <c r="O9" s="450">
        <f ca="1" t="shared" si="8"/>
        <v>0</v>
      </c>
      <c r="P9" s="451"/>
      <c r="Q9" s="477" t="str">
        <f t="shared" si="0"/>
        <v>Kr-88</v>
      </c>
      <c r="R9" s="412">
        <f ca="1" t="shared" si="9"/>
        <v>0</v>
      </c>
      <c r="S9" s="412">
        <f ca="1">I9*(1-过滤效率!$B6)</f>
        <v>2386999526.37195</v>
      </c>
      <c r="T9" s="412">
        <f ca="1">J9*(1-过滤效率!$B6)</f>
        <v>91460731.5714507</v>
      </c>
      <c r="U9" s="412">
        <f ca="1">K9*(1-过滤效率!$B6)</f>
        <v>7962859.46901759</v>
      </c>
      <c r="V9" s="412">
        <f ca="1">L9*(1-过滤效率!$B6)</f>
        <v>127388.182167478</v>
      </c>
      <c r="W9" s="412">
        <f ca="1">M9*(1-过滤效率!$B6)</f>
        <v>8.33570959876388e-5</v>
      </c>
      <c r="X9" s="412">
        <f ca="1" t="shared" si="10"/>
        <v>2486550505.59467</v>
      </c>
      <c r="Y9" s="493"/>
      <c r="Z9" s="494">
        <f>VLOOKUP(G9,衰变常数!$A$1:$H$3800,7,FALSE)</f>
        <v>6.77960857355189e-5</v>
      </c>
      <c r="AA9" s="495">
        <f>正常源项!C6</f>
        <v>1.88e+17</v>
      </c>
      <c r="AB9" s="496">
        <f>正常源项!F6</f>
        <v>0</v>
      </c>
      <c r="AC9" s="496">
        <f>正常源项!I6</f>
        <v>41500000000</v>
      </c>
      <c r="AD9" s="496">
        <f>正常源项!L6</f>
        <v>2390000000</v>
      </c>
      <c r="AE9" s="497"/>
      <c r="AF9" s="498"/>
      <c r="AG9" s="483"/>
      <c r="AH9" s="518"/>
      <c r="AI9" s="483"/>
      <c r="AJ9" s="521"/>
      <c r="AK9" s="521"/>
      <c r="AL9" s="519">
        <f t="shared" si="11"/>
        <v>27504400</v>
      </c>
      <c r="AM9" s="520">
        <f t="shared" si="12"/>
        <v>789600000000</v>
      </c>
      <c r="AN9" s="519">
        <f ca="1">MAX(INDIRECT("'"&amp;$B$2&amp;"-事故进程'!Y"&amp;(ROW()+22)),INDIRECT("'"&amp;$B$2&amp;"-事故进程'!Z"&amp;(ROW()+22)),INDIRECT("'"&amp;$B$2&amp;"-事故进程'!AA"&amp;(ROW()+22)))</f>
        <v>5.1066513916625e-11</v>
      </c>
      <c r="AO9" s="519">
        <f ca="1" t="shared" si="13"/>
        <v>1282491098.70686</v>
      </c>
      <c r="AP9" s="560">
        <f t="shared" si="14"/>
        <v>258376470240023</v>
      </c>
      <c r="AQ9" s="561">
        <f ca="1">(AC9*$C$5+AD9*$C$8+AF9+AG9+AI9+(AL9+AM9)*$C$10)*EXP(-Z9*$C$12*3600)+AO9*$C$11</f>
        <v>2424745305.65511</v>
      </c>
      <c r="AR9" s="562">
        <f ca="1">AQ9*(1-AR$3)</f>
        <v>2424745305.65511</v>
      </c>
      <c r="AS9" s="563">
        <f ca="1" t="shared" si="15"/>
        <v>0</v>
      </c>
      <c r="AT9" s="562">
        <f ca="1">AS9*(1-AT$3)</f>
        <v>0</v>
      </c>
      <c r="AU9" s="564">
        <f ca="1" t="shared" si="16"/>
        <v>0</v>
      </c>
      <c r="AV9" s="565">
        <f>AV$3*3600</f>
        <v>7200</v>
      </c>
      <c r="AW9" s="580">
        <f>AP9*EXP(-Z9*AW$3*3600)</f>
        <v>258376470240023</v>
      </c>
      <c r="AX9" s="580">
        <f ca="1" t="shared" si="17"/>
        <v>2424745305.65511</v>
      </c>
      <c r="AY9" s="581">
        <f ca="1" t="shared" si="18"/>
        <v>0</v>
      </c>
      <c r="AZ9" s="580">
        <v>0</v>
      </c>
      <c r="BA9" s="580">
        <f ca="1">MAX(INDIRECT("'"&amp;$B$2&amp;"-事故进程'!Y"&amp;(ROW()+22)),INDIRECT("'"&amp;$B$2&amp;"-事故进程'!Z"&amp;(ROW()+22)))</f>
        <v>4.61709032162165e-11</v>
      </c>
      <c r="BB9" s="580">
        <f ca="1">SUM(BA$3,-LN(1-BB$3)/AV9)</f>
        <v>0.00160041330566996</v>
      </c>
      <c r="BC9" s="580">
        <f>BC$3/24/3600</f>
        <v>1157407407407410</v>
      </c>
      <c r="BD9" s="582">
        <f ca="1" t="shared" si="19"/>
        <v>0.613771757913482</v>
      </c>
      <c r="BE9" s="582">
        <f ca="1" t="shared" si="20"/>
        <v>6.07634242330471e-6</v>
      </c>
      <c r="BF9" s="582">
        <f t="shared" si="21"/>
        <v>0</v>
      </c>
      <c r="BG9" s="582">
        <f ca="1" t="shared" si="22"/>
        <v>-3868665.06307774</v>
      </c>
      <c r="BH9" s="582">
        <f ca="1" t="shared" si="23"/>
        <v>-3.35283377762697e-9</v>
      </c>
      <c r="BI9" s="582">
        <f ca="1" t="shared" si="24"/>
        <v>1.00000002884936</v>
      </c>
      <c r="BJ9" s="580">
        <f ca="1" t="shared" si="25"/>
        <v>158584180342699</v>
      </c>
      <c r="BK9" s="580">
        <f ca="1" t="shared" si="26"/>
        <v>4589740.88865605</v>
      </c>
      <c r="BL9" s="586">
        <f ca="1" t="shared" si="27"/>
        <v>6.34649678304418e-12</v>
      </c>
      <c r="BM9" s="594">
        <f ca="1" t="shared" si="28"/>
        <v>1536369170.20509</v>
      </c>
      <c r="BN9" s="580">
        <f ca="1" t="shared" si="29"/>
        <v>67961106.7624565</v>
      </c>
      <c r="BO9" s="580">
        <f ca="1" t="shared" si="30"/>
        <v>2386999526.37195</v>
      </c>
      <c r="BP9" s="595">
        <f ca="1" t="shared" si="31"/>
        <v>2386999526.37195</v>
      </c>
      <c r="BQ9" s="596">
        <f>BQ$3*3600</f>
        <v>21600</v>
      </c>
      <c r="BR9" s="580">
        <f ca="1" t="shared" ref="BR9:BU9" si="132">BJ9</f>
        <v>158584180342699</v>
      </c>
      <c r="BS9" s="580">
        <f ca="1" t="shared" si="132"/>
        <v>4589740.88865605</v>
      </c>
      <c r="BT9" s="581">
        <f ca="1" t="shared" si="132"/>
        <v>6.34649678304418e-12</v>
      </c>
      <c r="BU9" s="580">
        <f ca="1" t="shared" si="132"/>
        <v>1536369170.20509</v>
      </c>
      <c r="BV9" s="580">
        <f ca="1">MAX(INDIRECT("'"&amp;$B$2&amp;"-事故进程'!Z"&amp;(ROW()+22)),INDIRECT("'"&amp;$B$2&amp;"-事故进程'!AA"&amp;(ROW()+22)))</f>
        <v>5.1066513916625e-11</v>
      </c>
      <c r="BW9" s="580">
        <f ca="1">SUM(BV$3,-LN(1-BW$3)/BQ9)</f>
        <v>0.00162728102077123</v>
      </c>
      <c r="BX9" s="580">
        <f>BX$3/24/3600</f>
        <v>1157407407407410</v>
      </c>
      <c r="BY9" s="582">
        <f ca="1" t="shared" si="33"/>
        <v>0.231217476435003</v>
      </c>
      <c r="BZ9" s="582">
        <f ca="1" t="shared" si="34"/>
        <v>1.25570351765528e-16</v>
      </c>
      <c r="CA9" s="582">
        <f t="shared" si="35"/>
        <v>0</v>
      </c>
      <c r="CB9" s="582">
        <f ca="1" t="shared" si="36"/>
        <v>629.543248441434</v>
      </c>
      <c r="CC9" s="582">
        <f ca="1" t="shared" si="37"/>
        <v>-1.06544894905487e-13</v>
      </c>
      <c r="CD9" s="582">
        <f ca="1" t="shared" si="38"/>
        <v>1.0000000313815</v>
      </c>
      <c r="CE9" s="580">
        <f ca="1" t="shared" si="39"/>
        <v>36667433981352.4</v>
      </c>
      <c r="CF9" s="580">
        <f ca="1" t="shared" si="40"/>
        <v>1150678.99309081</v>
      </c>
      <c r="CG9" s="586">
        <f ca="1" t="shared" si="41"/>
        <v>1.6178210666987e-12</v>
      </c>
      <c r="CH9" s="594">
        <f ca="1" t="shared" si="42"/>
        <v>395591892.436597</v>
      </c>
      <c r="CI9" s="580">
        <f ca="1" t="shared" si="43"/>
        <v>91832123.7522887</v>
      </c>
      <c r="CJ9" s="580">
        <f ca="1" t="shared" si="44"/>
        <v>91460731.5714508</v>
      </c>
      <c r="CK9" s="595">
        <f ca="1" t="shared" si="45"/>
        <v>91460731.5714507</v>
      </c>
      <c r="CL9" s="596">
        <f>CL$3*3600</f>
        <v>57600</v>
      </c>
      <c r="CM9" s="580">
        <f ca="1" t="shared" ref="CM9:CP9" si="133">CE9</f>
        <v>36667433981352.4</v>
      </c>
      <c r="CN9" s="580">
        <f ca="1" t="shared" si="133"/>
        <v>1150678.99309081</v>
      </c>
      <c r="CO9" s="581">
        <f ca="1" t="shared" si="133"/>
        <v>1.6178210666987e-12</v>
      </c>
      <c r="CP9" s="580">
        <f ca="1" t="shared" si="133"/>
        <v>395591892.436597</v>
      </c>
      <c r="CQ9" s="580">
        <f ca="1">MAX(INDIRECT("'"&amp;$B$2&amp;"-事故进程'!AA"&amp;(ROW()+22)),INDIRECT("'"&amp;$B$2&amp;"-事故进程'!AB"&amp;(ROW()+22)))</f>
        <v>1.70644044682083e-10</v>
      </c>
      <c r="CR9" s="580">
        <f ca="1">SUM(CQ$3,-LN(1-CR$3)/CL9)</f>
        <v>6.95458811586267e-6</v>
      </c>
      <c r="CS9" s="580">
        <f>CS$3/24/3600</f>
        <v>1157407407407410</v>
      </c>
      <c r="CT9" s="582">
        <f ca="1" t="shared" si="47"/>
        <v>0.0201396581108711</v>
      </c>
      <c r="CU9" s="582">
        <f ca="1" t="shared" si="48"/>
        <v>0.0134922637434269</v>
      </c>
      <c r="CV9" s="582">
        <f t="shared" si="49"/>
        <v>0</v>
      </c>
      <c r="CW9" s="582">
        <f ca="1" t="shared" si="50"/>
        <v>6249.07694059722</v>
      </c>
      <c r="CX9" s="582">
        <f ca="1" t="shared" si="51"/>
        <v>1.61090690803745e-12</v>
      </c>
      <c r="CY9" s="582">
        <f ca="1" t="shared" si="52"/>
        <v>1.00002453750373</v>
      </c>
      <c r="CZ9" s="580">
        <f ca="1" t="shared" si="53"/>
        <v>738469584187.375</v>
      </c>
      <c r="DA9" s="580">
        <f ca="1" t="shared" si="54"/>
        <v>5996367.43895729</v>
      </c>
      <c r="DB9" s="586">
        <f ca="1" t="shared" si="55"/>
        <v>3.6030757590131e-14</v>
      </c>
      <c r="DC9" s="594">
        <f ca="1" t="shared" si="56"/>
        <v>9252495.67249291</v>
      </c>
      <c r="DD9" s="580">
        <f ca="1" t="shared" si="57"/>
        <v>90433663.0572265</v>
      </c>
      <c r="DE9" s="580">
        <f ca="1" t="shared" si="58"/>
        <v>7962859.4690176</v>
      </c>
      <c r="DF9" s="595">
        <f ca="1" t="shared" si="59"/>
        <v>7962859.46901759</v>
      </c>
      <c r="DG9" s="596">
        <f>DG$3*3600</f>
        <v>86400</v>
      </c>
      <c r="DH9" s="580">
        <f ca="1" t="shared" ref="DH9:DK9" si="134">CZ9</f>
        <v>738469584187.375</v>
      </c>
      <c r="DI9" s="580">
        <f ca="1" t="shared" si="134"/>
        <v>5996367.43895729</v>
      </c>
      <c r="DJ9" s="581">
        <f ca="1" t="shared" si="134"/>
        <v>3.6030757590131e-14</v>
      </c>
      <c r="DK9" s="580">
        <f ca="1" t="shared" si="134"/>
        <v>9252495.67249291</v>
      </c>
      <c r="DL9" s="580">
        <f ca="1">MAX(INDIRECT("'"&amp;$B$2&amp;"-事故进程'!AB"&amp;(ROW()+22)),INDIRECT("'"&amp;$B$2&amp;"-事故进程'!AC"&amp;(ROW()+22)))</f>
        <v>2.49131447981314e-10</v>
      </c>
      <c r="DM9" s="580">
        <f ca="1">SUM(DL$3,-LN(1-DM$3)/DG9)</f>
        <v>1.01371476497628e-6</v>
      </c>
      <c r="DN9" s="580">
        <f>DN$3/24/3600</f>
        <v>1157407407407410</v>
      </c>
      <c r="DO9" s="582">
        <f ca="1" t="shared" si="61"/>
        <v>0.00285808536107077</v>
      </c>
      <c r="DP9" s="582">
        <f ca="1" t="shared" si="62"/>
        <v>0.00261846564812893</v>
      </c>
      <c r="DQ9" s="582">
        <f t="shared" si="63"/>
        <v>0</v>
      </c>
      <c r="DR9" s="582">
        <f ca="1" t="shared" si="64"/>
        <v>177.898884473368</v>
      </c>
      <c r="DS9" s="582">
        <f ca="1" t="shared" si="65"/>
        <v>3.07788418254738e-14</v>
      </c>
      <c r="DT9" s="582">
        <f ca="1" t="shared" si="66"/>
        <v>1.00024582130833</v>
      </c>
      <c r="DU9" s="580">
        <f ca="1" t="shared" si="67"/>
        <v>2110609108.16195</v>
      </c>
      <c r="DV9" s="580">
        <f ca="1" t="shared" si="68"/>
        <v>59199.8222930269</v>
      </c>
      <c r="DW9" s="586">
        <f ca="1" t="shared" si="69"/>
        <v>5.18501381262449e-17</v>
      </c>
      <c r="DX9" s="594">
        <f ca="1" t="shared" si="70"/>
        <v>29814.9277324839</v>
      </c>
      <c r="DY9" s="580">
        <f ca="1" t="shared" si="71"/>
        <v>2705901.10889467</v>
      </c>
      <c r="DZ9" s="580">
        <f ca="1" t="shared" si="72"/>
        <v>127330.791806913</v>
      </c>
      <c r="EA9" s="595">
        <f ca="1" t="shared" si="73"/>
        <v>127330.791806914</v>
      </c>
      <c r="EB9" s="596">
        <f>EB$3*3600</f>
        <v>172800</v>
      </c>
      <c r="EC9" s="580">
        <f ca="1" t="shared" ref="EC9:EF9" si="135">DU9</f>
        <v>2110609108.16195</v>
      </c>
      <c r="ED9" s="580">
        <f ca="1" t="shared" si="135"/>
        <v>59199.8222930269</v>
      </c>
      <c r="EE9" s="581">
        <f ca="1" t="shared" si="135"/>
        <v>5.18501381262449e-17</v>
      </c>
      <c r="EF9" s="580">
        <f ca="1" t="shared" si="135"/>
        <v>29814.9277324839</v>
      </c>
      <c r="EG9" s="580">
        <f ca="1">MAX(INDIRECT("'"&amp;$B$2&amp;"-事故进程'!AC"&amp;(ROW()+22)),INDIRECT("'"&amp;$B$2&amp;"-事故进程'!AD"&amp;(ROW()+22)),INDIRECT("'"&amp;$B$2&amp;"-事故进程'!AE"&amp;(ROW()+22)))</f>
        <v>2.49131447981314e-10</v>
      </c>
      <c r="EH9" s="580">
        <f ca="1">SUM(EG$3,-LN(1-EH$3)/EB9)</f>
        <v>5.81616658188741e-8</v>
      </c>
      <c r="EI9" s="580">
        <f>EI$3/24/3600</f>
        <v>1157407407407410</v>
      </c>
      <c r="EJ9" s="582">
        <f ca="1" t="shared" si="75"/>
        <v>8.16865193116704e-6</v>
      </c>
      <c r="EK9" s="582">
        <f ca="1" t="shared" si="76"/>
        <v>8.08731356251644e-6</v>
      </c>
      <c r="EL9" s="582">
        <f t="shared" si="77"/>
        <v>0</v>
      </c>
      <c r="EM9" s="582">
        <f ca="1" t="shared" si="78"/>
        <v>0.522390691495641</v>
      </c>
      <c r="EN9" s="582">
        <f ca="1" t="shared" si="79"/>
        <v>4.88752476436823e-17</v>
      </c>
      <c r="EO9" s="582">
        <f ca="1" t="shared" si="80"/>
        <v>1.00430185711414</v>
      </c>
      <c r="EP9" s="580">
        <f ca="1" t="shared" si="81"/>
        <v>17240.8311673259</v>
      </c>
      <c r="EQ9" s="580">
        <f ca="1" t="shared" si="82"/>
        <v>1.21728240039953</v>
      </c>
      <c r="ER9" s="586">
        <f ca="1" t="shared" si="83"/>
        <v>6.11704847628594e-23</v>
      </c>
      <c r="ES9" s="594">
        <f ca="1" t="shared" si="84"/>
        <v>0.252111691964856</v>
      </c>
      <c r="ET9" s="580">
        <f ca="1" t="shared" si="85"/>
        <v>7755.79991215575</v>
      </c>
      <c r="EU9" s="580">
        <f ca="1" t="shared" si="86"/>
        <v>57.3903605648683</v>
      </c>
      <c r="EV9" s="595">
        <f ca="1" t="shared" si="87"/>
        <v>57.3903605648686</v>
      </c>
      <c r="EW9" s="596">
        <f>EW$3*3600</f>
        <v>2246400</v>
      </c>
      <c r="EX9" s="580">
        <f ca="1" t="shared" ref="EX9:FA9" si="136">EP9</f>
        <v>17240.8311673259</v>
      </c>
      <c r="EY9" s="580">
        <f ca="1" t="shared" si="136"/>
        <v>1.21728240039953</v>
      </c>
      <c r="EZ9" s="581">
        <f ca="1" t="shared" si="136"/>
        <v>6.11704847628594e-23</v>
      </c>
      <c r="FA9" s="580">
        <f ca="1" t="shared" si="136"/>
        <v>0.252111691964856</v>
      </c>
      <c r="FB9" s="580">
        <f ca="1">INDIRECT("'"&amp;$B$2&amp;"-事故进程'!AE"&amp;(ROW()+22))</f>
        <v>1.80679446530164e-10</v>
      </c>
      <c r="FC9" s="580">
        <f ca="1">SUM(FB$3,-LN(1-FC$3)/EW9)</f>
        <v>4.47397429375955e-9</v>
      </c>
      <c r="FD9" s="580">
        <f>FD$3/24/3600</f>
        <v>1157407407407410</v>
      </c>
      <c r="FE9" s="582">
        <f ca="1" t="shared" si="89"/>
        <v>7.21143785142591e-67</v>
      </c>
      <c r="FF9" s="582">
        <f ca="1" t="shared" si="90"/>
        <v>7.1422217575836e-67</v>
      </c>
      <c r="FG9" s="582">
        <f t="shared" si="91"/>
        <v>0</v>
      </c>
      <c r="FH9" s="582">
        <f ca="1" t="shared" si="92"/>
        <v>3.10983768077519e-6</v>
      </c>
      <c r="FI9" s="582">
        <f ca="1" t="shared" si="93"/>
        <v>5.64650628580241e-23</v>
      </c>
      <c r="FJ9" s="582">
        <f ca="1" t="shared" si="94"/>
        <v>1.04208409926627</v>
      </c>
      <c r="FK9" s="580">
        <f ca="1" t="shared" si="95"/>
        <v>1.24331182470098e-62</v>
      </c>
      <c r="FL9" s="580">
        <f ca="1" t="shared" si="96"/>
        <v>5.8914865610835e-66</v>
      </c>
      <c r="FM9" s="586">
        <f ca="1" t="shared" si="97"/>
        <v>2.27736225443381e-89</v>
      </c>
      <c r="FN9" s="594">
        <f ca="1" t="shared" si="98"/>
        <v>2.15945273226507e-67</v>
      </c>
      <c r="FO9" s="580">
        <f ca="1" t="shared" si="99"/>
        <v>0.0459474245080969</v>
      </c>
      <c r="FP9" s="580">
        <f ca="1" t="shared" si="100"/>
        <v>8.33570959876398e-5</v>
      </c>
      <c r="FQ9" s="595">
        <f ca="1" t="shared" si="101"/>
        <v>8.33570959876388e-5</v>
      </c>
      <c r="FR9" s="608" t="str">
        <f t="shared" si="102"/>
        <v>Kr-88</v>
      </c>
      <c r="FS9" s="609">
        <v>57600000000</v>
      </c>
      <c r="FT9" s="610">
        <v>27800000000</v>
      </c>
      <c r="FU9" s="610">
        <v>6190000000</v>
      </c>
      <c r="FV9" s="610">
        <v>92200000</v>
      </c>
      <c r="FW9" s="610">
        <v>91600000000</v>
      </c>
      <c r="FX9" s="614">
        <f ca="1" t="shared" si="103"/>
        <v>0</v>
      </c>
      <c r="FY9" s="614">
        <f ca="1" t="shared" si="104"/>
        <v>0.0891532466886116</v>
      </c>
      <c r="FZ9" s="614">
        <f ca="1" t="shared" si="105"/>
        <v>0.00128640702245842</v>
      </c>
      <c r="GA9" s="614">
        <f ca="1" t="shared" si="106"/>
        <v>0.00138165056580779</v>
      </c>
      <c r="GB9" s="614">
        <f ca="1" t="shared" si="107"/>
        <v>0.0271457478776702</v>
      </c>
      <c r="GC9" s="455">
        <f ca="1" t="shared" si="108"/>
        <v>0.0271457478776711</v>
      </c>
      <c r="GE9" s="609">
        <v>11687589379.7813</v>
      </c>
      <c r="GF9" s="610">
        <v>1864556818.92198</v>
      </c>
      <c r="GG9" s="610">
        <v>498018847.624415</v>
      </c>
      <c r="GH9" s="610">
        <v>11239698.519804</v>
      </c>
      <c r="GI9" s="610">
        <v>134450.937507936</v>
      </c>
      <c r="GJ9" s="610">
        <v>0.173930237819036</v>
      </c>
      <c r="GK9" s="617">
        <v>14061539195.9589</v>
      </c>
      <c r="GL9" s="614">
        <f ca="1" t="shared" si="109"/>
        <v>0</v>
      </c>
      <c r="GM9" s="614">
        <f ca="1" t="shared" si="110"/>
        <v>1.32924898441891</v>
      </c>
      <c r="GN9" s="614">
        <f ca="1" t="shared" si="111"/>
        <v>0.0159890725160323</v>
      </c>
      <c r="GO9" s="614">
        <f ca="1" t="shared" si="112"/>
        <v>0.0111997985120185</v>
      </c>
      <c r="GP9" s="614">
        <f ca="1" t="shared" si="113"/>
        <v>0.000479255919113771</v>
      </c>
      <c r="GQ9" s="614">
        <f ca="1" t="shared" si="114"/>
        <v>0.176833451227677</v>
      </c>
      <c r="GR9" s="451">
        <f t="shared" si="115"/>
        <v>6.77960857355189e-5</v>
      </c>
      <c r="GS9" s="390">
        <f t="shared" si="116"/>
        <v>10224</v>
      </c>
    </row>
    <row r="10" spans="1:201">
      <c r="A10" s="413"/>
      <c r="B10" s="407" t="s">
        <v>258</v>
      </c>
      <c r="C10" s="418">
        <v>1</v>
      </c>
      <c r="D10" s="410" t="s">
        <v>259</v>
      </c>
      <c r="E10" s="409" t="s">
        <v>257</v>
      </c>
      <c r="G10" s="411" t="s">
        <v>51</v>
      </c>
      <c r="H10" s="412">
        <f ca="1" t="shared" si="1"/>
        <v>0</v>
      </c>
      <c r="I10" s="412">
        <f ca="1" t="shared" si="2"/>
        <v>11921938578.8026</v>
      </c>
      <c r="J10" s="412">
        <f ca="1" t="shared" si="3"/>
        <v>251307789.19735</v>
      </c>
      <c r="K10" s="412">
        <f ca="1" t="shared" si="4"/>
        <v>347645904.141371</v>
      </c>
      <c r="L10" s="412">
        <f ca="1" t="shared" si="5"/>
        <v>383073234.271818</v>
      </c>
      <c r="M10" s="412">
        <f ca="1" t="shared" si="6"/>
        <v>191868885.426369</v>
      </c>
      <c r="N10" s="412">
        <f ca="1" t="shared" si="7"/>
        <v>13095834391.8396</v>
      </c>
      <c r="O10" s="450">
        <f ca="1" t="shared" si="8"/>
        <v>0</v>
      </c>
      <c r="P10" s="451"/>
      <c r="Q10" s="477" t="str">
        <f t="shared" si="0"/>
        <v>Xe-131m</v>
      </c>
      <c r="R10" s="412">
        <f ca="1" t="shared" si="9"/>
        <v>0</v>
      </c>
      <c r="S10" s="412">
        <f ca="1">I10*(1-过滤效率!$B7)</f>
        <v>11921938578.8026</v>
      </c>
      <c r="T10" s="412">
        <f ca="1">J10*(1-过滤效率!$B7)</f>
        <v>251307789.19735</v>
      </c>
      <c r="U10" s="412">
        <f ca="1">K10*(1-过滤效率!$B7)</f>
        <v>347645904.141371</v>
      </c>
      <c r="V10" s="412">
        <f ca="1">L10*(1-过滤效率!$B7)</f>
        <v>383073234.271818</v>
      </c>
      <c r="W10" s="412">
        <f ca="1">M10*(1-过滤效率!$B7)</f>
        <v>191868885.426369</v>
      </c>
      <c r="X10" s="412">
        <f ca="1" t="shared" si="10"/>
        <v>13095834391.8396</v>
      </c>
      <c r="Y10" s="493"/>
      <c r="Z10" s="494">
        <f>VLOOKUP(G10,衰变常数!$A$1:$H$3800,7,FALSE)</f>
        <v>6.77579122638209e-7</v>
      </c>
      <c r="AA10" s="495">
        <f>正常源项!C7</f>
        <v>2500000000000000</v>
      </c>
      <c r="AB10" s="496">
        <f>正常源项!F7</f>
        <v>0</v>
      </c>
      <c r="AC10" s="496">
        <f>正常源项!I7</f>
        <v>939000000</v>
      </c>
      <c r="AD10" s="496">
        <f>正常源项!L7</f>
        <v>4820000000</v>
      </c>
      <c r="AE10" s="497"/>
      <c r="AF10" s="498"/>
      <c r="AG10" s="483"/>
      <c r="AH10" s="518"/>
      <c r="AI10" s="483"/>
      <c r="AJ10" s="521"/>
      <c r="AK10" s="521"/>
      <c r="AL10" s="519">
        <f t="shared" si="11"/>
        <v>365750</v>
      </c>
      <c r="AM10" s="520">
        <f t="shared" si="12"/>
        <v>10500000000</v>
      </c>
      <c r="AN10" s="519">
        <f ca="1">MAX(INDIRECT("'"&amp;$B$2&amp;"-事故进程'!Y"&amp;(ROW()+22)),INDIRECT("'"&amp;$B$2&amp;"-事故进程'!Z"&amp;(ROW()+22)),INDIRECT("'"&amp;$B$2&amp;"-事故进程'!AA"&amp;(ROW()+22)))</f>
        <v>5.04091262889865e-12</v>
      </c>
      <c r="AO10" s="519">
        <f ca="1" t="shared" si="13"/>
        <v>1146865273.58243</v>
      </c>
      <c r="AP10" s="560">
        <f t="shared" si="14"/>
        <v>2340653212730260</v>
      </c>
      <c r="AQ10" s="561">
        <f ca="1">(AC10*$C$5+AD10*$C$8+AF10+AG10+AI10+(AL10+AM10)*$C$10)*EXP(-Z10*$C$12*3600)+AO10*$C$11</f>
        <v>11857100551.3161</v>
      </c>
      <c r="AR10" s="562">
        <f ca="1">AQ10*(1-AR$3)</f>
        <v>11857100551.3161</v>
      </c>
      <c r="AS10" s="563">
        <f ca="1" t="shared" si="15"/>
        <v>0</v>
      </c>
      <c r="AT10" s="562">
        <f ca="1">AS10*(1-AT$3)</f>
        <v>0</v>
      </c>
      <c r="AU10" s="564">
        <f ca="1" t="shared" si="16"/>
        <v>0</v>
      </c>
      <c r="AV10" s="565">
        <f>AV$3*3600</f>
        <v>7200</v>
      </c>
      <c r="AW10" s="580">
        <f>AP10*EXP(-Z10*AW$3*3600)</f>
        <v>2340653212730260</v>
      </c>
      <c r="AX10" s="580">
        <f ca="1" t="shared" si="17"/>
        <v>11857100551.3161</v>
      </c>
      <c r="AY10" s="581">
        <f ca="1" t="shared" si="18"/>
        <v>0</v>
      </c>
      <c r="AZ10" s="580">
        <v>0</v>
      </c>
      <c r="BA10" s="580">
        <f ca="1">MAX(INDIRECT("'"&amp;$B$2&amp;"-事故进程'!Y"&amp;(ROW()+22)),INDIRECT("'"&amp;$B$2&amp;"-事故进程'!Z"&amp;(ROW()+22)))</f>
        <v>4.55855205255296e-12</v>
      </c>
      <c r="BB10" s="580">
        <f ca="1">SUM(BA$3,-LN(1-BB$3)/AV10)</f>
        <v>0.00160041330566996</v>
      </c>
      <c r="BC10" s="580">
        <f>BC$3/24/3600</f>
        <v>1157407407407410</v>
      </c>
      <c r="BD10" s="582">
        <f ca="1" t="shared" si="19"/>
        <v>0.995133278547799</v>
      </c>
      <c r="BE10" s="582">
        <f ca="1" t="shared" si="20"/>
        <v>9.85181978097544e-6</v>
      </c>
      <c r="BF10" s="582">
        <f t="shared" si="21"/>
        <v>0</v>
      </c>
      <c r="BG10" s="582">
        <f ca="1" t="shared" si="22"/>
        <v>-18965591.4454344</v>
      </c>
      <c r="BH10" s="582">
        <f ca="1" t="shared" si="23"/>
        <v>-1.63954899264898e-8</v>
      </c>
      <c r="BI10" s="582">
        <f ca="1" t="shared" si="24"/>
        <v>1.00000000284836</v>
      </c>
      <c r="BJ10" s="580">
        <f ca="1" t="shared" si="25"/>
        <v>2329261905527710</v>
      </c>
      <c r="BK10" s="580">
        <f ca="1" t="shared" si="26"/>
        <v>6751323.06250723</v>
      </c>
      <c r="BL10" s="586">
        <f ca="1" t="shared" si="27"/>
        <v>9.33543987273767e-12</v>
      </c>
      <c r="BM10" s="594">
        <f ca="1" t="shared" si="28"/>
        <v>11869094454.9375</v>
      </c>
      <c r="BN10" s="580">
        <f ca="1" t="shared" si="29"/>
        <v>76636832.130107</v>
      </c>
      <c r="BO10" s="580">
        <f ca="1" t="shared" si="30"/>
        <v>11921938578.8026</v>
      </c>
      <c r="BP10" s="595">
        <f ca="1" t="shared" si="31"/>
        <v>11921938578.8026</v>
      </c>
      <c r="BQ10" s="596">
        <f>BQ$3*3600</f>
        <v>21600</v>
      </c>
      <c r="BR10" s="580">
        <f ca="1" t="shared" ref="BR10:BU10" si="137">BJ10</f>
        <v>2329261905527710</v>
      </c>
      <c r="BS10" s="580">
        <f ca="1" t="shared" si="137"/>
        <v>6751323.06250723</v>
      </c>
      <c r="BT10" s="581">
        <f ca="1" t="shared" si="137"/>
        <v>9.33543987273767e-12</v>
      </c>
      <c r="BU10" s="580">
        <f ca="1" t="shared" si="137"/>
        <v>11869094454.9375</v>
      </c>
      <c r="BV10" s="580">
        <f ca="1">MAX(INDIRECT("'"&amp;$B$2&amp;"-事故进程'!Z"&amp;(ROW()+22)),INDIRECT("'"&amp;$B$2&amp;"-事故进程'!AA"&amp;(ROW()+22)))</f>
        <v>5.04091262889865e-12</v>
      </c>
      <c r="BW10" s="580">
        <f ca="1">SUM(BV$3,-LN(1-BW$3)/BQ10)</f>
        <v>0.00162728102077123</v>
      </c>
      <c r="BX10" s="580">
        <f>BX$3/24/3600</f>
        <v>1157407407407410</v>
      </c>
      <c r="BY10" s="582">
        <f ca="1" t="shared" si="33"/>
        <v>0.98547076504068</v>
      </c>
      <c r="BZ10" s="582">
        <f ca="1" t="shared" si="34"/>
        <v>5.35192190082062e-16</v>
      </c>
      <c r="CA10" s="582">
        <f t="shared" si="35"/>
        <v>0</v>
      </c>
      <c r="CB10" s="582">
        <f ca="1" t="shared" si="36"/>
        <v>755.305904906874</v>
      </c>
      <c r="CC10" s="582">
        <f ca="1" t="shared" si="37"/>
        <v>-1.5672322765446e-13</v>
      </c>
      <c r="CD10" s="582">
        <f ca="1" t="shared" si="38"/>
        <v>1.00000000309775</v>
      </c>
      <c r="CE10" s="580">
        <f ca="1" t="shared" si="39"/>
        <v>2295419512020500</v>
      </c>
      <c r="CF10" s="580">
        <f ca="1" t="shared" si="40"/>
        <v>7110639.83105063</v>
      </c>
      <c r="CG10" s="586">
        <f ca="1" t="shared" si="41"/>
        <v>9.99735198561387e-12</v>
      </c>
      <c r="CH10" s="594">
        <f ca="1" t="shared" si="42"/>
        <v>11946123271.1689</v>
      </c>
      <c r="CI10" s="580">
        <f ca="1" t="shared" si="43"/>
        <v>251771747.333391</v>
      </c>
      <c r="CJ10" s="580">
        <f ca="1" t="shared" si="44"/>
        <v>251307789.19735</v>
      </c>
      <c r="CK10" s="595">
        <f ca="1" t="shared" si="45"/>
        <v>251307789.19735</v>
      </c>
      <c r="CL10" s="596">
        <f>CL$3*3600</f>
        <v>57600</v>
      </c>
      <c r="CM10" s="580">
        <f ca="1" t="shared" ref="CM10:CP10" si="138">CE10</f>
        <v>2295419512020500</v>
      </c>
      <c r="CN10" s="580">
        <f ca="1" t="shared" si="138"/>
        <v>7110639.83105063</v>
      </c>
      <c r="CO10" s="581">
        <f ca="1" t="shared" si="138"/>
        <v>9.99735198561387e-12</v>
      </c>
      <c r="CP10" s="580">
        <f ca="1" t="shared" si="138"/>
        <v>11946123271.1689</v>
      </c>
      <c r="CQ10" s="580">
        <f ca="1">MAX(INDIRECT("'"&amp;$B$2&amp;"-事故进程'!AA"&amp;(ROW()+22)),INDIRECT("'"&amp;$B$2&amp;"-事故进程'!AB"&amp;(ROW()+22)))</f>
        <v>1.5222553803445e-11</v>
      </c>
      <c r="CR10" s="580">
        <f ca="1">SUM(CQ$3,-LN(1-CR$3)/CL10)</f>
        <v>6.95458811586267e-6</v>
      </c>
      <c r="CS10" s="580">
        <f>CS$3/24/3600</f>
        <v>1157407407407410</v>
      </c>
      <c r="CT10" s="582">
        <f ca="1" t="shared" si="47"/>
        <v>0.961722401120376</v>
      </c>
      <c r="CU10" s="582">
        <f ca="1" t="shared" si="48"/>
        <v>0.644285819048561</v>
      </c>
      <c r="CV10" s="582">
        <f t="shared" si="49"/>
        <v>0</v>
      </c>
      <c r="CW10" s="582">
        <f ca="1" t="shared" si="50"/>
        <v>34892.6955601864</v>
      </c>
      <c r="CX10" s="582">
        <f ca="1" t="shared" si="51"/>
        <v>9.95462582804073e-12</v>
      </c>
      <c r="CY10" s="582">
        <f ca="1" t="shared" si="52"/>
        <v>1.00000218885531</v>
      </c>
      <c r="CZ10" s="580">
        <f ca="1" t="shared" si="53"/>
        <v>2207556364678920</v>
      </c>
      <c r="DA10" s="580">
        <f ca="1" t="shared" si="54"/>
        <v>1599490977.85111</v>
      </c>
      <c r="DB10" s="586">
        <f ca="1" t="shared" si="55"/>
        <v>9.61096401733788e-12</v>
      </c>
      <c r="DC10" s="594">
        <f ca="1" t="shared" si="56"/>
        <v>11831840351.3989</v>
      </c>
      <c r="DD10" s="580">
        <f ca="1" t="shared" si="57"/>
        <v>1973897062.80422</v>
      </c>
      <c r="DE10" s="580">
        <f ca="1" t="shared" si="58"/>
        <v>347645904.141371</v>
      </c>
      <c r="DF10" s="595">
        <f ca="1" t="shared" si="59"/>
        <v>347645904.141371</v>
      </c>
      <c r="DG10" s="596">
        <f>DG$3*3600</f>
        <v>86400</v>
      </c>
      <c r="DH10" s="580">
        <f ca="1" t="shared" ref="DH10:DK10" si="139">CZ10</f>
        <v>2207556364678920</v>
      </c>
      <c r="DI10" s="580">
        <f ca="1" t="shared" si="139"/>
        <v>1599490977.85111</v>
      </c>
      <c r="DJ10" s="581">
        <f ca="1" t="shared" si="139"/>
        <v>9.61096401733788e-12</v>
      </c>
      <c r="DK10" s="580">
        <f ca="1" t="shared" si="139"/>
        <v>11831840351.3989</v>
      </c>
      <c r="DL10" s="580">
        <f ca="1">MAX(INDIRECT("'"&amp;$B$2&amp;"-事故进程'!AB"&amp;(ROW()+22)),INDIRECT("'"&amp;$B$2&amp;"-事故进程'!AC"&amp;(ROW()+22)))</f>
        <v>2.15977038061754e-11</v>
      </c>
      <c r="DM10" s="580">
        <f ca="1">SUM(DL$3,-LN(1-DM$3)/DG10)</f>
        <v>1.01371476497628e-6</v>
      </c>
      <c r="DN10" s="580">
        <f>DN$3/24/3600</f>
        <v>1157407407407410</v>
      </c>
      <c r="DO10" s="582">
        <f ca="1" t="shared" si="61"/>
        <v>0.94313607916427</v>
      </c>
      <c r="DP10" s="582">
        <f ca="1" t="shared" si="62"/>
        <v>0.864047277894467</v>
      </c>
      <c r="DQ10" s="582">
        <f t="shared" si="63"/>
        <v>0</v>
      </c>
      <c r="DR10" s="582">
        <f ca="1" t="shared" si="64"/>
        <v>46056.7554244109</v>
      </c>
      <c r="DS10" s="582">
        <f ca="1" t="shared" si="65"/>
        <v>8.21005055305825e-12</v>
      </c>
      <c r="DT10" s="582">
        <f ca="1" t="shared" si="66"/>
        <v>1.00002130595776</v>
      </c>
      <c r="DU10" s="580">
        <f ca="1" t="shared" si="67"/>
        <v>2082026054317400</v>
      </c>
      <c r="DV10" s="580">
        <f ca="1" t="shared" si="68"/>
        <v>5101906623.96337</v>
      </c>
      <c r="DW10" s="586">
        <f ca="1" t="shared" si="69"/>
        <v>4.46850265614503e-12</v>
      </c>
      <c r="DX10" s="594">
        <f ca="1" t="shared" si="70"/>
        <v>11450841055.2866</v>
      </c>
      <c r="DY10" s="580">
        <f ca="1" t="shared" si="71"/>
        <v>4001126888.58536</v>
      </c>
      <c r="DZ10" s="580">
        <f ca="1" t="shared" si="72"/>
        <v>298913721.415802</v>
      </c>
      <c r="EA10" s="595">
        <f ca="1" t="shared" si="73"/>
        <v>298913721.415802</v>
      </c>
      <c r="EB10" s="596">
        <f>EB$3*3600</f>
        <v>172800</v>
      </c>
      <c r="EC10" s="580">
        <f ca="1" t="shared" ref="EC10:EF10" si="140">DU10</f>
        <v>2082026054317400</v>
      </c>
      <c r="ED10" s="580">
        <f ca="1" t="shared" si="140"/>
        <v>5101906623.96337</v>
      </c>
      <c r="EE10" s="581">
        <f ca="1" t="shared" si="140"/>
        <v>4.46850265614503e-12</v>
      </c>
      <c r="EF10" s="580">
        <f ca="1" t="shared" si="140"/>
        <v>11450841055.2866</v>
      </c>
      <c r="EG10" s="580">
        <f ca="1">MAX(INDIRECT("'"&amp;$B$2&amp;"-事故进程'!AC"&amp;(ROW()+22)),INDIRECT("'"&amp;$B$2&amp;"-事故进程'!AD"&amp;(ROW()+22)),INDIRECT("'"&amp;$B$2&amp;"-事故进程'!AE"&amp;(ROW()+22)))</f>
        <v>2.15977038061754e-11</v>
      </c>
      <c r="EH10" s="580">
        <f ca="1">SUM(EG$3,-LN(1-EH$3)/EB10)</f>
        <v>5.81616658188741e-8</v>
      </c>
      <c r="EI10" s="580">
        <f>EI$3/24/3600</f>
        <v>1157407407407410</v>
      </c>
      <c r="EJ10" s="582">
        <f ca="1" t="shared" si="75"/>
        <v>0.889505663821352</v>
      </c>
      <c r="EK10" s="582">
        <f ca="1" t="shared" si="76"/>
        <v>0.88061389370134</v>
      </c>
      <c r="EL10" s="582">
        <f t="shared" si="77"/>
        <v>0</v>
      </c>
      <c r="EM10" s="582">
        <f ca="1" t="shared" si="78"/>
        <v>44670.3568392533</v>
      </c>
      <c r="EN10" s="582">
        <f ca="1" t="shared" si="79"/>
        <v>4.21212328082485e-12</v>
      </c>
      <c r="EO10" s="582">
        <f ca="1" t="shared" si="80"/>
        <v>1.00037147709843</v>
      </c>
      <c r="EP10" s="580">
        <f ca="1" t="shared" si="81"/>
        <v>1851973967538950</v>
      </c>
      <c r="EQ10" s="580">
        <f ca="1" t="shared" si="82"/>
        <v>11369927140.4752</v>
      </c>
      <c r="ER10" s="586">
        <f ca="1" t="shared" si="83"/>
        <v>5.71357931958091e-13</v>
      </c>
      <c r="ES10" s="594">
        <f ca="1" t="shared" si="84"/>
        <v>10265624484.0248</v>
      </c>
      <c r="ET10" s="580">
        <f ca="1" t="shared" si="85"/>
        <v>7332632155.00372</v>
      </c>
      <c r="EU10" s="580">
        <f ca="1" t="shared" si="86"/>
        <v>84159512.856016</v>
      </c>
      <c r="EV10" s="595">
        <f ca="1" t="shared" si="87"/>
        <v>84159512.8560166</v>
      </c>
      <c r="EW10" s="596">
        <f>EW$3*3600</f>
        <v>2246400</v>
      </c>
      <c r="EX10" s="580">
        <f ca="1" t="shared" ref="EX10:FA10" si="141">EP10</f>
        <v>1851973967538950</v>
      </c>
      <c r="EY10" s="580">
        <f ca="1" t="shared" si="141"/>
        <v>11369927140.4752</v>
      </c>
      <c r="EZ10" s="581">
        <f ca="1" t="shared" si="141"/>
        <v>5.71357931958091e-13</v>
      </c>
      <c r="FA10" s="580">
        <f ca="1" t="shared" si="141"/>
        <v>10265624484.0248</v>
      </c>
      <c r="FB10" s="580">
        <f ca="1">INDIRECT("'"&amp;$B$2&amp;"-事故进程'!AE"&amp;(ROW()+22))</f>
        <v>1.64905513932031e-11</v>
      </c>
      <c r="FC10" s="580">
        <f ca="1">SUM(FB$3,-LN(1-FC$3)/EW10)</f>
        <v>4.47397429375955e-9</v>
      </c>
      <c r="FD10" s="580">
        <f>FD$3/24/3600</f>
        <v>1157407407407410</v>
      </c>
      <c r="FE10" s="582">
        <f ca="1" t="shared" si="89"/>
        <v>0.218241990108626</v>
      </c>
      <c r="FF10" s="582">
        <f ca="1" t="shared" si="90"/>
        <v>0.216067574147454</v>
      </c>
      <c r="FG10" s="582">
        <f t="shared" si="91"/>
        <v>0</v>
      </c>
      <c r="FH10" s="582">
        <f ca="1" t="shared" si="92"/>
        <v>30489.3906251947</v>
      </c>
      <c r="FI10" s="582">
        <f ca="1" t="shared" si="93"/>
        <v>5.27407321807469e-13</v>
      </c>
      <c r="FJ10" s="582">
        <f ca="1" t="shared" si="94"/>
        <v>1.00369952025545</v>
      </c>
      <c r="FK10" s="580">
        <f ca="1" t="shared" si="95"/>
        <v>404178484305068</v>
      </c>
      <c r="FL10" s="580">
        <f ca="1" t="shared" si="96"/>
        <v>17354499154.8569</v>
      </c>
      <c r="FM10" s="586">
        <f ca="1" t="shared" si="97"/>
        <v>6.70840557983151e-14</v>
      </c>
      <c r="FN10" s="594">
        <f ca="1" t="shared" si="98"/>
        <v>2340278133.20557</v>
      </c>
      <c r="FO10" s="580">
        <f ca="1" t="shared" si="99"/>
        <v>35234799869.395</v>
      </c>
      <c r="FP10" s="580">
        <f ca="1" t="shared" si="100"/>
        <v>191868885.426367</v>
      </c>
      <c r="FQ10" s="595">
        <f ca="1" t="shared" si="101"/>
        <v>191868885.426369</v>
      </c>
      <c r="FR10" s="608" t="str">
        <f t="shared" si="102"/>
        <v>Xe-131m</v>
      </c>
      <c r="FS10" s="609">
        <v>9800000000</v>
      </c>
      <c r="FT10" s="610">
        <v>104000000</v>
      </c>
      <c r="FU10" s="610">
        <v>286000000</v>
      </c>
      <c r="FV10" s="610">
        <v>610000000</v>
      </c>
      <c r="FW10" s="610">
        <v>10800000000</v>
      </c>
      <c r="FX10" s="614">
        <f ca="1" t="shared" si="103"/>
        <v>0</v>
      </c>
      <c r="FY10" s="614">
        <f ca="1" t="shared" si="104"/>
        <v>117.050445846154</v>
      </c>
      <c r="FZ10" s="614">
        <f ca="1" t="shared" si="105"/>
        <v>1.21554511937542</v>
      </c>
      <c r="GA10" s="614">
        <f ca="1" t="shared" si="106"/>
        <v>0.627988908642325</v>
      </c>
      <c r="GB10" s="614">
        <f ca="1" t="shared" si="107"/>
        <v>1.19481162096418</v>
      </c>
      <c r="GC10" s="455">
        <f ca="1" t="shared" si="108"/>
        <v>1.21257725850366</v>
      </c>
      <c r="GE10" s="609">
        <v>2024356782.18726</v>
      </c>
      <c r="GF10" s="610">
        <v>273034723.611479</v>
      </c>
      <c r="GG10" s="610">
        <v>538690477.382458</v>
      </c>
      <c r="GH10" s="610">
        <v>727048222.446165</v>
      </c>
      <c r="GI10" s="610">
        <v>1218894388.7323</v>
      </c>
      <c r="GJ10" s="610">
        <v>3483403943.35905</v>
      </c>
      <c r="GK10" s="617">
        <v>8265428537.71871</v>
      </c>
      <c r="GL10" s="614">
        <f ca="1" t="shared" si="109"/>
        <v>0</v>
      </c>
      <c r="GM10" s="614">
        <f ca="1" t="shared" si="110"/>
        <v>44.5849751525458</v>
      </c>
      <c r="GN10" s="614">
        <f ca="1" t="shared" si="111"/>
        <v>0.645353721176977</v>
      </c>
      <c r="GO10" s="614">
        <f ca="1" t="shared" si="112"/>
        <v>0.196857416077563</v>
      </c>
      <c r="GP10" s="614">
        <f ca="1" t="shared" si="113"/>
        <v>0.0550808601431821</v>
      </c>
      <c r="GQ10" s="614">
        <f ca="1" t="shared" si="114"/>
        <v>1.58441081815391</v>
      </c>
      <c r="GR10" s="451">
        <f t="shared" si="115"/>
        <v>6.77579122638209e-7</v>
      </c>
      <c r="GS10" s="390">
        <f t="shared" si="116"/>
        <v>1022976</v>
      </c>
    </row>
    <row r="11" s="388" customFormat="1" spans="1:201">
      <c r="A11" s="419"/>
      <c r="B11" s="407" t="s">
        <v>260</v>
      </c>
      <c r="C11" s="420">
        <v>1</v>
      </c>
      <c r="D11" s="410" t="s">
        <v>259</v>
      </c>
      <c r="E11" s="410"/>
      <c r="G11" s="411" t="s">
        <v>52</v>
      </c>
      <c r="H11" s="412">
        <f ca="1" t="shared" si="1"/>
        <v>0</v>
      </c>
      <c r="I11" s="412">
        <f ca="1" t="shared" si="2"/>
        <v>2152068014976.25</v>
      </c>
      <c r="J11" s="412">
        <f ca="1" t="shared" si="3"/>
        <v>63085137092.7534</v>
      </c>
      <c r="K11" s="412">
        <f ca="1" t="shared" si="4"/>
        <v>87048472565.2545</v>
      </c>
      <c r="L11" s="412">
        <f ca="1" t="shared" si="5"/>
        <v>88858505013.3525</v>
      </c>
      <c r="M11" s="412">
        <f ca="1" t="shared" si="6"/>
        <v>16165704466.8495</v>
      </c>
      <c r="N11" s="412">
        <f ca="1" t="shared" si="7"/>
        <v>2407225834114.46</v>
      </c>
      <c r="O11" s="450">
        <f ca="1" t="shared" si="8"/>
        <v>0</v>
      </c>
      <c r="P11" s="451"/>
      <c r="Q11" s="477" t="str">
        <f t="shared" si="0"/>
        <v>Xe-133</v>
      </c>
      <c r="R11" s="412">
        <f ca="1" t="shared" si="9"/>
        <v>0</v>
      </c>
      <c r="S11" s="412">
        <f ca="1">I11*(1-过滤效率!$B8)</f>
        <v>2152068014976.25</v>
      </c>
      <c r="T11" s="412">
        <f ca="1">J11*(1-过滤效率!$B8)</f>
        <v>63085137092.7534</v>
      </c>
      <c r="U11" s="412">
        <f ca="1">K11*(1-过滤效率!$B8)</f>
        <v>87048472565.2545</v>
      </c>
      <c r="V11" s="412">
        <f ca="1">L11*(1-过滤效率!$B8)</f>
        <v>88858505013.3525</v>
      </c>
      <c r="W11" s="412">
        <f ca="1">M11*(1-过滤效率!$B8)</f>
        <v>16165704466.8495</v>
      </c>
      <c r="X11" s="412">
        <f ca="1" t="shared" si="10"/>
        <v>2407225834114.46</v>
      </c>
      <c r="Y11" s="493"/>
      <c r="Z11" s="494">
        <f>VLOOKUP(G11,衰变常数!$A$1:$H$3800,7,FALSE)</f>
        <v>1.53014243983147e-6</v>
      </c>
      <c r="AA11" s="495">
        <f>正常源项!C8</f>
        <v>4.58e+17</v>
      </c>
      <c r="AB11" s="496">
        <f>正常源项!F8</f>
        <v>0</v>
      </c>
      <c r="AC11" s="496">
        <f>正常源项!I8</f>
        <v>216000000000</v>
      </c>
      <c r="AD11" s="496">
        <f>正常源项!L8</f>
        <v>492000000000</v>
      </c>
      <c r="AE11" s="497"/>
      <c r="AF11" s="498"/>
      <c r="AG11" s="483"/>
      <c r="AH11" s="518"/>
      <c r="AI11" s="483"/>
      <c r="AJ11" s="521"/>
      <c r="AK11" s="521"/>
      <c r="AL11" s="519">
        <f t="shared" si="11"/>
        <v>67005400</v>
      </c>
      <c r="AM11" s="520">
        <f t="shared" si="12"/>
        <v>1923600000000</v>
      </c>
      <c r="AN11" s="519">
        <f ca="1">MAX(INDIRECT("'"&amp;$B$2&amp;"-事故进程'!Y"&amp;(ROW()+22)),INDIRECT("'"&amp;$B$2&amp;"-事故进程'!Z"&amp;(ROW()+22)),INDIRECT("'"&amp;$B$2&amp;"-事故进程'!AA"&amp;(ROW()+22)))</f>
        <v>7.62097257958598e-12</v>
      </c>
      <c r="AO11" s="519">
        <f ca="1" t="shared" si="13"/>
        <v>292381190441.393</v>
      </c>
      <c r="AP11" s="560">
        <f t="shared" si="14"/>
        <v>3.94705271764354e+17</v>
      </c>
      <c r="AQ11" s="561">
        <f ca="1">(AC11*$C$5+AD11*$C$8+AF11+AG11+AI11+(AL11+AM11)*$C$10)*EXP(-Z11*$C$12*3600)+AO11*$C$11</f>
        <v>2136350288370.71</v>
      </c>
      <c r="AR11" s="562">
        <f ca="1">AQ11*(1-AR$3)</f>
        <v>2136350288370.71</v>
      </c>
      <c r="AS11" s="563">
        <f ca="1" t="shared" si="15"/>
        <v>0</v>
      </c>
      <c r="AT11" s="562">
        <f ca="1">AS11*(1-AT$3)</f>
        <v>0</v>
      </c>
      <c r="AU11" s="564">
        <f ca="1" t="shared" si="16"/>
        <v>0</v>
      </c>
      <c r="AV11" s="565">
        <f>AV$3*3600</f>
        <v>7200</v>
      </c>
      <c r="AW11" s="580">
        <f>AP11*EXP(-Z11*AW$3*3600)</f>
        <v>3.94705271764354e+17</v>
      </c>
      <c r="AX11" s="580">
        <f ca="1" t="shared" si="17"/>
        <v>2136350288370.71</v>
      </c>
      <c r="AY11" s="581">
        <f ca="1" t="shared" si="18"/>
        <v>0</v>
      </c>
      <c r="AZ11" s="580">
        <v>0</v>
      </c>
      <c r="BA11" s="580">
        <f ca="1">MAX(INDIRECT("'"&amp;$B$2&amp;"-事故进程'!Y"&amp;(ROW()+22)),INDIRECT("'"&amp;$B$2&amp;"-事故进程'!Z"&amp;(ROW()+22)))</f>
        <v>6.8914605764245e-12</v>
      </c>
      <c r="BB11" s="580">
        <f ca="1">SUM(BA$3,-LN(1-BB$3)/AV11)</f>
        <v>0.00160041330566996</v>
      </c>
      <c r="BC11" s="580">
        <f>BC$3/24/3600</f>
        <v>1157407407407410</v>
      </c>
      <c r="BD11" s="582">
        <f ca="1" t="shared" si="19"/>
        <v>0.989043390532018</v>
      </c>
      <c r="BE11" s="582">
        <f ca="1" t="shared" si="20"/>
        <v>9.79153005210816e-6</v>
      </c>
      <c r="BF11" s="582">
        <f t="shared" si="21"/>
        <v>0</v>
      </c>
      <c r="BG11" s="582">
        <f ca="1" t="shared" si="22"/>
        <v>-3416323316.53811</v>
      </c>
      <c r="BH11" s="582">
        <f ca="1" t="shared" si="23"/>
        <v>-2.95405352099743e-6</v>
      </c>
      <c r="BI11" s="582">
        <f ca="1" t="shared" si="24"/>
        <v>1.00000000430605</v>
      </c>
      <c r="BJ11" s="580">
        <f ca="1" t="shared" si="25"/>
        <v>3.90380640246679e+17</v>
      </c>
      <c r="BK11" s="580">
        <f ca="1" t="shared" si="26"/>
        <v>1701900269.48652</v>
      </c>
      <c r="BL11" s="586">
        <f ca="1" t="shared" si="27"/>
        <v>2.35331467448503e-9</v>
      </c>
      <c r="BM11" s="594">
        <f ca="1" t="shared" si="28"/>
        <v>2130611445714.51</v>
      </c>
      <c r="BN11" s="580">
        <f ca="1" t="shared" si="29"/>
        <v>19477201997.3101</v>
      </c>
      <c r="BO11" s="580">
        <f ca="1" t="shared" si="30"/>
        <v>2152068014976.25</v>
      </c>
      <c r="BP11" s="595">
        <f ca="1" t="shared" si="31"/>
        <v>2152068014976.25</v>
      </c>
      <c r="BQ11" s="596">
        <f>BQ$3*3600</f>
        <v>21600</v>
      </c>
      <c r="BR11" s="580">
        <f ca="1" t="shared" ref="BR11:BU11" si="142">BJ11</f>
        <v>3.90380640246679e+17</v>
      </c>
      <c r="BS11" s="580">
        <f ca="1" t="shared" si="142"/>
        <v>1701900269.48652</v>
      </c>
      <c r="BT11" s="581">
        <f ca="1" t="shared" si="142"/>
        <v>2.35331467448503e-9</v>
      </c>
      <c r="BU11" s="580">
        <f ca="1" t="shared" si="142"/>
        <v>2130611445714.51</v>
      </c>
      <c r="BV11" s="580">
        <f ca="1">MAX(INDIRECT("'"&amp;$B$2&amp;"-事故进程'!Z"&amp;(ROW()+22)),INDIRECT("'"&amp;$B$2&amp;"-事故进程'!AA"&amp;(ROW()+22)))</f>
        <v>7.62097257958598e-12</v>
      </c>
      <c r="BW11" s="580">
        <f ca="1">SUM(BV$3,-LN(1-BW$3)/BQ11)</f>
        <v>0.00162728102077123</v>
      </c>
      <c r="BX11" s="580">
        <f>BX$3/24/3600</f>
        <v>1157407407407410</v>
      </c>
      <c r="BY11" s="582">
        <f ca="1" t="shared" si="33"/>
        <v>0.967488982912703</v>
      </c>
      <c r="BZ11" s="582">
        <f ca="1" t="shared" si="34"/>
        <v>5.25426623366303e-16</v>
      </c>
      <c r="CA11" s="582">
        <f t="shared" si="35"/>
        <v>0</v>
      </c>
      <c r="CB11" s="582">
        <f ca="1" t="shared" si="36"/>
        <v>205610.160110434</v>
      </c>
      <c r="CC11" s="582">
        <f ca="1" t="shared" si="37"/>
        <v>-3.95074122376355e-11</v>
      </c>
      <c r="CD11" s="582">
        <f ca="1" t="shared" si="38"/>
        <v>1.00000000468326</v>
      </c>
      <c r="CE11" s="580">
        <f ca="1" t="shared" si="39"/>
        <v>3.77688968581069e+17</v>
      </c>
      <c r="CF11" s="580">
        <f ca="1" t="shared" si="40"/>
        <v>1768813898.71084</v>
      </c>
      <c r="CG11" s="586">
        <f ca="1" t="shared" si="41"/>
        <v>2.48690069566432e-9</v>
      </c>
      <c r="CH11" s="594">
        <f ca="1" t="shared" si="42"/>
        <v>2123393718325.29</v>
      </c>
      <c r="CI11" s="580">
        <f ca="1" t="shared" si="43"/>
        <v>63211370067.7798</v>
      </c>
      <c r="CJ11" s="580">
        <f ca="1" t="shared" si="44"/>
        <v>63085137092.7534</v>
      </c>
      <c r="CK11" s="595">
        <f ca="1" t="shared" si="45"/>
        <v>63085137092.7534</v>
      </c>
      <c r="CL11" s="596">
        <f>CL$3*3600</f>
        <v>57600</v>
      </c>
      <c r="CM11" s="580">
        <f ca="1" t="shared" ref="CM11:CP11" si="143">CE11</f>
        <v>3.77688968581069e+17</v>
      </c>
      <c r="CN11" s="580">
        <f ca="1" t="shared" si="143"/>
        <v>1768813898.71084</v>
      </c>
      <c r="CO11" s="581">
        <f ca="1" t="shared" si="143"/>
        <v>2.48690069566432e-9</v>
      </c>
      <c r="CP11" s="580">
        <f ca="1" t="shared" si="143"/>
        <v>2123393718325.29</v>
      </c>
      <c r="CQ11" s="580">
        <f ca="1">MAX(INDIRECT("'"&amp;$B$2&amp;"-事故进程'!AA"&amp;(ROW()+22)),INDIRECT("'"&amp;$B$2&amp;"-事故进程'!AB"&amp;(ROW()+22)))</f>
        <v>2.39239365275082e-11</v>
      </c>
      <c r="CR11" s="580">
        <f ca="1">SUM(CQ$3,-LN(1-CR$3)/CL11)</f>
        <v>6.95458811586267e-6</v>
      </c>
      <c r="CS11" s="580">
        <f>CS$3/24/3600</f>
        <v>1157407407407410</v>
      </c>
      <c r="CT11" s="582">
        <f ca="1" t="shared" si="47"/>
        <v>0.915634892670737</v>
      </c>
      <c r="CU11" s="582">
        <f ca="1" t="shared" si="48"/>
        <v>0.613410763604577</v>
      </c>
      <c r="CV11" s="582">
        <f t="shared" si="49"/>
        <v>0</v>
      </c>
      <c r="CW11" s="582">
        <f ca="1" t="shared" si="50"/>
        <v>9023505.58167139</v>
      </c>
      <c r="CX11" s="582">
        <f ca="1" t="shared" si="51"/>
        <v>2.47627231015338e-9</v>
      </c>
      <c r="CY11" s="582">
        <f ca="1" t="shared" si="52"/>
        <v>1.00000344003389</v>
      </c>
      <c r="CZ11" s="580">
        <f ca="1" t="shared" si="53"/>
        <v>3.45825198209649e+17</v>
      </c>
      <c r="DA11" s="580">
        <f ca="1" t="shared" si="54"/>
        <v>393753593577.651</v>
      </c>
      <c r="DB11" s="586">
        <f ca="1" t="shared" si="55"/>
        <v>2.36597246997698e-9</v>
      </c>
      <c r="DC11" s="594">
        <f ca="1" t="shared" si="56"/>
        <v>2028675988566.35</v>
      </c>
      <c r="DD11" s="580">
        <f ca="1" t="shared" si="57"/>
        <v>498185581609.437</v>
      </c>
      <c r="DE11" s="580">
        <f ca="1" t="shared" si="58"/>
        <v>87048472565.2545</v>
      </c>
      <c r="DF11" s="595">
        <f ca="1" t="shared" si="59"/>
        <v>87048472565.2545</v>
      </c>
      <c r="DG11" s="596">
        <f>DG$3*3600</f>
        <v>86400</v>
      </c>
      <c r="DH11" s="580">
        <f ca="1" t="shared" ref="DH11:DK11" si="144">CZ11</f>
        <v>3.45825198209649e+17</v>
      </c>
      <c r="DI11" s="580">
        <f ca="1" t="shared" si="144"/>
        <v>393753593577.651</v>
      </c>
      <c r="DJ11" s="581">
        <f ca="1" t="shared" si="144"/>
        <v>2.36597246997698e-9</v>
      </c>
      <c r="DK11" s="580">
        <f ca="1" t="shared" si="144"/>
        <v>2028675988566.35</v>
      </c>
      <c r="DL11" s="580">
        <f ca="1">MAX(INDIRECT("'"&amp;$B$2&amp;"-事故进程'!AB"&amp;(ROW()+22)),INDIRECT("'"&amp;$B$2&amp;"-事故进程'!AC"&amp;(ROW()+22)))</f>
        <v>3.43341262201314e-11</v>
      </c>
      <c r="DM11" s="580">
        <f ca="1">SUM(DL$3,-LN(1-DM$3)/DG11)</f>
        <v>1.01371476497628e-6</v>
      </c>
      <c r="DN11" s="580">
        <f>DN$3/24/3600</f>
        <v>1157407407407410</v>
      </c>
      <c r="DO11" s="582">
        <f ca="1" t="shared" si="61"/>
        <v>0.876159371839209</v>
      </c>
      <c r="DP11" s="582">
        <f ca="1" t="shared" si="62"/>
        <v>0.802687936592665</v>
      </c>
      <c r="DQ11" s="582">
        <f t="shared" si="63"/>
        <v>0</v>
      </c>
      <c r="DR11" s="582">
        <f ca="1" t="shared" si="64"/>
        <v>11474465.6930455</v>
      </c>
      <c r="DS11" s="582">
        <f ca="1" t="shared" si="65"/>
        <v>2.02110355949865e-9</v>
      </c>
      <c r="DT11" s="582">
        <f ca="1" t="shared" si="66"/>
        <v>1.00003387075964</v>
      </c>
      <c r="DU11" s="580">
        <f ca="1" t="shared" si="67"/>
        <v>3.02997988429536e+17</v>
      </c>
      <c r="DV11" s="580">
        <f ca="1" t="shared" si="68"/>
        <v>1176658789330.04</v>
      </c>
      <c r="DW11" s="586">
        <f ca="1" t="shared" si="69"/>
        <v>1.03057607930369e-9</v>
      </c>
      <c r="DX11" s="594">
        <f ca="1" t="shared" si="70"/>
        <v>1844617210861.96</v>
      </c>
      <c r="DY11" s="580">
        <f ca="1" t="shared" si="71"/>
        <v>960957486266.949</v>
      </c>
      <c r="DZ11" s="580">
        <f ca="1" t="shared" si="72"/>
        <v>70952974676.1429</v>
      </c>
      <c r="EA11" s="595">
        <f ca="1" t="shared" si="73"/>
        <v>70952974676.1429</v>
      </c>
      <c r="EB11" s="596">
        <f>EB$3*3600</f>
        <v>172800</v>
      </c>
      <c r="EC11" s="580">
        <f ca="1" t="shared" ref="EC11:EF11" si="145">DU11</f>
        <v>3.02997988429536e+17</v>
      </c>
      <c r="ED11" s="580">
        <f ca="1" t="shared" si="145"/>
        <v>1176658789330.04</v>
      </c>
      <c r="EE11" s="581">
        <f ca="1" t="shared" si="145"/>
        <v>1.03057607930369e-9</v>
      </c>
      <c r="EF11" s="580">
        <f ca="1" t="shared" si="145"/>
        <v>1844617210861.96</v>
      </c>
      <c r="EG11" s="580">
        <f ca="1">MAX(INDIRECT("'"&amp;$B$2&amp;"-事故进程'!AC"&amp;(ROW()+22)),INDIRECT("'"&amp;$B$2&amp;"-事故进程'!AD"&amp;(ROW()+22)),INDIRECT("'"&amp;$B$2&amp;"-事故进程'!AE"&amp;(ROW()+22)))</f>
        <v>3.43341262201314e-11</v>
      </c>
      <c r="EH11" s="580">
        <f ca="1">SUM(EG$3,-LN(1-EH$3)/EB11)</f>
        <v>5.81616658188741e-8</v>
      </c>
      <c r="EI11" s="580">
        <f>EI$3/24/3600</f>
        <v>1157407407407410</v>
      </c>
      <c r="EJ11" s="582">
        <f ca="1" t="shared" si="75"/>
        <v>0.767655244861676</v>
      </c>
      <c r="EK11" s="582">
        <f ca="1" t="shared" si="76"/>
        <v>0.759983201332147</v>
      </c>
      <c r="EL11" s="582">
        <f t="shared" si="77"/>
        <v>0</v>
      </c>
      <c r="EM11" s="582">
        <f ca="1" t="shared" si="78"/>
        <v>10334775.1434491</v>
      </c>
      <c r="EN11" s="582">
        <f ca="1" t="shared" si="79"/>
        <v>9.71446999214986e-10</v>
      </c>
      <c r="EO11" s="582">
        <f ca="1" t="shared" si="80"/>
        <v>1.0005906709498</v>
      </c>
      <c r="EP11" s="580">
        <f ca="1" t="shared" si="81"/>
        <v>2.32597995000471e+17</v>
      </c>
      <c r="EQ11" s="580">
        <f ca="1" t="shared" si="82"/>
        <v>2267322729110.27</v>
      </c>
      <c r="ER11" s="586">
        <f ca="1" t="shared" si="83"/>
        <v>1.13936774579178e-10</v>
      </c>
      <c r="ES11" s="594">
        <f ca="1" t="shared" si="84"/>
        <v>1431982745769.73</v>
      </c>
      <c r="ET11" s="580">
        <f ca="1" t="shared" si="85"/>
        <v>1579635961953.75</v>
      </c>
      <c r="EU11" s="580">
        <f ca="1" t="shared" si="86"/>
        <v>17905530337.2096</v>
      </c>
      <c r="EV11" s="595">
        <f ca="1" t="shared" si="87"/>
        <v>17905530337.2096</v>
      </c>
      <c r="EW11" s="596">
        <f>EW$3*3600</f>
        <v>2246400</v>
      </c>
      <c r="EX11" s="580">
        <f ca="1" t="shared" ref="EX11:FA11" si="146">EP11</f>
        <v>2.32597995000471e+17</v>
      </c>
      <c r="EY11" s="580">
        <f ca="1" t="shared" si="146"/>
        <v>2267322729110.27</v>
      </c>
      <c r="EZ11" s="581">
        <f ca="1" t="shared" si="146"/>
        <v>1.13936774579178e-10</v>
      </c>
      <c r="FA11" s="580">
        <f ca="1" t="shared" si="146"/>
        <v>1431982745769.73</v>
      </c>
      <c r="FB11" s="580">
        <f ca="1">INDIRECT("'"&amp;$B$2&amp;"-事故进程'!AE"&amp;(ROW()+22))</f>
        <v>2.56876275443931e-11</v>
      </c>
      <c r="FC11" s="580">
        <f ca="1">SUM(FB$3,-LN(1-FC$3)/EW11)</f>
        <v>4.47397429375955e-9</v>
      </c>
      <c r="FD11" s="580">
        <f>FD$3/24/3600</f>
        <v>1157407407407410</v>
      </c>
      <c r="FE11" s="582">
        <f ca="1" t="shared" si="89"/>
        <v>0.0321491366803942</v>
      </c>
      <c r="FF11" s="582">
        <f ca="1" t="shared" si="90"/>
        <v>0.031829481970877</v>
      </c>
      <c r="FG11" s="582">
        <f t="shared" si="91"/>
        <v>0</v>
      </c>
      <c r="FH11" s="582">
        <f ca="1" t="shared" si="92"/>
        <v>5964804.96168078</v>
      </c>
      <c r="FI11" s="582">
        <f ca="1" t="shared" si="93"/>
        <v>1.05172407303857e-10</v>
      </c>
      <c r="FJ11" s="582">
        <f ca="1" t="shared" si="94"/>
        <v>1.00577472394922</v>
      </c>
      <c r="FK11" s="580">
        <f ca="1" t="shared" si="95"/>
        <v>7477824732855780</v>
      </c>
      <c r="FL11" s="580">
        <f ca="1" t="shared" si="96"/>
        <v>501524465403.203</v>
      </c>
      <c r="FM11" s="586">
        <f ca="1" t="shared" si="97"/>
        <v>1.93864973694231e-12</v>
      </c>
      <c r="FN11" s="594">
        <f ca="1" t="shared" si="98"/>
        <v>48929857132.7969</v>
      </c>
      <c r="FO11" s="580">
        <f ca="1" t="shared" si="99"/>
        <v>3779194575283.51</v>
      </c>
      <c r="FP11" s="580">
        <f ca="1" t="shared" si="100"/>
        <v>16165704466.8492</v>
      </c>
      <c r="FQ11" s="595">
        <f ca="1" t="shared" si="101"/>
        <v>16165704466.8495</v>
      </c>
      <c r="FR11" s="608" t="str">
        <f t="shared" si="102"/>
        <v>Xe-133</v>
      </c>
      <c r="FS11" s="609">
        <v>1110000000000</v>
      </c>
      <c r="FT11" s="610">
        <v>28400000000</v>
      </c>
      <c r="FU11" s="610">
        <v>75500000000</v>
      </c>
      <c r="FV11" s="610">
        <v>147000000000</v>
      </c>
      <c r="FW11" s="610">
        <v>1360000000000</v>
      </c>
      <c r="FX11" s="614">
        <f ca="1" t="shared" si="103"/>
        <v>0</v>
      </c>
      <c r="FY11" s="614">
        <f ca="1" t="shared" si="104"/>
        <v>77.9983504249651</v>
      </c>
      <c r="FZ11" s="614">
        <f ca="1" t="shared" si="105"/>
        <v>1.15295990152655</v>
      </c>
      <c r="GA11" s="614">
        <f ca="1" t="shared" si="106"/>
        <v>0.604479625941174</v>
      </c>
      <c r="GB11" s="614">
        <f ca="1" t="shared" si="107"/>
        <v>1.7581324482703</v>
      </c>
      <c r="GC11" s="455">
        <f ca="1" t="shared" si="108"/>
        <v>1.7700189956724</v>
      </c>
      <c r="GE11" s="609">
        <v>231785832414.554</v>
      </c>
      <c r="GF11" s="610">
        <v>32478017879.142</v>
      </c>
      <c r="GG11" s="610">
        <v>66666694493.7492</v>
      </c>
      <c r="GH11" s="610">
        <v>87000966144.7478</v>
      </c>
      <c r="GI11" s="610">
        <v>138678552968.198</v>
      </c>
      <c r="GJ11" s="610">
        <v>255389809757.068</v>
      </c>
      <c r="GK11" s="617">
        <v>811999873657.459</v>
      </c>
      <c r="GL11" s="614">
        <f ca="1" t="shared" si="109"/>
        <v>0</v>
      </c>
      <c r="GM11" s="614">
        <f ca="1" t="shared" si="110"/>
        <v>68.2046903327688</v>
      </c>
      <c r="GN11" s="614">
        <f ca="1" t="shared" si="111"/>
        <v>1.30572654346041</v>
      </c>
      <c r="GO11" s="614">
        <f ca="1" t="shared" si="112"/>
        <v>0.393737568046135</v>
      </c>
      <c r="GP11" s="614">
        <f ca="1" t="shared" si="113"/>
        <v>0.0632981577543233</v>
      </c>
      <c r="GQ11" s="614">
        <f ca="1" t="shared" si="114"/>
        <v>2.96456429638553</v>
      </c>
      <c r="GR11" s="451">
        <f t="shared" si="115"/>
        <v>1.53014243983147e-6</v>
      </c>
      <c r="GS11" s="390">
        <f t="shared" si="116"/>
        <v>452995.2</v>
      </c>
    </row>
    <row r="12" spans="1:201">
      <c r="A12" s="421" t="s">
        <v>160</v>
      </c>
      <c r="B12" s="407" t="s">
        <v>261</v>
      </c>
      <c r="C12" s="422">
        <v>27</v>
      </c>
      <c r="D12" s="410" t="s">
        <v>262</v>
      </c>
      <c r="E12" s="410"/>
      <c r="G12" s="411" t="s">
        <v>53</v>
      </c>
      <c r="H12" s="412">
        <f ca="1" t="shared" si="1"/>
        <v>0</v>
      </c>
      <c r="I12" s="412">
        <f ca="1" t="shared" si="2"/>
        <v>54731782826.2505</v>
      </c>
      <c r="J12" s="412">
        <f ca="1" t="shared" si="3"/>
        <v>2209338248.41454</v>
      </c>
      <c r="K12" s="412">
        <f ca="1" t="shared" si="4"/>
        <v>2825715270.14248</v>
      </c>
      <c r="L12" s="412">
        <f ca="1" t="shared" si="5"/>
        <v>2375145483.05168</v>
      </c>
      <c r="M12" s="412">
        <f ca="1" t="shared" si="6"/>
        <v>85056197.573861</v>
      </c>
      <c r="N12" s="412">
        <f ca="1" t="shared" si="7"/>
        <v>62227038025.433</v>
      </c>
      <c r="O12" s="450">
        <f ca="1" t="shared" si="8"/>
        <v>0</v>
      </c>
      <c r="P12" s="451"/>
      <c r="Q12" s="477" t="str">
        <f t="shared" si="0"/>
        <v>Xe-133m</v>
      </c>
      <c r="R12" s="412">
        <f ca="1" t="shared" si="9"/>
        <v>0</v>
      </c>
      <c r="S12" s="412">
        <f ca="1">I12*(1-过滤效率!$B9)</f>
        <v>54731782826.2505</v>
      </c>
      <c r="T12" s="412">
        <f ca="1">J12*(1-过滤效率!$B9)</f>
        <v>2209338248.41454</v>
      </c>
      <c r="U12" s="412">
        <f ca="1">K12*(1-过滤效率!$B9)</f>
        <v>2825715270.14248</v>
      </c>
      <c r="V12" s="412">
        <f ca="1">L12*(1-过滤效率!$B9)</f>
        <v>2375145483.05168</v>
      </c>
      <c r="W12" s="412">
        <f ca="1">M12*(1-过滤效率!$B9)</f>
        <v>85056197.573861</v>
      </c>
      <c r="X12" s="412">
        <f ca="1" t="shared" si="10"/>
        <v>62227038025.433</v>
      </c>
      <c r="Y12" s="493"/>
      <c r="Z12" s="494">
        <f>VLOOKUP(G12,衰变常数!$A$1:$H$3800,7,FALSE)</f>
        <v>3.66325881828146e-6</v>
      </c>
      <c r="AA12" s="495">
        <f>正常源项!C9</f>
        <v>1.32e+16</v>
      </c>
      <c r="AB12" s="496">
        <f>正常源项!F9</f>
        <v>0</v>
      </c>
      <c r="AC12" s="496">
        <f>正常源项!I9</f>
        <v>6770000000</v>
      </c>
      <c r="AD12" s="496">
        <f>正常源项!L9</f>
        <v>6490000000</v>
      </c>
      <c r="AE12" s="497"/>
      <c r="AF12" s="498"/>
      <c r="AG12" s="483"/>
      <c r="AH12" s="518"/>
      <c r="AI12" s="483"/>
      <c r="AJ12" s="521"/>
      <c r="AK12" s="521"/>
      <c r="AL12" s="519">
        <f t="shared" si="11"/>
        <v>1931160</v>
      </c>
      <c r="AM12" s="520">
        <f t="shared" si="12"/>
        <v>55440000000</v>
      </c>
      <c r="AN12" s="519">
        <f ca="1">MAX(INDIRECT("'"&amp;$B$2&amp;"-事故进程'!Y"&amp;(ROW()+22)),INDIRECT("'"&amp;$B$2&amp;"-事故进程'!Z"&amp;(ROW()+22)),INDIRECT("'"&amp;$B$2&amp;"-事故进程'!AA"&amp;(ROW()+22)))</f>
        <v>1.18393723430488e-11</v>
      </c>
      <c r="AO12" s="519">
        <f ca="1" t="shared" si="13"/>
        <v>10639713384.1973</v>
      </c>
      <c r="AP12" s="560">
        <f t="shared" si="14"/>
        <v>9245602864067950</v>
      </c>
      <c r="AQ12" s="561">
        <f ca="1">(AC12*$C$5+AD12*$C$8+AF12+AG12+AI12+(AL12+AM12)*$C$10)*EXP(-Z12*$C$12*3600)+AO12*$C$11</f>
        <v>54214471635.1136</v>
      </c>
      <c r="AR12" s="562">
        <f ca="1">AQ12*(1-AR$3)</f>
        <v>54214471635.1136</v>
      </c>
      <c r="AS12" s="563">
        <f ca="1" t="shared" si="15"/>
        <v>0</v>
      </c>
      <c r="AT12" s="562">
        <f ca="1">AS12*(1-AT$3)</f>
        <v>0</v>
      </c>
      <c r="AU12" s="564">
        <f ca="1" t="shared" si="16"/>
        <v>0</v>
      </c>
      <c r="AV12" s="565">
        <f>AV$3*3600</f>
        <v>7200</v>
      </c>
      <c r="AW12" s="580">
        <f>AP12*EXP(-Z12*AW$3*3600)</f>
        <v>9245602864067950</v>
      </c>
      <c r="AX12" s="580">
        <f ca="1" t="shared" si="17"/>
        <v>54214471635.1136</v>
      </c>
      <c r="AY12" s="581">
        <f ca="1" t="shared" si="18"/>
        <v>0</v>
      </c>
      <c r="AZ12" s="580">
        <v>0</v>
      </c>
      <c r="BA12" s="580">
        <f ca="1">MAX(INDIRECT("'"&amp;$B$2&amp;"-事故进程'!Y"&amp;(ROW()+22)),INDIRECT("'"&amp;$B$2&amp;"-事故进程'!Z"&amp;(ROW()+22)))</f>
        <v>1.07057675436671e-11</v>
      </c>
      <c r="BB12" s="580">
        <f ca="1">SUM(BA$3,-LN(1-BB$3)/AV12)</f>
        <v>0.00160041330566996</v>
      </c>
      <c r="BC12" s="580">
        <f>BC$3/24/3600</f>
        <v>1157407407407410</v>
      </c>
      <c r="BD12" s="582">
        <f ca="1" t="shared" si="19"/>
        <v>0.973969255947746</v>
      </c>
      <c r="BE12" s="582">
        <f ca="1" t="shared" si="20"/>
        <v>9.64229637712559e-6</v>
      </c>
      <c r="BF12" s="582">
        <f t="shared" si="21"/>
        <v>0</v>
      </c>
      <c r="BG12" s="582">
        <f ca="1" t="shared" si="22"/>
        <v>-86666579.9092312</v>
      </c>
      <c r="BH12" s="582">
        <f ca="1" t="shared" si="23"/>
        <v>-7.4965445364703e-8</v>
      </c>
      <c r="BI12" s="582">
        <f ca="1" t="shared" si="24"/>
        <v>1.00000000668938</v>
      </c>
      <c r="BJ12" s="580">
        <f ca="1" t="shared" si="25"/>
        <v>9004932942304610</v>
      </c>
      <c r="BK12" s="580">
        <f ca="1" t="shared" si="26"/>
        <v>60759545.038818</v>
      </c>
      <c r="BL12" s="586">
        <f ca="1" t="shared" si="27"/>
        <v>8.40156920581631e-11</v>
      </c>
      <c r="BM12" s="594">
        <f ca="1" t="shared" si="28"/>
        <v>53436587127.9612</v>
      </c>
      <c r="BN12" s="580">
        <f ca="1" t="shared" si="29"/>
        <v>703348803.640043</v>
      </c>
      <c r="BO12" s="580">
        <f ca="1" t="shared" si="30"/>
        <v>54731782826.2505</v>
      </c>
      <c r="BP12" s="595">
        <f ca="1" t="shared" si="31"/>
        <v>54731782826.2505</v>
      </c>
      <c r="BQ12" s="596">
        <f>BQ$3*3600</f>
        <v>21600</v>
      </c>
      <c r="BR12" s="580">
        <f ca="1" t="shared" ref="BR12:BU12" si="147">BJ12</f>
        <v>9004932942304610</v>
      </c>
      <c r="BS12" s="580">
        <f ca="1" t="shared" si="147"/>
        <v>60759545.038818</v>
      </c>
      <c r="BT12" s="581">
        <f ca="1" t="shared" si="147"/>
        <v>8.40156920581631e-11</v>
      </c>
      <c r="BU12" s="580">
        <f ca="1" t="shared" si="147"/>
        <v>53436587127.9612</v>
      </c>
      <c r="BV12" s="580">
        <f ca="1">MAX(INDIRECT("'"&amp;$B$2&amp;"-事故进程'!Z"&amp;(ROW()+22)),INDIRECT("'"&amp;$B$2&amp;"-事故进程'!AA"&amp;(ROW()+22)))</f>
        <v>1.18393723430488e-11</v>
      </c>
      <c r="BW12" s="580">
        <f ca="1">SUM(BV$3,-LN(1-BW$3)/BQ12)</f>
        <v>0.00162728102077123</v>
      </c>
      <c r="BX12" s="580">
        <f>BX$3/24/3600</f>
        <v>1157407407407410</v>
      </c>
      <c r="BY12" s="582">
        <f ca="1" t="shared" si="33"/>
        <v>0.923922905705236</v>
      </c>
      <c r="BZ12" s="582">
        <f ca="1" t="shared" si="34"/>
        <v>5.0176668200116e-16</v>
      </c>
      <c r="CA12" s="582">
        <f t="shared" si="35"/>
        <v>0</v>
      </c>
      <c r="CB12" s="582">
        <f ca="1" t="shared" si="36"/>
        <v>7739.90027512157</v>
      </c>
      <c r="CC12" s="582">
        <f ca="1" t="shared" si="37"/>
        <v>-1.41045420595881e-12</v>
      </c>
      <c r="CD12" s="582">
        <f ca="1" t="shared" si="38"/>
        <v>1.00000000727555</v>
      </c>
      <c r="CE12" s="580">
        <f ca="1" t="shared" si="39"/>
        <v>8319863809734870</v>
      </c>
      <c r="CF12" s="580">
        <f ca="1" t="shared" si="40"/>
        <v>60531626.0352376</v>
      </c>
      <c r="CG12" s="586">
        <f ca="1" t="shared" si="41"/>
        <v>8.51056987998793e-11</v>
      </c>
      <c r="CH12" s="594">
        <f ca="1" t="shared" si="42"/>
        <v>51494547725.9648</v>
      </c>
      <c r="CI12" s="580">
        <f ca="1" t="shared" si="43"/>
        <v>2214083888.19876</v>
      </c>
      <c r="CJ12" s="580">
        <f ca="1" t="shared" si="44"/>
        <v>2209338248.41454</v>
      </c>
      <c r="CK12" s="595">
        <f ca="1" t="shared" si="45"/>
        <v>2209338248.41454</v>
      </c>
      <c r="CL12" s="596">
        <f>CL$3*3600</f>
        <v>57600</v>
      </c>
      <c r="CM12" s="580">
        <f ca="1" t="shared" ref="CM12:CP12" si="148">CE12</f>
        <v>8319863809734870</v>
      </c>
      <c r="CN12" s="580">
        <f ca="1" t="shared" si="148"/>
        <v>60531626.0352376</v>
      </c>
      <c r="CO12" s="581">
        <f ca="1" t="shared" si="148"/>
        <v>8.51056987998793e-11</v>
      </c>
      <c r="CP12" s="580">
        <f ca="1" t="shared" si="148"/>
        <v>51494547725.9648</v>
      </c>
      <c r="CQ12" s="580">
        <f ca="1">MAX(INDIRECT("'"&amp;$B$2&amp;"-事故进程'!AA"&amp;(ROW()+22)),INDIRECT("'"&amp;$B$2&amp;"-事故进程'!AB"&amp;(ROW()+22)))</f>
        <v>3.81736715509297e-11</v>
      </c>
      <c r="CR12" s="580">
        <f ca="1">SUM(CQ$3,-LN(1-CR$3)/CL12)</f>
        <v>6.95458811586267e-6</v>
      </c>
      <c r="CS12" s="580">
        <f>CS$3/24/3600</f>
        <v>1157407407407410</v>
      </c>
      <c r="CT12" s="582">
        <f ca="1" t="shared" si="47"/>
        <v>0.80976928377337</v>
      </c>
      <c r="CU12" s="582">
        <f ca="1" t="shared" si="48"/>
        <v>0.542488721629483</v>
      </c>
      <c r="CV12" s="582">
        <f t="shared" si="49"/>
        <v>0</v>
      </c>
      <c r="CW12" s="582">
        <f ca="1" t="shared" si="50"/>
        <v>317178.778204941</v>
      </c>
      <c r="CX12" s="582">
        <f ca="1" t="shared" si="51"/>
        <v>8.47419785365007e-11</v>
      </c>
      <c r="CY12" s="582">
        <f ca="1" t="shared" si="52"/>
        <v>1.00000548902113</v>
      </c>
      <c r="CZ12" s="580">
        <f ca="1" t="shared" si="53"/>
        <v>6737170158300990</v>
      </c>
      <c r="DA12" s="580">
        <f ca="1" t="shared" si="54"/>
        <v>12238981903.4774</v>
      </c>
      <c r="DB12" s="586">
        <f ca="1" t="shared" si="55"/>
        <v>7.35411554751015e-11</v>
      </c>
      <c r="DC12" s="594">
        <f ca="1" t="shared" si="56"/>
        <v>44322559057.5226</v>
      </c>
      <c r="DD12" s="580">
        <f ca="1" t="shared" si="57"/>
        <v>16492582432.7905</v>
      </c>
      <c r="DE12" s="580">
        <f ca="1" t="shared" si="58"/>
        <v>2825715270.14248</v>
      </c>
      <c r="DF12" s="595">
        <f ca="1" t="shared" si="59"/>
        <v>2825715270.14248</v>
      </c>
      <c r="DG12" s="596">
        <f>DG$3*3600</f>
        <v>86400</v>
      </c>
      <c r="DH12" s="580">
        <f ca="1" t="shared" ref="DH12:DK12" si="149">CZ12</f>
        <v>6737170158300990</v>
      </c>
      <c r="DI12" s="580">
        <f ca="1" t="shared" si="149"/>
        <v>12238981903.4774</v>
      </c>
      <c r="DJ12" s="581">
        <f ca="1" t="shared" si="149"/>
        <v>7.35411554751015e-11</v>
      </c>
      <c r="DK12" s="580">
        <f ca="1" t="shared" si="149"/>
        <v>44322559057.5226</v>
      </c>
      <c r="DL12" s="580">
        <f ca="1">MAX(INDIRECT("'"&amp;$B$2&amp;"-事故进程'!AB"&amp;(ROW()+22)),INDIRECT("'"&amp;$B$2&amp;"-事故进程'!AC"&amp;(ROW()+22)))</f>
        <v>5.52040966026989e-11</v>
      </c>
      <c r="DM12" s="580">
        <f ca="1">SUM(DL$3,-LN(1-DM$3)/DG12)</f>
        <v>1.01371476497628e-6</v>
      </c>
      <c r="DN12" s="580">
        <f>DN$3/24/3600</f>
        <v>1157407407407410</v>
      </c>
      <c r="DO12" s="582">
        <f ca="1" t="shared" si="61"/>
        <v>0.728687483061778</v>
      </c>
      <c r="DP12" s="582">
        <f ca="1" t="shared" si="62"/>
        <v>0.667583690464845</v>
      </c>
      <c r="DQ12" s="582">
        <f t="shared" si="63"/>
        <v>0</v>
      </c>
      <c r="DR12" s="582">
        <f ca="1" t="shared" si="64"/>
        <v>359513.231225775</v>
      </c>
      <c r="DS12" s="582">
        <f ca="1" t="shared" si="65"/>
        <v>6.28216485975502e-11</v>
      </c>
      <c r="DT12" s="582">
        <f ca="1" t="shared" si="66"/>
        <v>1.00005446019426</v>
      </c>
      <c r="DU12" s="580">
        <f ca="1" t="shared" si="67"/>
        <v>4909291565611270</v>
      </c>
      <c r="DV12" s="580">
        <f ca="1" t="shared" si="68"/>
        <v>30589990330.9412</v>
      </c>
      <c r="DW12" s="586">
        <f ca="1" t="shared" si="69"/>
        <v>2.67922294781385e-11</v>
      </c>
      <c r="DX12" s="594">
        <f ca="1" t="shared" si="70"/>
        <v>34041472720.0588</v>
      </c>
      <c r="DY12" s="580">
        <f ca="1" t="shared" si="71"/>
        <v>27545109644.5575</v>
      </c>
      <c r="DZ12" s="580">
        <f ca="1" t="shared" si="72"/>
        <v>1992783578.64112</v>
      </c>
      <c r="EA12" s="595">
        <f ca="1" t="shared" si="73"/>
        <v>1992783578.64112</v>
      </c>
      <c r="EB12" s="596">
        <f>EB$3*3600</f>
        <v>172800</v>
      </c>
      <c r="EC12" s="580">
        <f ca="1" t="shared" ref="EC12:EF12" si="150">DU12</f>
        <v>4909291565611270</v>
      </c>
      <c r="ED12" s="580">
        <f ca="1" t="shared" si="150"/>
        <v>30589990330.9412</v>
      </c>
      <c r="EE12" s="581">
        <f ca="1" t="shared" si="150"/>
        <v>2.67922294781385e-11</v>
      </c>
      <c r="EF12" s="580">
        <f ca="1" t="shared" si="150"/>
        <v>34041472720.0588</v>
      </c>
      <c r="EG12" s="580">
        <f ca="1">MAX(INDIRECT("'"&amp;$B$2&amp;"-事故进程'!AC"&amp;(ROW()+22)),INDIRECT("'"&amp;$B$2&amp;"-事故进程'!AD"&amp;(ROW()+22)),INDIRECT("'"&amp;$B$2&amp;"-事故进程'!AE"&amp;(ROW()+22)))</f>
        <v>5.52040966026989e-11</v>
      </c>
      <c r="EH12" s="580">
        <f ca="1">SUM(EG$3,-LN(1-EH$3)/EB12)</f>
        <v>5.81616658188741e-8</v>
      </c>
      <c r="EI12" s="580">
        <f>EI$3/24/3600</f>
        <v>1157407407407410</v>
      </c>
      <c r="EJ12" s="582">
        <f ca="1" t="shared" si="75"/>
        <v>0.530985447970908</v>
      </c>
      <c r="EK12" s="582">
        <f ca="1" t="shared" si="76"/>
        <v>0.525680608075428</v>
      </c>
      <c r="EL12" s="582">
        <f t="shared" si="77"/>
        <v>0</v>
      </c>
      <c r="EM12" s="582">
        <f ca="1" t="shared" si="78"/>
        <v>269235.52973657</v>
      </c>
      <c r="EN12" s="582">
        <f ca="1" t="shared" si="79"/>
        <v>2.52550310952319e-11</v>
      </c>
      <c r="EO12" s="582">
        <f ca="1" t="shared" si="80"/>
        <v>1.00095005090598</v>
      </c>
      <c r="EP12" s="580">
        <f ca="1" t="shared" si="81"/>
        <v>2606762381185900</v>
      </c>
      <c r="EQ12" s="580">
        <f ca="1" t="shared" si="82"/>
        <v>40822745931.0039</v>
      </c>
      <c r="ER12" s="586">
        <f ca="1" t="shared" si="83"/>
        <v>2.05141153534372e-12</v>
      </c>
      <c r="ES12" s="594">
        <f ca="1" t="shared" si="84"/>
        <v>18362671095.9961</v>
      </c>
      <c r="ET12" s="580">
        <f ca="1" t="shared" si="85"/>
        <v>34697829001.5765</v>
      </c>
      <c r="EU12" s="580">
        <f ca="1" t="shared" si="86"/>
        <v>382361904.410564</v>
      </c>
      <c r="EV12" s="595">
        <f ca="1" t="shared" si="87"/>
        <v>382361904.410562</v>
      </c>
      <c r="EW12" s="596">
        <f>EW$3*3600</f>
        <v>2246400</v>
      </c>
      <c r="EX12" s="580">
        <f ca="1" t="shared" ref="EX12:FA12" si="151">EP12</f>
        <v>2606762381185900</v>
      </c>
      <c r="EY12" s="580">
        <f ca="1" t="shared" si="151"/>
        <v>40822745931.0039</v>
      </c>
      <c r="EZ12" s="581">
        <f ca="1" t="shared" si="151"/>
        <v>2.05141153534372e-12</v>
      </c>
      <c r="FA12" s="580">
        <f ca="1" t="shared" si="151"/>
        <v>18362671095.9961</v>
      </c>
      <c r="FB12" s="580">
        <f ca="1">INDIRECT("'"&amp;$B$2&amp;"-事故进程'!AE"&amp;(ROW()+22))</f>
        <v>4.07363949807627e-11</v>
      </c>
      <c r="FC12" s="580">
        <f ca="1">SUM(FB$3,-LN(1-FC$3)/EW12)</f>
        <v>4.47397429375955e-9</v>
      </c>
      <c r="FD12" s="580">
        <f>FD$3/24/3600</f>
        <v>1157407407407410</v>
      </c>
      <c r="FE12" s="582">
        <f ca="1" t="shared" si="89"/>
        <v>0.000266740009908023</v>
      </c>
      <c r="FF12" s="582">
        <f ca="1" t="shared" si="90"/>
        <v>0.000264096776261954</v>
      </c>
      <c r="FG12" s="582">
        <f t="shared" si="91"/>
        <v>0</v>
      </c>
      <c r="FH12" s="582">
        <f ca="1" t="shared" si="92"/>
        <v>106009.125036589</v>
      </c>
      <c r="FI12" s="582">
        <f ca="1" t="shared" si="93"/>
        <v>1.89361064800959e-12</v>
      </c>
      <c r="FJ12" s="582">
        <f ca="1" t="shared" si="94"/>
        <v>1.00918885832677</v>
      </c>
      <c r="FK12" s="580">
        <f ca="1" t="shared" si="95"/>
        <v>695327823385.388</v>
      </c>
      <c r="FL12" s="580">
        <f ca="1" t="shared" si="96"/>
        <v>74094981.0336466</v>
      </c>
      <c r="FM12" s="586">
        <f ca="1" t="shared" si="97"/>
        <v>2.86415170941141e-16</v>
      </c>
      <c r="FN12" s="594">
        <f ca="1" t="shared" si="98"/>
        <v>5326108.29557705</v>
      </c>
      <c r="FO12" s="580">
        <f ca="1" t="shared" si="99"/>
        <v>28979824130.5725</v>
      </c>
      <c r="FP12" s="580">
        <f ca="1" t="shared" si="100"/>
        <v>85056197.5738614</v>
      </c>
      <c r="FQ12" s="595">
        <f ca="1" t="shared" si="101"/>
        <v>85056197.573861</v>
      </c>
      <c r="FR12" s="608" t="str">
        <f t="shared" si="102"/>
        <v>Xe-133m</v>
      </c>
      <c r="FS12" s="609">
        <v>21400000000</v>
      </c>
      <c r="FT12" s="610">
        <v>1460000000</v>
      </c>
      <c r="FU12" s="610">
        <v>3100000000</v>
      </c>
      <c r="FV12" s="610">
        <v>4820000000</v>
      </c>
      <c r="FW12" s="610">
        <v>30800000000</v>
      </c>
      <c r="FX12" s="614">
        <f ca="1" t="shared" si="103"/>
        <v>0</v>
      </c>
      <c r="FY12" s="614">
        <f ca="1" t="shared" si="104"/>
        <v>39.0007678593596</v>
      </c>
      <c r="FZ12" s="614">
        <f ca="1" t="shared" si="105"/>
        <v>0.911521054884672</v>
      </c>
      <c r="GA12" s="614">
        <f ca="1" t="shared" si="106"/>
        <v>0.492768772417362</v>
      </c>
      <c r="GB12" s="614">
        <f ca="1" t="shared" si="107"/>
        <v>2.01759681259283</v>
      </c>
      <c r="GC12" s="455">
        <f ca="1" t="shared" si="108"/>
        <v>2.02035837744912</v>
      </c>
      <c r="GE12" s="609">
        <v>4481787365.1772</v>
      </c>
      <c r="GF12" s="610">
        <v>693942732.394665</v>
      </c>
      <c r="GG12" s="610">
        <v>1481088686.07537</v>
      </c>
      <c r="GH12" s="610">
        <v>1721788221.19917</v>
      </c>
      <c r="GI12" s="610">
        <v>2286593237.45021</v>
      </c>
      <c r="GJ12" s="610">
        <v>1860976198.88386</v>
      </c>
      <c r="GK12" s="617">
        <v>12526176441.1805</v>
      </c>
      <c r="GL12" s="614">
        <f ca="1" t="shared" si="109"/>
        <v>0</v>
      </c>
      <c r="GM12" s="614">
        <f ca="1" t="shared" si="110"/>
        <v>82.054495877739</v>
      </c>
      <c r="GN12" s="614">
        <f ca="1" t="shared" si="111"/>
        <v>1.90786365239893</v>
      </c>
      <c r="GO12" s="614">
        <f ca="1" t="shared" si="112"/>
        <v>0.592544773383915</v>
      </c>
      <c r="GP12" s="614">
        <f ca="1" t="shared" si="113"/>
        <v>0.0457051506756907</v>
      </c>
      <c r="GQ12" s="614">
        <f ca="1" t="shared" si="114"/>
        <v>4.96775997988167</v>
      </c>
      <c r="GR12" s="451">
        <f t="shared" si="115"/>
        <v>3.66325881828146e-6</v>
      </c>
      <c r="GS12" s="390">
        <f t="shared" si="116"/>
        <v>189216</v>
      </c>
    </row>
    <row r="13" spans="2:201">
      <c r="B13" s="407" t="s">
        <v>263</v>
      </c>
      <c r="C13" s="423">
        <v>1e+20</v>
      </c>
      <c r="D13" s="424" t="s">
        <v>262</v>
      </c>
      <c r="E13" s="424"/>
      <c r="G13" s="411" t="s">
        <v>54</v>
      </c>
      <c r="H13" s="412">
        <f ca="1" t="shared" si="1"/>
        <v>0</v>
      </c>
      <c r="I13" s="412">
        <f ca="1" t="shared" si="2"/>
        <v>101017548629.447</v>
      </c>
      <c r="J13" s="412">
        <f ca="1" t="shared" si="3"/>
        <v>5789697744.91898</v>
      </c>
      <c r="K13" s="412">
        <f ca="1" t="shared" si="4"/>
        <v>3388040867.81152</v>
      </c>
      <c r="L13" s="412">
        <f ca="1" t="shared" si="5"/>
        <v>778384951.359064</v>
      </c>
      <c r="M13" s="412">
        <f ca="1" t="shared" si="6"/>
        <v>87464.6142698961</v>
      </c>
      <c r="N13" s="412">
        <f ca="1" t="shared" si="7"/>
        <v>110973759658.151</v>
      </c>
      <c r="O13" s="450">
        <f ca="1" t="shared" si="8"/>
        <v>0</v>
      </c>
      <c r="P13" s="451"/>
      <c r="Q13" s="477" t="str">
        <f t="shared" si="0"/>
        <v>Xe-135</v>
      </c>
      <c r="R13" s="412">
        <f ca="1" t="shared" si="9"/>
        <v>0</v>
      </c>
      <c r="S13" s="412">
        <f ca="1">I13*(1-过滤效率!$B10)</f>
        <v>101017548629.447</v>
      </c>
      <c r="T13" s="412">
        <f ca="1">J13*(1-过滤效率!$B10)</f>
        <v>5789697744.91898</v>
      </c>
      <c r="U13" s="412">
        <f ca="1">K13*(1-过滤效率!$B10)</f>
        <v>3388040867.81152</v>
      </c>
      <c r="V13" s="412">
        <f ca="1">L13*(1-过滤效率!$B10)</f>
        <v>778384951.359064</v>
      </c>
      <c r="W13" s="412">
        <f ca="1">M13*(1-过滤效率!$B10)</f>
        <v>87464.6142698961</v>
      </c>
      <c r="X13" s="412">
        <f ca="1" t="shared" si="10"/>
        <v>110973759658.151</v>
      </c>
      <c r="Y13" s="493"/>
      <c r="Z13" s="494">
        <f>VLOOKUP(G13,衰变常数!$A$1:$H$3800,7,FALSE)</f>
        <v>2.10657421760255e-5</v>
      </c>
      <c r="AA13" s="495">
        <f>正常源项!C10</f>
        <v>1.06e+17</v>
      </c>
      <c r="AB13" s="496">
        <f>正常源项!F10</f>
        <v>0</v>
      </c>
      <c r="AC13" s="496">
        <f>正常源项!I10</f>
        <v>37900000000</v>
      </c>
      <c r="AD13" s="496">
        <f>正常源项!L10</f>
        <v>6490000000</v>
      </c>
      <c r="AE13" s="497"/>
      <c r="AF13" s="498"/>
      <c r="AG13" s="483"/>
      <c r="AH13" s="518"/>
      <c r="AI13" s="483"/>
      <c r="AJ13" s="521"/>
      <c r="AK13" s="521"/>
      <c r="AL13" s="519">
        <f t="shared" si="11"/>
        <v>15507800</v>
      </c>
      <c r="AM13" s="520">
        <f t="shared" si="12"/>
        <v>445200000000</v>
      </c>
      <c r="AN13" s="519">
        <f ca="1">MAX(INDIRECT("'"&amp;$B$2&amp;"-事故进程'!Y"&amp;(ROW()+22)),INDIRECT("'"&amp;$B$2&amp;"-事故进程'!Z"&amp;(ROW()+22)),INDIRECT("'"&amp;$B$2&amp;"-事故进程'!AA"&amp;(ROW()+22)))</f>
        <v>2.84611910143987e-11</v>
      </c>
      <c r="AO13" s="519">
        <f ca="1" t="shared" si="13"/>
        <v>37841426601.8479</v>
      </c>
      <c r="AP13" s="560">
        <f t="shared" si="14"/>
        <v>1.36788241506785e+16</v>
      </c>
      <c r="AQ13" s="561">
        <f ca="1">(AC13*$C$5+AD13*$C$8+AF13+AG13+AI13+(AL13+AM13)*$C$10)*EXP(-Z13*$C$12*3600)+AO13*$C$11</f>
        <v>100185314108.093</v>
      </c>
      <c r="AR13" s="562">
        <f ca="1">AQ13*(1-AR$3)</f>
        <v>100185314108.093</v>
      </c>
      <c r="AS13" s="563">
        <f ca="1" t="shared" si="15"/>
        <v>0</v>
      </c>
      <c r="AT13" s="562">
        <f ca="1">AS13*(1-AT$3)</f>
        <v>0</v>
      </c>
      <c r="AU13" s="564">
        <f ca="1" t="shared" si="16"/>
        <v>0</v>
      </c>
      <c r="AV13" s="565">
        <f>AV$3*3600</f>
        <v>7200</v>
      </c>
      <c r="AW13" s="580">
        <f>AP13*EXP(-Z13*AW$3*3600)</f>
        <v>1.36788241506785e+16</v>
      </c>
      <c r="AX13" s="580">
        <f ca="1" t="shared" si="17"/>
        <v>100185314108.093</v>
      </c>
      <c r="AY13" s="581">
        <f ca="1" t="shared" si="18"/>
        <v>0</v>
      </c>
      <c r="AZ13" s="580">
        <v>0</v>
      </c>
      <c r="BA13" s="580">
        <f ca="1">MAX(INDIRECT("'"&amp;$B$2&amp;"-事故进程'!Y"&amp;(ROW()+22)),INDIRECT("'"&amp;$B$2&amp;"-事故进程'!Z"&amp;(ROW()+22)))</f>
        <v>2.57353332455595e-11</v>
      </c>
      <c r="BB13" s="580">
        <f ca="1">SUM(BA$3,-LN(1-BB$3)/AV13)</f>
        <v>0.00160041330566996</v>
      </c>
      <c r="BC13" s="580">
        <f>BC$3/24/3600</f>
        <v>1157407407407410</v>
      </c>
      <c r="BD13" s="582">
        <f ca="1" t="shared" si="19"/>
        <v>0.859268761318855</v>
      </c>
      <c r="BE13" s="582">
        <f ca="1" t="shared" si="20"/>
        <v>8.50676231331193e-6</v>
      </c>
      <c r="BF13" s="582">
        <f t="shared" si="21"/>
        <v>0</v>
      </c>
      <c r="BG13" s="582">
        <f ca="1" t="shared" si="22"/>
        <v>-159985878.055089</v>
      </c>
      <c r="BH13" s="582">
        <f ca="1" t="shared" si="23"/>
        <v>-1.38531954007857e-7</v>
      </c>
      <c r="BI13" s="582">
        <f ca="1" t="shared" si="24"/>
        <v>1.00000001608043</v>
      </c>
      <c r="BJ13" s="580">
        <f ca="1" t="shared" si="25"/>
        <v>1.1753786284252e+16</v>
      </c>
      <c r="BK13" s="580">
        <f ca="1" t="shared" si="26"/>
        <v>189856315.596696</v>
      </c>
      <c r="BL13" s="586">
        <f ca="1" t="shared" si="27"/>
        <v>2.62525167630514e-10</v>
      </c>
      <c r="BM13" s="594">
        <f ca="1" t="shared" si="28"/>
        <v>88074181362.4033</v>
      </c>
      <c r="BN13" s="580">
        <f ca="1" t="shared" si="29"/>
        <v>2351753385.4579</v>
      </c>
      <c r="BO13" s="580">
        <f ca="1" t="shared" si="30"/>
        <v>101017548629.447</v>
      </c>
      <c r="BP13" s="595">
        <f ca="1" t="shared" si="31"/>
        <v>101017548629.447</v>
      </c>
      <c r="BQ13" s="596">
        <f>BQ$3*3600</f>
        <v>21600</v>
      </c>
      <c r="BR13" s="580">
        <f ca="1" t="shared" ref="BR13:BU13" si="152">BJ13</f>
        <v>1.1753786284252e+16</v>
      </c>
      <c r="BS13" s="580">
        <f ca="1" t="shared" si="152"/>
        <v>189856315.596696</v>
      </c>
      <c r="BT13" s="581">
        <f ca="1" t="shared" si="152"/>
        <v>2.62525167630514e-10</v>
      </c>
      <c r="BU13" s="580">
        <f ca="1" t="shared" si="152"/>
        <v>88074181362.4033</v>
      </c>
      <c r="BV13" s="580">
        <f ca="1">MAX(INDIRECT("'"&amp;$B$2&amp;"-事故进程'!Z"&amp;(ROW()+22)),INDIRECT("'"&amp;$B$2&amp;"-事故进程'!AA"&amp;(ROW()+22)))</f>
        <v>2.84611910143987e-11</v>
      </c>
      <c r="BW13" s="580">
        <f ca="1">SUM(BV$3,-LN(1-BW$3)/BQ13)</f>
        <v>0.00162728102077123</v>
      </c>
      <c r="BX13" s="580">
        <f>BX$3/24/3600</f>
        <v>1157407407407410</v>
      </c>
      <c r="BY13" s="582">
        <f ca="1" t="shared" si="33"/>
        <v>0.634434869420505</v>
      </c>
      <c r="BZ13" s="582">
        <f ca="1" t="shared" si="34"/>
        <v>3.44550818799535e-16</v>
      </c>
      <c r="CA13" s="582">
        <f t="shared" si="35"/>
        <v>0</v>
      </c>
      <c r="CB13" s="582">
        <f ca="1" t="shared" si="36"/>
        <v>25577.1829379949</v>
      </c>
      <c r="CC13" s="582">
        <f ca="1" t="shared" si="37"/>
        <v>-4.40726866355114e-12</v>
      </c>
      <c r="CD13" s="582">
        <f ca="1" t="shared" si="38"/>
        <v>1.00000001749003</v>
      </c>
      <c r="CE13" s="580">
        <f ca="1" t="shared" si="39"/>
        <v>7457011866445920</v>
      </c>
      <c r="CF13" s="580">
        <f ca="1" t="shared" si="40"/>
        <v>130423350.441937</v>
      </c>
      <c r="CG13" s="586">
        <f ca="1" t="shared" si="41"/>
        <v>1.83371422613379e-10</v>
      </c>
      <c r="CH13" s="594">
        <f ca="1" t="shared" si="42"/>
        <v>60451681187.5581</v>
      </c>
      <c r="CI13" s="580">
        <f ca="1" t="shared" si="43"/>
        <v>5805214513.96181</v>
      </c>
      <c r="CJ13" s="580">
        <f ca="1" t="shared" si="44"/>
        <v>5789697744.91899</v>
      </c>
      <c r="CK13" s="595">
        <f ca="1" t="shared" si="45"/>
        <v>5789697744.91898</v>
      </c>
      <c r="CL13" s="596">
        <f>CL$3*3600</f>
        <v>57600</v>
      </c>
      <c r="CM13" s="580">
        <f ca="1" t="shared" ref="CM13:CP13" si="153">CE13</f>
        <v>7457011866445920</v>
      </c>
      <c r="CN13" s="580">
        <f ca="1" t="shared" si="153"/>
        <v>130423350.441937</v>
      </c>
      <c r="CO13" s="581">
        <f ca="1" t="shared" si="153"/>
        <v>1.83371422613379e-10</v>
      </c>
      <c r="CP13" s="580">
        <f ca="1" t="shared" si="153"/>
        <v>60451681187.5581</v>
      </c>
      <c r="CQ13" s="580">
        <f ca="1">MAX(INDIRECT("'"&amp;$B$2&amp;"-事故进程'!AA"&amp;(ROW()+22)),INDIRECT("'"&amp;$B$2&amp;"-事故进程'!AB"&amp;(ROW()+22)))</f>
        <v>9.43283465807332e-11</v>
      </c>
      <c r="CR13" s="580">
        <f ca="1">SUM(CQ$3,-LN(1-CR$3)/CL13)</f>
        <v>6.95458811586267e-6</v>
      </c>
      <c r="CS13" s="580">
        <f>CS$3/24/3600</f>
        <v>1157407407407410</v>
      </c>
      <c r="CT13" s="582">
        <f ca="1" t="shared" si="47"/>
        <v>0.297187453517084</v>
      </c>
      <c r="CU13" s="582">
        <f ca="1" t="shared" si="48"/>
        <v>0.199095429333521</v>
      </c>
      <c r="CV13" s="582">
        <f t="shared" si="49"/>
        <v>0</v>
      </c>
      <c r="CW13" s="582">
        <f ca="1" t="shared" si="50"/>
        <v>702500.571414356</v>
      </c>
      <c r="CX13" s="582">
        <f ca="1" t="shared" si="51"/>
        <v>1.82587739463255e-10</v>
      </c>
      <c r="CY13" s="582">
        <f ca="1" t="shared" si="52"/>
        <v>1.00001356365387</v>
      </c>
      <c r="CZ13" s="580">
        <f ca="1" t="shared" si="53"/>
        <v>2216130367435740</v>
      </c>
      <c r="DA13" s="580">
        <f ca="1" t="shared" si="54"/>
        <v>9947418548.12843</v>
      </c>
      <c r="DB13" s="586">
        <f ca="1" t="shared" si="55"/>
        <v>5.97716917790336e-11</v>
      </c>
      <c r="DC13" s="594">
        <f ca="1" t="shared" si="56"/>
        <v>20097882771.3716</v>
      </c>
      <c r="DD13" s="580">
        <f ca="1" t="shared" si="57"/>
        <v>23467555457.6047</v>
      </c>
      <c r="DE13" s="580">
        <f ca="1" t="shared" si="58"/>
        <v>3388040867.81153</v>
      </c>
      <c r="DF13" s="595">
        <f ca="1" t="shared" si="59"/>
        <v>3388040867.81152</v>
      </c>
      <c r="DG13" s="596">
        <f>DG$3*3600</f>
        <v>86400</v>
      </c>
      <c r="DH13" s="580">
        <f ca="1" t="shared" ref="DH13:DK13" si="154">CZ13</f>
        <v>2216130367435740</v>
      </c>
      <c r="DI13" s="580">
        <f ca="1" t="shared" si="154"/>
        <v>9947418548.12843</v>
      </c>
      <c r="DJ13" s="581">
        <f ca="1" t="shared" si="154"/>
        <v>5.97716917790336e-11</v>
      </c>
      <c r="DK13" s="580">
        <f ca="1" t="shared" si="154"/>
        <v>20097882771.3716</v>
      </c>
      <c r="DL13" s="580">
        <f ca="1">MAX(INDIRECT("'"&amp;$B$2&amp;"-事故进程'!AB"&amp;(ROW()+22)),INDIRECT("'"&amp;$B$2&amp;"-事故进程'!AC"&amp;(ROW()+22)))</f>
        <v>1.37450535076701e-10</v>
      </c>
      <c r="DM13" s="580">
        <f ca="1">SUM(DL$3,-LN(1-DM$3)/DG13)</f>
        <v>1.01371476497628e-6</v>
      </c>
      <c r="DN13" s="580">
        <f>DN$3/24/3600</f>
        <v>1157407407407410</v>
      </c>
      <c r="DO13" s="582">
        <f ca="1" t="shared" si="61"/>
        <v>0.162010845293427</v>
      </c>
      <c r="DP13" s="582">
        <f ca="1" t="shared" si="62"/>
        <v>0.148426546466365</v>
      </c>
      <c r="DQ13" s="582">
        <f t="shared" si="63"/>
        <v>0</v>
      </c>
      <c r="DR13" s="582">
        <f ca="1" t="shared" si="64"/>
        <v>294525.827026134</v>
      </c>
      <c r="DS13" s="582">
        <f ca="1" t="shared" si="65"/>
        <v>5.10592496509635e-11</v>
      </c>
      <c r="DT13" s="582">
        <f ca="1" t="shared" si="66"/>
        <v>1.00013560932463</v>
      </c>
      <c r="DU13" s="580">
        <f ca="1" t="shared" si="67"/>
        <v>359037154108696</v>
      </c>
      <c r="DV13" s="580">
        <f ca="1" t="shared" si="68"/>
        <v>5558922357.21916</v>
      </c>
      <c r="DW13" s="586">
        <f ca="1" t="shared" si="69"/>
        <v>4.8687796836315e-12</v>
      </c>
      <c r="DX13" s="594">
        <f ca="1" t="shared" si="70"/>
        <v>3572652381.03084</v>
      </c>
      <c r="DY13" s="580">
        <f ca="1" t="shared" si="71"/>
        <v>12117151544.7793</v>
      </c>
      <c r="DZ13" s="580">
        <f ca="1" t="shared" si="72"/>
        <v>757809345.577388</v>
      </c>
      <c r="EA13" s="595">
        <f ca="1" t="shared" si="73"/>
        <v>757809345.577387</v>
      </c>
      <c r="EB13" s="596">
        <f>EB$3*3600</f>
        <v>172800</v>
      </c>
      <c r="EC13" s="580">
        <f ca="1" t="shared" ref="EC13:EF13" si="155">DU13</f>
        <v>359037154108696</v>
      </c>
      <c r="ED13" s="580">
        <f ca="1" t="shared" si="155"/>
        <v>5558922357.21916</v>
      </c>
      <c r="EE13" s="581">
        <f ca="1" t="shared" si="155"/>
        <v>4.8687796836315e-12</v>
      </c>
      <c r="EF13" s="580">
        <f ca="1" t="shared" si="155"/>
        <v>3572652381.03084</v>
      </c>
      <c r="EG13" s="580">
        <f ca="1">MAX(INDIRECT("'"&amp;$B$2&amp;"-事故进程'!AC"&amp;(ROW()+22)),INDIRECT("'"&amp;$B$2&amp;"-事故进程'!AD"&amp;(ROW()+22)),INDIRECT("'"&amp;$B$2&amp;"-事故进程'!AE"&amp;(ROW()+22)))</f>
        <v>1.37450535076701e-10</v>
      </c>
      <c r="EH13" s="580">
        <f ca="1">SUM(EG$3,-LN(1-EH$3)/EB13)</f>
        <v>5.81616658188741e-8</v>
      </c>
      <c r="EI13" s="580">
        <f>EI$3/24/3600</f>
        <v>1157407407407410</v>
      </c>
      <c r="EJ13" s="582">
        <f ca="1" t="shared" si="75"/>
        <v>0.0262475139926906</v>
      </c>
      <c r="EK13" s="582">
        <f ca="1" t="shared" si="76"/>
        <v>0.0259856560425083</v>
      </c>
      <c r="EL13" s="582">
        <f t="shared" si="77"/>
        <v>0</v>
      </c>
      <c r="EM13" s="582">
        <f ca="1" t="shared" si="78"/>
        <v>49027.2968370551</v>
      </c>
      <c r="EN13" s="582">
        <f ca="1" t="shared" si="79"/>
        <v>4.58943450026355e-12</v>
      </c>
      <c r="EO13" s="582">
        <f ca="1" t="shared" si="80"/>
        <v>1.00236884780612</v>
      </c>
      <c r="EP13" s="580">
        <f ca="1" t="shared" si="81"/>
        <v>9423832726363.82</v>
      </c>
      <c r="EQ13" s="580">
        <f ca="1" t="shared" si="82"/>
        <v>367163576.554482</v>
      </c>
      <c r="ER13" s="586">
        <f ca="1" t="shared" si="83"/>
        <v>1.84505862877267e-14</v>
      </c>
      <c r="ES13" s="594">
        <f ca="1" t="shared" si="84"/>
        <v>96355625.172081</v>
      </c>
      <c r="ET13" s="580">
        <f ca="1" t="shared" si="85"/>
        <v>2281155069.04138</v>
      </c>
      <c r="EU13" s="580">
        <f ca="1" t="shared" si="86"/>
        <v>20575605.7816769</v>
      </c>
      <c r="EV13" s="595">
        <f ca="1" t="shared" si="87"/>
        <v>20575605.781677</v>
      </c>
      <c r="EW13" s="596">
        <f>EW$3*3600</f>
        <v>2246400</v>
      </c>
      <c r="EX13" s="580">
        <f ca="1" t="shared" ref="EX13:FA13" si="156">EP13</f>
        <v>9423832726363.82</v>
      </c>
      <c r="EY13" s="580">
        <f ca="1" t="shared" si="156"/>
        <v>367163576.554482</v>
      </c>
      <c r="EZ13" s="581">
        <f ca="1" t="shared" si="156"/>
        <v>1.84505862877267e-14</v>
      </c>
      <c r="FA13" s="580">
        <f ca="1" t="shared" si="156"/>
        <v>96355625.172081</v>
      </c>
      <c r="FB13" s="580">
        <f ca="1">INDIRECT("'"&amp;$B$2&amp;"-事故进程'!AE"&amp;(ROW()+22))</f>
        <v>1.0003701630537e-10</v>
      </c>
      <c r="FC13" s="580">
        <f ca="1">SUM(FB$3,-LN(1-FC$3)/EW13)</f>
        <v>4.47397429375955e-9</v>
      </c>
      <c r="FD13" s="580">
        <f>FD$3/24/3600</f>
        <v>1157407407407410</v>
      </c>
      <c r="FE13" s="582">
        <f ca="1" t="shared" si="89"/>
        <v>2.80661464814096e-21</v>
      </c>
      <c r="FF13" s="582">
        <f ca="1" t="shared" si="90"/>
        <v>2.7791729760051e-21</v>
      </c>
      <c r="FG13" s="582">
        <f t="shared" si="91"/>
        <v>0</v>
      </c>
      <c r="FH13" s="582">
        <f ca="1" t="shared" si="92"/>
        <v>941.126157651925</v>
      </c>
      <c r="FI13" s="582">
        <f ca="1" t="shared" si="93"/>
        <v>1.703131041944e-14</v>
      </c>
      <c r="FJ13" s="582">
        <f ca="1" t="shared" si="94"/>
        <v>1.02287115931475</v>
      </c>
      <c r="FK13" s="580">
        <f ca="1" t="shared" si="95"/>
        <v>2.64490669714428e-8</v>
      </c>
      <c r="FL13" s="580">
        <f ca="1" t="shared" si="96"/>
        <v>6.93502389315701e-12</v>
      </c>
      <c r="FM13" s="586">
        <f ca="1" t="shared" si="97"/>
        <v>2.68074304916481e-35</v>
      </c>
      <c r="FN13" s="594">
        <f ca="1" t="shared" si="98"/>
        <v>3.10573898373526e-13</v>
      </c>
      <c r="FO13" s="580">
        <f ca="1" t="shared" si="99"/>
        <v>44751693.2184509</v>
      </c>
      <c r="FP13" s="580">
        <f ca="1" t="shared" si="100"/>
        <v>87464.6142698963</v>
      </c>
      <c r="FQ13" s="595">
        <f ca="1" t="shared" si="101"/>
        <v>87464.6142698961</v>
      </c>
      <c r="FR13" s="608" t="str">
        <f t="shared" si="102"/>
        <v>Xe-135</v>
      </c>
      <c r="FS13" s="609">
        <v>59100000000</v>
      </c>
      <c r="FT13" s="610">
        <v>16900000000</v>
      </c>
      <c r="FU13" s="610">
        <v>20300000000</v>
      </c>
      <c r="FV13" s="610">
        <v>6450000000</v>
      </c>
      <c r="FW13" s="610">
        <v>103000000000</v>
      </c>
      <c r="FX13" s="614">
        <f ca="1" t="shared" si="103"/>
        <v>0</v>
      </c>
      <c r="FY13" s="614">
        <f ca="1" t="shared" si="104"/>
        <v>6.3199554067672</v>
      </c>
      <c r="FZ13" s="614">
        <f ca="1" t="shared" si="105"/>
        <v>0.166898564916824</v>
      </c>
      <c r="GA13" s="614">
        <f ca="1" t="shared" si="106"/>
        <v>0.12067983742001</v>
      </c>
      <c r="GB13" s="614">
        <f ca="1" t="shared" si="107"/>
        <v>1.07741429314113</v>
      </c>
      <c r="GC13" s="455">
        <f ca="1" t="shared" si="108"/>
        <v>1.07741514231214</v>
      </c>
      <c r="GE13" s="609">
        <v>12107517435.6001</v>
      </c>
      <c r="GF13" s="610">
        <v>2442318390.67051</v>
      </c>
      <c r="GG13" s="610">
        <v>3481234608.32105</v>
      </c>
      <c r="GH13" s="610">
        <v>1384659174.06405</v>
      </c>
      <c r="GI13" s="610">
        <v>374626502.279607</v>
      </c>
      <c r="GJ13" s="610">
        <v>6607156.77193609</v>
      </c>
      <c r="GK13" s="617">
        <v>19796963267.7073</v>
      </c>
      <c r="GL13" s="614">
        <f ca="1" t="shared" si="109"/>
        <v>0</v>
      </c>
      <c r="GM13" s="614">
        <f ca="1" t="shared" si="110"/>
        <v>43.7319093130372</v>
      </c>
      <c r="GN13" s="614">
        <f ca="1" t="shared" si="111"/>
        <v>0.97322968687983</v>
      </c>
      <c r="GO13" s="614">
        <f ca="1" t="shared" si="112"/>
        <v>0.442443749656844</v>
      </c>
      <c r="GP13" s="614">
        <f ca="1" t="shared" si="113"/>
        <v>0.0132378596859397</v>
      </c>
      <c r="GQ13" s="614">
        <f ca="1" t="shared" si="114"/>
        <v>5.60559506816737</v>
      </c>
      <c r="GR13" s="451">
        <f t="shared" si="115"/>
        <v>2.10657421760255e-5</v>
      </c>
      <c r="GS13" s="390">
        <f t="shared" si="116"/>
        <v>32904.0000000001</v>
      </c>
    </row>
    <row r="14" spans="1:201">
      <c r="A14" s="425"/>
      <c r="B14" s="407" t="s">
        <v>264</v>
      </c>
      <c r="C14" s="426">
        <v>0</v>
      </c>
      <c r="D14" s="409" t="s">
        <v>163</v>
      </c>
      <c r="E14" s="410"/>
      <c r="G14" s="411" t="s">
        <v>55</v>
      </c>
      <c r="H14" s="412">
        <f ca="1" t="shared" si="1"/>
        <v>0</v>
      </c>
      <c r="I14" s="412">
        <f ca="1" t="shared" si="2"/>
        <v>920767279440.832</v>
      </c>
      <c r="J14" s="412">
        <f ca="1" t="shared" si="3"/>
        <v>7275239519.82358</v>
      </c>
      <c r="K14" s="412">
        <f ca="1" t="shared" si="4"/>
        <v>30128344661.5107</v>
      </c>
      <c r="L14" s="412">
        <f ca="1" t="shared" si="5"/>
        <v>34194003630.2611</v>
      </c>
      <c r="M14" s="412">
        <f ca="1" t="shared" si="6"/>
        <v>11257063390.5078</v>
      </c>
      <c r="N14" s="412">
        <f ca="1" t="shared" si="7"/>
        <v>1003621930642.94</v>
      </c>
      <c r="O14" s="450">
        <f ca="1" t="shared" si="8"/>
        <v>0</v>
      </c>
      <c r="P14" s="451"/>
      <c r="Q14" s="477" t="str">
        <f t="shared" si="0"/>
        <v>I-131</v>
      </c>
      <c r="R14" s="412">
        <f ca="1" t="shared" si="9"/>
        <v>0</v>
      </c>
      <c r="S14" s="412">
        <f ca="1">I14*(1-过滤效率!$B11)</f>
        <v>46038363972.0417</v>
      </c>
      <c r="T14" s="412">
        <f ca="1">J14*(1-过滤效率!$B11)</f>
        <v>363761975.99118</v>
      </c>
      <c r="U14" s="412">
        <f ca="1">K14*(1-过滤效率!$B11)</f>
        <v>1506417233.07554</v>
      </c>
      <c r="V14" s="412">
        <f ca="1">L14*(1-过滤效率!$B11)</f>
        <v>1709700181.51306</v>
      </c>
      <c r="W14" s="412">
        <f ca="1">M14*(1-过滤效率!$B11)</f>
        <v>562853169.525392</v>
      </c>
      <c r="X14" s="412">
        <f ca="1" t="shared" si="10"/>
        <v>50181096532.1468</v>
      </c>
      <c r="Y14" s="493"/>
      <c r="Z14" s="494">
        <f>VLOOKUP(G14,衰变常数!$A$1:$H$3800,7,FALSE)</f>
        <v>9.99668118007245e-7</v>
      </c>
      <c r="AA14" s="495">
        <f>正常源项!C11</f>
        <v>2.27e+17</v>
      </c>
      <c r="AB14" s="496">
        <f>正常源项!F11</f>
        <v>0</v>
      </c>
      <c r="AC14" s="496">
        <f>正常源项!I11</f>
        <v>19600000</v>
      </c>
      <c r="AD14" s="497"/>
      <c r="AE14" s="496">
        <f>正常源项!O11</f>
        <v>435000000000</v>
      </c>
      <c r="AF14" s="498">
        <f t="shared" ref="AF14:AF23" si="157">AC14*$C$6</f>
        <v>0</v>
      </c>
      <c r="AG14" s="519">
        <f t="shared" ref="AG14:AG18" si="158">AE14*MIN(100%,$C$7/500*10)</f>
        <v>0</v>
      </c>
      <c r="AH14" s="523">
        <v>1</v>
      </c>
      <c r="AI14" s="519">
        <f t="shared" ref="AI14:AI23" si="159">AE14*AH14*$C$9</f>
        <v>22894736842.1053</v>
      </c>
      <c r="AJ14" s="521"/>
      <c r="AK14" s="521"/>
      <c r="AL14" s="519">
        <f t="shared" si="11"/>
        <v>33210100</v>
      </c>
      <c r="AM14" s="520">
        <f t="shared" si="12"/>
        <v>953400000000</v>
      </c>
      <c r="AN14" s="519">
        <f ca="1">MAX(INDIRECT("'"&amp;$B$2&amp;"-事故进程'!Y"&amp;(ROW()+22)),INDIRECT("'"&amp;$B$2&amp;"-事故进程'!Z"&amp;(ROW()+22)),INDIRECT("'"&amp;$B$2&amp;"-事故进程'!AA"&amp;(ROW()+22)))</f>
        <v>1.66634390344169e-12</v>
      </c>
      <c r="AO14" s="519">
        <f ca="1" t="shared" si="13"/>
        <v>33362401937.52</v>
      </c>
      <c r="AP14" s="560">
        <f t="shared" si="14"/>
        <v>2.05980659078029e+17</v>
      </c>
      <c r="AQ14" s="561">
        <f ca="1">(AC14*$C$5+AD14*$C$8+AF14+AG14+AI14+(AL14+AM14)*$C$10)*EXP(-Z14*$C$12*3600)+AO14*$C$11</f>
        <v>919303861005.15</v>
      </c>
      <c r="AR14" s="562">
        <f ca="1">AQ14*(1-AR$3)</f>
        <v>919303861005.15</v>
      </c>
      <c r="AS14" s="563">
        <f ca="1" t="shared" si="15"/>
        <v>0</v>
      </c>
      <c r="AT14" s="562">
        <f ca="1">AS14*(1-AT$3)</f>
        <v>0</v>
      </c>
      <c r="AU14" s="564">
        <f ca="1" t="shared" si="16"/>
        <v>0</v>
      </c>
      <c r="AV14" s="565">
        <f>AV$3*3600</f>
        <v>7200</v>
      </c>
      <c r="AW14" s="580">
        <f>AP14*EXP(-Z14*AW$3*3600)</f>
        <v>2.05980659078029e+17</v>
      </c>
      <c r="AX14" s="580">
        <f ca="1" t="shared" si="17"/>
        <v>919303861005.15</v>
      </c>
      <c r="AY14" s="581">
        <f ca="1" t="shared" si="18"/>
        <v>0</v>
      </c>
      <c r="AZ14" s="580">
        <v>0</v>
      </c>
      <c r="BA14" s="580">
        <f ca="1">MAX(INDIRECT("'"&amp;$B$2&amp;"-事故进程'!Y"&amp;(ROW()+22)),INDIRECT("'"&amp;$B$2&amp;"-事故进程'!Z"&amp;(ROW()+22)))</f>
        <v>1.51678602422716e-12</v>
      </c>
      <c r="BB14" s="580">
        <f ca="1">SUM(BA$3,-LN(1-BB$3)/AV14)</f>
        <v>0.00160041330566996</v>
      </c>
      <c r="BC14" s="580">
        <f>BC$3/24/3600</f>
        <v>1157407407407410</v>
      </c>
      <c r="BD14" s="582">
        <f ca="1" t="shared" si="19"/>
        <v>0.992828219471484</v>
      </c>
      <c r="BE14" s="582">
        <f ca="1" t="shared" si="20"/>
        <v>9.82899948010883e-6</v>
      </c>
      <c r="BF14" s="582">
        <f t="shared" si="21"/>
        <v>0</v>
      </c>
      <c r="BG14" s="582">
        <f ca="1" t="shared" si="22"/>
        <v>-1470953701.12707</v>
      </c>
      <c r="BH14" s="582">
        <f ca="1" t="shared" si="23"/>
        <v>-1.27117393727594e-6</v>
      </c>
      <c r="BI14" s="582">
        <f ca="1" t="shared" si="24"/>
        <v>1.00000000094775</v>
      </c>
      <c r="BJ14" s="580">
        <f ca="1" t="shared" si="25"/>
        <v>2.04503410998003e+17</v>
      </c>
      <c r="BK14" s="580">
        <f ca="1" t="shared" si="26"/>
        <v>202851299.74221</v>
      </c>
      <c r="BL14" s="586">
        <f ca="1" t="shared" si="27"/>
        <v>2.80494074171415e-10</v>
      </c>
      <c r="BM14" s="594">
        <f ca="1" t="shared" si="28"/>
        <v>914741327132.258</v>
      </c>
      <c r="BN14" s="580">
        <f ca="1" t="shared" si="29"/>
        <v>2241409725.88823</v>
      </c>
      <c r="BO14" s="580">
        <f ca="1" t="shared" si="30"/>
        <v>920767279440.832</v>
      </c>
      <c r="BP14" s="595">
        <f ca="1" t="shared" si="31"/>
        <v>920767279440.832</v>
      </c>
      <c r="BQ14" s="596">
        <f>BQ$3*3600</f>
        <v>21600</v>
      </c>
      <c r="BR14" s="580">
        <f ca="1" t="shared" ref="BR14:BU14" si="160">BJ14</f>
        <v>2.04503410998003e+17</v>
      </c>
      <c r="BS14" s="580">
        <f ca="1" t="shared" si="160"/>
        <v>202851299.74221</v>
      </c>
      <c r="BT14" s="581">
        <f ca="1" t="shared" si="160"/>
        <v>2.80494074171415e-10</v>
      </c>
      <c r="BU14" s="580">
        <f ca="1" t="shared" si="160"/>
        <v>914741327132.258</v>
      </c>
      <c r="BV14" s="580">
        <f ca="1">MAX(INDIRECT("'"&amp;$B$2&amp;"-事故进程'!Z"&amp;(ROW()+22)),INDIRECT("'"&amp;$B$2&amp;"-事故进程'!AA"&amp;(ROW()+22)))</f>
        <v>1.66634390344169e-12</v>
      </c>
      <c r="BW14" s="580">
        <f ca="1">SUM(BV$3,-LN(1-BW$3)/BQ14)</f>
        <v>0.00162728102077123</v>
      </c>
      <c r="BX14" s="580">
        <f>BX$3/24/3600</f>
        <v>1157407407407410</v>
      </c>
      <c r="BY14" s="582">
        <f ca="1" t="shared" si="33"/>
        <v>0.978638589684372</v>
      </c>
      <c r="BZ14" s="582">
        <f ca="1" t="shared" si="34"/>
        <v>5.31481714643431e-16</v>
      </c>
      <c r="CA14" s="582">
        <f t="shared" si="35"/>
        <v>0</v>
      </c>
      <c r="CB14" s="582">
        <f ca="1" t="shared" si="36"/>
        <v>10676.9423782976</v>
      </c>
      <c r="CC14" s="582">
        <f ca="1" t="shared" si="37"/>
        <v>-4.70893040299797e-12</v>
      </c>
      <c r="CD14" s="582">
        <f ca="1" t="shared" si="38"/>
        <v>1.00000000102401</v>
      </c>
      <c r="CE14" s="580">
        <f ca="1" t="shared" si="39"/>
        <v>2.00134929724729e+17</v>
      </c>
      <c r="CF14" s="580">
        <f ca="1" t="shared" si="40"/>
        <v>204939169.139929</v>
      </c>
      <c r="CG14" s="586">
        <f ca="1" t="shared" si="41"/>
        <v>2.88138487985883e-10</v>
      </c>
      <c r="CH14" s="594">
        <f ca="1" t="shared" si="42"/>
        <v>902398235806.86</v>
      </c>
      <c r="CI14" s="580">
        <f ca="1" t="shared" si="43"/>
        <v>7281796700.24134</v>
      </c>
      <c r="CJ14" s="580">
        <f ca="1" t="shared" si="44"/>
        <v>7275239519.82359</v>
      </c>
      <c r="CK14" s="595">
        <f ca="1" t="shared" si="45"/>
        <v>7275239519.82358</v>
      </c>
      <c r="CL14" s="596">
        <f>CL$3*3600</f>
        <v>57600</v>
      </c>
      <c r="CM14" s="580">
        <f ca="1" t="shared" ref="CM14:CP14" si="161">CE14</f>
        <v>2.00134929724729e+17</v>
      </c>
      <c r="CN14" s="580">
        <f ca="1" t="shared" si="161"/>
        <v>204939169.139929</v>
      </c>
      <c r="CO14" s="581">
        <f ca="1" t="shared" si="161"/>
        <v>2.88138487985883e-10</v>
      </c>
      <c r="CP14" s="580">
        <f ca="1" t="shared" si="161"/>
        <v>902398235806.86</v>
      </c>
      <c r="CQ14" s="580">
        <f ca="1">MAX(INDIRECT("'"&amp;$B$2&amp;"-事故进程'!AA"&amp;(ROW()+22)),INDIRECT("'"&amp;$B$2&amp;"-事故进程'!AB"&amp;(ROW()+22)))</f>
        <v>1.53838599507191e-11</v>
      </c>
      <c r="CR14" s="580">
        <f ca="1">SUM(CQ$3,-LN(1-CR$3)/CL14)</f>
        <v>6.95458811586267e-6</v>
      </c>
      <c r="CS14" s="580">
        <f>CS$3/24/3600</f>
        <v>1157407407407410</v>
      </c>
      <c r="CT14" s="582">
        <f ca="1" t="shared" si="47"/>
        <v>0.944044692971801</v>
      </c>
      <c r="CU14" s="582">
        <f ca="1" t="shared" si="48"/>
        <v>0.632443013880576</v>
      </c>
      <c r="CV14" s="582">
        <f t="shared" si="49"/>
        <v>0</v>
      </c>
      <c r="CW14" s="582">
        <f ca="1" t="shared" si="50"/>
        <v>3077422.46577482</v>
      </c>
      <c r="CX14" s="582">
        <f ca="1" t="shared" si="51"/>
        <v>2.86907056857092e-10</v>
      </c>
      <c r="CY14" s="582">
        <f ca="1" t="shared" si="52"/>
        <v>1.00000221204962</v>
      </c>
      <c r="CZ14" s="580">
        <f ca="1" t="shared" si="53"/>
        <v>1.88936318284915e+17</v>
      </c>
      <c r="DA14" s="580">
        <f ca="1" t="shared" si="54"/>
        <v>138078291487.602</v>
      </c>
      <c r="DB14" s="586">
        <f ca="1" t="shared" si="55"/>
        <v>8.29679885313087e-10</v>
      </c>
      <c r="DC14" s="594">
        <f ca="1" t="shared" si="56"/>
        <v>881438698880.398</v>
      </c>
      <c r="DD14" s="580">
        <f ca="1" t="shared" si="57"/>
        <v>172332412919.533</v>
      </c>
      <c r="DE14" s="580">
        <f ca="1" t="shared" si="58"/>
        <v>30128344661.5107</v>
      </c>
      <c r="DF14" s="595">
        <f ca="1" t="shared" si="59"/>
        <v>30128344661.5107</v>
      </c>
      <c r="DG14" s="596">
        <f>DG$3*3600</f>
        <v>86400</v>
      </c>
      <c r="DH14" s="580">
        <f ca="1" t="shared" ref="DH14:DK14" si="162">CZ14</f>
        <v>1.88936318284915e+17</v>
      </c>
      <c r="DI14" s="580">
        <f ca="1" t="shared" si="162"/>
        <v>138078291487.602</v>
      </c>
      <c r="DJ14" s="581">
        <f ca="1" t="shared" si="162"/>
        <v>8.29679885313087e-10</v>
      </c>
      <c r="DK14" s="580">
        <f ca="1" t="shared" si="162"/>
        <v>881438698880.398</v>
      </c>
      <c r="DL14" s="580">
        <f ca="1">MAX(INDIRECT("'"&amp;$B$2&amp;"-事故进程'!AB"&amp;(ROW()+22)),INDIRECT("'"&amp;$B$2&amp;"-事故进程'!AC"&amp;(ROW()+22)))</f>
        <v>2.39088186339134e-11</v>
      </c>
      <c r="DM14" s="580">
        <f ca="1">SUM(DL$3,-LN(1-DM$3)/DG14)</f>
        <v>1.01371476497628e-6</v>
      </c>
      <c r="DN14" s="580">
        <f>DN$3/24/3600</f>
        <v>1157407407407410</v>
      </c>
      <c r="DO14" s="582">
        <f ca="1" t="shared" si="61"/>
        <v>0.917251673642468</v>
      </c>
      <c r="DP14" s="582">
        <f ca="1" t="shared" si="62"/>
        <v>0.840333635326121</v>
      </c>
      <c r="DQ14" s="582">
        <f t="shared" si="63"/>
        <v>0</v>
      </c>
      <c r="DR14" s="582">
        <f ca="1" t="shared" si="64"/>
        <v>4377275.4657185</v>
      </c>
      <c r="DS14" s="582">
        <f ca="1" t="shared" si="65"/>
        <v>7.08744074890708e-10</v>
      </c>
      <c r="DT14" s="582">
        <f ca="1" t="shared" si="66"/>
        <v>1.00002358590737</v>
      </c>
      <c r="DU14" s="580">
        <f ca="1" t="shared" si="67"/>
        <v>1.73302154158684e+17</v>
      </c>
      <c r="DV14" s="580">
        <f ca="1" t="shared" si="68"/>
        <v>458796648791.192</v>
      </c>
      <c r="DW14" s="586">
        <f ca="1" t="shared" si="69"/>
        <v>4.01836841569094e-10</v>
      </c>
      <c r="DX14" s="594">
        <f ca="1" t="shared" si="70"/>
        <v>834353378824.808</v>
      </c>
      <c r="DY14" s="580">
        <f ca="1" t="shared" si="71"/>
        <v>373909548697.432</v>
      </c>
      <c r="DZ14" s="580">
        <f ca="1" t="shared" si="72"/>
        <v>26781143585.9206</v>
      </c>
      <c r="EA14" s="595">
        <f ca="1" t="shared" si="73"/>
        <v>26781143585.9205</v>
      </c>
      <c r="EB14" s="596">
        <f>EB$3*3600</f>
        <v>172800</v>
      </c>
      <c r="EC14" s="580">
        <f ca="1" t="shared" ref="EC14:EF14" si="163">DU14</f>
        <v>1.73302154158684e+17</v>
      </c>
      <c r="ED14" s="580">
        <f ca="1" t="shared" si="163"/>
        <v>458796648791.192</v>
      </c>
      <c r="EE14" s="581">
        <f ca="1" t="shared" si="163"/>
        <v>4.01836841569094e-10</v>
      </c>
      <c r="EF14" s="580">
        <f ca="1" t="shared" si="163"/>
        <v>834353378824.808</v>
      </c>
      <c r="EG14" s="580">
        <f ca="1">MAX(INDIRECT("'"&amp;$B$2&amp;"-事故进程'!AC"&amp;(ROW()+22)),INDIRECT("'"&amp;$B$2&amp;"-事故进程'!AD"&amp;(ROW()+22)),INDIRECT("'"&amp;$B$2&amp;"-事故进程'!AE"&amp;(ROW()+22)))</f>
        <v>2.39088186339134e-11</v>
      </c>
      <c r="EH14" s="580">
        <f ca="1">SUM(EG$3,-LN(1-EH$3)/EB14)</f>
        <v>5.81616658188741e-8</v>
      </c>
      <c r="EI14" s="580">
        <f>EI$3/24/3600</f>
        <v>1157407407407410</v>
      </c>
      <c r="EJ14" s="582">
        <f ca="1" t="shared" si="75"/>
        <v>0.841350632799908</v>
      </c>
      <c r="EK14" s="582">
        <f ca="1" t="shared" si="76"/>
        <v>0.832940567711994</v>
      </c>
      <c r="EL14" s="582">
        <f t="shared" si="77"/>
        <v>0</v>
      </c>
      <c r="EM14" s="582">
        <f ca="1" t="shared" si="78"/>
        <v>4116776.36456652</v>
      </c>
      <c r="EN14" s="582">
        <f ca="1" t="shared" si="79"/>
        <v>3.78781539525032e-10</v>
      </c>
      <c r="EO14" s="582">
        <f ca="1" t="shared" si="80"/>
        <v>1.00041124425619</v>
      </c>
      <c r="EP14" s="580">
        <f ca="1" t="shared" si="81"/>
        <v>1.45807877066996e+17</v>
      </c>
      <c r="EQ14" s="580">
        <f ca="1" t="shared" si="82"/>
        <v>981531605100.391</v>
      </c>
      <c r="ER14" s="586">
        <f ca="1" t="shared" si="83"/>
        <v>4.93236114104264e-11</v>
      </c>
      <c r="ES14" s="594">
        <f ca="1" t="shared" si="84"/>
        <v>708863786739.609</v>
      </c>
      <c r="ET14" s="580">
        <f ca="1" t="shared" si="85"/>
        <v>657558194740.131</v>
      </c>
      <c r="EU14" s="580">
        <f ca="1" t="shared" si="86"/>
        <v>7412860044.34058</v>
      </c>
      <c r="EV14" s="595">
        <f ca="1" t="shared" si="87"/>
        <v>7412860044.34059</v>
      </c>
      <c r="EW14" s="596">
        <f>EW$3*3600</f>
        <v>2246400</v>
      </c>
      <c r="EX14" s="580">
        <f ca="1" t="shared" ref="EX14:FA14" si="164">EP14</f>
        <v>1.45807877066996e+17</v>
      </c>
      <c r="EY14" s="580">
        <f ca="1" t="shared" si="164"/>
        <v>981531605100.391</v>
      </c>
      <c r="EZ14" s="581">
        <f ca="1" t="shared" si="164"/>
        <v>4.93236114104264e-11</v>
      </c>
      <c r="FA14" s="580">
        <f ca="1" t="shared" si="164"/>
        <v>708863786739.609</v>
      </c>
      <c r="FB14" s="580">
        <f ca="1">INDIRECT("'"&amp;$B$2&amp;"-事故进程'!AE"&amp;(ROW()+22))</f>
        <v>1.71804514897049e-11</v>
      </c>
      <c r="FC14" s="580">
        <f ca="1">SUM(FB$3,-LN(1-FC$3)/EW14)</f>
        <v>4.47397429375955e-9</v>
      </c>
      <c r="FD14" s="580">
        <f>FD$3/24/3600</f>
        <v>1157407407407410</v>
      </c>
      <c r="FE14" s="582">
        <f ca="1" t="shared" si="89"/>
        <v>0.105854152253415</v>
      </c>
      <c r="FF14" s="582">
        <f ca="1" t="shared" si="90"/>
        <v>0.10479965530815</v>
      </c>
      <c r="FG14" s="582">
        <f t="shared" si="91"/>
        <v>0</v>
      </c>
      <c r="FH14" s="582">
        <f ca="1" t="shared" si="92"/>
        <v>2500670.67475278</v>
      </c>
      <c r="FI14" s="582">
        <f ca="1" t="shared" si="93"/>
        <v>4.55294874557782e-11</v>
      </c>
      <c r="FJ14" s="582">
        <f ca="1" t="shared" si="94"/>
        <v>1.00385489033097</v>
      </c>
      <c r="FK14" s="580">
        <f ca="1" t="shared" si="95"/>
        <v>1.54343692187971e+16</v>
      </c>
      <c r="FL14" s="580">
        <f ca="1" t="shared" si="96"/>
        <v>695568831352.922</v>
      </c>
      <c r="FM14" s="586">
        <f ca="1" t="shared" si="97"/>
        <v>2.68873090935552e-12</v>
      </c>
      <c r="FN14" s="594">
        <f ca="1" t="shared" si="98"/>
        <v>79061552023.0781</v>
      </c>
      <c r="FO14" s="580">
        <f ca="1" t="shared" si="99"/>
        <v>2240580841372.76</v>
      </c>
      <c r="FP14" s="580">
        <f ca="1" t="shared" si="100"/>
        <v>11257063390.5079</v>
      </c>
      <c r="FQ14" s="595">
        <f ca="1" t="shared" si="101"/>
        <v>11257063390.5078</v>
      </c>
      <c r="FR14" s="608" t="str">
        <f t="shared" si="102"/>
        <v>I-131</v>
      </c>
      <c r="FS14" s="609">
        <v>9930000000</v>
      </c>
      <c r="FT14" s="610">
        <v>10500000000</v>
      </c>
      <c r="FU14" s="610">
        <v>30700000000</v>
      </c>
      <c r="FV14" s="610">
        <v>62900000000</v>
      </c>
      <c r="FW14" s="610">
        <v>114000000000</v>
      </c>
      <c r="FX14" s="614">
        <f ca="1" t="shared" si="103"/>
        <v>0</v>
      </c>
      <c r="FY14" s="614">
        <f ca="1" t="shared" si="104"/>
        <v>88.3850018057768</v>
      </c>
      <c r="FZ14" s="614">
        <f ca="1" t="shared" si="105"/>
        <v>0.981379304935203</v>
      </c>
      <c r="GA14" s="614">
        <f ca="1" t="shared" si="106"/>
        <v>0.543624858986663</v>
      </c>
      <c r="GB14" s="614">
        <f ca="1" t="shared" si="107"/>
        <v>8.70495497589849</v>
      </c>
      <c r="GC14" s="455">
        <f ca="1" t="shared" si="108"/>
        <v>8.80370114599066</v>
      </c>
      <c r="GE14" s="609">
        <v>98301235.7097423</v>
      </c>
      <c r="GF14" s="610">
        <v>1499248201.2518</v>
      </c>
      <c r="GG14" s="610">
        <v>6291027306.17642</v>
      </c>
      <c r="GH14" s="610">
        <v>10015619718.752</v>
      </c>
      <c r="GI14" s="610">
        <v>21912156382.3904</v>
      </c>
      <c r="GJ14" s="610">
        <v>64569064125.0896</v>
      </c>
      <c r="GK14" s="617">
        <v>104385416969.37</v>
      </c>
      <c r="GL14" s="614">
        <f ca="1" t="shared" si="109"/>
        <v>0</v>
      </c>
      <c r="GM14" s="614">
        <f ca="1" t="shared" si="110"/>
        <v>619.005257558945</v>
      </c>
      <c r="GN14" s="614">
        <f ca="1" t="shared" si="111"/>
        <v>4.78909774114814</v>
      </c>
      <c r="GO14" s="614">
        <f ca="1" t="shared" si="112"/>
        <v>1.07097981149516</v>
      </c>
      <c r="GP14" s="614">
        <f ca="1" t="shared" si="113"/>
        <v>0.174341436460958</v>
      </c>
      <c r="GQ14" s="614">
        <f ca="1" t="shared" si="114"/>
        <v>9.61457988846689</v>
      </c>
      <c r="GR14" s="451">
        <f t="shared" si="115"/>
        <v>9.99668118007245e-7</v>
      </c>
      <c r="GS14" s="390">
        <f t="shared" si="116"/>
        <v>693377.3</v>
      </c>
    </row>
    <row r="15" spans="1:201">
      <c r="A15" s="419"/>
      <c r="B15" s="407" t="s">
        <v>265</v>
      </c>
      <c r="C15" s="426">
        <v>0</v>
      </c>
      <c r="D15" s="409" t="s">
        <v>163</v>
      </c>
      <c r="E15" s="410"/>
      <c r="G15" s="411" t="s">
        <v>56</v>
      </c>
      <c r="H15" s="412">
        <f ca="1" t="shared" si="1"/>
        <v>0</v>
      </c>
      <c r="I15" s="412">
        <f ca="1" t="shared" si="2"/>
        <v>523800642.866035</v>
      </c>
      <c r="J15" s="412">
        <f ca="1" t="shared" si="3"/>
        <v>7773615.54337251</v>
      </c>
      <c r="K15" s="412">
        <f ca="1" t="shared" si="4"/>
        <v>1155026.44219149</v>
      </c>
      <c r="L15" s="412">
        <f ca="1" t="shared" si="5"/>
        <v>8263.26303627647</v>
      </c>
      <c r="M15" s="412">
        <f ca="1" t="shared" si="6"/>
        <v>9.17759660357134e-8</v>
      </c>
      <c r="N15" s="412">
        <f ca="1" t="shared" si="7"/>
        <v>532737548.114636</v>
      </c>
      <c r="O15" s="450">
        <f ca="1" t="shared" si="8"/>
        <v>0</v>
      </c>
      <c r="P15" s="451"/>
      <c r="Q15" s="477" t="str">
        <f t="shared" si="0"/>
        <v>I-132</v>
      </c>
      <c r="R15" s="412">
        <f ca="1" t="shared" si="9"/>
        <v>0</v>
      </c>
      <c r="S15" s="412">
        <f ca="1">I15*(1-过滤效率!$B12)</f>
        <v>26190032.1433018</v>
      </c>
      <c r="T15" s="412">
        <f ca="1">J15*(1-过滤效率!$B12)</f>
        <v>388680.777168626</v>
      </c>
      <c r="U15" s="412">
        <f ca="1">K15*(1-过滤效率!$B12)</f>
        <v>57751.3221095744</v>
      </c>
      <c r="V15" s="412">
        <f ca="1">L15*(1-过滤效率!$B12)</f>
        <v>413.163151813824</v>
      </c>
      <c r="W15" s="412">
        <f ca="1">M15*(1-过滤效率!$B12)</f>
        <v>4.58879830178567e-9</v>
      </c>
      <c r="X15" s="412">
        <f ca="1" t="shared" si="10"/>
        <v>26636877.4057318</v>
      </c>
      <c r="Y15" s="493"/>
      <c r="Z15" s="494">
        <f>VLOOKUP(G15,衰变常数!$A$1:$H$3800,7,FALSE)</f>
        <v>8.38958097990735e-5</v>
      </c>
      <c r="AA15" s="495">
        <f>正常源项!C12</f>
        <v>3.35e+17</v>
      </c>
      <c r="AB15" s="496">
        <f>正常源项!F12</f>
        <v>0</v>
      </c>
      <c r="AC15" s="496">
        <f>正常源项!I12</f>
        <v>261000000</v>
      </c>
      <c r="AD15" s="497"/>
      <c r="AE15" s="496">
        <f>正常源项!O12</f>
        <v>69400000000</v>
      </c>
      <c r="AF15" s="498">
        <f t="shared" si="157"/>
        <v>0</v>
      </c>
      <c r="AG15" s="519">
        <f t="shared" si="158"/>
        <v>0</v>
      </c>
      <c r="AH15" s="523">
        <v>1</v>
      </c>
      <c r="AI15" s="519">
        <f t="shared" si="159"/>
        <v>3652631578.94737</v>
      </c>
      <c r="AJ15" s="521"/>
      <c r="AK15" s="521"/>
      <c r="AL15" s="519">
        <f t="shared" si="11"/>
        <v>49010500</v>
      </c>
      <c r="AM15" s="520">
        <f t="shared" si="12"/>
        <v>1407000000000</v>
      </c>
      <c r="AN15" s="519">
        <f ca="1">MAX(INDIRECT("'"&amp;$B$2&amp;"-事故进程'!Y"&amp;(ROW()+22)),INDIRECT("'"&amp;$B$2&amp;"-事故进程'!Z"&amp;(ROW()+22)),INDIRECT("'"&amp;$B$2&amp;"-事故进程'!AA"&amp;(ROW()+22)))</f>
        <v>1.4871625306786e-11</v>
      </c>
      <c r="AO15" s="519">
        <f ca="1" t="shared" si="13"/>
        <v>139168142.915193</v>
      </c>
      <c r="AP15" s="560">
        <f t="shared" si="14"/>
        <v>96275425405148.4</v>
      </c>
      <c r="AQ15" s="561">
        <f ca="1">(AC15*$C$5+AD15*$C$8+AF15+AG15+AI15+(AL15+AM15)*$C$10)*EXP(-Z15*$C$12*3600)+AO15*$C$11</f>
        <v>544663750.667201</v>
      </c>
      <c r="AR15" s="562">
        <f ca="1">AQ15*(1-AR$3)</f>
        <v>544663750.667201</v>
      </c>
      <c r="AS15" s="563">
        <f ca="1" t="shared" si="15"/>
        <v>0</v>
      </c>
      <c r="AT15" s="562">
        <f ca="1">AS15*(1-AT$3)</f>
        <v>0</v>
      </c>
      <c r="AU15" s="564">
        <f ca="1" t="shared" si="16"/>
        <v>0</v>
      </c>
      <c r="AV15" s="565">
        <f>AV$3*3600</f>
        <v>7200</v>
      </c>
      <c r="AW15" s="580">
        <f>AP15*EXP(-Z15*AW$3*3600)</f>
        <v>96275425405148.4</v>
      </c>
      <c r="AX15" s="580">
        <f ca="1" t="shared" si="17"/>
        <v>544663750.667201</v>
      </c>
      <c r="AY15" s="581">
        <f ca="1" t="shared" si="18"/>
        <v>0</v>
      </c>
      <c r="AZ15" s="580">
        <v>0</v>
      </c>
      <c r="BA15" s="580">
        <f ca="1">MAX(INDIRECT("'"&amp;$B$2&amp;"-事故进程'!Y"&amp;(ROW()+22)),INDIRECT("'"&amp;$B$2&amp;"-事故进程'!Z"&amp;(ROW()+22)))</f>
        <v>1.35366550277358e-11</v>
      </c>
      <c r="BB15" s="580">
        <f ca="1">SUM(BA$3,-LN(1-BB$3)/AV15)</f>
        <v>0.00160041330566996</v>
      </c>
      <c r="BC15" s="580">
        <f>BC$3/24/3600</f>
        <v>1157407407407410</v>
      </c>
      <c r="BD15" s="582">
        <f ca="1" t="shared" si="19"/>
        <v>0.546593483184456</v>
      </c>
      <c r="BE15" s="582">
        <f ca="1" t="shared" si="20"/>
        <v>5.41127601093024e-6</v>
      </c>
      <c r="BF15" s="582">
        <f t="shared" si="21"/>
        <v>0</v>
      </c>
      <c r="BG15" s="582">
        <f ca="1" t="shared" si="22"/>
        <v>-870383.859089612</v>
      </c>
      <c r="BH15" s="582">
        <f ca="1" t="shared" si="23"/>
        <v>-7.53137666222886e-10</v>
      </c>
      <c r="BI15" s="582">
        <f ca="1" t="shared" si="24"/>
        <v>1.00000000845822</v>
      </c>
      <c r="BJ15" s="580">
        <f ca="1" t="shared" si="25"/>
        <v>52623520117265.3</v>
      </c>
      <c r="BK15" s="580">
        <f ca="1" t="shared" si="26"/>
        <v>448044.470134155</v>
      </c>
      <c r="BL15" s="586">
        <f ca="1" t="shared" si="27"/>
        <v>6.19536670445851e-13</v>
      </c>
      <c r="BM15" s="594">
        <f ca="1" t="shared" si="28"/>
        <v>302390535.803303</v>
      </c>
      <c r="BN15" s="580">
        <f ca="1" t="shared" si="29"/>
        <v>7043268.18298025</v>
      </c>
      <c r="BO15" s="580">
        <f ca="1" t="shared" si="30"/>
        <v>523800642.866035</v>
      </c>
      <c r="BP15" s="595">
        <f ca="1" t="shared" si="31"/>
        <v>523800642.866035</v>
      </c>
      <c r="BQ15" s="596">
        <f>BQ$3*3600</f>
        <v>21600</v>
      </c>
      <c r="BR15" s="580">
        <f ca="1" t="shared" ref="BR15:BU15" si="165">BJ15</f>
        <v>52623520117265.3</v>
      </c>
      <c r="BS15" s="580">
        <f ca="1" t="shared" si="165"/>
        <v>448044.470134155</v>
      </c>
      <c r="BT15" s="581">
        <f ca="1" t="shared" si="165"/>
        <v>6.19536670445851e-13</v>
      </c>
      <c r="BU15" s="580">
        <f ca="1" t="shared" si="165"/>
        <v>302390535.803303</v>
      </c>
      <c r="BV15" s="580">
        <f ca="1">MAX(INDIRECT("'"&amp;$B$2&amp;"-事故进程'!Z"&amp;(ROW()+22)),INDIRECT("'"&amp;$B$2&amp;"-事故进程'!AA"&amp;(ROW()+22)))</f>
        <v>1.4871625306786e-11</v>
      </c>
      <c r="BW15" s="580">
        <f ca="1">SUM(BV$3,-LN(1-BW$3)/BQ15)</f>
        <v>0.00162728102077123</v>
      </c>
      <c r="BX15" s="580">
        <f>BX$3/24/3600</f>
        <v>1157407407407410</v>
      </c>
      <c r="BY15" s="582">
        <f ca="1" t="shared" si="33"/>
        <v>0.163302688939309</v>
      </c>
      <c r="BZ15" s="582">
        <f ca="1" t="shared" si="34"/>
        <v>8.86868950339376e-17</v>
      </c>
      <c r="CA15" s="582">
        <f t="shared" si="35"/>
        <v>0</v>
      </c>
      <c r="CB15" s="582">
        <f ca="1" t="shared" si="36"/>
        <v>53.5030174604187</v>
      </c>
      <c r="CC15" s="582">
        <f ca="1" t="shared" si="37"/>
        <v>-1.04007725362916e-14</v>
      </c>
      <c r="CD15" s="582">
        <f ca="1" t="shared" si="38"/>
        <v>1.00000000913894</v>
      </c>
      <c r="CE15" s="580">
        <f ca="1" t="shared" si="39"/>
        <v>8593562336601.26</v>
      </c>
      <c r="CF15" s="580">
        <f ca="1" t="shared" si="40"/>
        <v>78536.0602484206</v>
      </c>
      <c r="CG15" s="586">
        <f ca="1" t="shared" si="41"/>
        <v>1.10419407609178e-13</v>
      </c>
      <c r="CH15" s="594">
        <f ca="1" t="shared" si="42"/>
        <v>52136319.9065485</v>
      </c>
      <c r="CI15" s="580">
        <f ca="1" t="shared" si="43"/>
        <v>7804882.26866829</v>
      </c>
      <c r="CJ15" s="580">
        <f ca="1" t="shared" si="44"/>
        <v>7773615.54337251</v>
      </c>
      <c r="CK15" s="595">
        <f ca="1" t="shared" si="45"/>
        <v>7773615.54337251</v>
      </c>
      <c r="CL15" s="596">
        <f>CL$3*3600</f>
        <v>57600</v>
      </c>
      <c r="CM15" s="580">
        <f ca="1" t="shared" ref="CM15:CP15" si="166">CE15</f>
        <v>8593562336601.26</v>
      </c>
      <c r="CN15" s="580">
        <f ca="1" t="shared" si="166"/>
        <v>78536.0602484206</v>
      </c>
      <c r="CO15" s="581">
        <f ca="1" t="shared" si="166"/>
        <v>1.10419407609178e-13</v>
      </c>
      <c r="CP15" s="580">
        <f ca="1" t="shared" si="166"/>
        <v>52136319.9065485</v>
      </c>
      <c r="CQ15" s="580">
        <f ca="1">MAX(INDIRECT("'"&amp;$B$2&amp;"-事故进程'!AA"&amp;(ROW()+22)),INDIRECT("'"&amp;$B$2&amp;"-事故进程'!AB"&amp;(ROW()+22)))</f>
        <v>1.5259846186717e-10</v>
      </c>
      <c r="CR15" s="580">
        <f ca="1">SUM(CQ$3,-LN(1-CR$3)/CL15)</f>
        <v>6.95458811586267e-6</v>
      </c>
      <c r="CS15" s="580">
        <f>CS$3/24/3600</f>
        <v>1157407407407410</v>
      </c>
      <c r="CT15" s="582">
        <f ca="1" t="shared" si="47"/>
        <v>0.00796731736766999</v>
      </c>
      <c r="CU15" s="582">
        <f ca="1" t="shared" si="48"/>
        <v>0.00533757995916215</v>
      </c>
      <c r="CV15" s="582">
        <f t="shared" si="49"/>
        <v>0</v>
      </c>
      <c r="CW15" s="582">
        <f ca="1" t="shared" si="50"/>
        <v>1310.81822055821</v>
      </c>
      <c r="CX15" s="582">
        <f ca="1" t="shared" si="51"/>
        <v>1.09947502947281e-13</v>
      </c>
      <c r="CY15" s="582">
        <f ca="1" t="shared" si="52"/>
        <v>1.00002194260936</v>
      </c>
      <c r="CZ15" s="580">
        <f ca="1" t="shared" si="53"/>
        <v>68467638454.5579</v>
      </c>
      <c r="DA15" s="580">
        <f ca="1" t="shared" si="54"/>
        <v>496296.103839198</v>
      </c>
      <c r="DB15" s="586">
        <f ca="1" t="shared" si="55"/>
        <v>2.98212622765261e-15</v>
      </c>
      <c r="DC15" s="594">
        <f ca="1" t="shared" si="56"/>
        <v>521530.57019492</v>
      </c>
      <c r="DD15" s="580">
        <f ca="1" t="shared" si="57"/>
        <v>15506304.4875134</v>
      </c>
      <c r="DE15" s="580">
        <f ca="1" t="shared" si="58"/>
        <v>1155026.44219149</v>
      </c>
      <c r="DF15" s="595">
        <f ca="1" t="shared" si="59"/>
        <v>1155026.44219149</v>
      </c>
      <c r="DG15" s="596">
        <f>DG$3*3600</f>
        <v>86400</v>
      </c>
      <c r="DH15" s="580">
        <f ca="1" t="shared" ref="DH15:DK15" si="167">CZ15</f>
        <v>68467638454.5579</v>
      </c>
      <c r="DI15" s="580">
        <f ca="1" t="shared" si="167"/>
        <v>496296.103839198</v>
      </c>
      <c r="DJ15" s="581">
        <f ca="1" t="shared" si="167"/>
        <v>2.98212622765261e-15</v>
      </c>
      <c r="DK15" s="580">
        <f ca="1" t="shared" si="167"/>
        <v>521530.57019492</v>
      </c>
      <c r="DL15" s="580">
        <f ca="1">MAX(INDIRECT("'"&amp;$B$2&amp;"-事故进程'!AB"&amp;(ROW()+22)),INDIRECT("'"&amp;$B$2&amp;"-事故进程'!AC"&amp;(ROW()+22)))</f>
        <v>2.41630220655686e-10</v>
      </c>
      <c r="DM15" s="580">
        <f ca="1">SUM(DL$3,-LN(1-DM$3)/DG15)</f>
        <v>1.01371476497628e-6</v>
      </c>
      <c r="DN15" s="580">
        <f>DN$3/24/3600</f>
        <v>1157407407407410</v>
      </c>
      <c r="DO15" s="582">
        <f ca="1" t="shared" si="61"/>
        <v>0.000711155928496122</v>
      </c>
      <c r="DP15" s="582">
        <f ca="1" t="shared" si="62"/>
        <v>0.000651532731573351</v>
      </c>
      <c r="DQ15" s="582">
        <f t="shared" si="63"/>
        <v>0</v>
      </c>
      <c r="DR15" s="582">
        <f ca="1" t="shared" si="64"/>
        <v>16.0408678194236</v>
      </c>
      <c r="DS15" s="582">
        <f ca="1" t="shared" si="65"/>
        <v>2.54744550499424e-15</v>
      </c>
      <c r="DT15" s="582">
        <f ca="1" t="shared" si="66"/>
        <v>1.00023841798304</v>
      </c>
      <c r="DU15" s="580">
        <f ca="1" t="shared" si="67"/>
        <v>48691166.9970879</v>
      </c>
      <c r="DV15" s="580">
        <f ca="1" t="shared" si="68"/>
        <v>1296.63723016194</v>
      </c>
      <c r="DW15" s="586">
        <f ca="1" t="shared" si="69"/>
        <v>1.13565914354859e-18</v>
      </c>
      <c r="DX15" s="594">
        <f ca="1" t="shared" si="70"/>
        <v>443.740207273153</v>
      </c>
      <c r="DY15" s="580">
        <f ca="1" t="shared" si="71"/>
        <v>197054.391100348</v>
      </c>
      <c r="DZ15" s="580">
        <f ca="1" t="shared" si="72"/>
        <v>8262.26759978612</v>
      </c>
      <c r="EA15" s="595">
        <f ca="1" t="shared" si="73"/>
        <v>8262.26759978612</v>
      </c>
      <c r="EB15" s="596">
        <f>EB$3*3600</f>
        <v>172800</v>
      </c>
      <c r="EC15" s="580">
        <f ca="1" t="shared" ref="EC15:EF15" si="168">DU15</f>
        <v>48691166.9970879</v>
      </c>
      <c r="ED15" s="580">
        <f ca="1" t="shared" si="168"/>
        <v>1296.63723016194</v>
      </c>
      <c r="EE15" s="581">
        <f ca="1" t="shared" si="168"/>
        <v>1.13565914354859e-18</v>
      </c>
      <c r="EF15" s="580">
        <f ca="1" t="shared" si="168"/>
        <v>443.740207273153</v>
      </c>
      <c r="EG15" s="580">
        <f ca="1">MAX(INDIRECT("'"&amp;$B$2&amp;"-事故进程'!AC"&amp;(ROW()+22)),INDIRECT("'"&amp;$B$2&amp;"-事故进程'!AD"&amp;(ROW()+22)),INDIRECT("'"&amp;$B$2&amp;"-事故进程'!AE"&amp;(ROW()+22)))</f>
        <v>2.41630220655686e-10</v>
      </c>
      <c r="EH15" s="580">
        <f ca="1">SUM(EG$3,-LN(1-EH$3)/EB15)</f>
        <v>5.81616658188741e-8</v>
      </c>
      <c r="EI15" s="580">
        <f>EI$3/24/3600</f>
        <v>1157407407407410</v>
      </c>
      <c r="EJ15" s="582">
        <f ca="1" t="shared" si="75"/>
        <v>5.05742754635182e-7</v>
      </c>
      <c r="EK15" s="582">
        <f ca="1" t="shared" si="76"/>
        <v>5.00706232991285e-7</v>
      </c>
      <c r="EL15" s="582">
        <f t="shared" si="77"/>
        <v>0</v>
      </c>
      <c r="EM15" s="582">
        <f ca="1" t="shared" si="78"/>
        <v>0.0116901561509602</v>
      </c>
      <c r="EN15" s="582">
        <f ca="1" t="shared" si="79"/>
        <v>1.07050094533219e-18</v>
      </c>
      <c r="EO15" s="582">
        <f ca="1" t="shared" si="80"/>
        <v>1.00417178991967</v>
      </c>
      <c r="EP15" s="580">
        <f ca="1" t="shared" si="81"/>
        <v>24.6252049235089</v>
      </c>
      <c r="EQ15" s="580">
        <f ca="1" t="shared" si="82"/>
        <v>0.00167229955802578</v>
      </c>
      <c r="ER15" s="586">
        <f ca="1" t="shared" si="83"/>
        <v>8.40358610291056e-26</v>
      </c>
      <c r="ES15" s="594">
        <f ca="1" t="shared" si="84"/>
        <v>0.000236135409961424</v>
      </c>
      <c r="ET15" s="580">
        <f ca="1" t="shared" si="85"/>
        <v>140.236057297774</v>
      </c>
      <c r="EU15" s="580">
        <f ca="1" t="shared" si="86"/>
        <v>0.995436490345394</v>
      </c>
      <c r="EV15" s="595">
        <f ca="1" t="shared" si="87"/>
        <v>0.995436490345403</v>
      </c>
      <c r="EW15" s="596">
        <f>EW$3*3600</f>
        <v>2246400</v>
      </c>
      <c r="EX15" s="580">
        <f ca="1" t="shared" ref="EX15:FA15" si="169">EP15</f>
        <v>24.6252049235089</v>
      </c>
      <c r="EY15" s="580">
        <f ca="1" t="shared" si="169"/>
        <v>0.00167229955802578</v>
      </c>
      <c r="EZ15" s="581">
        <f ca="1" t="shared" si="169"/>
        <v>8.40358610291056e-26</v>
      </c>
      <c r="FA15" s="580">
        <f ca="1" t="shared" si="169"/>
        <v>0.000236135409961424</v>
      </c>
      <c r="FB15" s="580">
        <f ca="1">INDIRECT("'"&amp;$B$2&amp;"-事故进程'!AE"&amp;(ROW()+22))</f>
        <v>1.66161810935878e-10</v>
      </c>
      <c r="FC15" s="580">
        <f ca="1">SUM(FB$3,-LN(1-FC$3)/EW15)</f>
        <v>4.47397429375955e-9</v>
      </c>
      <c r="FD15" s="580">
        <f>FD$3/24/3600</f>
        <v>1157407407407410</v>
      </c>
      <c r="FE15" s="582">
        <f ca="1" t="shared" si="89"/>
        <v>1.41631329875506e-82</v>
      </c>
      <c r="FF15" s="582">
        <f ca="1" t="shared" si="90"/>
        <v>1.40267363829116e-82</v>
      </c>
      <c r="FG15" s="582">
        <f t="shared" si="91"/>
        <v>0</v>
      </c>
      <c r="FH15" s="582">
        <f ca="1" t="shared" si="92"/>
        <v>4.08456469184626e-9</v>
      </c>
      <c r="FI15" s="582">
        <f ca="1" t="shared" si="93"/>
        <v>7.75715640268667e-26</v>
      </c>
      <c r="FJ15" s="582">
        <f ca="1" t="shared" si="94"/>
        <v>1.03857220145919</v>
      </c>
      <c r="FK15" s="580">
        <f ca="1" t="shared" si="95"/>
        <v>3.48770052177343e-81</v>
      </c>
      <c r="FL15" s="580">
        <f ca="1" t="shared" si="96"/>
        <v>1.53012997000258e-84</v>
      </c>
      <c r="FM15" s="586">
        <f ca="1" t="shared" si="97"/>
        <v>5.9147384992438e-108</v>
      </c>
      <c r="FN15" s="594">
        <f ca="1" t="shared" si="98"/>
        <v>4.23477659921466e-86</v>
      </c>
      <c r="FO15" s="580">
        <f ca="1" t="shared" si="99"/>
        <v>4.87719297367145e-5</v>
      </c>
      <c r="FP15" s="580">
        <f ca="1" t="shared" si="100"/>
        <v>9.17759660357155e-8</v>
      </c>
      <c r="FQ15" s="595">
        <f ca="1" t="shared" si="101"/>
        <v>9.17759660357134e-8</v>
      </c>
      <c r="FR15" s="608" t="str">
        <f t="shared" si="102"/>
        <v>I-132</v>
      </c>
      <c r="FS15" s="609">
        <v>5610000000</v>
      </c>
      <c r="FT15" s="610">
        <v>49800000000</v>
      </c>
      <c r="FU15" s="610">
        <v>7420000000</v>
      </c>
      <c r="FV15" s="610">
        <v>46100000</v>
      </c>
      <c r="FW15" s="610">
        <v>62900000000</v>
      </c>
      <c r="FX15" s="614">
        <f ca="1" t="shared" si="103"/>
        <v>0</v>
      </c>
      <c r="FY15" s="614">
        <f ca="1" t="shared" si="104"/>
        <v>0.0106741818957712</v>
      </c>
      <c r="FZ15" s="614">
        <f ca="1" t="shared" si="105"/>
        <v>0.000155663940996157</v>
      </c>
      <c r="GA15" s="614">
        <f ca="1" t="shared" si="106"/>
        <v>0.000179246486687125</v>
      </c>
      <c r="GB15" s="614">
        <f ca="1" t="shared" si="107"/>
        <v>0.00846959535953316</v>
      </c>
      <c r="GC15" s="455">
        <f ca="1" t="shared" si="108"/>
        <v>0.00846959535953316</v>
      </c>
      <c r="GE15" s="609">
        <v>1207945712.85162</v>
      </c>
      <c r="GF15" s="610">
        <v>1952000830.14714</v>
      </c>
      <c r="GG15" s="610">
        <v>398464061.029298</v>
      </c>
      <c r="GH15" s="610">
        <v>3988575.67204151</v>
      </c>
      <c r="GI15" s="610">
        <v>24342.6356771423</v>
      </c>
      <c r="GJ15" s="610">
        <v>0.00132004220425357</v>
      </c>
      <c r="GK15" s="617">
        <v>3562423522.33709</v>
      </c>
      <c r="GL15" s="614">
        <f ca="1" t="shared" si="109"/>
        <v>0</v>
      </c>
      <c r="GM15" s="614">
        <f ca="1" t="shared" si="110"/>
        <v>0.272322762470003</v>
      </c>
      <c r="GN15" s="614">
        <f ca="1" t="shared" si="111"/>
        <v>0.00289869665838335</v>
      </c>
      <c r="GO15" s="614">
        <f ca="1" t="shared" si="112"/>
        <v>0.0020591655255933</v>
      </c>
      <c r="GP15" s="614">
        <f ca="1" t="shared" si="113"/>
        <v>6.95250240787634e-5</v>
      </c>
      <c r="GQ15" s="614">
        <f ca="1" t="shared" si="114"/>
        <v>0.149543574696907</v>
      </c>
      <c r="GR15" s="451">
        <f t="shared" si="115"/>
        <v>8.38958097990735e-5</v>
      </c>
      <c r="GS15" s="390">
        <f t="shared" si="116"/>
        <v>8262</v>
      </c>
    </row>
    <row r="16" spans="1:201">
      <c r="A16" s="421" t="s">
        <v>161</v>
      </c>
      <c r="B16" s="427"/>
      <c r="C16" s="428"/>
      <c r="D16" s="410"/>
      <c r="E16" s="410"/>
      <c r="G16" s="411" t="s">
        <v>57</v>
      </c>
      <c r="H16" s="412">
        <f ca="1" t="shared" si="1"/>
        <v>0</v>
      </c>
      <c r="I16" s="412">
        <f ca="1" t="shared" si="2"/>
        <v>875037937740.195</v>
      </c>
      <c r="J16" s="412">
        <f ca="1" t="shared" si="3"/>
        <v>17173845368.5122</v>
      </c>
      <c r="K16" s="412">
        <f ca="1" t="shared" si="4"/>
        <v>52012209467.4923</v>
      </c>
      <c r="L16" s="412">
        <f ca="1" t="shared" si="5"/>
        <v>28930593895.1672</v>
      </c>
      <c r="M16" s="412">
        <f ca="1" t="shared" si="6"/>
        <v>104066320.213637</v>
      </c>
      <c r="N16" s="412">
        <f ca="1" t="shared" si="7"/>
        <v>973258652791.581</v>
      </c>
      <c r="O16" s="450">
        <f ca="1" t="shared" si="8"/>
        <v>0</v>
      </c>
      <c r="P16" s="451"/>
      <c r="Q16" s="477" t="str">
        <f t="shared" si="0"/>
        <v>I-133</v>
      </c>
      <c r="R16" s="412">
        <f ca="1" t="shared" si="9"/>
        <v>0</v>
      </c>
      <c r="S16" s="412">
        <f ca="1">I16*(1-过滤效率!$B13)</f>
        <v>43751896887.0098</v>
      </c>
      <c r="T16" s="412">
        <f ca="1">J16*(1-过滤效率!$B13)</f>
        <v>858692268.425611</v>
      </c>
      <c r="U16" s="412">
        <f ca="1">K16*(1-过滤效率!$B13)</f>
        <v>2600610473.37462</v>
      </c>
      <c r="V16" s="412">
        <f ca="1">L16*(1-过滤效率!$B13)</f>
        <v>1446529694.75836</v>
      </c>
      <c r="W16" s="412">
        <f ca="1">M16*(1-过滤效率!$B13)</f>
        <v>5203316.01068184</v>
      </c>
      <c r="X16" s="412">
        <f ca="1" t="shared" si="10"/>
        <v>48662932639.5791</v>
      </c>
      <c r="Y16" s="493"/>
      <c r="Z16" s="494">
        <f>VLOOKUP(G16,衰变常数!$A$1:$H$3800,7,FALSE)</f>
        <v>9.25677324465738e-6</v>
      </c>
      <c r="AA16" s="495">
        <f>正常源项!C13</f>
        <v>4.55e+17</v>
      </c>
      <c r="AB16" s="496">
        <f>正常源项!F13</f>
        <v>0</v>
      </c>
      <c r="AC16" s="496">
        <f>正常源项!I13</f>
        <v>119000000</v>
      </c>
      <c r="AD16" s="497"/>
      <c r="AE16" s="496">
        <f>正常源项!O13</f>
        <v>286000000000</v>
      </c>
      <c r="AF16" s="498">
        <f t="shared" si="157"/>
        <v>0</v>
      </c>
      <c r="AG16" s="519">
        <f t="shared" si="158"/>
        <v>0</v>
      </c>
      <c r="AH16" s="523">
        <v>1</v>
      </c>
      <c r="AI16" s="519">
        <f t="shared" si="159"/>
        <v>15052631578.9474</v>
      </c>
      <c r="AJ16" s="521"/>
      <c r="AK16" s="521"/>
      <c r="AL16" s="519">
        <f t="shared" si="11"/>
        <v>66566500</v>
      </c>
      <c r="AM16" s="520">
        <f t="shared" si="12"/>
        <v>1911000000000</v>
      </c>
      <c r="AN16" s="519">
        <f ca="1">MAX(INDIRECT("'"&amp;$B$2&amp;"-事故进程'!Y"&amp;(ROW()+22)),INDIRECT("'"&amp;$B$2&amp;"-事故进程'!Z"&amp;(ROW()+22)),INDIRECT("'"&amp;$B$2&amp;"-事故进程'!AA"&amp;(ROW()+22)))</f>
        <v>5.07702695770346e-12</v>
      </c>
      <c r="AO16" s="519">
        <f ca="1" t="shared" si="13"/>
        <v>91311806140.4705</v>
      </c>
      <c r="AP16" s="560">
        <f t="shared" si="14"/>
        <v>1.85033901486873e+17</v>
      </c>
      <c r="AQ16" s="561">
        <f ca="1">(AC16*$C$5+AD16*$C$8+AF16+AG16+AI16+(AL16+AM16)*$C$10)*EXP(-Z16*$C$12*3600)+AO16*$C$11</f>
        <v>874651078631.88</v>
      </c>
      <c r="AR16" s="562">
        <f ca="1">AQ16*(1-AR$3)</f>
        <v>874651078631.88</v>
      </c>
      <c r="AS16" s="563">
        <f ca="1" t="shared" si="15"/>
        <v>0</v>
      </c>
      <c r="AT16" s="562">
        <f ca="1">AS16*(1-AT$3)</f>
        <v>0</v>
      </c>
      <c r="AU16" s="564">
        <f ca="1" t="shared" si="16"/>
        <v>0</v>
      </c>
      <c r="AV16" s="565">
        <f>AV$3*3600</f>
        <v>7200</v>
      </c>
      <c r="AW16" s="580">
        <f>AP16*EXP(-Z16*AW$3*3600)</f>
        <v>1.85033901486873e+17</v>
      </c>
      <c r="AX16" s="580">
        <f ca="1" t="shared" si="17"/>
        <v>874651078631.88</v>
      </c>
      <c r="AY16" s="581">
        <f ca="1" t="shared" si="18"/>
        <v>0</v>
      </c>
      <c r="AZ16" s="580">
        <v>0</v>
      </c>
      <c r="BA16" s="580">
        <f ca="1">MAX(INDIRECT("'"&amp;$B$2&amp;"-事故进程'!Y"&amp;(ROW()+22)),INDIRECT("'"&amp;$B$2&amp;"-事故进程'!Z"&amp;(ROW()+22)))</f>
        <v>4.62129883090596e-12</v>
      </c>
      <c r="BB16" s="580">
        <f ca="1">SUM(BA$3,-LN(1-BB$3)/AV16)</f>
        <v>0.00160041330566996</v>
      </c>
      <c r="BC16" s="580">
        <f>BC$3/24/3600</f>
        <v>1157407407407410</v>
      </c>
      <c r="BD16" s="582">
        <f ca="1" t="shared" si="19"/>
        <v>0.93552369897845</v>
      </c>
      <c r="BE16" s="582">
        <f ca="1" t="shared" si="20"/>
        <v>9.26168492805395e-6</v>
      </c>
      <c r="BF16" s="582">
        <f t="shared" si="21"/>
        <v>0</v>
      </c>
      <c r="BG16" s="582">
        <f ca="1" t="shared" si="22"/>
        <v>-1398948123.0664</v>
      </c>
      <c r="BH16" s="582">
        <f ca="1" t="shared" si="23"/>
        <v>-1.20942998558874e-6</v>
      </c>
      <c r="BI16" s="582">
        <f ca="1" t="shared" si="24"/>
        <v>1.00000000288757</v>
      </c>
      <c r="BJ16" s="580">
        <f ca="1" t="shared" si="25"/>
        <v>1.73103599955413e+17</v>
      </c>
      <c r="BK16" s="580">
        <f ca="1" t="shared" si="26"/>
        <v>507943841.952224</v>
      </c>
      <c r="BL16" s="586">
        <f ca="1" t="shared" si="27"/>
        <v>7.02362951879149e-10</v>
      </c>
      <c r="BM16" s="594">
        <f ca="1" t="shared" si="28"/>
        <v>823508632798.048</v>
      </c>
      <c r="BN16" s="580">
        <f ca="1" t="shared" si="29"/>
        <v>5956012914.86688</v>
      </c>
      <c r="BO16" s="580">
        <f ca="1" t="shared" si="30"/>
        <v>875037937740.195</v>
      </c>
      <c r="BP16" s="595">
        <f ca="1" t="shared" si="31"/>
        <v>875037937740.195</v>
      </c>
      <c r="BQ16" s="596">
        <f>BQ$3*3600</f>
        <v>21600</v>
      </c>
      <c r="BR16" s="580">
        <f ca="1" t="shared" ref="BR16:BU16" si="170">BJ16</f>
        <v>1.73103599955413e+17</v>
      </c>
      <c r="BS16" s="580">
        <f ca="1" t="shared" si="170"/>
        <v>507943841.952224</v>
      </c>
      <c r="BT16" s="581">
        <f ca="1" t="shared" si="170"/>
        <v>7.02362951879149e-10</v>
      </c>
      <c r="BU16" s="580">
        <f ca="1" t="shared" si="170"/>
        <v>823508632798.048</v>
      </c>
      <c r="BV16" s="580">
        <f ca="1">MAX(INDIRECT("'"&amp;$B$2&amp;"-事故进程'!Z"&amp;(ROW()+22)),INDIRECT("'"&amp;$B$2&amp;"-事故进程'!AA"&amp;(ROW()+22)))</f>
        <v>5.07702695770346e-12</v>
      </c>
      <c r="BW16" s="580">
        <f ca="1">SUM(BV$3,-LN(1-BW$3)/BQ16)</f>
        <v>0.00162728102077123</v>
      </c>
      <c r="BX16" s="580">
        <f>BX$3/24/3600</f>
        <v>1157407407407410</v>
      </c>
      <c r="BY16" s="582">
        <f ca="1" t="shared" si="33"/>
        <v>0.818774628603181</v>
      </c>
      <c r="BZ16" s="582">
        <f ca="1" t="shared" si="34"/>
        <v>4.44662391369372e-16</v>
      </c>
      <c r="CA16" s="582">
        <f t="shared" si="35"/>
        <v>0</v>
      </c>
      <c r="CB16" s="582">
        <f ca="1" t="shared" si="36"/>
        <v>52284.2724015173</v>
      </c>
      <c r="CC16" s="582">
        <f ca="1" t="shared" si="37"/>
        <v>-1.17912589341261e-11</v>
      </c>
      <c r="CD16" s="582">
        <f ca="1" t="shared" si="38"/>
        <v>1.00000000311994</v>
      </c>
      <c r="CE16" s="580">
        <f ca="1" t="shared" si="39"/>
        <v>1.41732835763367e+17</v>
      </c>
      <c r="CF16" s="580">
        <f ca="1" t="shared" si="40"/>
        <v>442198625.205122</v>
      </c>
      <c r="CG16" s="586">
        <f ca="1" t="shared" si="41"/>
        <v>6.21718355699216e-10</v>
      </c>
      <c r="CH16" s="594">
        <f ca="1" t="shared" si="42"/>
        <v>689784701550.795</v>
      </c>
      <c r="CI16" s="580">
        <f ca="1" t="shared" si="43"/>
        <v>17205793414.5058</v>
      </c>
      <c r="CJ16" s="580">
        <f ca="1" t="shared" si="44"/>
        <v>17173845368.5122</v>
      </c>
      <c r="CK16" s="595">
        <f ca="1" t="shared" si="45"/>
        <v>17173845368.5122</v>
      </c>
      <c r="CL16" s="596">
        <f>CL$3*3600</f>
        <v>57600</v>
      </c>
      <c r="CM16" s="580">
        <f ca="1" t="shared" ref="CM16:CP16" si="171">CE16</f>
        <v>1.41732835763367e+17</v>
      </c>
      <c r="CN16" s="580">
        <f ca="1" t="shared" si="171"/>
        <v>442198625.205122</v>
      </c>
      <c r="CO16" s="581">
        <f ca="1" t="shared" si="171"/>
        <v>6.21718355699216e-10</v>
      </c>
      <c r="CP16" s="580">
        <f ca="1" t="shared" si="171"/>
        <v>689784701550.795</v>
      </c>
      <c r="CQ16" s="580">
        <f ca="1">MAX(INDIRECT("'"&amp;$B$2&amp;"-事故进程'!AA"&amp;(ROW()+22)),INDIRECT("'"&amp;$B$2&amp;"-事故进程'!AB"&amp;(ROW()+22)))</f>
        <v>5.08106326920365e-11</v>
      </c>
      <c r="CR16" s="580">
        <f ca="1">SUM(CQ$3,-LN(1-CR$3)/CL16)</f>
        <v>6.95458811586267e-6</v>
      </c>
      <c r="CS16" s="580">
        <f>CS$3/24/3600</f>
        <v>1157407407407410</v>
      </c>
      <c r="CT16" s="582">
        <f ca="1" t="shared" si="47"/>
        <v>0.586728512825896</v>
      </c>
      <c r="CU16" s="582">
        <f ca="1" t="shared" si="48"/>
        <v>0.393067308092723</v>
      </c>
      <c r="CV16" s="582">
        <f t="shared" si="49"/>
        <v>0</v>
      </c>
      <c r="CW16" s="582">
        <f ca="1" t="shared" si="50"/>
        <v>7198459.77153787</v>
      </c>
      <c r="CX16" s="582">
        <f ca="1" t="shared" si="51"/>
        <v>6.19061288460817e-10</v>
      </c>
      <c r="CY16" s="582">
        <f ca="1" t="shared" si="52"/>
        <v>1.00000730611261</v>
      </c>
      <c r="CZ16" s="580">
        <f ca="1" t="shared" si="53"/>
        <v>8.31586959460374e+16</v>
      </c>
      <c r="DA16" s="580">
        <f ca="1" t="shared" si="54"/>
        <v>200713101215.371</v>
      </c>
      <c r="DB16" s="586">
        <f ca="1" t="shared" si="55"/>
        <v>1.20603768342655e-9</v>
      </c>
      <c r="DC16" s="594">
        <f ca="1" t="shared" si="56"/>
        <v>447644169824.629</v>
      </c>
      <c r="DD16" s="580">
        <f ca="1" t="shared" si="57"/>
        <v>321512981745.56</v>
      </c>
      <c r="DE16" s="580">
        <f ca="1" t="shared" si="58"/>
        <v>52012209467.4923</v>
      </c>
      <c r="DF16" s="595">
        <f ca="1" t="shared" si="59"/>
        <v>52012209467.4923</v>
      </c>
      <c r="DG16" s="596">
        <f>DG$3*3600</f>
        <v>86400</v>
      </c>
      <c r="DH16" s="580">
        <f ca="1" t="shared" ref="DH16:DK16" si="172">CZ16</f>
        <v>8.31586959460374e+16</v>
      </c>
      <c r="DI16" s="580">
        <f ca="1" t="shared" si="172"/>
        <v>200713101215.371</v>
      </c>
      <c r="DJ16" s="581">
        <f ca="1" t="shared" si="172"/>
        <v>1.20603768342655e-9</v>
      </c>
      <c r="DK16" s="580">
        <f ca="1" t="shared" si="172"/>
        <v>447644169824.629</v>
      </c>
      <c r="DL16" s="580">
        <f ca="1">MAX(INDIRECT("'"&amp;$B$2&amp;"-事故进程'!AB"&amp;(ROW()+22)),INDIRECT("'"&amp;$B$2&amp;"-事故进程'!AC"&amp;(ROW()+22)))</f>
        <v>8.01172197621864e-11</v>
      </c>
      <c r="DM16" s="580">
        <f ca="1">SUM(DL$3,-LN(1-DM$3)/DG16)</f>
        <v>1.01371476497628e-6</v>
      </c>
      <c r="DN16" s="580">
        <f>DN$3/24/3600</f>
        <v>1157407407407410</v>
      </c>
      <c r="DO16" s="582">
        <f ca="1" t="shared" si="61"/>
        <v>0.449422375627889</v>
      </c>
      <c r="DP16" s="582">
        <f ca="1" t="shared" si="62"/>
        <v>0.411737131322148</v>
      </c>
      <c r="DQ16" s="582">
        <f t="shared" si="63"/>
        <v>0</v>
      </c>
      <c r="DR16" s="582">
        <f ca="1" t="shared" si="64"/>
        <v>6458993.76459496</v>
      </c>
      <c r="DS16" s="582">
        <f ca="1" t="shared" si="65"/>
        <v>1.03024320265512e-9</v>
      </c>
      <c r="DT16" s="582">
        <f ca="1" t="shared" si="66"/>
        <v>1.00007903954343</v>
      </c>
      <c r="DU16" s="580">
        <f ca="1" t="shared" si="67"/>
        <v>3.73733786861855e+16</v>
      </c>
      <c r="DV16" s="580">
        <f ca="1" t="shared" si="68"/>
        <v>330339565972.492</v>
      </c>
      <c r="DW16" s="586">
        <f ca="1" t="shared" si="69"/>
        <v>2.89327762496594e-10</v>
      </c>
      <c r="DX16" s="594">
        <f ca="1" t="shared" si="70"/>
        <v>219752914555.508</v>
      </c>
      <c r="DY16" s="580">
        <f ca="1" t="shared" si="71"/>
        <v>396267736064.162</v>
      </c>
      <c r="DZ16" s="580">
        <f ca="1" t="shared" si="72"/>
        <v>26317950366.3755</v>
      </c>
      <c r="EA16" s="595">
        <f ca="1" t="shared" si="73"/>
        <v>26317950366.3755</v>
      </c>
      <c r="EB16" s="596">
        <f>EB$3*3600</f>
        <v>172800</v>
      </c>
      <c r="EC16" s="580">
        <f ca="1" t="shared" ref="EC16:EF16" si="173">DU16</f>
        <v>3.73733786861855e+16</v>
      </c>
      <c r="ED16" s="580">
        <f ca="1" t="shared" si="173"/>
        <v>330339565972.492</v>
      </c>
      <c r="EE16" s="581">
        <f ca="1" t="shared" si="173"/>
        <v>2.89327762496594e-10</v>
      </c>
      <c r="EF16" s="580">
        <f ca="1" t="shared" si="173"/>
        <v>219752914555.508</v>
      </c>
      <c r="EG16" s="580">
        <f ca="1">MAX(INDIRECT("'"&amp;$B$2&amp;"-事故进程'!AC"&amp;(ROW()+22)),INDIRECT("'"&amp;$B$2&amp;"-事故进程'!AD"&amp;(ROW()+22)),INDIRECT("'"&amp;$B$2&amp;"-事故进程'!AE"&amp;(ROW()+22)))</f>
        <v>8.01172197621864e-11</v>
      </c>
      <c r="EH16" s="580">
        <f ca="1">SUM(EG$3,-LN(1-EH$3)/EB16)</f>
        <v>5.81616658188741e-8</v>
      </c>
      <c r="EI16" s="580">
        <f>EI$3/24/3600</f>
        <v>1157407407407410</v>
      </c>
      <c r="EJ16" s="582">
        <f ca="1" t="shared" si="75"/>
        <v>0.201980471715016</v>
      </c>
      <c r="EK16" s="582">
        <f ca="1" t="shared" si="76"/>
        <v>0.199963435323607</v>
      </c>
      <c r="EL16" s="582">
        <f t="shared" si="77"/>
        <v>0</v>
      </c>
      <c r="EM16" s="582">
        <f ca="1" t="shared" si="78"/>
        <v>2975064.5599013</v>
      </c>
      <c r="EN16" s="582">
        <f ca="1" t="shared" si="79"/>
        <v>2.72727644577977e-10</v>
      </c>
      <c r="EO16" s="582">
        <f ca="1" t="shared" si="80"/>
        <v>1.0013793919359</v>
      </c>
      <c r="EP16" s="580">
        <f ca="1" t="shared" si="81"/>
        <v>7548692656619660</v>
      </c>
      <c r="EQ16" s="580">
        <f ca="1" t="shared" si="82"/>
        <v>170039177990.734</v>
      </c>
      <c r="ER16" s="586">
        <f ca="1" t="shared" si="83"/>
        <v>8.54475423530093e-12</v>
      </c>
      <c r="ES16" s="594">
        <f ca="1" t="shared" si="84"/>
        <v>45577052733.2656</v>
      </c>
      <c r="ET16" s="580">
        <f ca="1" t="shared" si="85"/>
        <v>258129931582.322</v>
      </c>
      <c r="EU16" s="580">
        <f ca="1" t="shared" si="86"/>
        <v>2612643528.79165</v>
      </c>
      <c r="EV16" s="595">
        <f ca="1" t="shared" si="87"/>
        <v>2612643528.79164</v>
      </c>
      <c r="EW16" s="596">
        <f>EW$3*3600</f>
        <v>2246400</v>
      </c>
      <c r="EX16" s="580">
        <f ca="1" t="shared" ref="EX16:FA16" si="174">EP16</f>
        <v>7548692656619660</v>
      </c>
      <c r="EY16" s="580">
        <f ca="1" t="shared" si="174"/>
        <v>170039177990.734</v>
      </c>
      <c r="EZ16" s="581">
        <f ca="1" t="shared" si="174"/>
        <v>8.54475423530093e-12</v>
      </c>
      <c r="FA16" s="580">
        <f ca="1" t="shared" si="174"/>
        <v>45577052733.2656</v>
      </c>
      <c r="FB16" s="580">
        <f ca="1">INDIRECT("'"&amp;$B$2&amp;"-事故进程'!AE"&amp;(ROW()+22))</f>
        <v>5.56498074649795e-11</v>
      </c>
      <c r="FC16" s="580">
        <f ca="1">SUM(FB$3,-LN(1-FC$3)/EW16)</f>
        <v>4.47397429375955e-9</v>
      </c>
      <c r="FD16" s="580">
        <f>FD$3/24/3600</f>
        <v>1157407407407410</v>
      </c>
      <c r="FE16" s="582">
        <f ca="1" t="shared" si="89"/>
        <v>9.31206155648615e-10</v>
      </c>
      <c r="FF16" s="582">
        <f ca="1" t="shared" si="90"/>
        <v>9.22009348869343e-10</v>
      </c>
      <c r="FG16" s="582">
        <f t="shared" si="91"/>
        <v>0</v>
      </c>
      <c r="FH16" s="582">
        <f ca="1" t="shared" si="92"/>
        <v>419332.004689442</v>
      </c>
      <c r="FI16" s="582">
        <f ca="1" t="shared" si="93"/>
        <v>7.88746544797009e-12</v>
      </c>
      <c r="FJ16" s="582">
        <f ca="1" t="shared" si="94"/>
        <v>1.01259522872021</v>
      </c>
      <c r="FK16" s="580">
        <f ca="1" t="shared" si="95"/>
        <v>7029389.06894372</v>
      </c>
      <c r="FL16" s="580">
        <f ca="1" t="shared" si="96"/>
        <v>1031.18720535201</v>
      </c>
      <c r="FM16" s="586">
        <f ca="1" t="shared" si="97"/>
        <v>3.98606836216199e-21</v>
      </c>
      <c r="FN16" s="594">
        <f ca="1" t="shared" si="98"/>
        <v>48.4320581842912</v>
      </c>
      <c r="FO16" s="580">
        <f ca="1" t="shared" si="99"/>
        <v>45380907149.8766</v>
      </c>
      <c r="FP16" s="580">
        <f ca="1" t="shared" si="100"/>
        <v>104066320.213638</v>
      </c>
      <c r="FQ16" s="595">
        <f ca="1" t="shared" si="101"/>
        <v>104066320.213637</v>
      </c>
      <c r="FR16" s="608" t="str">
        <f t="shared" si="102"/>
        <v>I-133</v>
      </c>
      <c r="FS16" s="609">
        <v>6790000000</v>
      </c>
      <c r="FT16" s="610">
        <v>47700000000</v>
      </c>
      <c r="FU16" s="610">
        <v>98100000000</v>
      </c>
      <c r="FV16" s="610">
        <v>85000000000</v>
      </c>
      <c r="FW16" s="610">
        <v>238000000000</v>
      </c>
      <c r="FX16" s="614">
        <f ca="1" t="shared" si="103"/>
        <v>0</v>
      </c>
      <c r="FY16" s="614">
        <f ca="1" t="shared" si="104"/>
        <v>18.7046495410631</v>
      </c>
      <c r="FZ16" s="614">
        <f ca="1" t="shared" si="105"/>
        <v>0.530195815163021</v>
      </c>
      <c r="GA16" s="614">
        <f ca="1" t="shared" si="106"/>
        <v>0.340359928178437</v>
      </c>
      <c r="GB16" s="614">
        <f ca="1" t="shared" si="107"/>
        <v>4.08888481710658</v>
      </c>
      <c r="GC16" s="455">
        <f ca="1" t="shared" si="108"/>
        <v>4.08932207055286</v>
      </c>
      <c r="GE16" s="609">
        <v>495073067.87073</v>
      </c>
      <c r="GF16" s="610">
        <v>4405444796.11228</v>
      </c>
      <c r="GG16" s="610">
        <v>14977012891.4363</v>
      </c>
      <c r="GH16" s="610">
        <v>13784979385.1915</v>
      </c>
      <c r="GI16" s="610">
        <v>12132529645.6464</v>
      </c>
      <c r="GJ16" s="610">
        <v>2325933648.14244</v>
      </c>
      <c r="GK16" s="617">
        <v>48120973434.3997</v>
      </c>
      <c r="GL16" s="614">
        <f ca="1" t="shared" si="109"/>
        <v>0</v>
      </c>
      <c r="GM16" s="614">
        <f ca="1" t="shared" si="110"/>
        <v>202.524790208713</v>
      </c>
      <c r="GN16" s="614">
        <f ca="1" t="shared" si="111"/>
        <v>3.47280261054141</v>
      </c>
      <c r="GO16" s="614">
        <f ca="1" t="shared" si="112"/>
        <v>1.11625673056559</v>
      </c>
      <c r="GP16" s="614">
        <f ca="1" t="shared" si="113"/>
        <v>0.0447417407185055</v>
      </c>
      <c r="GQ16" s="614">
        <f ca="1" t="shared" si="114"/>
        <v>20.2252486458605</v>
      </c>
      <c r="GR16" s="451">
        <f t="shared" si="115"/>
        <v>9.25677324465738e-6</v>
      </c>
      <c r="GS16" s="390">
        <f t="shared" si="116"/>
        <v>74880.0000000001</v>
      </c>
    </row>
    <row r="17" spans="1:201">
      <c r="A17" s="425" t="s">
        <v>266</v>
      </c>
      <c r="B17" s="407" t="s">
        <v>267</v>
      </c>
      <c r="C17" s="422">
        <f>-LN(1-100%+1E-20)/8/3600</f>
        <v>0.00159901742569031</v>
      </c>
      <c r="D17" s="410" t="s">
        <v>268</v>
      </c>
      <c r="E17" s="409" t="s">
        <v>269</v>
      </c>
      <c r="G17" s="411" t="s">
        <v>58</v>
      </c>
      <c r="H17" s="412">
        <f ca="1" t="shared" si="1"/>
        <v>0</v>
      </c>
      <c r="I17" s="412">
        <f ca="1" t="shared" si="2"/>
        <v>1547.8860908158</v>
      </c>
      <c r="J17" s="412">
        <f ca="1" t="shared" si="3"/>
        <v>5.68420294440698</v>
      </c>
      <c r="K17" s="412">
        <f ca="1" t="shared" si="4"/>
        <v>0.0159588361230314</v>
      </c>
      <c r="L17" s="412">
        <f ca="1" t="shared" si="5"/>
        <v>8.88154155862626e-8</v>
      </c>
      <c r="M17" s="412">
        <f ca="1" t="shared" si="6"/>
        <v>5.49824721635434e-34</v>
      </c>
      <c r="N17" s="412">
        <f ca="1" t="shared" si="7"/>
        <v>1553.58625268514</v>
      </c>
      <c r="O17" s="450">
        <f ca="1" t="shared" si="8"/>
        <v>0</v>
      </c>
      <c r="P17" s="451"/>
      <c r="Q17" s="477" t="str">
        <f t="shared" si="0"/>
        <v>I-134</v>
      </c>
      <c r="R17" s="412">
        <f ca="1" t="shared" si="9"/>
        <v>0</v>
      </c>
      <c r="S17" s="412">
        <f ca="1">I17*(1-过滤效率!$B14)</f>
        <v>77.39430454079</v>
      </c>
      <c r="T17" s="412">
        <f ca="1">J17*(1-过滤效率!$B14)</f>
        <v>0.284210147220349</v>
      </c>
      <c r="U17" s="412">
        <f ca="1">K17*(1-过滤效率!$B14)</f>
        <v>0.000797941806151572</v>
      </c>
      <c r="V17" s="412">
        <f ca="1">L17*(1-过滤效率!$B14)</f>
        <v>4.44077077931313e-9</v>
      </c>
      <c r="W17" s="412">
        <f ca="1">M17*(1-过滤效率!$B14)</f>
        <v>2.74912360817717e-35</v>
      </c>
      <c r="X17" s="412">
        <f ca="1" t="shared" si="10"/>
        <v>77.6793126342573</v>
      </c>
      <c r="Y17" s="493"/>
      <c r="Z17" s="494">
        <f>VLOOKUP(G17,衰变常数!$A$1:$H$3800,7,FALSE)</f>
        <v>0.000220046723987284</v>
      </c>
      <c r="AA17" s="495">
        <f>正常源项!C14</f>
        <v>5.26e+17</v>
      </c>
      <c r="AB17" s="496">
        <f>正常源项!F14</f>
        <v>0</v>
      </c>
      <c r="AC17" s="496">
        <f>正常源项!I14</f>
        <v>653000000</v>
      </c>
      <c r="AD17" s="497"/>
      <c r="AE17" s="496">
        <f>正常源项!O14</f>
        <v>66500000000</v>
      </c>
      <c r="AF17" s="498">
        <f t="shared" si="157"/>
        <v>0</v>
      </c>
      <c r="AG17" s="519">
        <f t="shared" si="158"/>
        <v>0</v>
      </c>
      <c r="AH17" s="523">
        <v>1</v>
      </c>
      <c r="AI17" s="519">
        <f t="shared" si="159"/>
        <v>3500000000</v>
      </c>
      <c r="AJ17" s="521"/>
      <c r="AK17" s="521"/>
      <c r="AL17" s="519">
        <f t="shared" si="11"/>
        <v>76953800</v>
      </c>
      <c r="AM17" s="520">
        <f t="shared" si="12"/>
        <v>2209200000000</v>
      </c>
      <c r="AN17" s="519">
        <f ca="1">MAX(INDIRECT("'"&amp;$B$2&amp;"-事故进程'!Y"&amp;(ROW()+22)),INDIRECT("'"&amp;$B$2&amp;"-事故进程'!Z"&amp;(ROW()+22)),INDIRECT("'"&amp;$B$2&amp;"-事故进程'!AA"&amp;(ROW()+22)))</f>
        <v>2.29415169808668e-11</v>
      </c>
      <c r="AO17" s="519">
        <f ca="1" t="shared" si="13"/>
        <v>603.042715488238</v>
      </c>
      <c r="AP17" s="560">
        <f t="shared" si="14"/>
        <v>270433297.470416</v>
      </c>
      <c r="AQ17" s="561">
        <f ca="1">(AC17*$C$5+AD17*$C$8+AF17+AG17+AI17+(AL17+AM17)*$C$10)*EXP(-Z17*$C$12*3600)+AO17*$C$11</f>
        <v>1741.03731838923</v>
      </c>
      <c r="AR17" s="562">
        <f ca="1">AQ17*(1-AR$3)</f>
        <v>1741.03731838923</v>
      </c>
      <c r="AS17" s="563">
        <f ca="1" t="shared" si="15"/>
        <v>0</v>
      </c>
      <c r="AT17" s="562">
        <f ca="1">AS17*(1-AT$3)</f>
        <v>0</v>
      </c>
      <c r="AU17" s="564">
        <f ca="1" t="shared" si="16"/>
        <v>0</v>
      </c>
      <c r="AV17" s="565">
        <f>AV$3*3600</f>
        <v>7200</v>
      </c>
      <c r="AW17" s="580">
        <f>AP17*EXP(-Z17*AW$3*3600)</f>
        <v>270433297.470416</v>
      </c>
      <c r="AX17" s="580">
        <f ca="1" t="shared" si="17"/>
        <v>1741.03731838923</v>
      </c>
      <c r="AY17" s="581">
        <f ca="1" t="shared" si="18"/>
        <v>0</v>
      </c>
      <c r="AZ17" s="580">
        <v>0</v>
      </c>
      <c r="BA17" s="580">
        <f ca="1">MAX(INDIRECT("'"&amp;$B$2&amp;"-事故进程'!Y"&amp;(ROW()+22)),INDIRECT("'"&amp;$B$2&amp;"-事故进程'!Z"&amp;(ROW()+22)))</f>
        <v>2.08821275271886e-11</v>
      </c>
      <c r="BB17" s="580">
        <f ca="1">SUM(BA$3,-LN(1-BB$3)/AV17)</f>
        <v>0.00160041330566996</v>
      </c>
      <c r="BC17" s="580">
        <f>BC$3/24/3600</f>
        <v>1157407407407410</v>
      </c>
      <c r="BD17" s="582">
        <f ca="1" t="shared" si="19"/>
        <v>0.205083808167287</v>
      </c>
      <c r="BE17" s="582">
        <f ca="1" t="shared" si="20"/>
        <v>2.03033000611891e-6</v>
      </c>
      <c r="BF17" s="582">
        <f t="shared" si="21"/>
        <v>0</v>
      </c>
      <c r="BG17" s="582">
        <f ca="1" t="shared" si="22"/>
        <v>-2.78073203105614</v>
      </c>
      <c r="BH17" s="582">
        <f ca="1" t="shared" si="23"/>
        <v>-2.40743170657562e-15</v>
      </c>
      <c r="BI17" s="582">
        <f ca="1" t="shared" si="24"/>
        <v>1.00000001304796</v>
      </c>
      <c r="BJ17" s="580">
        <f ca="1" t="shared" si="25"/>
        <v>55461490.5004695</v>
      </c>
      <c r="BK17" s="580">
        <f ca="1" t="shared" si="26"/>
        <v>0.727186991149401</v>
      </c>
      <c r="BL17" s="586">
        <f ca="1" t="shared" si="27"/>
        <v>1.0055229722026e-18</v>
      </c>
      <c r="BM17" s="594">
        <f ca="1" t="shared" si="28"/>
        <v>364.67013893438</v>
      </c>
      <c r="BN17" s="580">
        <f ca="1" t="shared" si="29"/>
        <v>20.4005230368696</v>
      </c>
      <c r="BO17" s="580">
        <f ca="1" t="shared" si="30"/>
        <v>1547.8860908158</v>
      </c>
      <c r="BP17" s="595">
        <f ca="1" t="shared" si="31"/>
        <v>1547.8860908158</v>
      </c>
      <c r="BQ17" s="596">
        <f>BQ$3*3600</f>
        <v>21600</v>
      </c>
      <c r="BR17" s="580">
        <f ca="1" t="shared" ref="BR17:BU17" si="175">BJ17</f>
        <v>55461490.5004695</v>
      </c>
      <c r="BS17" s="580">
        <f ca="1" t="shared" si="175"/>
        <v>0.727186991149401</v>
      </c>
      <c r="BT17" s="581">
        <f ca="1" t="shared" si="175"/>
        <v>1.0055229722026e-18</v>
      </c>
      <c r="BU17" s="580">
        <f ca="1" t="shared" si="175"/>
        <v>364.67013893438</v>
      </c>
      <c r="BV17" s="580">
        <f ca="1">MAX(INDIRECT("'"&amp;$B$2&amp;"-事故进程'!Z"&amp;(ROW()+22)),INDIRECT("'"&amp;$B$2&amp;"-事故进程'!AA"&amp;(ROW()+22)))</f>
        <v>2.29415169808668e-11</v>
      </c>
      <c r="BW17" s="580">
        <f ca="1">SUM(BV$3,-LN(1-BW$3)/BQ17)</f>
        <v>0.00162728102077123</v>
      </c>
      <c r="BX17" s="580">
        <f>BX$3/24/3600</f>
        <v>1157407407407410</v>
      </c>
      <c r="BY17" s="582">
        <f ca="1" t="shared" si="33"/>
        <v>0.0086256950512266</v>
      </c>
      <c r="BZ17" s="582">
        <f ca="1" t="shared" si="34"/>
        <v>4.68446814878643e-18</v>
      </c>
      <c r="CA17" s="582">
        <f t="shared" si="35"/>
        <v>0</v>
      </c>
      <c r="CB17" s="582">
        <f ca="1" t="shared" si="36"/>
        <v>8.90331535343177e-5</v>
      </c>
      <c r="CC17" s="582">
        <f ca="1" t="shared" si="37"/>
        <v>-1.68807049086679e-20</v>
      </c>
      <c r="CD17" s="582">
        <f ca="1" t="shared" si="38"/>
        <v>1.00000001409807</v>
      </c>
      <c r="CE17" s="580">
        <f ca="1" t="shared" si="39"/>
        <v>478393.904143551</v>
      </c>
      <c r="CF17" s="580">
        <f ca="1" t="shared" si="40"/>
        <v>0.00674442944401721</v>
      </c>
      <c r="CG17" s="586">
        <f ca="1" t="shared" si="41"/>
        <v>9.48247087407541e-21</v>
      </c>
      <c r="CH17" s="594">
        <f ca="1" t="shared" si="42"/>
        <v>3.38212486580195</v>
      </c>
      <c r="CI17" s="580">
        <f ca="1" t="shared" si="43"/>
        <v>5.73239851000111</v>
      </c>
      <c r="CJ17" s="580">
        <f ca="1" t="shared" si="44"/>
        <v>5.68420294440698</v>
      </c>
      <c r="CK17" s="595">
        <f ca="1" t="shared" si="45"/>
        <v>5.68420294440698</v>
      </c>
      <c r="CL17" s="596">
        <f>CL$3*3600</f>
        <v>57600</v>
      </c>
      <c r="CM17" s="580">
        <f ca="1" t="shared" ref="CM17:CP17" si="176">CE17</f>
        <v>478393.904143551</v>
      </c>
      <c r="CN17" s="580">
        <f ca="1" t="shared" si="176"/>
        <v>0.00674442944401721</v>
      </c>
      <c r="CO17" s="581">
        <f ca="1" t="shared" si="176"/>
        <v>9.48247087407541e-21</v>
      </c>
      <c r="CP17" s="580">
        <f ca="1" t="shared" si="176"/>
        <v>3.38212486580195</v>
      </c>
      <c r="CQ17" s="580">
        <f ca="1">MAX(INDIRECT("'"&amp;$B$2&amp;"-事故进程'!AA"&amp;(ROW()+22)),INDIRECT("'"&amp;$B$2&amp;"-事故进程'!AB"&amp;(ROW()+22)))</f>
        <v>2.36506841429345e-10</v>
      </c>
      <c r="CR17" s="580">
        <f ca="1">SUM(CQ$3,-LN(1-CR$3)/CL17)</f>
        <v>6.95458811586267e-6</v>
      </c>
      <c r="CS17" s="580">
        <f>CS$3/24/3600</f>
        <v>1157407407407410</v>
      </c>
      <c r="CT17" s="582">
        <f ca="1" t="shared" si="47"/>
        <v>3.12928840951594e-6</v>
      </c>
      <c r="CU17" s="582">
        <f ca="1" t="shared" si="48"/>
        <v>2.09642807701568e-6</v>
      </c>
      <c r="CV17" s="582">
        <f t="shared" si="49"/>
        <v>0</v>
      </c>
      <c r="CW17" s="582">
        <f ca="1" t="shared" si="50"/>
        <v>0.000113096528094288</v>
      </c>
      <c r="CX17" s="582">
        <f ca="1" t="shared" si="51"/>
        <v>9.44194518834068e-21</v>
      </c>
      <c r="CY17" s="582">
        <f ca="1" t="shared" si="52"/>
        <v>1.00003400846761</v>
      </c>
      <c r="CZ17" s="580">
        <f ca="1" t="shared" si="53"/>
        <v>1.4970324994195</v>
      </c>
      <c r="DA17" s="580">
        <f ca="1" t="shared" si="54"/>
        <v>1.6818202130189e-5</v>
      </c>
      <c r="DB17" s="586">
        <f ca="1" t="shared" si="55"/>
        <v>1.01056609726378e-25</v>
      </c>
      <c r="DC17" s="594">
        <f ca="1" t="shared" si="56"/>
        <v>1.41805961045713e-5</v>
      </c>
      <c r="DD17" s="580">
        <f ca="1" t="shared" si="57"/>
        <v>0.514176959843245</v>
      </c>
      <c r="DE17" s="580">
        <f ca="1" t="shared" si="58"/>
        <v>0.0159588361230314</v>
      </c>
      <c r="DF17" s="595">
        <f ca="1" t="shared" si="59"/>
        <v>0.0159588361230314</v>
      </c>
      <c r="DG17" s="596">
        <f>DG$3*3600</f>
        <v>86400</v>
      </c>
      <c r="DH17" s="580">
        <f ca="1" t="shared" ref="DH17:DK17" si="177">CZ17</f>
        <v>1.4970324994195</v>
      </c>
      <c r="DI17" s="580">
        <f ca="1" t="shared" si="177"/>
        <v>1.6818202130189e-5</v>
      </c>
      <c r="DJ17" s="581">
        <f ca="1" t="shared" si="177"/>
        <v>1.01056609726378e-25</v>
      </c>
      <c r="DK17" s="580">
        <f ca="1" t="shared" si="177"/>
        <v>1.41805961045713e-5</v>
      </c>
      <c r="DL17" s="580">
        <f ca="1">MAX(INDIRECT("'"&amp;$B$2&amp;"-事故进程'!AB"&amp;(ROW()+22)),INDIRECT("'"&amp;$B$2&amp;"-事故进程'!AC"&amp;(ROW()+22)))</f>
        <v>3.74784268128418e-10</v>
      </c>
      <c r="DM17" s="580">
        <f ca="1">SUM(DL$3,-LN(1-DM$3)/DG17)</f>
        <v>1.01371476497628e-6</v>
      </c>
      <c r="DN17" s="580">
        <f>DN$3/24/3600</f>
        <v>1157407407407410</v>
      </c>
      <c r="DO17" s="582">
        <f ca="1" t="shared" si="61"/>
        <v>5.53558085634882e-9</v>
      </c>
      <c r="DP17" s="582">
        <f ca="1" t="shared" si="62"/>
        <v>5.07153700645064e-9</v>
      </c>
      <c r="DQ17" s="582">
        <f t="shared" si="63"/>
        <v>0</v>
      </c>
      <c r="DR17" s="582">
        <f ca="1" t="shared" si="64"/>
        <v>5.44021673037241e-10</v>
      </c>
      <c r="DS17" s="582">
        <f ca="1" t="shared" si="65"/>
        <v>8.63263948421327e-26</v>
      </c>
      <c r="DT17" s="582">
        <f ca="1" t="shared" si="66"/>
        <v>1.00036985046999</v>
      </c>
      <c r="DU17" s="580">
        <f ca="1" t="shared" si="67"/>
        <v>8.2869444451186e-9</v>
      </c>
      <c r="DV17" s="580">
        <f ca="1" t="shared" si="68"/>
        <v>3.42225085723674e-13</v>
      </c>
      <c r="DW17" s="586">
        <f ca="1" t="shared" si="69"/>
        <v>2.99737689704664e-34</v>
      </c>
      <c r="DX17" s="594">
        <f ca="1" t="shared" si="70"/>
        <v>9.77237074037183e-14</v>
      </c>
      <c r="DY17" s="580">
        <f ca="1" t="shared" si="71"/>
        <v>2.54974607566201e-6</v>
      </c>
      <c r="DZ17" s="580">
        <f ca="1" t="shared" si="72"/>
        <v>8.88154154921016e-8</v>
      </c>
      <c r="EA17" s="595">
        <f ca="1" t="shared" si="73"/>
        <v>8.88154154921016e-8</v>
      </c>
      <c r="EB17" s="596">
        <f>EB$3*3600</f>
        <v>172800</v>
      </c>
      <c r="EC17" s="580">
        <f ca="1" t="shared" ref="EC17:EF17" si="178">DU17</f>
        <v>8.2869444451186e-9</v>
      </c>
      <c r="ED17" s="580">
        <f ca="1" t="shared" si="178"/>
        <v>3.42225085723674e-13</v>
      </c>
      <c r="EE17" s="581">
        <f ca="1" t="shared" si="178"/>
        <v>2.99737689704664e-34</v>
      </c>
      <c r="EF17" s="580">
        <f ca="1" t="shared" si="178"/>
        <v>9.77237074037183e-14</v>
      </c>
      <c r="EG17" s="580">
        <f ca="1">MAX(INDIRECT("'"&amp;$B$2&amp;"-事故进程'!AC"&amp;(ROW()+22)),INDIRECT("'"&amp;$B$2&amp;"-事故进程'!AD"&amp;(ROW()+22)),INDIRECT("'"&amp;$B$2&amp;"-事故进程'!AE"&amp;(ROW()+22)))</f>
        <v>3.74784268128418e-10</v>
      </c>
      <c r="EH17" s="580">
        <f ca="1">SUM(EG$3,-LN(1-EH$3)/EB17)</f>
        <v>5.81616658188741e-8</v>
      </c>
      <c r="EI17" s="580">
        <f>EI$3/24/3600</f>
        <v>1157407407407410</v>
      </c>
      <c r="EJ17" s="582">
        <f ca="1" t="shared" si="75"/>
        <v>3.06426554171755e-17</v>
      </c>
      <c r="EK17" s="582">
        <f ca="1" t="shared" si="76"/>
        <v>3.03381935833656e-17</v>
      </c>
      <c r="EL17" s="582">
        <f t="shared" si="77"/>
        <v>0</v>
      </c>
      <c r="EM17" s="582">
        <f ca="1" t="shared" si="78"/>
        <v>3.08604028839222e-18</v>
      </c>
      <c r="EN17" s="582">
        <f ca="1" t="shared" si="79"/>
        <v>2.82540304459582e-34</v>
      </c>
      <c r="EO17" s="582">
        <f ca="1" t="shared" si="80"/>
        <v>1.00648562888446</v>
      </c>
      <c r="EP17" s="580">
        <f ca="1" t="shared" si="81"/>
        <v>2.53933983093046e-25</v>
      </c>
      <c r="EQ17" s="580">
        <f ca="1" t="shared" si="82"/>
        <v>2.67461107032658e-29</v>
      </c>
      <c r="ER17" s="586">
        <f ca="1" t="shared" si="83"/>
        <v>1.34403697671377e-51</v>
      </c>
      <c r="ES17" s="594">
        <f ca="1" t="shared" si="84"/>
        <v>3.18195004644614e-30</v>
      </c>
      <c r="ET17" s="580">
        <f ca="1" t="shared" si="85"/>
        <v>1.41143256431162e-14</v>
      </c>
      <c r="EU17" s="580">
        <f ca="1" t="shared" si="86"/>
        <v>9.41609892052737e-17</v>
      </c>
      <c r="EV17" s="595">
        <f ca="1" t="shared" si="87"/>
        <v>9.41609892052727e-17</v>
      </c>
      <c r="EW17" s="596">
        <f>EW$3*3600</f>
        <v>2246400</v>
      </c>
      <c r="EX17" s="580">
        <f ca="1" t="shared" ref="EX17:FA17" si="179">EP17</f>
        <v>2.53933983093046e-25</v>
      </c>
      <c r="EY17" s="580">
        <f ca="1" t="shared" si="179"/>
        <v>2.67461107032658e-29</v>
      </c>
      <c r="EZ17" s="581">
        <f ca="1" t="shared" si="179"/>
        <v>1.34403697671377e-51</v>
      </c>
      <c r="FA17" s="580">
        <f ca="1" t="shared" si="179"/>
        <v>3.18195004644614e-30</v>
      </c>
      <c r="FB17" s="580">
        <f ca="1">INDIRECT("'"&amp;$B$2&amp;"-事故进程'!AE"&amp;(ROW()+22))</f>
        <v>2.5725097824566e-10</v>
      </c>
      <c r="FC17" s="580">
        <f ca="1">SUM(FB$3,-LN(1-FC$3)/EW17)</f>
        <v>4.47397429375955e-9</v>
      </c>
      <c r="FD17" s="580">
        <f>FD$3/24/3600</f>
        <v>1157407407407410</v>
      </c>
      <c r="FE17" s="582">
        <f ca="1" t="shared" si="89"/>
        <v>2.10066999710942e-215</v>
      </c>
      <c r="FF17" s="582">
        <f ca="1" t="shared" si="90"/>
        <v>2.08086545816856e-215</v>
      </c>
      <c r="FG17" s="582">
        <f t="shared" si="91"/>
        <v>0</v>
      </c>
      <c r="FH17" s="582">
        <f ca="1" t="shared" si="92"/>
        <v>6.52119846119012e-35</v>
      </c>
      <c r="FI17" s="582">
        <f ca="1" t="shared" si="93"/>
        <v>1.24064951696655e-51</v>
      </c>
      <c r="FJ17" s="582">
        <f ca="1" t="shared" si="94"/>
        <v>1.06100731752999</v>
      </c>
      <c r="FK17" s="580">
        <f ca="1" t="shared" si="95"/>
        <v>5.33431499530053e-240</v>
      </c>
      <c r="FL17" s="580">
        <f ca="1" t="shared" si="96"/>
        <v>3.62463630944734e-243</v>
      </c>
      <c r="FM17" s="586">
        <f ca="1" t="shared" si="97"/>
        <v>1.40110816372082e-266</v>
      </c>
      <c r="FN17" s="594">
        <f ca="1" t="shared" si="98"/>
        <v>8.79475954086704e-245</v>
      </c>
      <c r="FO17" s="580">
        <f ca="1" t="shared" si="99"/>
        <v>2.96867356202313e-31</v>
      </c>
      <c r="FP17" s="580">
        <f ca="1" t="shared" si="100"/>
        <v>5.49824721635414e-34</v>
      </c>
      <c r="FQ17" s="595">
        <f ca="1" t="shared" si="101"/>
        <v>5.49824721635434e-34</v>
      </c>
      <c r="FR17" s="608" t="str">
        <f t="shared" si="102"/>
        <v>I-134</v>
      </c>
      <c r="FS17" s="609">
        <v>9370000000</v>
      </c>
      <c r="FT17" s="610">
        <v>47600000000</v>
      </c>
      <c r="FU17" s="610">
        <v>129000000</v>
      </c>
      <c r="FV17" s="610">
        <v>309</v>
      </c>
      <c r="FW17" s="610">
        <v>57100000000</v>
      </c>
      <c r="FX17" s="614">
        <f ca="1" t="shared" si="103"/>
        <v>0</v>
      </c>
      <c r="FY17" s="614">
        <f ca="1" t="shared" si="104"/>
        <v>3.26380313815169e-8</v>
      </c>
      <c r="FZ17" s="614">
        <f ca="1" t="shared" si="105"/>
        <v>1.23711907930476e-10</v>
      </c>
      <c r="GA17" s="614">
        <f ca="1" t="shared" si="106"/>
        <v>2.87428529405381e-10</v>
      </c>
      <c r="GB17" s="614">
        <f ca="1" t="shared" si="107"/>
        <v>2.72081655461496e-8</v>
      </c>
      <c r="GC17" s="455">
        <f ca="1" t="shared" si="108"/>
        <v>2.72081655461496e-8</v>
      </c>
      <c r="GE17" s="609">
        <v>2586954574.00042</v>
      </c>
      <c r="GF17" s="610">
        <v>810664046.168369</v>
      </c>
      <c r="GG17" s="610">
        <v>2865285.43060858</v>
      </c>
      <c r="GH17" s="610">
        <v>10.9903217585912</v>
      </c>
      <c r="GI17" s="610">
        <v>6.24642651102317e-5</v>
      </c>
      <c r="GJ17" s="610">
        <v>1.62824997597659e-24</v>
      </c>
      <c r="GK17" s="617">
        <v>3400483916.58978</v>
      </c>
      <c r="GL17" s="614">
        <f ca="1" t="shared" si="109"/>
        <v>0</v>
      </c>
      <c r="GM17" s="614">
        <f ca="1" t="shared" si="110"/>
        <v>1.91641691907173e-6</v>
      </c>
      <c r="GN17" s="614">
        <f ca="1" t="shared" si="111"/>
        <v>5.56971949549955e-9</v>
      </c>
      <c r="GO17" s="614">
        <f ca="1" t="shared" si="112"/>
        <v>8.08119295789099e-9</v>
      </c>
      <c r="GP17" s="614">
        <f ca="1" t="shared" si="113"/>
        <v>3.37678323198292e-10</v>
      </c>
      <c r="GQ17" s="614">
        <f ca="1" t="shared" si="114"/>
        <v>4.56872107262657e-7</v>
      </c>
      <c r="GR17" s="451">
        <f t="shared" si="115"/>
        <v>0.000220046723987284</v>
      </c>
      <c r="GS17" s="390">
        <f t="shared" si="116"/>
        <v>3150</v>
      </c>
    </row>
    <row r="18" spans="1:201">
      <c r="A18" s="413"/>
      <c r="B18" s="407" t="s">
        <v>270</v>
      </c>
      <c r="C18" s="433">
        <f ca="1">IF(0&lt;$C$13-$C$12,MAX(1%,INDIRECT("'"&amp;$B$2&amp;"-事故进程'!$Z$23")*150%),0.000000000000001)</f>
        <v>0.01</v>
      </c>
      <c r="D18" s="410"/>
      <c r="E18" s="409" t="s">
        <v>271</v>
      </c>
      <c r="G18" s="411" t="s">
        <v>59</v>
      </c>
      <c r="H18" s="412">
        <f ca="1" t="shared" si="1"/>
        <v>0</v>
      </c>
      <c r="I18" s="412">
        <f ca="1" t="shared" si="2"/>
        <v>110236595272.106</v>
      </c>
      <c r="J18" s="412">
        <f ca="1" t="shared" si="3"/>
        <v>2532750822.44708</v>
      </c>
      <c r="K18" s="412">
        <f ca="1" t="shared" si="4"/>
        <v>3138399122.42191</v>
      </c>
      <c r="L18" s="412">
        <f ca="1" t="shared" si="5"/>
        <v>446979077.867758</v>
      </c>
      <c r="M18" s="412">
        <f ca="1" t="shared" si="6"/>
        <v>5852.81692542554</v>
      </c>
      <c r="N18" s="412">
        <f ca="1" t="shared" si="7"/>
        <v>116354730147.659</v>
      </c>
      <c r="O18" s="450">
        <f ca="1" t="shared" si="8"/>
        <v>0</v>
      </c>
      <c r="P18" s="451"/>
      <c r="Q18" s="477" t="str">
        <f t="shared" si="0"/>
        <v>I-135</v>
      </c>
      <c r="R18" s="412">
        <f ca="1" t="shared" si="9"/>
        <v>0</v>
      </c>
      <c r="S18" s="412">
        <f ca="1">I18*(1-过滤效率!$B15)</f>
        <v>5511829763.60528</v>
      </c>
      <c r="T18" s="412">
        <f ca="1">J18*(1-过滤效率!$B15)</f>
        <v>126637541.122354</v>
      </c>
      <c r="U18" s="412">
        <f ca="1">K18*(1-过滤效率!$B15)</f>
        <v>156919956.121096</v>
      </c>
      <c r="V18" s="412">
        <f ca="1">L18*(1-过滤效率!$B15)</f>
        <v>22348953.8933879</v>
      </c>
      <c r="W18" s="412">
        <f ca="1">M18*(1-过滤效率!$B15)</f>
        <v>292.640846271277</v>
      </c>
      <c r="X18" s="412">
        <f ca="1" t="shared" si="10"/>
        <v>5817736507.38297</v>
      </c>
      <c r="Y18" s="493"/>
      <c r="Z18" s="494">
        <f>VLOOKUP(G18,衰变常数!$A$1:$H$3800,7,FALSE)</f>
        <v>2.93060705462517e-5</v>
      </c>
      <c r="AA18" s="495">
        <f>正常源项!C15</f>
        <v>3.77e+17</v>
      </c>
      <c r="AB18" s="496">
        <f>正常源项!F15</f>
        <v>0</v>
      </c>
      <c r="AC18" s="496">
        <f>正常源项!I15</f>
        <v>173000000</v>
      </c>
      <c r="AD18" s="497"/>
      <c r="AE18" s="496">
        <f>正常源项!O15</f>
        <v>134000000000</v>
      </c>
      <c r="AF18" s="498">
        <f t="shared" si="157"/>
        <v>0</v>
      </c>
      <c r="AG18" s="519">
        <f t="shared" si="158"/>
        <v>0</v>
      </c>
      <c r="AH18" s="523">
        <v>1</v>
      </c>
      <c r="AI18" s="519">
        <f t="shared" si="159"/>
        <v>7052631578.94737</v>
      </c>
      <c r="AJ18" s="521"/>
      <c r="AK18" s="521"/>
      <c r="AL18" s="519">
        <f t="shared" si="11"/>
        <v>55155100</v>
      </c>
      <c r="AM18" s="520">
        <f t="shared" si="12"/>
        <v>1583400000000</v>
      </c>
      <c r="AN18" s="519">
        <f ca="1">MAX(INDIRECT("'"&amp;$B$2&amp;"-事故进程'!Y"&amp;(ROW()+22)),INDIRECT("'"&amp;$B$2&amp;"-事故进程'!Z"&amp;(ROW()+22)),INDIRECT("'"&amp;$B$2&amp;"-事故进程'!AA"&amp;(ROW()+22)))</f>
        <v>8.97111236854114e-12</v>
      </c>
      <c r="AO18" s="519">
        <f ca="1" t="shared" si="13"/>
        <v>19043385149.1589</v>
      </c>
      <c r="AP18" s="560">
        <f t="shared" si="14"/>
        <v>2.18389512569288e+16</v>
      </c>
      <c r="AQ18" s="561">
        <f ca="1">(AC18*$C$5+AD18*$C$8+AF18+AG18+AI18+(AL18+AM18)*$C$10)*EXP(-Z18*$C$12*3600)+AO18*$C$11</f>
        <v>111188743678.641</v>
      </c>
      <c r="AR18" s="562">
        <f ca="1">AQ18*(1-AR$3)</f>
        <v>111188743678.641</v>
      </c>
      <c r="AS18" s="563">
        <f ca="1" t="shared" si="15"/>
        <v>0</v>
      </c>
      <c r="AT18" s="562">
        <f ca="1">AS18*(1-AT$3)</f>
        <v>0</v>
      </c>
      <c r="AU18" s="564">
        <f ca="1" t="shared" si="16"/>
        <v>0</v>
      </c>
      <c r="AV18" s="565">
        <f>AV$3*3600</f>
        <v>7200</v>
      </c>
      <c r="AW18" s="580">
        <f>AP18*EXP(-Z18*AW$3*3600)</f>
        <v>2.18389512569288e+16</v>
      </c>
      <c r="AX18" s="580">
        <f ca="1" t="shared" si="17"/>
        <v>111188743678.641</v>
      </c>
      <c r="AY18" s="581">
        <f ca="1" t="shared" si="18"/>
        <v>0</v>
      </c>
      <c r="AZ18" s="580">
        <v>0</v>
      </c>
      <c r="BA18" s="580">
        <f ca="1">MAX(INDIRECT("'"&amp;$B$2&amp;"-事故进程'!Y"&amp;(ROW()+22)),INDIRECT("'"&amp;$B$2&amp;"-事故进程'!Z"&amp;(ROW()+22)))</f>
        <v>8.16581981569396e-12</v>
      </c>
      <c r="BB18" s="580">
        <f ca="1">SUM(BA$3,-LN(1-BB$3)/AV18)</f>
        <v>0.00160041330566996</v>
      </c>
      <c r="BC18" s="580">
        <f>BC$3/24/3600</f>
        <v>1157407407407410</v>
      </c>
      <c r="BD18" s="582">
        <f ca="1" t="shared" si="19"/>
        <v>0.809771016689248</v>
      </c>
      <c r="BE18" s="582">
        <f ca="1" t="shared" si="20"/>
        <v>8.0167335365586e-6</v>
      </c>
      <c r="BF18" s="582">
        <f t="shared" si="21"/>
        <v>0</v>
      </c>
      <c r="BG18" s="582">
        <f ca="1" t="shared" si="22"/>
        <v>-177769610.975149</v>
      </c>
      <c r="BH18" s="582">
        <f ca="1" t="shared" si="23"/>
        <v>-1.53747024327957e-7</v>
      </c>
      <c r="BI18" s="582">
        <f ca="1" t="shared" si="24"/>
        <v>1.00000000510232</v>
      </c>
      <c r="BJ18" s="580">
        <f ca="1" t="shared" si="25"/>
        <v>1.76845497627502e+16</v>
      </c>
      <c r="BK18" s="580">
        <f ca="1" t="shared" si="26"/>
        <v>91122698.5640559</v>
      </c>
      <c r="BL18" s="586">
        <f ca="1" t="shared" si="27"/>
        <v>1.26000558055125e-10</v>
      </c>
      <c r="BM18" s="594">
        <f ca="1" t="shared" si="28"/>
        <v>90986048335.4359</v>
      </c>
      <c r="BN18" s="580">
        <f ca="1" t="shared" si="29"/>
        <v>1157578752.74998</v>
      </c>
      <c r="BO18" s="580">
        <f ca="1" t="shared" si="30"/>
        <v>110236595272.106</v>
      </c>
      <c r="BP18" s="595">
        <f ca="1" t="shared" si="31"/>
        <v>110236595272.106</v>
      </c>
      <c r="BQ18" s="596">
        <f>BQ$3*3600</f>
        <v>21600</v>
      </c>
      <c r="BR18" s="580">
        <f ca="1" t="shared" ref="BR18:BU18" si="180">BJ18</f>
        <v>1.76845497627502e+16</v>
      </c>
      <c r="BS18" s="580">
        <f ca="1" t="shared" si="180"/>
        <v>91122698.5640559</v>
      </c>
      <c r="BT18" s="581">
        <f ca="1" t="shared" si="180"/>
        <v>1.26000558055125e-10</v>
      </c>
      <c r="BU18" s="580">
        <f ca="1" t="shared" si="180"/>
        <v>90986048335.4359</v>
      </c>
      <c r="BV18" s="580">
        <f ca="1">MAX(INDIRECT("'"&amp;$B$2&amp;"-事故进程'!Z"&amp;(ROW()+22)),INDIRECT("'"&amp;$B$2&amp;"-事故进程'!AA"&amp;(ROW()+22)))</f>
        <v>8.97111236854114e-12</v>
      </c>
      <c r="BW18" s="580">
        <f ca="1">SUM(BV$3,-LN(1-BW$3)/BQ18)</f>
        <v>0.00162728102077123</v>
      </c>
      <c r="BX18" s="580">
        <f>BX$3/24/3600</f>
        <v>1157407407407410</v>
      </c>
      <c r="BY18" s="582">
        <f ca="1" t="shared" si="33"/>
        <v>0.530990410314281</v>
      </c>
      <c r="BZ18" s="582">
        <f ca="1" t="shared" si="34"/>
        <v>2.88371765875574e-16</v>
      </c>
      <c r="CA18" s="582">
        <f t="shared" si="35"/>
        <v>0</v>
      </c>
      <c r="CB18" s="582">
        <f ca="1" t="shared" si="36"/>
        <v>10367.8459914152</v>
      </c>
      <c r="CC18" s="582">
        <f ca="1" t="shared" si="37"/>
        <v>-2.11529552049608e-12</v>
      </c>
      <c r="CD18" s="582">
        <f ca="1" t="shared" si="38"/>
        <v>1.00000000551295</v>
      </c>
      <c r="CE18" s="580">
        <f ca="1" t="shared" si="39"/>
        <v>9390326334746030</v>
      </c>
      <c r="CF18" s="580">
        <f ca="1" t="shared" si="40"/>
        <v>51768362.1423742</v>
      </c>
      <c r="CG18" s="586">
        <f ca="1" t="shared" si="41"/>
        <v>7.27848056367626e-11</v>
      </c>
      <c r="CH18" s="594">
        <f ca="1" t="shared" si="42"/>
        <v>50128965735.8576</v>
      </c>
      <c r="CI18" s="580">
        <f ca="1" t="shared" si="43"/>
        <v>2539009366.24171</v>
      </c>
      <c r="CJ18" s="580">
        <f ca="1" t="shared" si="44"/>
        <v>2532750822.44708</v>
      </c>
      <c r="CK18" s="595">
        <f ca="1" t="shared" si="45"/>
        <v>2532750822.44708</v>
      </c>
      <c r="CL18" s="596">
        <f>CL$3*3600</f>
        <v>57600</v>
      </c>
      <c r="CM18" s="580">
        <f ca="1" t="shared" ref="CM18:CP18" si="181">CE18</f>
        <v>9390326334746030</v>
      </c>
      <c r="CN18" s="580">
        <f ca="1" t="shared" si="181"/>
        <v>51768362.1423742</v>
      </c>
      <c r="CO18" s="581">
        <f ca="1" t="shared" si="181"/>
        <v>7.27848056367626e-11</v>
      </c>
      <c r="CP18" s="580">
        <f ca="1" t="shared" si="181"/>
        <v>50128965735.8576</v>
      </c>
      <c r="CQ18" s="580">
        <f ca="1">MAX(INDIRECT("'"&amp;$B$2&amp;"-事故进程'!AA"&amp;(ROW()+22)),INDIRECT("'"&amp;$B$2&amp;"-事故进程'!AB"&amp;(ROW()+22)))</f>
        <v>9.12723033599264e-11</v>
      </c>
      <c r="CR18" s="580">
        <f ca="1">SUM(CQ$3,-LN(1-CR$3)/CL18)</f>
        <v>6.95458811586267e-6</v>
      </c>
      <c r="CS18" s="580">
        <f>CS$3/24/3600</f>
        <v>1157407407407410</v>
      </c>
      <c r="CT18" s="582">
        <f ca="1" t="shared" si="47"/>
        <v>0.184882475978947</v>
      </c>
      <c r="CU18" s="582">
        <f ca="1" t="shared" si="48"/>
        <v>0.123858692606935</v>
      </c>
      <c r="CV18" s="582">
        <f t="shared" si="49"/>
        <v>0</v>
      </c>
      <c r="CW18" s="582">
        <f ca="1" t="shared" si="50"/>
        <v>856716.69096253</v>
      </c>
      <c r="CX18" s="582">
        <f ca="1" t="shared" si="51"/>
        <v>7.24737417591437e-11</v>
      </c>
      <c r="CY18" s="582">
        <f ca="1" t="shared" si="52"/>
        <v>1.00001312421379</v>
      </c>
      <c r="CZ18" s="580">
        <f ca="1" t="shared" si="53"/>
        <v>1736106783018150</v>
      </c>
      <c r="DA18" s="580">
        <f ca="1" t="shared" si="54"/>
        <v>7527022711.38127</v>
      </c>
      <c r="DB18" s="586">
        <f ca="1" t="shared" si="55"/>
        <v>4.52281040896901e-11</v>
      </c>
      <c r="DC18" s="594">
        <f ca="1" t="shared" si="56"/>
        <v>10877796004.1187</v>
      </c>
      <c r="DD18" s="580">
        <f ca="1" t="shared" si="57"/>
        <v>23838612959.0829</v>
      </c>
      <c r="DE18" s="580">
        <f ca="1" t="shared" si="58"/>
        <v>3138399122.42191</v>
      </c>
      <c r="DF18" s="595">
        <f ca="1" t="shared" si="59"/>
        <v>3138399122.42191</v>
      </c>
      <c r="DG18" s="596">
        <f>DG$3*3600</f>
        <v>86400</v>
      </c>
      <c r="DH18" s="580">
        <f ca="1" t="shared" ref="DH18:DK18" si="182">CZ18</f>
        <v>1736106783018150</v>
      </c>
      <c r="DI18" s="580">
        <f ca="1" t="shared" si="182"/>
        <v>7527022711.38127</v>
      </c>
      <c r="DJ18" s="581">
        <f ca="1" t="shared" si="182"/>
        <v>4.52281040896901e-11</v>
      </c>
      <c r="DK18" s="580">
        <f ca="1" t="shared" si="182"/>
        <v>10877796004.1187</v>
      </c>
      <c r="DL18" s="580">
        <f ca="1">MAX(INDIRECT("'"&amp;$B$2&amp;"-事故进程'!AB"&amp;(ROW()+22)),INDIRECT("'"&amp;$B$2&amp;"-事故进程'!AC"&amp;(ROW()+22)))</f>
        <v>1.44318521305243e-10</v>
      </c>
      <c r="DM18" s="580">
        <f ca="1">SUM(DL$3,-LN(1-DM$3)/DG18)</f>
        <v>1.01371476497628e-6</v>
      </c>
      <c r="DN18" s="580">
        <f>DN$3/24/3600</f>
        <v>1157407407407410</v>
      </c>
      <c r="DO18" s="582">
        <f ca="1" t="shared" si="61"/>
        <v>0.0794953329309305</v>
      </c>
      <c r="DP18" s="582">
        <f ca="1" t="shared" si="62"/>
        <v>0.0728298448622304</v>
      </c>
      <c r="DQ18" s="582">
        <f t="shared" si="63"/>
        <v>0</v>
      </c>
      <c r="DR18" s="582">
        <f ca="1" t="shared" si="64"/>
        <v>242923.195983131</v>
      </c>
      <c r="DS18" s="582">
        <f ca="1" t="shared" si="65"/>
        <v>3.86355645828533e-11</v>
      </c>
      <c r="DT18" s="582">
        <f ca="1" t="shared" si="66"/>
        <v>1.00014238627597</v>
      </c>
      <c r="DU18" s="580">
        <f ca="1" t="shared" si="67"/>
        <v>138012386719675</v>
      </c>
      <c r="DV18" s="580">
        <f ca="1" t="shared" si="68"/>
        <v>2195885746.35999</v>
      </c>
      <c r="DW18" s="586">
        <f ca="1" t="shared" si="69"/>
        <v>1.92326555803916e-12</v>
      </c>
      <c r="DX18" s="594">
        <f ca="1" t="shared" si="70"/>
        <v>988133462.390007</v>
      </c>
      <c r="DY18" s="580">
        <f ca="1" t="shared" si="71"/>
        <v>7869819464.71776</v>
      </c>
      <c r="DZ18" s="580">
        <f ca="1" t="shared" si="72"/>
        <v>441362110.82205</v>
      </c>
      <c r="EA18" s="595">
        <f ca="1" t="shared" si="73"/>
        <v>441362110.82205</v>
      </c>
      <c r="EB18" s="596">
        <f>EB$3*3600</f>
        <v>172800</v>
      </c>
      <c r="EC18" s="580">
        <f ca="1" t="shared" ref="EC18:EF18" si="183">DU18</f>
        <v>138012386719675</v>
      </c>
      <c r="ED18" s="580">
        <f ca="1" t="shared" si="183"/>
        <v>2195885746.35999</v>
      </c>
      <c r="EE18" s="581">
        <f ca="1" t="shared" si="183"/>
        <v>1.92326555803916e-12</v>
      </c>
      <c r="EF18" s="580">
        <f ca="1" t="shared" si="183"/>
        <v>988133462.390007</v>
      </c>
      <c r="EG18" s="580">
        <f ca="1">MAX(INDIRECT("'"&amp;$B$2&amp;"-事故进程'!AC"&amp;(ROW()+22)),INDIRECT("'"&amp;$B$2&amp;"-事故进程'!AD"&amp;(ROW()+22)),INDIRECT("'"&amp;$B$2&amp;"-事故进程'!AE"&amp;(ROW()+22)))</f>
        <v>1.44318521305243e-10</v>
      </c>
      <c r="EH18" s="580">
        <f ca="1">SUM(EG$3,-LN(1-EH$3)/EB18)</f>
        <v>5.81616658188741e-8</v>
      </c>
      <c r="EI18" s="580">
        <f>EI$3/24/3600</f>
        <v>1157407407407410</v>
      </c>
      <c r="EJ18" s="582">
        <f ca="1" t="shared" si="75"/>
        <v>0.00631950795779948</v>
      </c>
      <c r="EK18" s="582">
        <f ca="1" t="shared" si="76"/>
        <v>0.00625646890160204</v>
      </c>
      <c r="EL18" s="582">
        <f t="shared" si="77"/>
        <v>0</v>
      </c>
      <c r="EM18" s="582">
        <f ca="1" t="shared" si="78"/>
        <v>19790.3441072185</v>
      </c>
      <c r="EN18" s="582">
        <f ca="1" t="shared" si="79"/>
        <v>1.81291861180499e-12</v>
      </c>
      <c r="EO18" s="582">
        <f ca="1" t="shared" si="80"/>
        <v>1.00248750637572</v>
      </c>
      <c r="EP18" s="580">
        <f ca="1" t="shared" si="81"/>
        <v>872170376149.884</v>
      </c>
      <c r="EQ18" s="580">
        <f ca="1" t="shared" si="82"/>
        <v>35380220.7268331</v>
      </c>
      <c r="ER18" s="586">
        <f ca="1" t="shared" si="83"/>
        <v>1.77791550437845e-15</v>
      </c>
      <c r="ES18" s="594">
        <f ca="1" t="shared" si="84"/>
        <v>6492381.59189248</v>
      </c>
      <c r="ET18" s="580">
        <f ca="1" t="shared" si="85"/>
        <v>675347305.187784</v>
      </c>
      <c r="EU18" s="580">
        <f ca="1" t="shared" si="86"/>
        <v>5616967.04570806</v>
      </c>
      <c r="EV18" s="595">
        <f ca="1" t="shared" si="87"/>
        <v>5616967.04570806</v>
      </c>
      <c r="EW18" s="596">
        <f>EW$3*3600</f>
        <v>2246400</v>
      </c>
      <c r="EX18" s="580">
        <f ca="1" t="shared" ref="EX18:FA18" si="184">EP18</f>
        <v>872170376149.884</v>
      </c>
      <c r="EY18" s="580">
        <f ca="1" t="shared" si="184"/>
        <v>35380220.7268331</v>
      </c>
      <c r="EZ18" s="581">
        <f ca="1" t="shared" si="184"/>
        <v>1.77791550437845e-15</v>
      </c>
      <c r="FA18" s="580">
        <f ca="1" t="shared" si="184"/>
        <v>6492381.59189248</v>
      </c>
      <c r="FB18" s="580">
        <f ca="1">INDIRECT("'"&amp;$B$2&amp;"-事故进程'!AE"&amp;(ROW()+22))</f>
        <v>9.95810629932858e-11</v>
      </c>
      <c r="FC18" s="580">
        <f ca="1">SUM(FB$3,-LN(1-FC$3)/EW18)</f>
        <v>4.47397429375955e-9</v>
      </c>
      <c r="FD18" s="580">
        <f>FD$3/24/3600</f>
        <v>1157407407407410</v>
      </c>
      <c r="FE18" s="582">
        <f ca="1" t="shared" si="89"/>
        <v>2.56404764922693e-29</v>
      </c>
      <c r="FF18" s="582">
        <f ca="1" t="shared" si="90"/>
        <v>2.53897507514393e-29</v>
      </c>
      <c r="FG18" s="582">
        <f t="shared" si="91"/>
        <v>0</v>
      </c>
      <c r="FH18" s="582">
        <f ca="1" t="shared" si="92"/>
        <v>86.696886170209</v>
      </c>
      <c r="FI18" s="582">
        <f ca="1" t="shared" si="93"/>
        <v>1.64115277327242e-15</v>
      </c>
      <c r="FJ18" s="582">
        <f ca="1" t="shared" si="94"/>
        <v>1.02276454304403</v>
      </c>
      <c r="FK18" s="580">
        <f ca="1" t="shared" si="95"/>
        <v>2.23628640269248e-17</v>
      </c>
      <c r="FL18" s="580">
        <f ca="1" t="shared" si="96"/>
        <v>5.87634426808685e-21</v>
      </c>
      <c r="FM18" s="586">
        <f ca="1" t="shared" si="97"/>
        <v>2.27150898019502e-44</v>
      </c>
      <c r="FN18" s="594">
        <f ca="1" t="shared" si="98"/>
        <v>2.00637060277302e-22</v>
      </c>
      <c r="FO18" s="580">
        <f ca="1" t="shared" si="99"/>
        <v>2963596.1570874</v>
      </c>
      <c r="FP18" s="580">
        <f ca="1" t="shared" si="100"/>
        <v>5852.81692542566</v>
      </c>
      <c r="FQ18" s="595">
        <f ca="1" t="shared" si="101"/>
        <v>5852.81692542554</v>
      </c>
      <c r="FR18" s="608" t="str">
        <f t="shared" si="102"/>
        <v>I-135</v>
      </c>
      <c r="FS18" s="609">
        <v>4810000000</v>
      </c>
      <c r="FT18" s="610">
        <v>54300000000</v>
      </c>
      <c r="FU18" s="610">
        <v>51900000000</v>
      </c>
      <c r="FV18" s="610">
        <v>9340000000</v>
      </c>
      <c r="FW18" s="610">
        <v>120000000000</v>
      </c>
      <c r="FX18" s="614">
        <f ca="1" t="shared" si="103"/>
        <v>0</v>
      </c>
      <c r="FY18" s="614">
        <f ca="1" t="shared" si="104"/>
        <v>2.0767835376529</v>
      </c>
      <c r="FZ18" s="614">
        <f ca="1" t="shared" si="105"/>
        <v>0.06047011796574</v>
      </c>
      <c r="GA18" s="614">
        <f ca="1" t="shared" si="106"/>
        <v>0.0478564323198884</v>
      </c>
      <c r="GB18" s="614">
        <f ca="1" t="shared" si="107"/>
        <v>0.969622702457019</v>
      </c>
      <c r="GC18" s="455">
        <f ca="1" t="shared" si="108"/>
        <v>0.969622751230494</v>
      </c>
      <c r="GE18" s="609">
        <v>726033730.69528</v>
      </c>
      <c r="GF18" s="610">
        <v>3786646683.3777</v>
      </c>
      <c r="GG18" s="610">
        <v>5549819971.55389</v>
      </c>
      <c r="GH18" s="610">
        <v>1456467767.8455</v>
      </c>
      <c r="GI18" s="610">
        <v>242171333.196658</v>
      </c>
      <c r="GJ18" s="610">
        <v>891925.13624755</v>
      </c>
      <c r="GK18" s="617">
        <v>11762031411.8053</v>
      </c>
      <c r="GL18" s="614">
        <f ca="1" t="shared" si="109"/>
        <v>0</v>
      </c>
      <c r="GM18" s="614">
        <f ca="1" t="shared" si="110"/>
        <v>29.7807943343587</v>
      </c>
      <c r="GN18" s="614">
        <f ca="1" t="shared" si="111"/>
        <v>0.565495662653574</v>
      </c>
      <c r="GO18" s="614">
        <f ca="1" t="shared" si="112"/>
        <v>0.263139520097898</v>
      </c>
      <c r="GP18" s="614">
        <f ca="1" t="shared" si="113"/>
        <v>0.006562004688027</v>
      </c>
      <c r="GQ18" s="614">
        <f ca="1" t="shared" si="114"/>
        <v>9.89240090201396</v>
      </c>
      <c r="GR18" s="451">
        <f t="shared" si="115"/>
        <v>2.93060705462517e-5</v>
      </c>
      <c r="GS18" s="390">
        <f t="shared" si="116"/>
        <v>23652</v>
      </c>
    </row>
    <row r="19" s="389" customFormat="1" spans="1:201">
      <c r="A19" s="430"/>
      <c r="B19" s="407" t="s">
        <v>272</v>
      </c>
      <c r="C19" s="635">
        <v>1e+20</v>
      </c>
      <c r="D19" s="410" t="s">
        <v>273</v>
      </c>
      <c r="E19" s="409" t="s">
        <v>274</v>
      </c>
      <c r="G19" s="411" t="s">
        <v>60</v>
      </c>
      <c r="H19" s="412">
        <f ca="1" t="shared" si="1"/>
        <v>0</v>
      </c>
      <c r="I19" s="412">
        <f ca="1" t="shared" si="2"/>
        <v>501205010.071676</v>
      </c>
      <c r="J19" s="412">
        <f ca="1" t="shared" si="3"/>
        <v>1010958.43866211</v>
      </c>
      <c r="K19" s="412">
        <f ca="1" t="shared" si="4"/>
        <v>536537038.381448</v>
      </c>
      <c r="L19" s="412">
        <f ca="1" t="shared" si="5"/>
        <v>489882450.975155</v>
      </c>
      <c r="M19" s="412">
        <f ca="1" t="shared" si="6"/>
        <v>170072198.230875</v>
      </c>
      <c r="N19" s="412">
        <f ca="1" t="shared" si="7"/>
        <v>1698707656.09782</v>
      </c>
      <c r="O19" s="450">
        <f ca="1" t="shared" si="8"/>
        <v>0</v>
      </c>
      <c r="P19" s="451"/>
      <c r="Q19" s="477" t="str">
        <f t="shared" si="0"/>
        <v>Sr-89</v>
      </c>
      <c r="R19" s="412">
        <f ca="1" t="shared" si="9"/>
        <v>0</v>
      </c>
      <c r="S19" s="412">
        <f ca="1">I19*(1-过滤效率!$B16)</f>
        <v>501205.010071676</v>
      </c>
      <c r="T19" s="412">
        <f ca="1">J19*(1-过滤效率!$B16)</f>
        <v>1010.95843866212</v>
      </c>
      <c r="U19" s="412">
        <f ca="1">K19*(1-过滤效率!$B16)</f>
        <v>536537.038381448</v>
      </c>
      <c r="V19" s="412">
        <f ca="1">L19*(1-过滤效率!$B16)</f>
        <v>489882.450975155</v>
      </c>
      <c r="W19" s="412">
        <f ca="1">M19*(1-过滤效率!$B16)</f>
        <v>170072.198230875</v>
      </c>
      <c r="X19" s="412">
        <f ca="1" t="shared" si="10"/>
        <v>1698707.65609782</v>
      </c>
      <c r="Y19" s="493"/>
      <c r="Z19" s="494">
        <f>VLOOKUP(G19,衰变常数!$A$1:$H$3800,7,FALSE)</f>
        <v>1.58767797586313e-7</v>
      </c>
      <c r="AA19" s="495">
        <f>正常源项!C16</f>
        <v>2.39e+17</v>
      </c>
      <c r="AB19" s="496">
        <f>正常源项!F16</f>
        <v>0</v>
      </c>
      <c r="AC19" s="496">
        <f>正常源项!I16</f>
        <v>2860</v>
      </c>
      <c r="AD19" s="497"/>
      <c r="AE19" s="496">
        <f>正常源项!O16</f>
        <v>5990000000</v>
      </c>
      <c r="AF19" s="498">
        <f t="shared" si="157"/>
        <v>0</v>
      </c>
      <c r="AG19" s="519">
        <f t="shared" ref="AG19:AG23" si="185">AE19*MIN(100%,$C$7/500)</f>
        <v>0</v>
      </c>
      <c r="AH19" s="523">
        <v>0.95</v>
      </c>
      <c r="AI19" s="519">
        <f t="shared" si="159"/>
        <v>299500000</v>
      </c>
      <c r="AJ19" s="521">
        <v>0.00041</v>
      </c>
      <c r="AK19" s="521">
        <v>2.47e-9</v>
      </c>
      <c r="AL19" s="524">
        <f t="shared" ref="AL19:AL21" si="186">AA19*(AJ19-AK19)*0.00000209</f>
        <v>204797866.2103</v>
      </c>
      <c r="AM19" s="520"/>
      <c r="AN19" s="519">
        <f ca="1">MAX(INDIRECT("'"&amp;$B$2&amp;"-事故进程'!Y"&amp;(ROW()+22)),INDIRECT("'"&amp;$B$2&amp;"-事故进程'!Z"&amp;(ROW()+22)),INDIRECT("'"&amp;$B$2&amp;"-事故进程'!AA"&amp;(ROW()+22)))</f>
        <v>2.039939e-16</v>
      </c>
      <c r="AO19" s="519">
        <f ca="1" t="shared" si="13"/>
        <v>4666380.39320344</v>
      </c>
      <c r="AP19" s="560">
        <f t="shared" si="14"/>
        <v>2.3534001058332e+17</v>
      </c>
      <c r="AQ19" s="561">
        <f ca="1">(AC19*$C$5+AD19*$C$8+AF19+AG19+AI19+(AL19+AM19)*$C$10)*EXP(-Z19*$C$12*3600)+AO19*$C$11</f>
        <v>501244364.675663</v>
      </c>
      <c r="AR19" s="562">
        <f ca="1">AQ19*(1-AR$3)</f>
        <v>501244364.675663</v>
      </c>
      <c r="AS19" s="563">
        <f ca="1" t="shared" si="15"/>
        <v>0</v>
      </c>
      <c r="AT19" s="562">
        <f ca="1">AS19*(1-AT$3)</f>
        <v>0</v>
      </c>
      <c r="AU19" s="564">
        <f ca="1" t="shared" si="16"/>
        <v>0</v>
      </c>
      <c r="AV19" s="565">
        <f>AV$3*3600</f>
        <v>7200</v>
      </c>
      <c r="AW19" s="580">
        <f>AP19*EXP(-Z19*AW$3*3600)</f>
        <v>2.3534001058332e+17</v>
      </c>
      <c r="AX19" s="580">
        <f ca="1" t="shared" si="17"/>
        <v>501244364.675663</v>
      </c>
      <c r="AY19" s="581">
        <f ca="1" t="shared" si="18"/>
        <v>0</v>
      </c>
      <c r="AZ19" s="580">
        <v>0</v>
      </c>
      <c r="BA19" s="580">
        <f ca="1">MAX(INDIRECT("'"&amp;$B$2&amp;"-事故进程'!Y"&amp;(ROW()+22)),INDIRECT("'"&amp;$B$2&amp;"-事故进程'!Z"&amp;(ROW()+22)))</f>
        <v>9.908e-18</v>
      </c>
      <c r="BB19" s="580">
        <f ca="1">SUM(BA$3,-LN(1-BB$3)/AV19)</f>
        <v>0.00160041330566996</v>
      </c>
      <c r="BC19" s="580">
        <f>BC$3/24/3600</f>
        <v>1157407407407410</v>
      </c>
      <c r="BD19" s="582">
        <f ca="1" t="shared" si="19"/>
        <v>0.998857524979391</v>
      </c>
      <c r="BE19" s="582">
        <f ca="1" t="shared" si="20"/>
        <v>9.88868949729669e-6</v>
      </c>
      <c r="BF19" s="582">
        <f t="shared" si="21"/>
        <v>0</v>
      </c>
      <c r="BG19" s="582">
        <f ca="1" t="shared" si="22"/>
        <v>-802195.818870188</v>
      </c>
      <c r="BH19" s="582">
        <f ca="1" t="shared" si="23"/>
        <v>-6.93099202134831e-10</v>
      </c>
      <c r="BI19" s="582">
        <f ca="1" t="shared" si="24"/>
        <v>1.00000000000001</v>
      </c>
      <c r="BJ19" s="580">
        <f ca="1" t="shared" si="25"/>
        <v>2.35071140499878e+17</v>
      </c>
      <c r="BK19" s="580">
        <f ca="1" t="shared" si="26"/>
        <v>6411.9375867186</v>
      </c>
      <c r="BL19" s="586">
        <f ca="1" t="shared" si="27"/>
        <v>8.86615219777807e-15</v>
      </c>
      <c r="BM19" s="594">
        <f ca="1" t="shared" si="28"/>
        <v>500682068.062413</v>
      </c>
      <c r="BN19" s="580">
        <f ca="1" t="shared" si="29"/>
        <v>16778.9994386046</v>
      </c>
      <c r="BO19" s="580">
        <f ca="1" t="shared" si="30"/>
        <v>501205010.071676</v>
      </c>
      <c r="BP19" s="595">
        <f ca="1" t="shared" si="31"/>
        <v>501205010.071676</v>
      </c>
      <c r="BQ19" s="596">
        <f>BQ$3*3600</f>
        <v>21600</v>
      </c>
      <c r="BR19" s="580">
        <f ca="1" t="shared" ref="BR19:BU19" si="187">BJ19</f>
        <v>2.35071140499878e+17</v>
      </c>
      <c r="BS19" s="580">
        <f ca="1" t="shared" si="187"/>
        <v>6411.9375867186</v>
      </c>
      <c r="BT19" s="581">
        <f ca="1" t="shared" si="187"/>
        <v>8.86615219777807e-15</v>
      </c>
      <c r="BU19" s="580">
        <f ca="1" t="shared" si="187"/>
        <v>500682068.062413</v>
      </c>
      <c r="BV19" s="580">
        <f ca="1">MAX(INDIRECT("'"&amp;$B$2&amp;"-事故进程'!Z"&amp;(ROW()+22)),INDIRECT("'"&amp;$B$2&amp;"-事故进程'!AA"&amp;(ROW()+22)))</f>
        <v>2.039939e-16</v>
      </c>
      <c r="BW19" s="580">
        <f ca="1">SUM(BV$3,-LN(1-BW$3)/BQ19)</f>
        <v>0.00162728102077123</v>
      </c>
      <c r="BX19" s="580">
        <f>BX$3/24/3600</f>
        <v>1157407407407410</v>
      </c>
      <c r="BY19" s="582">
        <f ca="1" t="shared" si="33"/>
        <v>0.9965764891903</v>
      </c>
      <c r="BZ19" s="582">
        <f ca="1" t="shared" si="34"/>
        <v>5.41223458557061e-16</v>
      </c>
      <c r="CA19" s="582">
        <f t="shared" si="35"/>
        <v>0</v>
      </c>
      <c r="CB19" s="582">
        <f ca="1" t="shared" si="36"/>
        <v>37.5190543867826</v>
      </c>
      <c r="CC19" s="582">
        <f ca="1" t="shared" si="37"/>
        <v>-1.48844833050591e-16</v>
      </c>
      <c r="CD19" s="582">
        <f ca="1" t="shared" si="38"/>
        <v>1.00000000000013</v>
      </c>
      <c r="CE19" s="580">
        <f ca="1" t="shared" si="39"/>
        <v>2.34266371909329e+17</v>
      </c>
      <c r="CF19" s="580">
        <f ca="1" t="shared" si="40"/>
        <v>29367.3374387365</v>
      </c>
      <c r="CG19" s="586">
        <f ca="1" t="shared" si="41"/>
        <v>4.12896189697693e-14</v>
      </c>
      <c r="CH19" s="594">
        <f ca="1" t="shared" si="42"/>
        <v>499977256.662561</v>
      </c>
      <c r="CI19" s="580">
        <f ca="1" t="shared" si="43"/>
        <v>1034012.47399424</v>
      </c>
      <c r="CJ19" s="580">
        <f ca="1" t="shared" si="44"/>
        <v>1010958.43866211</v>
      </c>
      <c r="CK19" s="595">
        <f ca="1" t="shared" si="45"/>
        <v>1010958.43866211</v>
      </c>
      <c r="CL19" s="596">
        <f>CL$3*3600</f>
        <v>57600</v>
      </c>
      <c r="CM19" s="580">
        <f ca="1" t="shared" ref="CM19:CP19" si="188">CE19</f>
        <v>2.34266371909329e+17</v>
      </c>
      <c r="CN19" s="580">
        <f ca="1" t="shared" si="188"/>
        <v>29367.3374387365</v>
      </c>
      <c r="CO19" s="581">
        <f ca="1" t="shared" si="188"/>
        <v>4.12896189697693e-14</v>
      </c>
      <c r="CP19" s="580">
        <f ca="1" t="shared" si="188"/>
        <v>499977256.662561</v>
      </c>
      <c r="CQ19" s="580">
        <f ca="1">MAX(INDIRECT("'"&amp;$B$2&amp;"-事故进程'!AA"&amp;(ROW()+22)),INDIRECT("'"&amp;$B$2&amp;"-事故进程'!AB"&amp;(ROW()+22)))</f>
        <v>2.272423325e-13</v>
      </c>
      <c r="CR19" s="580">
        <f ca="1">SUM(CQ$3,-LN(1-CR$3)/CL19)</f>
        <v>6.95458811586267e-6</v>
      </c>
      <c r="CS19" s="580">
        <f>CS$3/24/3600</f>
        <v>1157407407407410</v>
      </c>
      <c r="CT19" s="582">
        <f ca="1" t="shared" si="47"/>
        <v>0.990896650453662</v>
      </c>
      <c r="CU19" s="582">
        <f ca="1" t="shared" si="48"/>
        <v>0.663829924168839</v>
      </c>
      <c r="CV19" s="582">
        <f t="shared" si="49"/>
        <v>0</v>
      </c>
      <c r="CW19" s="582">
        <f ca="1" t="shared" si="50"/>
        <v>53235.032541259</v>
      </c>
      <c r="CX19" s="582">
        <f ca="1" t="shared" si="51"/>
        <v>4.1113157565912e-14</v>
      </c>
      <c r="CY19" s="582">
        <f ca="1" t="shared" si="52"/>
        <v>1.00000003267517</v>
      </c>
      <c r="CZ19" s="580">
        <f ca="1" t="shared" si="53"/>
        <v>2.32133763238885e+17</v>
      </c>
      <c r="DA19" s="580">
        <f ca="1" t="shared" si="54"/>
        <v>2503614948.04138</v>
      </c>
      <c r="DB19" s="586">
        <f ca="1" t="shared" si="55"/>
        <v>1.50436317003938e-11</v>
      </c>
      <c r="DC19" s="594">
        <f ca="1" t="shared" si="56"/>
        <v>1030275547.95862</v>
      </c>
      <c r="DD19" s="580">
        <f ca="1" t="shared" si="57"/>
        <v>3052371339.28105</v>
      </c>
      <c r="DE19" s="580">
        <f ca="1" t="shared" si="58"/>
        <v>536537038.381448</v>
      </c>
      <c r="DF19" s="595">
        <f ca="1" t="shared" si="59"/>
        <v>536537038.381448</v>
      </c>
      <c r="DG19" s="596">
        <f>DG$3*3600</f>
        <v>86400</v>
      </c>
      <c r="DH19" s="580">
        <f ca="1" t="shared" ref="DH19:DK19" si="189">CZ19</f>
        <v>2.32133763238885e+17</v>
      </c>
      <c r="DI19" s="580">
        <f ca="1" t="shared" si="189"/>
        <v>2503614948.04138</v>
      </c>
      <c r="DJ19" s="581">
        <f ca="1" t="shared" si="189"/>
        <v>1.50436317003938e-11</v>
      </c>
      <c r="DK19" s="580">
        <f ca="1" t="shared" si="189"/>
        <v>1030275547.95862</v>
      </c>
      <c r="DL19" s="580">
        <f ca="1">MAX(INDIRECT("'"&amp;$B$2&amp;"-事故进程'!AB"&amp;(ROW()+22)),INDIRECT("'"&amp;$B$2&amp;"-事故进程'!AC"&amp;(ROW()+22)))</f>
        <v>2.272423325e-13</v>
      </c>
      <c r="DM19" s="580">
        <f ca="1">SUM(DL$3,-LN(1-DM$3)/DG19)</f>
        <v>1.01371476497628e-6</v>
      </c>
      <c r="DN19" s="580">
        <f>DN$3/24/3600</f>
        <v>1157407407407410</v>
      </c>
      <c r="DO19" s="582">
        <f ca="1" t="shared" si="61"/>
        <v>0.986376099607264</v>
      </c>
      <c r="DP19" s="582">
        <f ca="1" t="shared" si="62"/>
        <v>0.903659640456274</v>
      </c>
      <c r="DQ19" s="582">
        <f t="shared" si="63"/>
        <v>0</v>
      </c>
      <c r="DR19" s="582">
        <f ca="1" t="shared" si="64"/>
        <v>50212.6669406895</v>
      </c>
      <c r="DS19" s="582">
        <f ca="1" t="shared" si="65"/>
        <v>1.28508416574047e-11</v>
      </c>
      <c r="DT19" s="582">
        <f ca="1" t="shared" si="66"/>
        <v>1.00000022416797</v>
      </c>
      <c r="DU19" s="580">
        <f ca="1" t="shared" si="67"/>
        <v>2.28971195970728e+17</v>
      </c>
      <c r="DV19" s="580">
        <f ca="1" t="shared" si="68"/>
        <v>6566728448.63136</v>
      </c>
      <c r="DW19" s="586">
        <f ca="1" t="shared" si="69"/>
        <v>5.7514662022758e-12</v>
      </c>
      <c r="DX19" s="594">
        <f ca="1" t="shared" si="70"/>
        <v>1414577151.36864</v>
      </c>
      <c r="DY19" s="580">
        <f ca="1" t="shared" si="71"/>
        <v>4526535890.83771</v>
      </c>
      <c r="DZ19" s="580">
        <f ca="1" t="shared" si="72"/>
        <v>400669600.056118</v>
      </c>
      <c r="EA19" s="595">
        <f ca="1" t="shared" si="73"/>
        <v>400669600.056118</v>
      </c>
      <c r="EB19" s="596">
        <f>EB$3*3600</f>
        <v>172800</v>
      </c>
      <c r="EC19" s="580">
        <f ca="1" t="shared" ref="EC19:EF19" si="190">DU19</f>
        <v>2.28971195970728e+17</v>
      </c>
      <c r="ED19" s="580">
        <f ca="1" t="shared" si="190"/>
        <v>6566728448.63136</v>
      </c>
      <c r="EE19" s="581">
        <f ca="1" t="shared" si="190"/>
        <v>5.7514662022758e-12</v>
      </c>
      <c r="EF19" s="580">
        <f ca="1" t="shared" si="190"/>
        <v>1414577151.36864</v>
      </c>
      <c r="EG19" s="580">
        <f ca="1">MAX(INDIRECT("'"&amp;$B$2&amp;"-事故进程'!AC"&amp;(ROW()+22)),INDIRECT("'"&amp;$B$2&amp;"-事故进程'!AD"&amp;(ROW()+22)),INDIRECT("'"&amp;$B$2&amp;"-事故进程'!AE"&amp;(ROW()+22)))</f>
        <v>1.2558905e-13</v>
      </c>
      <c r="EH19" s="580">
        <f ca="1">SUM(EG$3,-LN(1-EH$3)/EB19)</f>
        <v>5.81616658188741e-8</v>
      </c>
      <c r="EI19" s="580">
        <f>EI$3/24/3600</f>
        <v>1157407407407410</v>
      </c>
      <c r="EJ19" s="582">
        <f ca="1" t="shared" si="75"/>
        <v>0.97293782696676</v>
      </c>
      <c r="EK19" s="582">
        <f ca="1" t="shared" si="76"/>
        <v>0.963208469600438</v>
      </c>
      <c r="EL19" s="582">
        <f t="shared" si="77"/>
        <v>0</v>
      </c>
      <c r="EM19" s="582">
        <f ca="1" t="shared" si="78"/>
        <v>28374.3439384841</v>
      </c>
      <c r="EN19" s="582">
        <f ca="1" t="shared" si="79"/>
        <v>5.42147707043836e-12</v>
      </c>
      <c r="EO19" s="582">
        <f ca="1" t="shared" si="80"/>
        <v>1.00000215931438</v>
      </c>
      <c r="EP19" s="580">
        <f ca="1" t="shared" si="81"/>
        <v>2.2277473784574e+17</v>
      </c>
      <c r="EQ19" s="580">
        <f ca="1" t="shared" si="82"/>
        <v>11135525066.6086</v>
      </c>
      <c r="ER19" s="586">
        <f ca="1" t="shared" si="83"/>
        <v>5.59578834122508e-13</v>
      </c>
      <c r="ES19" s="594">
        <f ca="1" t="shared" si="84"/>
        <v>1464399381.39136</v>
      </c>
      <c r="ET19" s="580">
        <f ca="1" t="shared" si="85"/>
        <v>4901539767.71763</v>
      </c>
      <c r="EU19" s="580">
        <f ca="1" t="shared" si="86"/>
        <v>89212850.9190365</v>
      </c>
      <c r="EV19" s="595">
        <f ca="1" t="shared" si="87"/>
        <v>89212850.9190365</v>
      </c>
      <c r="EW19" s="596">
        <f>EW$3*3600</f>
        <v>2246400</v>
      </c>
      <c r="EX19" s="580">
        <f ca="1" t="shared" ref="EX19:FA19" si="191">EP19</f>
        <v>2.2277473784574e+17</v>
      </c>
      <c r="EY19" s="580">
        <f ca="1" t="shared" si="191"/>
        <v>11135525066.6086</v>
      </c>
      <c r="EZ19" s="581">
        <f ca="1" t="shared" si="191"/>
        <v>5.59578834122508e-13</v>
      </c>
      <c r="FA19" s="580">
        <f ca="1" t="shared" si="191"/>
        <v>1464399381.39136</v>
      </c>
      <c r="FB19" s="580">
        <f ca="1">INDIRECT("'"&amp;$B$2&amp;"-事故进程'!AE"&amp;(ROW()+22))</f>
        <v>3.851261e-14</v>
      </c>
      <c r="FC19" s="580">
        <f ca="1">SUM(FB$3,-LN(1-FC$3)/EW19)</f>
        <v>4.47397429375955e-9</v>
      </c>
      <c r="FD19" s="580">
        <f>FD$3/24/3600</f>
        <v>1157407407407410</v>
      </c>
      <c r="FE19" s="582">
        <f ca="1" t="shared" si="89"/>
        <v>0.700013213972997</v>
      </c>
      <c r="FF19" s="582">
        <f ca="1" t="shared" si="90"/>
        <v>0.693013141789108</v>
      </c>
      <c r="FG19" s="582">
        <f t="shared" si="91"/>
        <v>0</v>
      </c>
      <c r="FH19" s="582">
        <f ca="1" t="shared" si="92"/>
        <v>8529.81697246784</v>
      </c>
      <c r="FI19" s="582">
        <f ca="1" t="shared" si="93"/>
        <v>5.16534308420777e-13</v>
      </c>
      <c r="FJ19" s="582">
        <f ca="1" t="shared" si="94"/>
        <v>1.00000860821699</v>
      </c>
      <c r="FK19" s="580">
        <f ca="1" t="shared" si="95"/>
        <v>1.55945260231389e+17</v>
      </c>
      <c r="FL19" s="580">
        <f ca="1" t="shared" si="96"/>
        <v>21141056620.1016</v>
      </c>
      <c r="FM19" s="586">
        <f ca="1" t="shared" si="97"/>
        <v>8.17210458961186e-14</v>
      </c>
      <c r="FN19" s="594">
        <f ca="1" t="shared" si="98"/>
        <v>1170619987.89844</v>
      </c>
      <c r="FO19" s="580">
        <f ca="1" t="shared" si="99"/>
        <v>16210950977.8896</v>
      </c>
      <c r="FP19" s="580">
        <f ca="1" t="shared" si="100"/>
        <v>170072198.230874</v>
      </c>
      <c r="FQ19" s="595">
        <f ca="1" t="shared" si="101"/>
        <v>170072198.230875</v>
      </c>
      <c r="FR19" s="608" t="str">
        <f t="shared" si="102"/>
        <v>Sr-89</v>
      </c>
      <c r="FS19" s="609">
        <v>42100000</v>
      </c>
      <c r="FT19" s="610">
        <v>13500000</v>
      </c>
      <c r="FU19" s="610">
        <v>52700000</v>
      </c>
      <c r="FV19" s="610">
        <v>187000000</v>
      </c>
      <c r="FW19" s="610">
        <v>296000000</v>
      </c>
      <c r="FX19" s="614">
        <f ca="1" t="shared" si="103"/>
        <v>0</v>
      </c>
      <c r="FY19" s="614">
        <f ca="1" t="shared" si="104"/>
        <v>37.2011828526176</v>
      </c>
      <c r="FZ19" s="614">
        <f ca="1" t="shared" si="105"/>
        <v>10.1809684702362</v>
      </c>
      <c r="GA19" s="614">
        <f ca="1" t="shared" si="106"/>
        <v>2.61969225120404</v>
      </c>
      <c r="GB19" s="614">
        <f ca="1" t="shared" si="107"/>
        <v>5.1643089792802</v>
      </c>
      <c r="GC19" s="455">
        <f ca="1" t="shared" si="108"/>
        <v>5.73887721654667</v>
      </c>
      <c r="GE19" s="609">
        <v>23804.6792898742</v>
      </c>
      <c r="GF19" s="610">
        <v>2700770.14423047</v>
      </c>
      <c r="GG19" s="610">
        <v>11085689.0457027</v>
      </c>
      <c r="GH19" s="610">
        <v>18773292.2186715</v>
      </c>
      <c r="GI19" s="610">
        <v>44774894.8661162</v>
      </c>
      <c r="GJ19" s="610">
        <v>261481194.733534</v>
      </c>
      <c r="GK19" s="617">
        <v>338839645.687544</v>
      </c>
      <c r="GL19" s="614">
        <f ca="1" t="shared" si="109"/>
        <v>0</v>
      </c>
      <c r="GM19" s="614">
        <f ca="1" t="shared" si="110"/>
        <v>185.952873325114</v>
      </c>
      <c r="GN19" s="614">
        <f ca="1" t="shared" si="111"/>
        <v>48.3990698430634</v>
      </c>
      <c r="GO19" s="614">
        <f ca="1" t="shared" si="112"/>
        <v>7.70883440500892</v>
      </c>
      <c r="GP19" s="614">
        <f ca="1" t="shared" si="113"/>
        <v>0.650418468541071</v>
      </c>
      <c r="GQ19" s="614">
        <f ca="1" t="shared" si="114"/>
        <v>5.01330844166994</v>
      </c>
      <c r="GR19" s="451">
        <f t="shared" si="115"/>
        <v>1.58767797586313e-7</v>
      </c>
      <c r="GS19" s="390">
        <f t="shared" si="116"/>
        <v>4365792</v>
      </c>
    </row>
    <row r="20" s="389" customFormat="1" spans="1:201">
      <c r="A20" s="432" t="s">
        <v>275</v>
      </c>
      <c r="B20" s="407" t="s">
        <v>267</v>
      </c>
      <c r="C20" s="422">
        <f>-LN(1-100%+1E-20)/8/3600</f>
        <v>0.00159901742569031</v>
      </c>
      <c r="D20" s="410" t="s">
        <v>268</v>
      </c>
      <c r="E20" s="409" t="s">
        <v>269</v>
      </c>
      <c r="G20" s="411" t="s">
        <v>61</v>
      </c>
      <c r="H20" s="412">
        <f ca="1" t="shared" si="1"/>
        <v>0</v>
      </c>
      <c r="I20" s="412">
        <f ca="1" t="shared" si="2"/>
        <v>105153368.939656</v>
      </c>
      <c r="J20" s="412">
        <f ca="1" t="shared" si="3"/>
        <v>47252.6340056678</v>
      </c>
      <c r="K20" s="412">
        <f ca="1" t="shared" si="4"/>
        <v>25766467.4243546</v>
      </c>
      <c r="L20" s="412">
        <f ca="1" t="shared" si="5"/>
        <v>23908088.1586491</v>
      </c>
      <c r="M20" s="412">
        <f ca="1" t="shared" si="6"/>
        <v>10759437.6783599</v>
      </c>
      <c r="N20" s="412">
        <f ca="1" t="shared" si="7"/>
        <v>165634614.835025</v>
      </c>
      <c r="O20" s="450">
        <f ca="1" t="shared" si="8"/>
        <v>0</v>
      </c>
      <c r="P20" s="451"/>
      <c r="Q20" s="477" t="str">
        <f t="shared" si="0"/>
        <v>Sr-90</v>
      </c>
      <c r="R20" s="412">
        <f ca="1" t="shared" si="9"/>
        <v>0</v>
      </c>
      <c r="S20" s="412">
        <f ca="1">I20*(1-过滤效率!$B17)</f>
        <v>105153.368939656</v>
      </c>
      <c r="T20" s="412">
        <f ca="1">J20*(1-过滤效率!$B17)</f>
        <v>47.2526340056678</v>
      </c>
      <c r="U20" s="412">
        <f ca="1">K20*(1-过滤效率!$B17)</f>
        <v>25766.4674243546</v>
      </c>
      <c r="V20" s="412">
        <f ca="1">L20*(1-过滤效率!$B17)</f>
        <v>23908.0881586491</v>
      </c>
      <c r="W20" s="412">
        <f ca="1">M20*(1-过滤效率!$B17)</f>
        <v>10759.4376783599</v>
      </c>
      <c r="X20" s="412">
        <f ca="1" t="shared" si="10"/>
        <v>165634.614835026</v>
      </c>
      <c r="Y20" s="493"/>
      <c r="Z20" s="494">
        <f>VLOOKUP(G20,衰变常数!$A$1:$H$3800,7,FALSE)</f>
        <v>7.62921459615568e-10</v>
      </c>
      <c r="AA20" s="495">
        <f>正常源项!C17</f>
        <v>1.12e+16</v>
      </c>
      <c r="AB20" s="496">
        <f>正常源项!F17</f>
        <v>0</v>
      </c>
      <c r="AC20" s="496">
        <f>正常源项!I17</f>
        <v>39.4</v>
      </c>
      <c r="AD20" s="497"/>
      <c r="AE20" s="496">
        <f>正常源项!O17</f>
        <v>1790000000</v>
      </c>
      <c r="AF20" s="498">
        <f t="shared" si="157"/>
        <v>0</v>
      </c>
      <c r="AG20" s="519">
        <f t="shared" si="185"/>
        <v>0</v>
      </c>
      <c r="AH20" s="523">
        <v>0.95</v>
      </c>
      <c r="AI20" s="519">
        <f t="shared" si="159"/>
        <v>89500000</v>
      </c>
      <c r="AJ20" s="521">
        <v>0.00066</v>
      </c>
      <c r="AK20" s="521">
        <v>6.468e-8</v>
      </c>
      <c r="AL20" s="525">
        <f t="shared" si="186"/>
        <v>15447765.97056</v>
      </c>
      <c r="AM20" s="520"/>
      <c r="AN20" s="519">
        <f ca="1">MAX(INDIRECT("'"&amp;$B$2&amp;"-事故进程'!Y"&amp;(ROW()+22)),INDIRECT("'"&amp;$B$2&amp;"-事故进程'!Z"&amp;(ROW()+22)),INDIRECT("'"&amp;$B$2&amp;"-事故进程'!AA"&amp;(ROW()+22)))</f>
        <v>1.96348575e-16</v>
      </c>
      <c r="AO20" s="519">
        <f ca="1" t="shared" si="13"/>
        <v>213737.827436944</v>
      </c>
      <c r="AP20" s="560">
        <f t="shared" si="14"/>
        <v>1.11991694839764e+16</v>
      </c>
      <c r="AQ20" s="561">
        <f ca="1">(AC20*$C$5+AD20*$C$8+AF20+AG20+AI20+(AL20+AM20)*$C$10)*EXP(-Z20*$C$12*3600)+AO20*$C$11</f>
        <v>105153760.980676</v>
      </c>
      <c r="AR20" s="562">
        <f ca="1">AQ20*(1-AR$3)</f>
        <v>105153760.980676</v>
      </c>
      <c r="AS20" s="563">
        <f ca="1" t="shared" si="15"/>
        <v>0</v>
      </c>
      <c r="AT20" s="562">
        <f ca="1">AS20*(1-AT$3)</f>
        <v>0</v>
      </c>
      <c r="AU20" s="564">
        <f ca="1" t="shared" si="16"/>
        <v>0</v>
      </c>
      <c r="AV20" s="565">
        <f>AV$3*3600</f>
        <v>7200</v>
      </c>
      <c r="AW20" s="580">
        <f>AP20*EXP(-Z20*AW$3*3600)</f>
        <v>1.11991694839764e+16</v>
      </c>
      <c r="AX20" s="580">
        <f ca="1" t="shared" si="17"/>
        <v>105153760.980676</v>
      </c>
      <c r="AY20" s="581">
        <f ca="1" t="shared" si="18"/>
        <v>0</v>
      </c>
      <c r="AZ20" s="580">
        <v>0</v>
      </c>
      <c r="BA20" s="580">
        <f ca="1">MAX(INDIRECT("'"&amp;$B$2&amp;"-事故进程'!Y"&amp;(ROW()+22)),INDIRECT("'"&amp;$B$2&amp;"-事故进程'!Z"&amp;(ROW()+22)))</f>
        <v>9.494e-18</v>
      </c>
      <c r="BB20" s="580">
        <f ca="1">SUM(BA$3,-LN(1-BB$3)/AV20)</f>
        <v>0.00160041330566996</v>
      </c>
      <c r="BC20" s="580">
        <f>BC$3/24/3600</f>
        <v>1157407407407410</v>
      </c>
      <c r="BD20" s="582">
        <f ca="1" t="shared" si="19"/>
        <v>0.999994506980509</v>
      </c>
      <c r="BE20" s="582">
        <f ca="1" t="shared" si="20"/>
        <v>9.89994561910774e-6</v>
      </c>
      <c r="BF20" s="582">
        <f t="shared" si="21"/>
        <v>0</v>
      </c>
      <c r="BG20" s="582">
        <f ca="1" t="shared" si="22"/>
        <v>-168289.371889796</v>
      </c>
      <c r="BH20" s="582">
        <f ca="1" t="shared" si="23"/>
        <v>-1.45402109177512e-10</v>
      </c>
      <c r="BI20" s="582">
        <f ca="1" t="shared" si="24"/>
        <v>1.00000000000001</v>
      </c>
      <c r="BJ20" s="580">
        <f ca="1" t="shared" si="25"/>
        <v>1.11991079667202e+16</v>
      </c>
      <c r="BK20" s="580">
        <f ca="1" t="shared" si="26"/>
        <v>1107.45140317168</v>
      </c>
      <c r="BL20" s="586">
        <f ca="1" t="shared" si="27"/>
        <v>1.53133628632027e-15</v>
      </c>
      <c r="BM20" s="594">
        <f ca="1" t="shared" si="28"/>
        <v>105152840.548597</v>
      </c>
      <c r="BN20" s="580">
        <f ca="1" t="shared" si="29"/>
        <v>765.537286023128</v>
      </c>
      <c r="BO20" s="580">
        <f ca="1" t="shared" si="30"/>
        <v>105153368.939656</v>
      </c>
      <c r="BP20" s="595">
        <f ca="1" t="shared" si="31"/>
        <v>105153368.939656</v>
      </c>
      <c r="BQ20" s="596">
        <f>BQ$3*3600</f>
        <v>21600</v>
      </c>
      <c r="BR20" s="580">
        <f ca="1" t="shared" ref="BR20:BU20" si="192">BJ20</f>
        <v>1.11991079667202e+16</v>
      </c>
      <c r="BS20" s="580">
        <f ca="1" t="shared" si="192"/>
        <v>1107.45140317168</v>
      </c>
      <c r="BT20" s="581">
        <f ca="1" t="shared" si="192"/>
        <v>1.53133628632027e-15</v>
      </c>
      <c r="BU20" s="580">
        <f ca="1" t="shared" si="192"/>
        <v>105152840.548597</v>
      </c>
      <c r="BV20" s="580">
        <f ca="1">MAX(INDIRECT("'"&amp;$B$2&amp;"-事故进程'!Z"&amp;(ROW()+22)),INDIRECT("'"&amp;$B$2&amp;"-事故进程'!AA"&amp;(ROW()+22)))</f>
        <v>1.96348575e-16</v>
      </c>
      <c r="BW20" s="580">
        <f ca="1">SUM(BV$3,-LN(1-BW$3)/BQ20)</f>
        <v>0.00162728102077123</v>
      </c>
      <c r="BX20" s="580">
        <f>BX$3/24/3600</f>
        <v>1157407407407410</v>
      </c>
      <c r="BY20" s="582">
        <f ca="1" t="shared" si="33"/>
        <v>0.999983521028011</v>
      </c>
      <c r="BZ20" s="582">
        <f ca="1" t="shared" si="34"/>
        <v>5.43073758633907e-16</v>
      </c>
      <c r="CA20" s="582">
        <f t="shared" si="35"/>
        <v>0</v>
      </c>
      <c r="CB20" s="582">
        <f ca="1" t="shared" si="36"/>
        <v>0.396794240729122</v>
      </c>
      <c r="CC20" s="582">
        <f ca="1" t="shared" si="37"/>
        <v>-2.57080511136244e-17</v>
      </c>
      <c r="CD20" s="582">
        <f ca="1" t="shared" si="38"/>
        <v>1.00000000000012</v>
      </c>
      <c r="CE20" s="580">
        <f ca="1" t="shared" si="39"/>
        <v>1.11989234169337e+16</v>
      </c>
      <c r="CF20" s="580">
        <f ca="1" t="shared" si="40"/>
        <v>1351.26792876082</v>
      </c>
      <c r="CG20" s="586">
        <f ca="1" t="shared" si="41"/>
        <v>1.89984325344422e-15</v>
      </c>
      <c r="CH20" s="594">
        <f ca="1" t="shared" si="42"/>
        <v>105198358.732071</v>
      </c>
      <c r="CI20" s="580">
        <f ca="1" t="shared" si="43"/>
        <v>47496.4726848051</v>
      </c>
      <c r="CJ20" s="580">
        <f ca="1" t="shared" si="44"/>
        <v>47252.6340056678</v>
      </c>
      <c r="CK20" s="595">
        <f ca="1" t="shared" si="45"/>
        <v>47252.6340056678</v>
      </c>
      <c r="CL20" s="596">
        <f>CL$3*3600</f>
        <v>57600</v>
      </c>
      <c r="CM20" s="580">
        <f ca="1" t="shared" ref="CM20:CP20" si="193">CE20</f>
        <v>1.11989234169337e+16</v>
      </c>
      <c r="CN20" s="580">
        <f ca="1" t="shared" si="193"/>
        <v>1351.26792876082</v>
      </c>
      <c r="CO20" s="581">
        <f ca="1" t="shared" si="193"/>
        <v>1.89984325344422e-15</v>
      </c>
      <c r="CP20" s="580">
        <f ca="1" t="shared" si="193"/>
        <v>105198358.732071</v>
      </c>
      <c r="CQ20" s="580">
        <f ca="1">MAX(INDIRECT("'"&amp;$B$2&amp;"-事故进程'!AA"&amp;(ROW()+22)),INDIRECT("'"&amp;$B$2&amp;"-事故进程'!AB"&amp;(ROW()+22)))</f>
        <v>2.26927515e-13</v>
      </c>
      <c r="CR20" s="580">
        <f ca="1">SUM(CQ$3,-LN(1-CR$3)/CL20)</f>
        <v>6.95458811586267e-6</v>
      </c>
      <c r="CS20" s="580">
        <f>CS$3/24/3600</f>
        <v>1157407407407410</v>
      </c>
      <c r="CT20" s="582">
        <f ca="1" t="shared" si="47"/>
        <v>0.999956043619011</v>
      </c>
      <c r="CU20" s="582">
        <f ca="1" t="shared" si="48"/>
        <v>0.669899069990635</v>
      </c>
      <c r="CV20" s="582">
        <f t="shared" si="49"/>
        <v>0</v>
      </c>
      <c r="CW20" s="582">
        <f ca="1" t="shared" si="50"/>
        <v>2541.3344641685</v>
      </c>
      <c r="CX20" s="582">
        <f ca="1" t="shared" si="51"/>
        <v>1.89172380318102e-15</v>
      </c>
      <c r="CY20" s="582">
        <f ca="1" t="shared" si="52"/>
        <v>1.0000000326299</v>
      </c>
      <c r="CZ20" s="580">
        <f ca="1" t="shared" si="53"/>
        <v>1.11984311527893e+16</v>
      </c>
      <c r="DA20" s="580">
        <f ca="1" t="shared" si="54"/>
        <v>120610246.461041</v>
      </c>
      <c r="DB20" s="586">
        <f ca="1" t="shared" si="55"/>
        <v>7.24718522899488e-13</v>
      </c>
      <c r="DC20" s="594">
        <f ca="1" t="shared" si="56"/>
        <v>130959813.538959</v>
      </c>
      <c r="DD20" s="580">
        <f ca="1" t="shared" si="57"/>
        <v>146378189.210589</v>
      </c>
      <c r="DE20" s="580">
        <f ca="1" t="shared" si="58"/>
        <v>25766467.4243546</v>
      </c>
      <c r="DF20" s="595">
        <f ca="1" t="shared" si="59"/>
        <v>25766467.4243546</v>
      </c>
      <c r="DG20" s="596">
        <f>DG$3*3600</f>
        <v>86400</v>
      </c>
      <c r="DH20" s="580">
        <f ca="1" t="shared" ref="DH20:DK20" si="194">CZ20</f>
        <v>1.11984311527893e+16</v>
      </c>
      <c r="DI20" s="580">
        <f ca="1" t="shared" si="194"/>
        <v>120610246.461041</v>
      </c>
      <c r="DJ20" s="581">
        <f ca="1" t="shared" si="194"/>
        <v>7.24718522899488e-13</v>
      </c>
      <c r="DK20" s="580">
        <f ca="1" t="shared" si="194"/>
        <v>130959813.538959</v>
      </c>
      <c r="DL20" s="580">
        <f ca="1">MAX(INDIRECT("'"&amp;$B$2&amp;"-事故进程'!AB"&amp;(ROW()+22)),INDIRECT("'"&amp;$B$2&amp;"-事故进程'!AC"&amp;(ROW()+22)))</f>
        <v>2.26927515e-13</v>
      </c>
      <c r="DM20" s="580">
        <f ca="1">SUM(DL$3,-LN(1-DM$3)/DG20)</f>
        <v>1.01371476497628e-6</v>
      </c>
      <c r="DN20" s="580">
        <f>DN$3/24/3600</f>
        <v>1157407407407410</v>
      </c>
      <c r="DO20" s="582">
        <f ca="1" t="shared" si="61"/>
        <v>0.999934066153084</v>
      </c>
      <c r="DP20" s="582">
        <f ca="1" t="shared" si="62"/>
        <v>0.916080650205409</v>
      </c>
      <c r="DQ20" s="582">
        <f t="shared" si="63"/>
        <v>0</v>
      </c>
      <c r="DR20" s="582">
        <f ca="1" t="shared" si="64"/>
        <v>2418.96779312587</v>
      </c>
      <c r="DS20" s="582">
        <f ca="1" t="shared" si="65"/>
        <v>6.19082091974221e-13</v>
      </c>
      <c r="DT20" s="582">
        <f ca="1" t="shared" si="66"/>
        <v>1.00000022385741</v>
      </c>
      <c r="DU20" s="580">
        <f ca="1" t="shared" si="67"/>
        <v>1.1197692797144e+16</v>
      </c>
      <c r="DV20" s="580">
        <f ca="1" t="shared" si="68"/>
        <v>320696802.93069</v>
      </c>
      <c r="DW20" s="586">
        <f ca="1" t="shared" si="69"/>
        <v>2.8088215275876e-13</v>
      </c>
      <c r="DX20" s="594">
        <f ca="1" t="shared" si="70"/>
        <v>150404659.06931</v>
      </c>
      <c r="DY20" s="580">
        <f ca="1" t="shared" si="71"/>
        <v>219555219.675547</v>
      </c>
      <c r="DZ20" s="580">
        <f ca="1" t="shared" si="72"/>
        <v>19454022.1140837</v>
      </c>
      <c r="EA20" s="595">
        <f ca="1" t="shared" si="73"/>
        <v>19454022.1140837</v>
      </c>
      <c r="EB20" s="596">
        <f>EB$3*3600</f>
        <v>172800</v>
      </c>
      <c r="EC20" s="580">
        <f ca="1" t="shared" ref="EC20:EF20" si="195">DU20</f>
        <v>1.1197692797144e+16</v>
      </c>
      <c r="ED20" s="580">
        <f ca="1" t="shared" si="195"/>
        <v>320696802.93069</v>
      </c>
      <c r="EE20" s="581">
        <f ca="1" t="shared" si="195"/>
        <v>2.8088215275876e-13</v>
      </c>
      <c r="EF20" s="580">
        <f ca="1" t="shared" si="195"/>
        <v>150404659.06931</v>
      </c>
      <c r="EG20" s="580">
        <f ca="1">MAX(INDIRECT("'"&amp;$B$2&amp;"-事故进程'!AC"&amp;(ROW()+22)),INDIRECT("'"&amp;$B$2&amp;"-事故进程'!AD"&amp;(ROW()+22)),INDIRECT("'"&amp;$B$2&amp;"-事故进程'!AE"&amp;(ROW()+22)))</f>
        <v>1.28719125e-13</v>
      </c>
      <c r="EH20" s="580">
        <f ca="1">SUM(EG$3,-LN(1-EH$3)/EB20)</f>
        <v>5.81616658188741e-8</v>
      </c>
      <c r="EI20" s="580">
        <f>EI$3/24/3600</f>
        <v>1157407407407410</v>
      </c>
      <c r="EJ20" s="582">
        <f ca="1" t="shared" si="75"/>
        <v>0.999868153621611</v>
      </c>
      <c r="EK20" s="582">
        <f ca="1" t="shared" si="76"/>
        <v>0.98986949410273</v>
      </c>
      <c r="EL20" s="582">
        <f t="shared" si="77"/>
        <v>0</v>
      </c>
      <c r="EM20" s="582">
        <f ca="1" t="shared" si="78"/>
        <v>1422.70499986575</v>
      </c>
      <c r="EN20" s="582">
        <f ca="1" t="shared" si="79"/>
        <v>2.64766599875772e-13</v>
      </c>
      <c r="EO20" s="582">
        <f ca="1" t="shared" si="80"/>
        <v>1.00000221313142</v>
      </c>
      <c r="EP20" s="580">
        <f ca="1" t="shared" si="81"/>
        <v>1.11962164219024e+16</v>
      </c>
      <c r="EQ20" s="580">
        <f ca="1" t="shared" si="82"/>
        <v>565234419.561256</v>
      </c>
      <c r="ER20" s="586">
        <f ca="1" t="shared" si="83"/>
        <v>2.84039787627478e-14</v>
      </c>
      <c r="ES20" s="594">
        <f ca="1" t="shared" si="84"/>
        <v>154838632.438744</v>
      </c>
      <c r="ET20" s="580">
        <f ca="1" t="shared" si="85"/>
        <v>249050107.799658</v>
      </c>
      <c r="EU20" s="580">
        <f ca="1" t="shared" si="86"/>
        <v>4454066.04456538</v>
      </c>
      <c r="EV20" s="595">
        <f ca="1" t="shared" si="87"/>
        <v>4454066.04456539</v>
      </c>
      <c r="EW20" s="596">
        <f>EW$3*3600</f>
        <v>2246400</v>
      </c>
      <c r="EX20" s="580">
        <f ca="1" t="shared" ref="EX20:FA20" si="196">EP20</f>
        <v>1.11962164219024e+16</v>
      </c>
      <c r="EY20" s="580">
        <f ca="1" t="shared" si="196"/>
        <v>565234419.561256</v>
      </c>
      <c r="EZ20" s="581">
        <f ca="1" t="shared" si="196"/>
        <v>2.84039787627478e-14</v>
      </c>
      <c r="FA20" s="580">
        <f ca="1" t="shared" si="196"/>
        <v>154838632.438744</v>
      </c>
      <c r="FB20" s="580">
        <f ca="1">INDIRECT("'"&amp;$B$2&amp;"-事故进程'!AE"&amp;(ROW()+22))</f>
        <v>4.06279875e-14</v>
      </c>
      <c r="FC20" s="580">
        <f ca="1">SUM(FB$3,-LN(1-FC$3)/EW20)</f>
        <v>4.47397429375955e-9</v>
      </c>
      <c r="FD20" s="580">
        <f>FD$3/24/3600</f>
        <v>1157407407407410</v>
      </c>
      <c r="FE20" s="582">
        <f ca="1" t="shared" si="89"/>
        <v>0.998287549885171</v>
      </c>
      <c r="FF20" s="582">
        <f ca="1" t="shared" si="90"/>
        <v>0.98830476458564</v>
      </c>
      <c r="FG20" s="582">
        <f t="shared" si="91"/>
        <v>0</v>
      </c>
      <c r="FH20" s="582">
        <f ca="1" t="shared" si="92"/>
        <v>452.350919537616</v>
      </c>
      <c r="FI20" s="582">
        <f ca="1" t="shared" si="93"/>
        <v>2.62190573194595e-14</v>
      </c>
      <c r="FJ20" s="582">
        <f ca="1" t="shared" si="94"/>
        <v>1.00000908104378</v>
      </c>
      <c r="FK20" s="580">
        <f ca="1" t="shared" si="95"/>
        <v>1.1177043459805e+16</v>
      </c>
      <c r="FL20" s="580">
        <f ca="1" t="shared" si="96"/>
        <v>1573606909.29672</v>
      </c>
      <c r="FM20" s="586">
        <f ca="1" t="shared" si="97"/>
        <v>6.082799207624e-15</v>
      </c>
      <c r="FN20" s="594">
        <f ca="1" t="shared" si="98"/>
        <v>165325160.703278</v>
      </c>
      <c r="FO20" s="580">
        <f ca="1" t="shared" si="99"/>
        <v>1020966673.29281</v>
      </c>
      <c r="FP20" s="580">
        <f ca="1" t="shared" si="100"/>
        <v>10759437.6783599</v>
      </c>
      <c r="FQ20" s="595">
        <f ca="1" t="shared" si="101"/>
        <v>10759437.6783599</v>
      </c>
      <c r="FR20" s="608" t="str">
        <f t="shared" si="102"/>
        <v>Sr-90</v>
      </c>
      <c r="FS20" s="609">
        <v>5400000</v>
      </c>
      <c r="FT20" s="610">
        <v>657000</v>
      </c>
      <c r="FU20" s="610">
        <v>2620000</v>
      </c>
      <c r="FV20" s="610">
        <v>9480000</v>
      </c>
      <c r="FW20" s="610">
        <v>18200000</v>
      </c>
      <c r="FX20" s="614">
        <f ca="1" t="shared" si="103"/>
        <v>0</v>
      </c>
      <c r="FY20" s="614">
        <f ca="1" t="shared" si="104"/>
        <v>160.122711679851</v>
      </c>
      <c r="FZ20" s="614">
        <f ca="1" t="shared" si="105"/>
        <v>9.83452955128038</v>
      </c>
      <c r="GA20" s="614">
        <f ca="1" t="shared" si="106"/>
        <v>2.5219502277056</v>
      </c>
      <c r="GB20" s="614">
        <f ca="1" t="shared" si="107"/>
        <v>8.50962511849811</v>
      </c>
      <c r="GC20" s="455">
        <f ca="1" t="shared" si="108"/>
        <v>9.10080301291348</v>
      </c>
      <c r="GE20" s="609">
        <v>156.853032020541</v>
      </c>
      <c r="GF20" s="610">
        <v>281017.280176744</v>
      </c>
      <c r="GG20" s="610">
        <v>832411.864529439</v>
      </c>
      <c r="GH20" s="610">
        <v>1332820.64230674</v>
      </c>
      <c r="GI20" s="610">
        <v>2967266.44188975</v>
      </c>
      <c r="GJ20" s="610">
        <v>18825190.0818027</v>
      </c>
      <c r="GK20" s="617">
        <v>24238863.1637374</v>
      </c>
      <c r="GL20" s="614">
        <f ca="1" t="shared" si="109"/>
        <v>0</v>
      </c>
      <c r="GM20" s="614">
        <f ca="1" t="shared" si="110"/>
        <v>374.356415048557</v>
      </c>
      <c r="GN20" s="614">
        <f ca="1" t="shared" si="111"/>
        <v>30.9539886711254</v>
      </c>
      <c r="GO20" s="614">
        <f ca="1" t="shared" si="112"/>
        <v>5.55990790198533</v>
      </c>
      <c r="GP20" s="614">
        <f ca="1" t="shared" si="113"/>
        <v>0.57154470321978</v>
      </c>
      <c r="GQ20" s="614">
        <f ca="1" t="shared" si="114"/>
        <v>6.83343165544263</v>
      </c>
      <c r="GR20" s="451">
        <f t="shared" si="115"/>
        <v>7.62921459615568e-10</v>
      </c>
      <c r="GS20" s="390">
        <f t="shared" si="116"/>
        <v>908543300</v>
      </c>
    </row>
    <row r="21" s="389" customFormat="1" spans="1:201">
      <c r="A21" s="432"/>
      <c r="B21" s="407" t="s">
        <v>270</v>
      </c>
      <c r="C21" s="433">
        <f ca="1">IF(2&lt;=$C$13-$C$12,MAX(1%,INDIRECT("'"&amp;$B$2&amp;"-事故进程'!$AA$23")*150%),0.000000000000001)</f>
        <v>0.456917291923662</v>
      </c>
      <c r="D21" s="410"/>
      <c r="E21" s="409" t="s">
        <v>271</v>
      </c>
      <c r="G21" s="411" t="s">
        <v>62</v>
      </c>
      <c r="H21" s="412">
        <f ca="1" t="shared" si="1"/>
        <v>0</v>
      </c>
      <c r="I21" s="412">
        <f ca="1" t="shared" si="2"/>
        <v>40565383554.7023</v>
      </c>
      <c r="J21" s="412">
        <f ca="1" t="shared" si="3"/>
        <v>62870751.6987576</v>
      </c>
      <c r="K21" s="412">
        <f ca="1" t="shared" si="4"/>
        <v>7709429699.16641</v>
      </c>
      <c r="L21" s="412">
        <f ca="1" t="shared" si="5"/>
        <v>17757768641.1289</v>
      </c>
      <c r="M21" s="412">
        <f ca="1" t="shared" si="6"/>
        <v>22996159014.4365</v>
      </c>
      <c r="N21" s="412">
        <f ca="1" t="shared" si="7"/>
        <v>89091611661.1329</v>
      </c>
      <c r="O21" s="450">
        <f ca="1" t="shared" si="8"/>
        <v>0</v>
      </c>
      <c r="P21" s="451"/>
      <c r="Q21" s="477" t="str">
        <f t="shared" si="0"/>
        <v>Cs-134</v>
      </c>
      <c r="R21" s="412">
        <f ca="1" t="shared" si="9"/>
        <v>0</v>
      </c>
      <c r="S21" s="412">
        <f ca="1">I21*(1-过滤效率!$B18)</f>
        <v>40565383.5547024</v>
      </c>
      <c r="T21" s="412">
        <f ca="1">J21*(1-过滤效率!$B18)</f>
        <v>62870.7516987576</v>
      </c>
      <c r="U21" s="412">
        <f ca="1">K21*(1-过滤效率!$B18)</f>
        <v>7709429.69916642</v>
      </c>
      <c r="V21" s="412">
        <f ca="1">L21*(1-过滤效率!$B18)</f>
        <v>17757768.6411289</v>
      </c>
      <c r="W21" s="412">
        <f ca="1">M21*(1-过滤效率!$B18)</f>
        <v>22996159.0144366</v>
      </c>
      <c r="X21" s="412">
        <f ca="1" t="shared" si="10"/>
        <v>89091611.661133</v>
      </c>
      <c r="Y21" s="493"/>
      <c r="Z21" s="494">
        <f>VLOOKUP(G21,衰变常数!$A$1:$H$3800,7,FALSE)</f>
        <v>1.06355351616218e-8</v>
      </c>
      <c r="AA21" s="495">
        <f>正常源项!C18</f>
        <v>1.46e+16</v>
      </c>
      <c r="AB21" s="496">
        <f>正常源项!F18</f>
        <v>0</v>
      </c>
      <c r="AC21" s="496">
        <f>正常源项!I18</f>
        <v>385000</v>
      </c>
      <c r="AD21" s="497"/>
      <c r="AE21" s="496">
        <f>正常源项!O18</f>
        <v>806000000000</v>
      </c>
      <c r="AF21" s="498">
        <f t="shared" si="157"/>
        <v>0</v>
      </c>
      <c r="AG21" s="519">
        <f t="shared" si="185"/>
        <v>0</v>
      </c>
      <c r="AH21" s="523">
        <v>0.95</v>
      </c>
      <c r="AI21" s="519">
        <f t="shared" si="159"/>
        <v>40300000000</v>
      </c>
      <c r="AJ21" s="521">
        <v>0.00066</v>
      </c>
      <c r="AK21" s="521">
        <v>0.000144</v>
      </c>
      <c r="AL21" s="525">
        <f t="shared" si="186"/>
        <v>15745224</v>
      </c>
      <c r="AM21" s="520"/>
      <c r="AN21" s="519">
        <f ca="1">MAX(INDIRECT("'"&amp;$B$2&amp;"-事故进程'!Y"&amp;(ROW()+22)),INDIRECT("'"&amp;$B$2&amp;"-事故进程'!Z"&amp;(ROW()+22)),INDIRECT("'"&amp;$B$2&amp;"-事故进程'!AA"&amp;(ROW()+22)))</f>
        <v>2.0293e-13</v>
      </c>
      <c r="AO21" s="519">
        <f ca="1" t="shared" si="13"/>
        <v>287684463.695648</v>
      </c>
      <c r="AP21" s="560">
        <f t="shared" si="14"/>
        <v>1.45849146980815e+16</v>
      </c>
      <c r="AQ21" s="561">
        <f ca="1">(AC21*$C$5+AD21*$C$8+AF21+AG21+AI21+(AL21+AM21)*$C$10)*EXP(-Z21*$C$12*3600)+AO21*$C$11</f>
        <v>40562158455.0508</v>
      </c>
      <c r="AR21" s="562">
        <f ca="1">AQ21*(1-AR$3)</f>
        <v>40562158455.0508</v>
      </c>
      <c r="AS21" s="563">
        <f ca="1" t="shared" si="15"/>
        <v>0</v>
      </c>
      <c r="AT21" s="562">
        <f ca="1">AS21*(1-AT$3)</f>
        <v>0</v>
      </c>
      <c r="AU21" s="564">
        <f ca="1" t="shared" si="16"/>
        <v>0</v>
      </c>
      <c r="AV21" s="565">
        <f>AV$3*3600</f>
        <v>7200</v>
      </c>
      <c r="AW21" s="580">
        <f>AP21*EXP(-Z21*AW$3*3600)</f>
        <v>1.45849146980815e+16</v>
      </c>
      <c r="AX21" s="580">
        <f ca="1" t="shared" si="17"/>
        <v>40562158455.0508</v>
      </c>
      <c r="AY21" s="581">
        <f ca="1" t="shared" si="18"/>
        <v>0</v>
      </c>
      <c r="AZ21" s="580">
        <v>0</v>
      </c>
      <c r="BA21" s="580">
        <f ca="1">MAX(INDIRECT("'"&amp;$B$2&amp;"-事故进程'!Y"&amp;(ROW()+22)),INDIRECT("'"&amp;$B$2&amp;"-事故进程'!Z"&amp;(ROW()+22)))</f>
        <v>4.063e-14</v>
      </c>
      <c r="BB21" s="580">
        <f ca="1">SUM(BA$3,-LN(1-BB$3)/AV21)</f>
        <v>0.00160041330566996</v>
      </c>
      <c r="BC21" s="580">
        <f>BC$3/24/3600</f>
        <v>1157407407407410</v>
      </c>
      <c r="BD21" s="582">
        <f ca="1" t="shared" si="19"/>
        <v>0.999923426786179</v>
      </c>
      <c r="BE21" s="582">
        <f ca="1" t="shared" si="20"/>
        <v>9.89924192807907e-6</v>
      </c>
      <c r="BF21" s="582">
        <f t="shared" si="21"/>
        <v>0</v>
      </c>
      <c r="BG21" s="582">
        <f ca="1" t="shared" si="22"/>
        <v>-64915625.5114244</v>
      </c>
      <c r="BH21" s="582">
        <f ca="1" t="shared" si="23"/>
        <v>-5.60876124368073e-8</v>
      </c>
      <c r="BI21" s="582">
        <f ca="1" t="shared" si="24"/>
        <v>1.00000000002539</v>
      </c>
      <c r="BJ21" s="580">
        <f ca="1" t="shared" si="25"/>
        <v>1.45837978842897e+16</v>
      </c>
      <c r="BK21" s="580">
        <f ca="1" t="shared" si="26"/>
        <v>771772.632447068</v>
      </c>
      <c r="BL21" s="586">
        <f ca="1" t="shared" si="27"/>
        <v>1.06717408409107e-12</v>
      </c>
      <c r="BM21" s="594">
        <f ca="1" t="shared" si="28"/>
        <v>40562547005.3676</v>
      </c>
      <c r="BN21" s="580">
        <f ca="1" t="shared" si="29"/>
        <v>4266449.24991428</v>
      </c>
      <c r="BO21" s="580">
        <f ca="1" t="shared" si="30"/>
        <v>40565383554.7023</v>
      </c>
      <c r="BP21" s="595">
        <f ca="1" t="shared" si="31"/>
        <v>40565383554.7023</v>
      </c>
      <c r="BQ21" s="596">
        <f>BQ$3*3600</f>
        <v>21600</v>
      </c>
      <c r="BR21" s="580">
        <f ca="1" t="shared" ref="BR21:BU21" si="197">BJ21</f>
        <v>1.45837978842897e+16</v>
      </c>
      <c r="BS21" s="580">
        <f ca="1" t="shared" si="197"/>
        <v>771772.632447068</v>
      </c>
      <c r="BT21" s="581">
        <f ca="1" t="shared" si="197"/>
        <v>1.06717408409107e-12</v>
      </c>
      <c r="BU21" s="580">
        <f ca="1" t="shared" si="197"/>
        <v>40562547005.3676</v>
      </c>
      <c r="BV21" s="580">
        <f ca="1">MAX(INDIRECT("'"&amp;$B$2&amp;"-事故进程'!Z"&amp;(ROW()+22)),INDIRECT("'"&amp;$B$2&amp;"-事故进程'!AA"&amp;(ROW()+22)))</f>
        <v>2.0293e-13</v>
      </c>
      <c r="BW21" s="580">
        <f ca="1">SUM(BV$3,-LN(1-BW$3)/BQ21)</f>
        <v>0.00162728102077123</v>
      </c>
      <c r="BX21" s="580">
        <f>BX$3/24/3600</f>
        <v>1157407407407410</v>
      </c>
      <c r="BY21" s="582">
        <f ca="1" t="shared" si="33"/>
        <v>0.999770294443583</v>
      </c>
      <c r="BZ21" s="582">
        <f ca="1" t="shared" si="34"/>
        <v>5.4295796134064e-16</v>
      </c>
      <c r="CA21" s="582">
        <f t="shared" si="35"/>
        <v>0</v>
      </c>
      <c r="CB21" s="582">
        <f ca="1" t="shared" si="36"/>
        <v>1703.59914768377</v>
      </c>
      <c r="CC21" s="582">
        <f ca="1" t="shared" si="37"/>
        <v>-1.79157028707739e-14</v>
      </c>
      <c r="CD21" s="582">
        <f ca="1" t="shared" si="38"/>
        <v>1.0000000001247</v>
      </c>
      <c r="CE21" s="580">
        <f ca="1" t="shared" si="39"/>
        <v>1.45804479048821e+16</v>
      </c>
      <c r="CF21" s="580">
        <f ca="1" t="shared" si="40"/>
        <v>1818254.0421349</v>
      </c>
      <c r="CG21" s="586">
        <f ca="1" t="shared" si="41"/>
        <v>2.55641209376258e-12</v>
      </c>
      <c r="CH21" s="594">
        <f ca="1" t="shared" si="42"/>
        <v>40616093383.9579</v>
      </c>
      <c r="CI21" s="580">
        <f ca="1" t="shared" si="43"/>
        <v>63917644.0172447</v>
      </c>
      <c r="CJ21" s="580">
        <f ca="1" t="shared" si="44"/>
        <v>62870751.6987576</v>
      </c>
      <c r="CK21" s="595">
        <f ca="1" t="shared" si="45"/>
        <v>62870751.6987576</v>
      </c>
      <c r="CL21" s="596">
        <f>CL$3*3600</f>
        <v>57600</v>
      </c>
      <c r="CM21" s="580">
        <f ca="1" t="shared" ref="CM21:CP21" si="198">CE21</f>
        <v>1.45804479048821e+16</v>
      </c>
      <c r="CN21" s="580">
        <f ca="1" t="shared" si="198"/>
        <v>1818254.0421349</v>
      </c>
      <c r="CO21" s="581">
        <f ca="1" t="shared" si="198"/>
        <v>2.55641209376258e-12</v>
      </c>
      <c r="CP21" s="580">
        <f ca="1" t="shared" si="198"/>
        <v>40616093383.9579</v>
      </c>
      <c r="CQ21" s="580">
        <f ca="1">MAX(INDIRECT("'"&amp;$B$2&amp;"-事故进程'!AA"&amp;(ROW()+22)),INDIRECT("'"&amp;$B$2&amp;"-事故进程'!AB"&amp;(ROW()+22)))</f>
        <v>5.2167025e-11</v>
      </c>
      <c r="CR21" s="580">
        <f ca="1">SUM(CQ$3,-LN(1-CR$3)/CL21)</f>
        <v>6.95458811586267e-6</v>
      </c>
      <c r="CS21" s="580">
        <f>CS$3/24/3600</f>
        <v>1157407407407410</v>
      </c>
      <c r="CT21" s="582">
        <f ca="1" t="shared" si="47"/>
        <v>0.999384577804022</v>
      </c>
      <c r="CU21" s="582">
        <f ca="1" t="shared" si="48"/>
        <v>0.669518231772243</v>
      </c>
      <c r="CV21" s="582">
        <f t="shared" si="49"/>
        <v>0</v>
      </c>
      <c r="CW21" s="582">
        <f ca="1" t="shared" si="50"/>
        <v>760605.94525208</v>
      </c>
      <c r="CX21" s="582">
        <f ca="1" t="shared" si="51"/>
        <v>2.54548663409115e-12</v>
      </c>
      <c r="CY21" s="582">
        <f ca="1" t="shared" si="52"/>
        <v>1.0000075011511</v>
      </c>
      <c r="CZ21" s="580">
        <f ca="1" t="shared" si="53"/>
        <v>1.45714747736141e+16</v>
      </c>
      <c r="DA21" s="580">
        <f ca="1" t="shared" si="54"/>
        <v>36078746749.9256</v>
      </c>
      <c r="DB21" s="586">
        <f ca="1" t="shared" si="55"/>
        <v>2.16788679402266e-10</v>
      </c>
      <c r="DC21" s="594">
        <f ca="1" t="shared" si="56"/>
        <v>48299023636.0744</v>
      </c>
      <c r="DD21" s="580">
        <f ca="1" t="shared" si="57"/>
        <v>43798148096.8062</v>
      </c>
      <c r="DE21" s="580">
        <f ca="1" t="shared" si="58"/>
        <v>7709429699.16642</v>
      </c>
      <c r="DF21" s="595">
        <f ca="1" t="shared" si="59"/>
        <v>7709429699.16641</v>
      </c>
      <c r="DG21" s="596">
        <f>DG$3*3600</f>
        <v>86400</v>
      </c>
      <c r="DH21" s="580">
        <f ca="1" t="shared" ref="DH21:DK21" si="199">CZ21</f>
        <v>1.45714747736141e+16</v>
      </c>
      <c r="DI21" s="580">
        <f ca="1" t="shared" si="199"/>
        <v>36078746749.9256</v>
      </c>
      <c r="DJ21" s="581">
        <f ca="1" t="shared" si="199"/>
        <v>2.16788679402266e-10</v>
      </c>
      <c r="DK21" s="580">
        <f ca="1" t="shared" si="199"/>
        <v>48299023636.0744</v>
      </c>
      <c r="DL21" s="580">
        <f ca="1">MAX(INDIRECT("'"&amp;$B$2&amp;"-事故进程'!AB"&amp;(ROW()+22)),INDIRECT("'"&amp;$B$2&amp;"-事故进程'!AC"&amp;(ROW()+22)))</f>
        <v>1.8432905e-10</v>
      </c>
      <c r="DM21" s="580">
        <f ca="1">SUM(DL$3,-LN(1-DM$3)/DG21)</f>
        <v>1.01371476497628e-6</v>
      </c>
      <c r="DN21" s="580">
        <f>DN$3/24/3600</f>
        <v>1157407407407410</v>
      </c>
      <c r="DO21" s="582">
        <f ca="1" t="shared" si="61"/>
        <v>0.99906560055541</v>
      </c>
      <c r="DP21" s="582">
        <f ca="1" t="shared" si="62"/>
        <v>0.91529957224333</v>
      </c>
      <c r="DQ21" s="582">
        <f t="shared" si="63"/>
        <v>0</v>
      </c>
      <c r="DR21" s="582">
        <f ca="1" t="shared" si="64"/>
        <v>2649379.19419813</v>
      </c>
      <c r="DS21" s="582">
        <f ca="1" t="shared" si="65"/>
        <v>1.85189125046411e-10</v>
      </c>
      <c r="DT21" s="582">
        <f ca="1" t="shared" si="66"/>
        <v>1.00018186829272</v>
      </c>
      <c r="DU21" s="580">
        <f ca="1" t="shared" si="67"/>
        <v>1.45578591956788e+16</v>
      </c>
      <c r="DV21" s="580">
        <f ca="1" t="shared" si="68"/>
        <v>255010311729.908</v>
      </c>
      <c r="DW21" s="586">
        <f ca="1" t="shared" si="69"/>
        <v>2.23350668543644e-10</v>
      </c>
      <c r="DX21" s="594">
        <f ca="1" t="shared" si="70"/>
        <v>61140706018.0923</v>
      </c>
      <c r="DY21" s="580">
        <f ca="1" t="shared" si="71"/>
        <v>231957305279.664</v>
      </c>
      <c r="DZ21" s="580">
        <f ca="1" t="shared" si="72"/>
        <v>12890497776.7435</v>
      </c>
      <c r="EA21" s="595">
        <f ca="1" t="shared" si="73"/>
        <v>12890497776.7435</v>
      </c>
      <c r="EB21" s="596">
        <f>EB$3*3600</f>
        <v>172800</v>
      </c>
      <c r="EC21" s="580">
        <f ca="1" t="shared" ref="EC21:EF21" si="200">DU21</f>
        <v>1.45578591956788e+16</v>
      </c>
      <c r="ED21" s="580">
        <f ca="1" t="shared" si="200"/>
        <v>255010311729.908</v>
      </c>
      <c r="EE21" s="581">
        <f ca="1" t="shared" si="200"/>
        <v>2.23350668543644e-10</v>
      </c>
      <c r="EF21" s="580">
        <f ca="1" t="shared" si="200"/>
        <v>61140706018.0923</v>
      </c>
      <c r="EG21" s="580">
        <f ca="1">MAX(INDIRECT("'"&amp;$B$2&amp;"-事故进程'!AC"&amp;(ROW()+22)),INDIRECT("'"&amp;$B$2&amp;"-事故进程'!AD"&amp;(ROW()+22)),INDIRECT("'"&amp;$B$2&amp;"-事故进程'!AE"&amp;(ROW()+22)))</f>
        <v>1.8432905e-10</v>
      </c>
      <c r="EH21" s="580">
        <f ca="1">SUM(EG$3,-LN(1-EH$3)/EB21)</f>
        <v>5.81616658188741e-8</v>
      </c>
      <c r="EI21" s="580">
        <f>EI$3/24/3600</f>
        <v>1157407407407410</v>
      </c>
      <c r="EJ21" s="582">
        <f ca="1" t="shared" si="75"/>
        <v>0.998132074213142</v>
      </c>
      <c r="EK21" s="582">
        <f ca="1" t="shared" si="76"/>
        <v>0.988182228609212</v>
      </c>
      <c r="EL21" s="582">
        <f t="shared" si="77"/>
        <v>0</v>
      </c>
      <c r="EM21" s="582">
        <f ca="1" t="shared" si="78"/>
        <v>2668651.53685053</v>
      </c>
      <c r="EN21" s="582">
        <f ca="1" t="shared" si="79"/>
        <v>2.10535972148685e-10</v>
      </c>
      <c r="EO21" s="582">
        <f ca="1" t="shared" si="80"/>
        <v>1.00317932937718</v>
      </c>
      <c r="EP21" s="580">
        <f ca="1" t="shared" si="81"/>
        <v>1.45306661950857e+16</v>
      </c>
      <c r="EQ21" s="580">
        <f ca="1" t="shared" si="82"/>
        <v>712517594686.828</v>
      </c>
      <c r="ER21" s="586">
        <f ca="1" t="shared" si="83"/>
        <v>3.58052056406577e-11</v>
      </c>
      <c r="ES21" s="594">
        <f ca="1" t="shared" si="84"/>
        <v>65891948141.1719</v>
      </c>
      <c r="ET21" s="580">
        <f ca="1" t="shared" si="85"/>
        <v>463264590750.109</v>
      </c>
      <c r="EU21" s="580">
        <f ca="1" t="shared" si="86"/>
        <v>4867270864.38533</v>
      </c>
      <c r="EV21" s="595">
        <f ca="1" t="shared" si="87"/>
        <v>4867270864.38534</v>
      </c>
      <c r="EW21" s="596">
        <f>EW$3*3600</f>
        <v>2246400</v>
      </c>
      <c r="EX21" s="580">
        <f ca="1" t="shared" ref="EX21:FA21" si="201">EP21</f>
        <v>1.45306661950857e+16</v>
      </c>
      <c r="EY21" s="580">
        <f ca="1" t="shared" si="201"/>
        <v>712517594686.828</v>
      </c>
      <c r="EZ21" s="581">
        <f ca="1" t="shared" si="201"/>
        <v>3.58052056406577e-11</v>
      </c>
      <c r="FA21" s="580">
        <f ca="1" t="shared" si="201"/>
        <v>65891948141.1719</v>
      </c>
      <c r="FB21" s="580">
        <f ca="1">INDIRECT("'"&amp;$B$2&amp;"-事故进程'!AE"&amp;(ROW()+22))</f>
        <v>9.916875e-11</v>
      </c>
      <c r="FC21" s="580">
        <f ca="1">SUM(FB$3,-LN(1-FC$3)/EW21)</f>
        <v>4.47397429375955e-9</v>
      </c>
      <c r="FD21" s="580">
        <f>FD$3/24/3600</f>
        <v>1157407407407410</v>
      </c>
      <c r="FE21" s="582">
        <f ca="1" t="shared" si="89"/>
        <v>0.97617399111995</v>
      </c>
      <c r="FF21" s="582">
        <f ca="1" t="shared" si="90"/>
        <v>0.96662756543811</v>
      </c>
      <c r="FG21" s="582">
        <f t="shared" si="91"/>
        <v>0</v>
      </c>
      <c r="FH21" s="582">
        <f ca="1" t="shared" si="92"/>
        <v>1437870.87731064</v>
      </c>
      <c r="FI21" s="582">
        <f ca="1" t="shared" si="93"/>
        <v>3.30509590529147e-11</v>
      </c>
      <c r="FJ21" s="582">
        <f ca="1" t="shared" si="94"/>
        <v>1.02266815039161</v>
      </c>
      <c r="FK21" s="580">
        <f ca="1" t="shared" si="95"/>
        <v>1.41844584132885e+16</v>
      </c>
      <c r="FL21" s="580">
        <f ca="1" t="shared" si="96"/>
        <v>3833172596112.75</v>
      </c>
      <c r="FM21" s="586">
        <f ca="1" t="shared" si="97"/>
        <v>1.4817181528989e-11</v>
      </c>
      <c r="FN21" s="594">
        <f ca="1" t="shared" si="98"/>
        <v>87121661645.25</v>
      </c>
      <c r="FO21" s="580">
        <f ca="1" t="shared" si="99"/>
        <v>3198317647487.84</v>
      </c>
      <c r="FP21" s="580">
        <f ca="1" t="shared" si="100"/>
        <v>22996159014.4368</v>
      </c>
      <c r="FQ21" s="595">
        <f ca="1" t="shared" si="101"/>
        <v>22996159014.4365</v>
      </c>
      <c r="FR21" s="608" t="str">
        <f t="shared" si="102"/>
        <v>Cs-134</v>
      </c>
      <c r="FS21" s="609">
        <v>461000000</v>
      </c>
      <c r="FT21" s="610">
        <v>114000000</v>
      </c>
      <c r="FU21" s="610">
        <v>1690000000</v>
      </c>
      <c r="FV21" s="610">
        <v>6030000000</v>
      </c>
      <c r="FW21" s="610">
        <v>8300000000</v>
      </c>
      <c r="FX21" s="614">
        <f ca="1" t="shared" si="103"/>
        <v>0</v>
      </c>
      <c r="FY21" s="614">
        <f ca="1" t="shared" si="104"/>
        <v>356.388195670185</v>
      </c>
      <c r="FZ21" s="614">
        <f ca="1" t="shared" si="105"/>
        <v>4.56179272140024</v>
      </c>
      <c r="GA21" s="614">
        <f ca="1" t="shared" si="106"/>
        <v>2.94490358891026</v>
      </c>
      <c r="GB21" s="614">
        <f ca="1" t="shared" si="107"/>
        <v>7.96330754779475</v>
      </c>
      <c r="GC21" s="455">
        <f ca="1" t="shared" si="108"/>
        <v>10.7339291157991</v>
      </c>
      <c r="GE21" s="609">
        <v>138337.233401615</v>
      </c>
      <c r="GF21" s="610">
        <v>26274037.1054101</v>
      </c>
      <c r="GG21" s="610">
        <v>221424566.852603</v>
      </c>
      <c r="GH21" s="610">
        <v>424826527.579059</v>
      </c>
      <c r="GI21" s="610">
        <v>1106810296.94444</v>
      </c>
      <c r="GJ21" s="610">
        <v>7218955945.98593</v>
      </c>
      <c r="GK21" s="617">
        <v>8998429711.70084</v>
      </c>
      <c r="GL21" s="614">
        <f ca="1" t="shared" si="109"/>
        <v>0</v>
      </c>
      <c r="GM21" s="614">
        <f ca="1" t="shared" si="110"/>
        <v>1546.32705066993</v>
      </c>
      <c r="GN21" s="614">
        <f ca="1" t="shared" si="111"/>
        <v>34.8174089657287</v>
      </c>
      <c r="GO21" s="614">
        <f ca="1" t="shared" si="112"/>
        <v>11.5939812603118</v>
      </c>
      <c r="GP21" s="614">
        <f ca="1" t="shared" si="113"/>
        <v>3.185524220746</v>
      </c>
      <c r="GQ21" s="614">
        <f ca="1" t="shared" si="114"/>
        <v>9.90079541825896</v>
      </c>
      <c r="GR21" s="451">
        <f t="shared" si="115"/>
        <v>1.06355351616218e-8</v>
      </c>
      <c r="GS21" s="390">
        <f t="shared" si="116"/>
        <v>65172760.0000006</v>
      </c>
    </row>
    <row r="22" s="389" customFormat="1" spans="1:201">
      <c r="A22" s="430"/>
      <c r="B22" s="407" t="s">
        <v>276</v>
      </c>
      <c r="C22" s="636">
        <f>C19</f>
        <v>1e+20</v>
      </c>
      <c r="D22" s="410" t="s">
        <v>273</v>
      </c>
      <c r="E22" s="409" t="s">
        <v>274</v>
      </c>
      <c r="G22" s="411" t="s">
        <v>63</v>
      </c>
      <c r="H22" s="412">
        <f ca="1" t="shared" si="1"/>
        <v>0</v>
      </c>
      <c r="I22" s="412">
        <f ca="1" t="shared" si="2"/>
        <v>620375739480.043</v>
      </c>
      <c r="J22" s="412">
        <f ca="1" t="shared" si="3"/>
        <v>92202887.0806606</v>
      </c>
      <c r="K22" s="412">
        <f ca="1" t="shared" si="4"/>
        <v>9791454234.83643</v>
      </c>
      <c r="L22" s="412">
        <f ca="1" t="shared" si="5"/>
        <v>21525939388.2421</v>
      </c>
      <c r="M22" s="412">
        <f ca="1" t="shared" si="6"/>
        <v>27978955655.3981</v>
      </c>
      <c r="N22" s="412">
        <f ca="1" t="shared" si="7"/>
        <v>679764291645.6</v>
      </c>
      <c r="O22" s="450">
        <f ca="1" t="shared" si="8"/>
        <v>0</v>
      </c>
      <c r="P22" s="451"/>
      <c r="Q22" s="477" t="str">
        <f t="shared" si="0"/>
        <v>Cs-137</v>
      </c>
      <c r="R22" s="412">
        <f ca="1" t="shared" si="9"/>
        <v>0</v>
      </c>
      <c r="S22" s="412">
        <f ca="1">I22*(1-过滤效率!$B19)</f>
        <v>620375739.480043</v>
      </c>
      <c r="T22" s="412">
        <f ca="1">J22*(1-过滤效率!$B19)</f>
        <v>92202.8870806607</v>
      </c>
      <c r="U22" s="412">
        <f ca="1">K22*(1-过滤效率!$B19)</f>
        <v>9791454.23483644</v>
      </c>
      <c r="V22" s="412">
        <f ca="1">L22*(1-过滤效率!$B19)</f>
        <v>21525939.3882421</v>
      </c>
      <c r="W22" s="412">
        <f ca="1">M22*(1-过滤效率!$B19)</f>
        <v>27978955.6553981</v>
      </c>
      <c r="X22" s="412">
        <f ca="1" t="shared" si="10"/>
        <v>679764291.645601</v>
      </c>
      <c r="Y22" s="493"/>
      <c r="Z22" s="494">
        <f>VLOOKUP(G22,衰变常数!$A$1:$H$3800,7,FALSE)</f>
        <v>7.302030887879e-10</v>
      </c>
      <c r="AA22" s="495">
        <f>正常源项!C19</f>
        <v>1.74e+16</v>
      </c>
      <c r="AB22" s="496">
        <f>正常源项!F19</f>
        <v>0</v>
      </c>
      <c r="AC22" s="496">
        <f>正常源项!I19</f>
        <v>544000</v>
      </c>
      <c r="AD22" s="497"/>
      <c r="AE22" s="496">
        <f>正常源项!O19</f>
        <v>12400000000000</v>
      </c>
      <c r="AF22" s="498">
        <f t="shared" si="157"/>
        <v>0</v>
      </c>
      <c r="AG22" s="519">
        <f t="shared" si="185"/>
        <v>0</v>
      </c>
      <c r="AH22" s="523">
        <v>0.95</v>
      </c>
      <c r="AI22" s="519">
        <f t="shared" si="159"/>
        <v>620000000000</v>
      </c>
      <c r="AJ22" s="521">
        <v>0.00066</v>
      </c>
      <c r="AK22" s="521">
        <v>0.001958</v>
      </c>
      <c r="AL22" s="525">
        <f>AA22*(AJ22)*0.00000209</f>
        <v>24001560</v>
      </c>
      <c r="AM22" s="520"/>
      <c r="AN22" s="519">
        <f ca="1">MAX(INDIRECT("'"&amp;$B$2&amp;"-事故进程'!Y"&amp;(ROW()+22)),INDIRECT("'"&amp;$B$2&amp;"-事故进程'!Z"&amp;(ROW()+22)),INDIRECT("'"&amp;$B$2&amp;"-事故进程'!AA"&amp;(ROW()+22)))</f>
        <v>2.34313e-13</v>
      </c>
      <c r="AO22" s="519">
        <f ca="1" t="shared" si="13"/>
        <v>396260759.871758</v>
      </c>
      <c r="AP22" s="560">
        <f t="shared" si="14"/>
        <v>1.73987650659457e+16</v>
      </c>
      <c r="AQ22" s="561">
        <f ca="1">(AC22*$C$5+AD22*$C$8+AF22+AG22+AI22+(AL22+AM22)*$C$10)*EXP(-Z22*$C$12*3600)+AO22*$C$11</f>
        <v>620376801180.457</v>
      </c>
      <c r="AR22" s="562">
        <f ca="1">AQ22*(1-AR$3)</f>
        <v>620376801180.457</v>
      </c>
      <c r="AS22" s="563">
        <f ca="1" t="shared" si="15"/>
        <v>0</v>
      </c>
      <c r="AT22" s="562">
        <f ca="1">AS22*(1-AT$3)</f>
        <v>0</v>
      </c>
      <c r="AU22" s="564">
        <f ca="1" t="shared" si="16"/>
        <v>0</v>
      </c>
      <c r="AV22" s="565">
        <f>AV$3*3600</f>
        <v>7200</v>
      </c>
      <c r="AW22" s="580">
        <f>AP22*EXP(-Z22*AW$3*3600)</f>
        <v>1.73987650659457e+16</v>
      </c>
      <c r="AX22" s="580">
        <f ca="1" t="shared" si="17"/>
        <v>620376801180.457</v>
      </c>
      <c r="AY22" s="581">
        <f ca="1" t="shared" si="18"/>
        <v>0</v>
      </c>
      <c r="AZ22" s="580">
        <v>0</v>
      </c>
      <c r="BA22" s="580">
        <f ca="1">MAX(INDIRECT("'"&amp;$B$2&amp;"-事故进程'!Y"&amp;(ROW()+22)),INDIRECT("'"&amp;$B$2&amp;"-事故进程'!Z"&amp;(ROW()+22)))</f>
        <v>4.688e-14</v>
      </c>
      <c r="BB22" s="580">
        <f ca="1">SUM(BA$3,-LN(1-BB$3)/AV22)</f>
        <v>0.00160041330566996</v>
      </c>
      <c r="BC22" s="580">
        <f>BC$3/24/3600</f>
        <v>1157407407407410</v>
      </c>
      <c r="BD22" s="582">
        <f ca="1" t="shared" si="19"/>
        <v>0.999994742214047</v>
      </c>
      <c r="BE22" s="582">
        <f ca="1" t="shared" si="20"/>
        <v>9.89994795126067e-6</v>
      </c>
      <c r="BF22" s="582">
        <f t="shared" si="21"/>
        <v>0</v>
      </c>
      <c r="BG22" s="582">
        <f ca="1" t="shared" si="22"/>
        <v>-992858471.454982</v>
      </c>
      <c r="BH22" s="582">
        <f ca="1" t="shared" si="23"/>
        <v>-8.57830424087381e-7</v>
      </c>
      <c r="BI22" s="582">
        <f ca="1" t="shared" si="24"/>
        <v>1.00000000002929</v>
      </c>
      <c r="BJ22" s="580">
        <f ca="1" t="shared" si="25"/>
        <v>1.73986735869631e+16</v>
      </c>
      <c r="BK22" s="580">
        <f ca="1" t="shared" si="26"/>
        <v>6651342.48180038</v>
      </c>
      <c r="BL22" s="586">
        <f ca="1" t="shared" si="27"/>
        <v>9.19719101529319e-12</v>
      </c>
      <c r="BM22" s="594">
        <f ca="1" t="shared" si="28"/>
        <v>620372760917.518</v>
      </c>
      <c r="BN22" s="580">
        <f ca="1" t="shared" si="29"/>
        <v>5872694.12655308</v>
      </c>
      <c r="BO22" s="580">
        <f ca="1" t="shared" si="30"/>
        <v>620375739480.043</v>
      </c>
      <c r="BP22" s="595">
        <f ca="1" t="shared" si="31"/>
        <v>620375739480.043</v>
      </c>
      <c r="BQ22" s="596">
        <f>BQ$3*3600</f>
        <v>21600</v>
      </c>
      <c r="BR22" s="580">
        <f ca="1" t="shared" ref="BR22:BU22" si="202">BJ22</f>
        <v>1.73986735869631e+16</v>
      </c>
      <c r="BS22" s="580">
        <f ca="1" t="shared" si="202"/>
        <v>6651342.48180038</v>
      </c>
      <c r="BT22" s="581">
        <f ca="1" t="shared" si="202"/>
        <v>9.19719101529319e-12</v>
      </c>
      <c r="BU22" s="580">
        <f ca="1" t="shared" si="202"/>
        <v>620372760917.518</v>
      </c>
      <c r="BV22" s="580">
        <f ca="1">MAX(INDIRECT("'"&amp;$B$2&amp;"-事故进程'!Z"&amp;(ROW()+22)),INDIRECT("'"&amp;$B$2&amp;"-事故进程'!AA"&amp;(ROW()+22)))</f>
        <v>2.34313e-13</v>
      </c>
      <c r="BW22" s="580">
        <f ca="1">SUM(BV$3,-LN(1-BW$3)/BQ22)</f>
        <v>0.00162728102077123</v>
      </c>
      <c r="BX22" s="580">
        <f>BX$3/24/3600</f>
        <v>1157407407407410</v>
      </c>
      <c r="BY22" s="582">
        <f ca="1" t="shared" si="33"/>
        <v>0.999984222676585</v>
      </c>
      <c r="BZ22" s="582">
        <f ca="1" t="shared" si="34"/>
        <v>5.43074142433398e-16</v>
      </c>
      <c r="CA22" s="582">
        <f t="shared" si="35"/>
        <v>0</v>
      </c>
      <c r="CB22" s="582">
        <f ca="1" t="shared" si="36"/>
        <v>-6746.86797754259</v>
      </c>
      <c r="CC22" s="582">
        <f ca="1" t="shared" si="37"/>
        <v>-1.5440230786347e-13</v>
      </c>
      <c r="CD22" s="582">
        <f ca="1" t="shared" si="38"/>
        <v>1.00000000014399</v>
      </c>
      <c r="CE22" s="580">
        <f ca="1" t="shared" si="39"/>
        <v>1.73983990824629e+16</v>
      </c>
      <c r="CF22" s="580">
        <f ca="1" t="shared" si="40"/>
        <v>2505204.09982048</v>
      </c>
      <c r="CG22" s="586">
        <f ca="1" t="shared" si="41"/>
        <v>3.52224381726387e-12</v>
      </c>
      <c r="CH22" s="594">
        <f ca="1" t="shared" si="42"/>
        <v>620455178361.9</v>
      </c>
      <c r="CI22" s="580">
        <f ca="1" t="shared" si="43"/>
        <v>88056790.0725013</v>
      </c>
      <c r="CJ22" s="580">
        <f ca="1" t="shared" si="44"/>
        <v>92202887.0806606</v>
      </c>
      <c r="CK22" s="595">
        <f ca="1" t="shared" si="45"/>
        <v>92202887.0806606</v>
      </c>
      <c r="CL22" s="596">
        <f>CL$3*3600</f>
        <v>57600</v>
      </c>
      <c r="CM22" s="580">
        <f ca="1" t="shared" ref="CM22:CP22" si="203">CE22</f>
        <v>1.73983990824629e+16</v>
      </c>
      <c r="CN22" s="580">
        <f ca="1" t="shared" si="203"/>
        <v>2505204.09982048</v>
      </c>
      <c r="CO22" s="581">
        <f ca="1" t="shared" si="203"/>
        <v>3.52224381726387e-12</v>
      </c>
      <c r="CP22" s="580">
        <f ca="1" t="shared" si="203"/>
        <v>620455178361.9</v>
      </c>
      <c r="CQ22" s="580">
        <f ca="1">MAX(INDIRECT("'"&amp;$B$2&amp;"-事故进程'!AA"&amp;(ROW()+22)),INDIRECT("'"&amp;$B$2&amp;"-事故进程'!AB"&amp;(ROW()+22)))</f>
        <v>5.55031e-11</v>
      </c>
      <c r="CR22" s="580">
        <f ca="1">SUM(CQ$3,-LN(1-CR$3)/CL22)</f>
        <v>6.95458811586267e-6</v>
      </c>
      <c r="CS22" s="580">
        <f>CS$3/24/3600</f>
        <v>1157407407407410</v>
      </c>
      <c r="CT22" s="582">
        <f ca="1" t="shared" si="47"/>
        <v>0.999954744347594</v>
      </c>
      <c r="CU22" s="582">
        <f ca="1" t="shared" si="48"/>
        <v>0.669900332468981</v>
      </c>
      <c r="CV22" s="582">
        <f t="shared" si="49"/>
        <v>0</v>
      </c>
      <c r="CW22" s="582">
        <f ca="1" t="shared" si="50"/>
        <v>965647.661590236</v>
      </c>
      <c r="CX22" s="582">
        <f ca="1" t="shared" si="51"/>
        <v>3.50719063672527e-12</v>
      </c>
      <c r="CY22" s="582">
        <f ca="1" t="shared" si="52"/>
        <v>1.00000798085265</v>
      </c>
      <c r="CZ22" s="580">
        <f ca="1" t="shared" si="53"/>
        <v>1.73976117065616e+16</v>
      </c>
      <c r="DA22" s="580">
        <f ca="1" t="shared" si="54"/>
        <v>45831073130.3987</v>
      </c>
      <c r="DB22" s="586">
        <f ca="1" t="shared" si="55"/>
        <v>2.75388108361837e-10</v>
      </c>
      <c r="DC22" s="594">
        <f ca="1" t="shared" si="56"/>
        <v>630220395249.601</v>
      </c>
      <c r="DD22" s="580">
        <f ca="1" t="shared" si="57"/>
        <v>55621050223.4744</v>
      </c>
      <c r="DE22" s="580">
        <f ca="1" t="shared" si="58"/>
        <v>9791454234.83644</v>
      </c>
      <c r="DF22" s="595">
        <f ca="1" t="shared" si="59"/>
        <v>9791454234.83643</v>
      </c>
      <c r="DG22" s="596">
        <f>DG$3*3600</f>
        <v>86400</v>
      </c>
      <c r="DH22" s="580">
        <f ca="1" t="shared" ref="DH22:DK22" si="204">CZ22</f>
        <v>1.73976117065616e+16</v>
      </c>
      <c r="DI22" s="580">
        <f ca="1" t="shared" si="204"/>
        <v>45831073130.3987</v>
      </c>
      <c r="DJ22" s="581">
        <f ca="1" t="shared" si="204"/>
        <v>2.75388108361837e-10</v>
      </c>
      <c r="DK22" s="580">
        <f ca="1" t="shared" si="204"/>
        <v>630220395249.601</v>
      </c>
      <c r="DL22" s="580">
        <f ca="1">MAX(INDIRECT("'"&amp;$B$2&amp;"-事故进程'!AB"&amp;(ROW()+22)),INDIRECT("'"&amp;$B$2&amp;"-事故进程'!AC"&amp;(ROW()+22)))</f>
        <v>1.84852075e-10</v>
      </c>
      <c r="DM22" s="580">
        <f ca="1">SUM(DL$3,-LN(1-DM$3)/DG22)</f>
        <v>1.01371476497628e-6</v>
      </c>
      <c r="DN22" s="580">
        <f>DN$3/24/3600</f>
        <v>1157407407407410</v>
      </c>
      <c r="DO22" s="582">
        <f ca="1" t="shared" si="61"/>
        <v>0.999920942359069</v>
      </c>
      <c r="DP22" s="582">
        <f ca="1" t="shared" si="62"/>
        <v>0.916083239847448</v>
      </c>
      <c r="DQ22" s="582">
        <f t="shared" si="63"/>
        <v>0</v>
      </c>
      <c r="DR22" s="582">
        <f ca="1" t="shared" si="64"/>
        <v>3169533.46044419</v>
      </c>
      <c r="DS22" s="582">
        <f ca="1" t="shared" si="65"/>
        <v>2.35246983266515e-10</v>
      </c>
      <c r="DT22" s="582">
        <f ca="1" t="shared" si="66"/>
        <v>1.00018238442955</v>
      </c>
      <c r="DU22" s="580">
        <f ca="1" t="shared" si="67"/>
        <v>1.73962362924223e+16</v>
      </c>
      <c r="DV22" s="580">
        <f ca="1" t="shared" si="68"/>
        <v>308006592230.071</v>
      </c>
      <c r="DW22" s="586">
        <f ca="1" t="shared" si="69"/>
        <v>2.69767437339153e-10</v>
      </c>
      <c r="DX22" s="594">
        <f ca="1" t="shared" si="70"/>
        <v>645843548915.929</v>
      </c>
      <c r="DY22" s="580">
        <f ca="1" t="shared" si="71"/>
        <v>277850087848.786</v>
      </c>
      <c r="DZ22" s="580">
        <f ca="1" t="shared" si="72"/>
        <v>15663286107.9887</v>
      </c>
      <c r="EA22" s="595">
        <f ca="1" t="shared" si="73"/>
        <v>15663286107.9887</v>
      </c>
      <c r="EB22" s="596">
        <f>EB$3*3600</f>
        <v>172800</v>
      </c>
      <c r="EC22" s="580">
        <f ca="1" t="shared" ref="EC22:EF22" si="205">DU22</f>
        <v>1.73962362924223e+16</v>
      </c>
      <c r="ED22" s="580">
        <f ca="1" t="shared" si="205"/>
        <v>308006592230.071</v>
      </c>
      <c r="EE22" s="581">
        <f ca="1" t="shared" si="205"/>
        <v>2.69767437339153e-10</v>
      </c>
      <c r="EF22" s="580">
        <f ca="1" t="shared" si="205"/>
        <v>645843548915.929</v>
      </c>
      <c r="EG22" s="580">
        <f ca="1">MAX(INDIRECT("'"&amp;$B$2&amp;"-事故进程'!AC"&amp;(ROW()+22)),INDIRECT("'"&amp;$B$2&amp;"-事故进程'!AD"&amp;(ROW()+22)),INDIRECT("'"&amp;$B$2&amp;"-事故进程'!AE"&amp;(ROW()+22)))</f>
        <v>1.84852075e-10</v>
      </c>
      <c r="EH22" s="580">
        <f ca="1">SUM(EG$3,-LN(1-EH$3)/EB22)</f>
        <v>5.81616658188741e-8</v>
      </c>
      <c r="EI22" s="580">
        <f>EI$3/24/3600</f>
        <v>1157407407407410</v>
      </c>
      <c r="EJ22" s="582">
        <f ca="1" t="shared" si="75"/>
        <v>0.999841890968248</v>
      </c>
      <c r="EK22" s="582">
        <f ca="1" t="shared" si="76"/>
        <v>0.989875090577839</v>
      </c>
      <c r="EL22" s="582">
        <f t="shared" si="77"/>
        <v>0</v>
      </c>
      <c r="EM22" s="582">
        <f ca="1" t="shared" si="78"/>
        <v>3197873.13501496</v>
      </c>
      <c r="EN22" s="582">
        <f ca="1" t="shared" si="79"/>
        <v>2.5428958885413e-10</v>
      </c>
      <c r="EO22" s="582">
        <f ca="1" t="shared" si="80"/>
        <v>1.00318837933759</v>
      </c>
      <c r="EP22" s="580">
        <f ca="1" t="shared" si="81"/>
        <v>1.7393485790346e+16</v>
      </c>
      <c r="EQ22" s="580">
        <f ca="1" t="shared" si="82"/>
        <v>857704613930.234</v>
      </c>
      <c r="ER22" s="586">
        <f ca="1" t="shared" si="83"/>
        <v>4.31010971654839e-11</v>
      </c>
      <c r="ES22" s="594">
        <f ca="1" t="shared" si="84"/>
        <v>651624403615.766</v>
      </c>
      <c r="ET22" s="580">
        <f ca="1" t="shared" si="85"/>
        <v>555634278916.516</v>
      </c>
      <c r="EU22" s="580">
        <f ca="1" t="shared" si="86"/>
        <v>5862653280.25345</v>
      </c>
      <c r="EV22" s="595">
        <f ca="1" t="shared" si="87"/>
        <v>5862653280.25344</v>
      </c>
      <c r="EW22" s="596">
        <f>EW$3*3600</f>
        <v>2246400</v>
      </c>
      <c r="EX22" s="580">
        <f ca="1" t="shared" ref="EX22:FA22" si="206">EP22</f>
        <v>1.7393485790346e+16</v>
      </c>
      <c r="EY22" s="580">
        <f ca="1" t="shared" si="206"/>
        <v>857704613930.234</v>
      </c>
      <c r="EZ22" s="581">
        <f ca="1" t="shared" si="206"/>
        <v>4.31010971654839e-11</v>
      </c>
      <c r="FA22" s="580">
        <f ca="1" t="shared" si="206"/>
        <v>651624403615.766</v>
      </c>
      <c r="FB22" s="580">
        <f ca="1">INDIRECT("'"&amp;$B$2&amp;"-事故进程'!AE"&amp;(ROW()+22))</f>
        <v>9.9297425e-11</v>
      </c>
      <c r="FC22" s="580">
        <f ca="1">SUM(FB$3,-LN(1-FC$3)/EW22)</f>
        <v>4.47397429375955e-9</v>
      </c>
      <c r="FD22" s="580">
        <f>FD$3/24/3600</f>
        <v>1157407407407410</v>
      </c>
      <c r="FE22" s="582">
        <f ca="1" t="shared" si="89"/>
        <v>0.998138345079039</v>
      </c>
      <c r="FF22" s="582">
        <f ca="1" t="shared" si="90"/>
        <v>0.988377406220538</v>
      </c>
      <c r="FG22" s="582">
        <f t="shared" si="91"/>
        <v>0</v>
      </c>
      <c r="FH22" s="582">
        <f ca="1" t="shared" si="92"/>
        <v>1723376.17022066</v>
      </c>
      <c r="FI22" s="582">
        <f ca="1" t="shared" si="93"/>
        <v>3.97856281527544e-11</v>
      </c>
      <c r="FJ22" s="582">
        <f ca="1" t="shared" si="94"/>
        <v>1.02269823074456</v>
      </c>
      <c r="FK22" s="580">
        <f ca="1" t="shared" si="95"/>
        <v>1.73611051219317e+16</v>
      </c>
      <c r="FL22" s="580">
        <f ca="1" t="shared" si="96"/>
        <v>4701367738501.06</v>
      </c>
      <c r="FM22" s="586">
        <f ca="1" t="shared" si="97"/>
        <v>1.81732018241354e-11</v>
      </c>
      <c r="FN22" s="594">
        <f ca="1" t="shared" si="98"/>
        <v>678517698914.937</v>
      </c>
      <c r="FO22" s="580">
        <f ca="1" t="shared" si="99"/>
        <v>3876208561502.01</v>
      </c>
      <c r="FP22" s="580">
        <f ca="1" t="shared" si="100"/>
        <v>27978955655.398</v>
      </c>
      <c r="FQ22" s="595">
        <f ca="1" t="shared" si="101"/>
        <v>27978955655.3981</v>
      </c>
      <c r="FR22" s="608" t="str">
        <f t="shared" si="102"/>
        <v>Cs-137</v>
      </c>
      <c r="FS22" s="609">
        <v>4800000000</v>
      </c>
      <c r="FT22" s="610">
        <v>160000000</v>
      </c>
      <c r="FU22" s="610">
        <v>2210000000</v>
      </c>
      <c r="FV22" s="610">
        <v>7860000000</v>
      </c>
      <c r="FW22" s="610">
        <v>15000000000</v>
      </c>
      <c r="FX22" s="614">
        <f ca="1" t="shared" si="103"/>
        <v>0</v>
      </c>
      <c r="FY22" s="614">
        <f ca="1" t="shared" si="104"/>
        <v>3877.92463979452</v>
      </c>
      <c r="FZ22" s="614">
        <f ca="1" t="shared" si="105"/>
        <v>4.43052227820653</v>
      </c>
      <c r="GA22" s="614">
        <f ca="1" t="shared" si="106"/>
        <v>2.73866913336414</v>
      </c>
      <c r="GB22" s="614">
        <f ca="1" t="shared" si="107"/>
        <v>43.4523557326801</v>
      </c>
      <c r="GC22" s="455">
        <f ca="1" t="shared" si="108"/>
        <v>45.31761944304</v>
      </c>
      <c r="GE22" s="609">
        <v>227252.597555914</v>
      </c>
      <c r="GF22" s="610">
        <v>212417376.915186</v>
      </c>
      <c r="GG22" s="610">
        <v>628318264.087984</v>
      </c>
      <c r="GH22" s="610">
        <v>1022851382.69255</v>
      </c>
      <c r="GI22" s="610">
        <v>2255281278.4136</v>
      </c>
      <c r="GJ22" s="610">
        <v>12982879176.6197</v>
      </c>
      <c r="GK22" s="617">
        <v>17101974731.3265</v>
      </c>
      <c r="GL22" s="614">
        <f ca="1" t="shared" si="109"/>
        <v>0</v>
      </c>
      <c r="GM22" s="614">
        <f ca="1" t="shared" si="110"/>
        <v>2920.98486186873</v>
      </c>
      <c r="GN22" s="614">
        <f ca="1" t="shared" si="111"/>
        <v>15.5835900282939</v>
      </c>
      <c r="GO22" s="614">
        <f ca="1" t="shared" si="112"/>
        <v>6.56652479127509</v>
      </c>
      <c r="GP22" s="614">
        <f ca="1" t="shared" si="113"/>
        <v>2.1550655501581</v>
      </c>
      <c r="GQ22" s="614">
        <f ca="1" t="shared" si="114"/>
        <v>39.7477076375539</v>
      </c>
      <c r="GR22" s="451">
        <f t="shared" si="115"/>
        <v>7.302030887879e-10</v>
      </c>
      <c r="GS22" s="390">
        <f t="shared" si="116"/>
        <v>949252600</v>
      </c>
    </row>
    <row r="23" s="389" customFormat="1" spans="1:201">
      <c r="A23" s="432" t="s">
        <v>235</v>
      </c>
      <c r="B23" s="407" t="s">
        <v>267</v>
      </c>
      <c r="C23" s="428">
        <f>-LN(1-0%)/8/3600</f>
        <v>0</v>
      </c>
      <c r="D23" s="410" t="s">
        <v>268</v>
      </c>
      <c r="E23" s="409" t="s">
        <v>269</v>
      </c>
      <c r="G23" s="411" t="s">
        <v>64</v>
      </c>
      <c r="H23" s="412">
        <f ca="1" t="shared" si="1"/>
        <v>0</v>
      </c>
      <c r="I23" s="412">
        <f ca="1" t="shared" si="2"/>
        <v>13861313915.9861</v>
      </c>
      <c r="J23" s="412">
        <f ca="1" t="shared" si="3"/>
        <v>117322385.791969</v>
      </c>
      <c r="K23" s="412">
        <f ca="1" t="shared" si="4"/>
        <v>1099123819.54384</v>
      </c>
      <c r="L23" s="412">
        <f ca="1" t="shared" si="5"/>
        <v>9961016075.29448</v>
      </c>
      <c r="M23" s="412">
        <f ca="1" t="shared" si="6"/>
        <v>61506218501.9612</v>
      </c>
      <c r="N23" s="412">
        <f ca="1" t="shared" si="7"/>
        <v>86544994698.5776</v>
      </c>
      <c r="O23" s="450">
        <f ca="1" t="shared" si="8"/>
        <v>0</v>
      </c>
      <c r="P23" s="451"/>
      <c r="Q23" s="477" t="str">
        <f t="shared" si="0"/>
        <v>Ag-110m</v>
      </c>
      <c r="R23" s="412">
        <f ca="1" t="shared" si="9"/>
        <v>0</v>
      </c>
      <c r="S23" s="412">
        <f ca="1">I23*(1-过滤效率!$B20)</f>
        <v>13861313.9159861</v>
      </c>
      <c r="T23" s="412">
        <f ca="1">J23*(1-过滤效率!$B20)</f>
        <v>117322.385791969</v>
      </c>
      <c r="U23" s="412">
        <f ca="1">K23*(1-过滤效率!$B20)</f>
        <v>1099123.81954384</v>
      </c>
      <c r="V23" s="412">
        <f ca="1">L23*(1-过滤效率!$B20)</f>
        <v>9961016.07529449</v>
      </c>
      <c r="W23" s="412">
        <f ca="1">M23*(1-过滤效率!$B20)</f>
        <v>61506218.5019613</v>
      </c>
      <c r="X23" s="412">
        <f ca="1" t="shared" si="10"/>
        <v>86544994.6985777</v>
      </c>
      <c r="Y23" s="493"/>
      <c r="Z23" s="494">
        <f>VLOOKUP(G23,衰变常数!$A$1:$H$3800,7,FALSE)</f>
        <v>3.21209893462493e-8</v>
      </c>
      <c r="AA23" s="495">
        <f>正常源项!C20</f>
        <v>242000000000000</v>
      </c>
      <c r="AB23" s="496">
        <f>正常源项!F20</f>
        <v>0</v>
      </c>
      <c r="AC23" s="496">
        <f>正常源项!I20</f>
        <v>409000</v>
      </c>
      <c r="AD23" s="497"/>
      <c r="AE23" s="496">
        <f>正常源项!O20</f>
        <v>282000000000</v>
      </c>
      <c r="AF23" s="498">
        <f t="shared" si="157"/>
        <v>0</v>
      </c>
      <c r="AG23" s="519">
        <f t="shared" si="185"/>
        <v>0</v>
      </c>
      <c r="AH23" s="523">
        <v>0.9</v>
      </c>
      <c r="AI23" s="519">
        <f t="shared" si="159"/>
        <v>13357894736.8421</v>
      </c>
      <c r="AJ23" s="521">
        <v>0.00066</v>
      </c>
      <c r="AK23" s="521">
        <v>5.457e-5</v>
      </c>
      <c r="AL23" s="526">
        <f>AA23*(AJ23-AK23)*0.00000209</f>
        <v>306214.3854</v>
      </c>
      <c r="AM23" s="520"/>
      <c r="AN23" s="519">
        <f ca="1">MAX(INDIRECT("'"&amp;$B$2&amp;"-事故进程'!Y"&amp;(ROW()+22)),INDIRECT("'"&amp;$B$2&amp;"-事故进程'!Z"&amp;(ROW()+22)),INDIRECT("'"&amp;$B$2&amp;"-事故进程'!AA"&amp;(ROW()+22)))</f>
        <v>2.310464e-11</v>
      </c>
      <c r="AO23" s="519">
        <f ca="1" t="shared" si="13"/>
        <v>541781800.756924</v>
      </c>
      <c r="AP23" s="560">
        <f t="shared" si="14"/>
        <v>241245615507611</v>
      </c>
      <c r="AQ23" s="561">
        <f ca="1">(AC23*$C$5+AD23*$C$8+AF23+AG23+AI23+(AL23+AM23)*$C$10)*EXP(-Z23*$C$12*3600)+AO23*$C$11</f>
        <v>13858749073.5254</v>
      </c>
      <c r="AR23" s="562">
        <f ca="1">AQ23*(1-AR$3)</f>
        <v>13858749073.5254</v>
      </c>
      <c r="AS23" s="563">
        <f ca="1" t="shared" si="15"/>
        <v>0</v>
      </c>
      <c r="AT23" s="562">
        <f ca="1">AS23*(1-AT$3)</f>
        <v>0</v>
      </c>
      <c r="AU23" s="564">
        <f ca="1" t="shared" si="16"/>
        <v>0</v>
      </c>
      <c r="AV23" s="565">
        <f>AV$3*3600</f>
        <v>7200</v>
      </c>
      <c r="AW23" s="580">
        <f>AP23*EXP(-Z23*AW$3*3600)</f>
        <v>241245615507611</v>
      </c>
      <c r="AX23" s="580">
        <f ca="1" t="shared" si="17"/>
        <v>13858749073.5254</v>
      </c>
      <c r="AY23" s="581">
        <f ca="1" t="shared" si="18"/>
        <v>0</v>
      </c>
      <c r="AZ23" s="580">
        <v>0</v>
      </c>
      <c r="BA23" s="580">
        <f ca="1">MAX(INDIRECT("'"&amp;$B$2&amp;"-事故进程'!Y"&amp;(ROW()+22)),INDIRECT("'"&amp;$B$2&amp;"-事故进程'!Z"&amp;(ROW()+22)))</f>
        <v>1.879e-12</v>
      </c>
      <c r="BB23" s="580">
        <f ca="1">SUM(BA$3,-LN(1-BB$3)/AV23)</f>
        <v>0.00160041330566996</v>
      </c>
      <c r="BC23" s="580">
        <f>BC$3/24/3600</f>
        <v>1157407407407410</v>
      </c>
      <c r="BD23" s="582">
        <f ca="1" t="shared" si="19"/>
        <v>0.99976874209214</v>
      </c>
      <c r="BE23" s="582">
        <f ca="1" t="shared" si="20"/>
        <v>9.89771068061635e-6</v>
      </c>
      <c r="BF23" s="582">
        <f t="shared" si="21"/>
        <v>0</v>
      </c>
      <c r="BG23" s="582">
        <f ca="1" t="shared" si="22"/>
        <v>-22179273.0906593</v>
      </c>
      <c r="BH23" s="582">
        <f ca="1" t="shared" si="23"/>
        <v>-1.91632836244706e-8</v>
      </c>
      <c r="BI23" s="582">
        <f ca="1" t="shared" si="24"/>
        <v>1.00000000117407</v>
      </c>
      <c r="BJ23" s="580">
        <f ca="1" t="shared" si="25"/>
        <v>241189825551289</v>
      </c>
      <c r="BK23" s="580">
        <f ca="1" t="shared" si="26"/>
        <v>420341.238588244</v>
      </c>
      <c r="BL23" s="586">
        <f ca="1" t="shared" si="27"/>
        <v>5.81229830440873e-13</v>
      </c>
      <c r="BM23" s="594">
        <f ca="1" t="shared" si="28"/>
        <v>13858386983.3552</v>
      </c>
      <c r="BN23" s="580">
        <f ca="1" t="shared" si="29"/>
        <v>3263386.28295137</v>
      </c>
      <c r="BO23" s="580">
        <f ca="1" t="shared" si="30"/>
        <v>13861313915.9861</v>
      </c>
      <c r="BP23" s="595">
        <f ca="1" t="shared" si="31"/>
        <v>13861313915.9861</v>
      </c>
      <c r="BQ23" s="596">
        <f>BQ$3*3600</f>
        <v>21600</v>
      </c>
      <c r="BR23" s="580">
        <f ca="1" t="shared" ref="BR23:BU23" si="207">BJ23</f>
        <v>241189825551289</v>
      </c>
      <c r="BS23" s="580">
        <f ca="1" t="shared" si="207"/>
        <v>420341.238588244</v>
      </c>
      <c r="BT23" s="581">
        <f ca="1" t="shared" si="207"/>
        <v>5.81229830440873e-13</v>
      </c>
      <c r="BU23" s="580">
        <f ca="1" t="shared" si="207"/>
        <v>13858386983.3552</v>
      </c>
      <c r="BV23" s="580">
        <f ca="1">MAX(INDIRECT("'"&amp;$B$2&amp;"-事故进程'!Z"&amp;(ROW()+22)),INDIRECT("'"&amp;$B$2&amp;"-事故进程'!AA"&amp;(ROW()+22)))</f>
        <v>2.310464e-11</v>
      </c>
      <c r="BW23" s="580">
        <f ca="1">SUM(BV$3,-LN(1-BW$3)/BQ23)</f>
        <v>0.00162728102077123</v>
      </c>
      <c r="BX23" s="580">
        <f>BX$3/24/3600</f>
        <v>1157407407407410</v>
      </c>
      <c r="BY23" s="582">
        <f ca="1" t="shared" si="33"/>
        <v>0.999305928548997</v>
      </c>
      <c r="BZ23" s="582">
        <f ca="1" t="shared" si="34"/>
        <v>5.42706040716061e-16</v>
      </c>
      <c r="CA23" s="582">
        <f t="shared" si="35"/>
        <v>0</v>
      </c>
      <c r="CB23" s="582">
        <f ca="1" t="shared" si="36"/>
        <v>4888.59078093504</v>
      </c>
      <c r="CC23" s="582">
        <f ca="1" t="shared" si="37"/>
        <v>-9.75767786815964e-15</v>
      </c>
      <c r="CD23" s="582">
        <f ca="1" t="shared" si="38"/>
        <v>1.00000001419831</v>
      </c>
      <c r="CE23" s="580">
        <f ca="1" t="shared" si="39"/>
        <v>241022422579101</v>
      </c>
      <c r="CF23" s="580">
        <f ca="1" t="shared" si="40"/>
        <v>3422111.06354907</v>
      </c>
      <c r="CG23" s="586">
        <f ca="1" t="shared" si="41"/>
        <v>4.81138823636754e-12</v>
      </c>
      <c r="CH23" s="594">
        <f ca="1" t="shared" si="42"/>
        <v>13966057856.8427</v>
      </c>
      <c r="CI23" s="580">
        <f ca="1" t="shared" si="43"/>
        <v>120326471.449939</v>
      </c>
      <c r="CJ23" s="580">
        <f ca="1" t="shared" si="44"/>
        <v>117322385.791969</v>
      </c>
      <c r="CK23" s="595">
        <f ca="1" t="shared" si="45"/>
        <v>117322385.791969</v>
      </c>
      <c r="CL23" s="596">
        <f>CL$3*3600</f>
        <v>57600</v>
      </c>
      <c r="CM23" s="580">
        <f ca="1" t="shared" ref="CM23:CP23" si="208">CE23</f>
        <v>241022422579101</v>
      </c>
      <c r="CN23" s="580">
        <f ca="1" t="shared" si="208"/>
        <v>3422111.06354907</v>
      </c>
      <c r="CO23" s="581">
        <f ca="1" t="shared" si="208"/>
        <v>4.81138823636754e-12</v>
      </c>
      <c r="CP23" s="580">
        <f ca="1" t="shared" si="208"/>
        <v>13966057856.8427</v>
      </c>
      <c r="CQ23" s="580">
        <f ca="1">MAX(INDIRECT("'"&amp;$B$2&amp;"-事故进程'!AA"&amp;(ROW()+22)),INDIRECT("'"&amp;$B$2&amp;"-事故进程'!AB"&amp;(ROW()+22)))</f>
        <v>4.4986e-10</v>
      </c>
      <c r="CR23" s="580">
        <f ca="1">SUM(CQ$3,-LN(1-CR$3)/CL23)</f>
        <v>6.95458811586267e-6</v>
      </c>
      <c r="CS23" s="580">
        <f>CS$3/24/3600</f>
        <v>1157407407407410</v>
      </c>
      <c r="CT23" s="582">
        <f ca="1" t="shared" si="47"/>
        <v>0.998125677817452</v>
      </c>
      <c r="CU23" s="582">
        <f ca="1" t="shared" si="48"/>
        <v>0.668690173834749</v>
      </c>
      <c r="CV23" s="582">
        <f t="shared" si="49"/>
        <v>0</v>
      </c>
      <c r="CW23" s="582">
        <f ca="1" t="shared" si="50"/>
        <v>108402.549187972</v>
      </c>
      <c r="CX23" s="582">
        <f ca="1" t="shared" si="51"/>
        <v>4.7908255781528e-12</v>
      </c>
      <c r="CY23" s="582">
        <f ca="1" t="shared" si="52"/>
        <v>1.0000646895393</v>
      </c>
      <c r="CZ23" s="580">
        <f ca="1" t="shared" si="53"/>
        <v>240570668905970</v>
      </c>
      <c r="DA23" s="580">
        <f ca="1" t="shared" si="54"/>
        <v>5138724646.90765</v>
      </c>
      <c r="DB23" s="586">
        <f ca="1" t="shared" si="55"/>
        <v>3.08773843431044e-11</v>
      </c>
      <c r="DC23" s="594">
        <f ca="1" t="shared" si="56"/>
        <v>15038665857.1861</v>
      </c>
      <c r="DD23" s="580">
        <f ca="1" t="shared" si="57"/>
        <v>6239502852.21415</v>
      </c>
      <c r="DE23" s="580">
        <f ca="1" t="shared" si="58"/>
        <v>1099123819.54384</v>
      </c>
      <c r="DF23" s="595">
        <f ca="1" t="shared" si="59"/>
        <v>1099123819.54384</v>
      </c>
      <c r="DG23" s="596">
        <f>DG$3*3600</f>
        <v>86400</v>
      </c>
      <c r="DH23" s="580">
        <f ca="1" t="shared" ref="DH23:DK23" si="209">CZ23</f>
        <v>240570668905970</v>
      </c>
      <c r="DI23" s="580">
        <f ca="1" t="shared" si="209"/>
        <v>5138724646.90765</v>
      </c>
      <c r="DJ23" s="581">
        <f ca="1" t="shared" si="209"/>
        <v>3.08773843431044e-11</v>
      </c>
      <c r="DK23" s="580">
        <f ca="1" t="shared" si="209"/>
        <v>15038665857.1861</v>
      </c>
      <c r="DL23" s="580">
        <f ca="1">MAX(INDIRECT("'"&amp;$B$2&amp;"-事故进程'!AB"&amp;(ROW()+22)),INDIRECT("'"&amp;$B$2&amp;"-事故进程'!AC"&amp;(ROW()+22)))</f>
        <v>4.7921125e-9</v>
      </c>
      <c r="DM23" s="580">
        <f ca="1">SUM(DL$3,-LN(1-DM$3)/DG23)</f>
        <v>1.01371476497628e-6</v>
      </c>
      <c r="DN23" s="580">
        <f>DN$3/24/3600</f>
        <v>1157407407407410</v>
      </c>
      <c r="DO23" s="582">
        <f ca="1" t="shared" si="61"/>
        <v>0.99681578838983</v>
      </c>
      <c r="DP23" s="582">
        <f ca="1" t="shared" si="62"/>
        <v>0.91360203815884</v>
      </c>
      <c r="DQ23" s="582">
        <f t="shared" si="63"/>
        <v>0</v>
      </c>
      <c r="DR23" s="582">
        <f ca="1" t="shared" si="64"/>
        <v>1147657.13389656</v>
      </c>
      <c r="DS23" s="582">
        <f ca="1" t="shared" si="65"/>
        <v>2.63766346378762e-11</v>
      </c>
      <c r="DT23" s="582">
        <f ca="1" t="shared" si="66"/>
        <v>1.00474973228943</v>
      </c>
      <c r="DU23" s="580">
        <f ca="1" t="shared" si="67"/>
        <v>239804640988973</v>
      </c>
      <c r="DV23" s="580">
        <f ca="1" t="shared" si="68"/>
        <v>99778630957.2529</v>
      </c>
      <c r="DW23" s="586">
        <f ca="1" t="shared" si="69"/>
        <v>8.73910697159402e-11</v>
      </c>
      <c r="DX23" s="594">
        <f ca="1" t="shared" si="70"/>
        <v>19651755889.0908</v>
      </c>
      <c r="DY23" s="580">
        <f ca="1" t="shared" si="71"/>
        <v>99446856882.4026</v>
      </c>
      <c r="DZ23" s="580">
        <f ca="1" t="shared" si="72"/>
        <v>4659313615.22634</v>
      </c>
      <c r="EA23" s="595">
        <f ca="1" t="shared" si="73"/>
        <v>4659313615.22634</v>
      </c>
      <c r="EB23" s="596">
        <f>EB$3*3600</f>
        <v>172800</v>
      </c>
      <c r="EC23" s="580">
        <f ca="1" t="shared" ref="EC23:EF23" si="210">DU23</f>
        <v>239804640988973</v>
      </c>
      <c r="ED23" s="580">
        <f ca="1" t="shared" si="210"/>
        <v>99778630957.2529</v>
      </c>
      <c r="EE23" s="581">
        <f ca="1" t="shared" si="210"/>
        <v>8.73910697159402e-11</v>
      </c>
      <c r="EF23" s="580">
        <f ca="1" t="shared" si="210"/>
        <v>19651755889.0908</v>
      </c>
      <c r="EG23" s="580">
        <f ca="1">MAX(INDIRECT("'"&amp;$B$2&amp;"-事故进程'!AC"&amp;(ROW()+22)),INDIRECT("'"&amp;$B$2&amp;"-事故进程'!AD"&amp;(ROW()+22)),INDIRECT("'"&amp;$B$2&amp;"-事故进程'!AE"&amp;(ROW()+22)))</f>
        <v>2.0853149e-8</v>
      </c>
      <c r="EH23" s="580">
        <f ca="1">SUM(EG$3,-LN(1-EH$3)/EB23)</f>
        <v>5.81616658188741e-8</v>
      </c>
      <c r="EI23" s="580">
        <f>EI$3/24/3600</f>
        <v>1157407407407410</v>
      </c>
      <c r="EJ23" s="582">
        <f ca="1" t="shared" si="75"/>
        <v>0.990887838571701</v>
      </c>
      <c r="EK23" s="582">
        <f ca="1" t="shared" si="76"/>
        <v>0.984520219957661</v>
      </c>
      <c r="EL23" s="582">
        <f t="shared" si="77"/>
        <v>0</v>
      </c>
      <c r="EM23" s="582">
        <f ca="1" t="shared" si="78"/>
        <v>4996959.31670333</v>
      </c>
      <c r="EN23" s="582">
        <f ca="1" t="shared" si="79"/>
        <v>8.23770259553254e-11</v>
      </c>
      <c r="EO23" s="582">
        <f ca="1" t="shared" si="80"/>
        <v>1.55893803286896</v>
      </c>
      <c r="EP23" s="580">
        <f ca="1" t="shared" si="81"/>
        <v>237619502389026</v>
      </c>
      <c r="EQ23" s="580">
        <f ca="1" t="shared" si="82"/>
        <v>951723789942.016</v>
      </c>
      <c r="ER23" s="586">
        <f ca="1" t="shared" si="83"/>
        <v>4.78257186434221e-11</v>
      </c>
      <c r="ES23" s="594">
        <f ca="1" t="shared" si="84"/>
        <v>24833946344.1406</v>
      </c>
      <c r="ET23" s="580">
        <f ca="1" t="shared" si="85"/>
        <v>860174836870.553</v>
      </c>
      <c r="EU23" s="580">
        <f ca="1" t="shared" si="86"/>
        <v>5301702460.06806</v>
      </c>
      <c r="EV23" s="595">
        <f ca="1" t="shared" si="87"/>
        <v>5301702460.06813</v>
      </c>
      <c r="EW23" s="596">
        <f>EW$3*3600</f>
        <v>2246400</v>
      </c>
      <c r="EX23" s="580">
        <f ca="1" t="shared" ref="EX23:FA23" si="211">EP23</f>
        <v>237619502389026</v>
      </c>
      <c r="EY23" s="580">
        <f ca="1" t="shared" si="211"/>
        <v>951723789942.016</v>
      </c>
      <c r="EZ23" s="581">
        <f ca="1" t="shared" si="211"/>
        <v>4.78257186434221e-11</v>
      </c>
      <c r="FA23" s="580">
        <f ca="1" t="shared" si="211"/>
        <v>24833946344.1406</v>
      </c>
      <c r="FB23" s="580">
        <f ca="1">INDIRECT("'"&amp;$B$2&amp;"-事故进程'!AE"&amp;(ROW()+22))</f>
        <v>2.0853149e-8</v>
      </c>
      <c r="FC23" s="580">
        <f ca="1">SUM(FB$3,-LN(1-FC$3)/EW23)</f>
        <v>4.47397429375955e-9</v>
      </c>
      <c r="FD23" s="580">
        <f>FD$3/24/3600</f>
        <v>1157407407407410</v>
      </c>
      <c r="FE23" s="582">
        <f ca="1" t="shared" si="89"/>
        <v>0.887806820284412</v>
      </c>
      <c r="FF23" s="582">
        <f ca="1" t="shared" si="90"/>
        <v>0.921081343001755</v>
      </c>
      <c r="FG23" s="582">
        <f t="shared" si="91"/>
        <v>0</v>
      </c>
      <c r="FH23" s="582">
        <f ca="1" t="shared" si="92"/>
        <v>4970703.33885176</v>
      </c>
      <c r="FI23" s="582">
        <f ca="1" t="shared" si="93"/>
        <v>4.41468172093127e-11</v>
      </c>
      <c r="FJ23" s="582">
        <f ca="1" t="shared" si="94"/>
        <v>-0.273150166232427</v>
      </c>
      <c r="FK23" s="580">
        <f ca="1" t="shared" si="95"/>
        <v>210960214853565</v>
      </c>
      <c r="FL23" s="580">
        <f ca="1" t="shared" si="96"/>
        <v>10943000292388.7</v>
      </c>
      <c r="FM23" s="586">
        <f ca="1" t="shared" si="97"/>
        <v>4.23003185321043e-11</v>
      </c>
      <c r="FN23" s="594">
        <f ca="1" t="shared" si="98"/>
        <v>83026768338.8437</v>
      </c>
      <c r="FO23" s="580">
        <f ca="1" t="shared" si="99"/>
        <v>10494367866394.3</v>
      </c>
      <c r="FP23" s="580">
        <f ca="1" t="shared" si="100"/>
        <v>61506218501.9612</v>
      </c>
      <c r="FQ23" s="595">
        <f ca="1" t="shared" si="101"/>
        <v>61506218501.9612</v>
      </c>
      <c r="FR23" s="608" t="str">
        <f t="shared" si="102"/>
        <v>Ag-110m</v>
      </c>
      <c r="FS23" s="609">
        <v>127000000</v>
      </c>
      <c r="FT23" s="610">
        <v>442000000</v>
      </c>
      <c r="FU23" s="610">
        <v>1160000000</v>
      </c>
      <c r="FV23" s="610">
        <v>3990000000</v>
      </c>
      <c r="FW23" s="610">
        <v>5720000000</v>
      </c>
      <c r="FX23" s="614">
        <f ca="1" t="shared" si="103"/>
        <v>0</v>
      </c>
      <c r="FY23" s="614">
        <f ca="1" t="shared" si="104"/>
        <v>31.6258739859233</v>
      </c>
      <c r="FZ23" s="614">
        <f ca="1" t="shared" si="105"/>
        <v>0.94752053408952</v>
      </c>
      <c r="GA23" s="614">
        <f ca="1" t="shared" si="106"/>
        <v>2.49649525696603</v>
      </c>
      <c r="GB23" s="614">
        <f ca="1" t="shared" si="107"/>
        <v>4.37740842598189</v>
      </c>
      <c r="GC23" s="455">
        <f ca="1" t="shared" si="108"/>
        <v>15.1302438284227</v>
      </c>
      <c r="GE23" s="609">
        <v>119532.747822784</v>
      </c>
      <c r="GF23" s="610">
        <v>47625559.870575</v>
      </c>
      <c r="GG23" s="610">
        <v>232397824.418568</v>
      </c>
      <c r="GH23" s="610">
        <v>395119538.985329</v>
      </c>
      <c r="GI23" s="610">
        <v>1005803168.81349</v>
      </c>
      <c r="GJ23" s="610">
        <v>7934681196.38171</v>
      </c>
      <c r="GK23" s="617">
        <v>9615746821.21749</v>
      </c>
      <c r="GL23" s="614">
        <f ca="1" t="shared" si="109"/>
        <v>0</v>
      </c>
      <c r="GM23" s="614">
        <f ca="1" t="shared" si="110"/>
        <v>293.511222540287</v>
      </c>
      <c r="GN23" s="614">
        <f ca="1" t="shared" si="111"/>
        <v>4.72949272349568</v>
      </c>
      <c r="GO23" s="614">
        <f ca="1" t="shared" si="112"/>
        <v>7.11032523053723</v>
      </c>
      <c r="GP23" s="614">
        <f ca="1" t="shared" si="113"/>
        <v>7.7515677038176</v>
      </c>
      <c r="GQ23" s="614">
        <f ca="1" t="shared" si="114"/>
        <v>9.00034041116942</v>
      </c>
      <c r="GR23" s="451">
        <f t="shared" si="115"/>
        <v>3.21209893462493e-8</v>
      </c>
      <c r="GS23" s="390">
        <f t="shared" si="116"/>
        <v>21579260</v>
      </c>
    </row>
    <row r="24" spans="1:201">
      <c r="A24" s="430"/>
      <c r="B24" s="407" t="s">
        <v>270</v>
      </c>
      <c r="C24" s="433">
        <f ca="1">IF(8&lt;=$C$13-$C$12,MAX(1%,INDIRECT("'"&amp;$B$2&amp;"-事故进程'!$AB$23")*150%),0.000000000000001)</f>
        <v>0.330071491132861</v>
      </c>
      <c r="D24" s="410"/>
      <c r="E24" s="409" t="s">
        <v>271</v>
      </c>
      <c r="G24" s="411" t="s">
        <v>65</v>
      </c>
      <c r="H24" s="412">
        <f t="shared" si="1"/>
        <v>0</v>
      </c>
      <c r="I24" s="412">
        <f ca="1" t="shared" si="2"/>
        <v>143973462477.327</v>
      </c>
      <c r="J24" s="412">
        <f ca="1" t="shared" si="3"/>
        <v>1425333.11927257</v>
      </c>
      <c r="K24" s="412">
        <f ca="1" t="shared" si="4"/>
        <v>2.55477880235488e-10</v>
      </c>
      <c r="L24" s="412">
        <f ca="1" t="shared" si="5"/>
        <v>4.82264355614111e-11</v>
      </c>
      <c r="M24" s="412">
        <f ca="1" t="shared" si="6"/>
        <v>4.69114530923932e-12</v>
      </c>
      <c r="N24" s="412">
        <f ca="1" t="shared" si="7"/>
        <v>143974887810.446</v>
      </c>
      <c r="O24" s="450">
        <f t="shared" si="8"/>
        <v>0</v>
      </c>
      <c r="P24" s="451"/>
      <c r="Q24" s="477" t="str">
        <f t="shared" si="0"/>
        <v>H-3</v>
      </c>
      <c r="R24" s="412">
        <f t="shared" si="9"/>
        <v>0</v>
      </c>
      <c r="S24" s="412">
        <f ca="1">I24*(1-过滤效率!$B21)</f>
        <v>143973462477.327</v>
      </c>
      <c r="T24" s="412">
        <f ca="1">J24*(1-过滤效率!$B21)</f>
        <v>1425333.11927257</v>
      </c>
      <c r="U24" s="412">
        <f ca="1">K24*(1-过滤效率!$B21)</f>
        <v>2.55477880235488e-10</v>
      </c>
      <c r="V24" s="412">
        <f ca="1">L24*(1-过滤效率!$B21)</f>
        <v>4.82264355614111e-11</v>
      </c>
      <c r="W24" s="412">
        <f ca="1">M24*(1-过滤效率!$B21)</f>
        <v>4.69114530923932e-12</v>
      </c>
      <c r="X24" s="412">
        <f ca="1" t="shared" si="10"/>
        <v>143974887810.446</v>
      </c>
      <c r="Y24" s="493"/>
      <c r="Z24" s="494">
        <f>VLOOKUP(G24,衰变常数!$A$1:$H$3800,7,FALSE)</f>
        <v>1.78283364719618e-9</v>
      </c>
      <c r="AA24" s="495">
        <f>正常源项!C21</f>
        <v>111000000000000</v>
      </c>
      <c r="AB24" s="496">
        <f>正常源项!F21</f>
        <v>0</v>
      </c>
      <c r="AC24" s="496">
        <f>正常源项!I21</f>
        <v>144000000000</v>
      </c>
      <c r="AD24" s="496">
        <f>正常源项!L21</f>
        <v>12900000000000</v>
      </c>
      <c r="AE24" s="496"/>
      <c r="AF24" s="498"/>
      <c r="AG24" s="483"/>
      <c r="AH24" s="523"/>
      <c r="AI24" s="519"/>
      <c r="AK24" s="527"/>
      <c r="AL24" s="527"/>
      <c r="AM24" s="528"/>
      <c r="AN24" s="527"/>
      <c r="AO24" s="527"/>
      <c r="AP24" s="560">
        <f t="shared" si="14"/>
        <v>110980766317778</v>
      </c>
      <c r="AQ24" s="561">
        <f>(AC24*$C$5+AD24*$C$8+AF24+AG24+AI24+(AL24+AM24)*$C$10)*EXP(-Z24*$C$12*3600)+AO24*$C$11</f>
        <v>143975048196.036</v>
      </c>
      <c r="AR24" s="562">
        <f>AQ24*(1-AR$3)</f>
        <v>143975048196.036</v>
      </c>
      <c r="AS24" s="563">
        <f t="shared" si="15"/>
        <v>0</v>
      </c>
      <c r="AT24" s="562">
        <f>AS24*(1-AT$3)</f>
        <v>0</v>
      </c>
      <c r="AU24" s="564">
        <f t="shared" si="16"/>
        <v>0</v>
      </c>
      <c r="AV24" s="565">
        <f>AV$3*3600</f>
        <v>7200</v>
      </c>
      <c r="AW24" s="580">
        <f>AP24*EXP(-Z24*AW$3*3600)</f>
        <v>110980766317778</v>
      </c>
      <c r="AX24" s="580">
        <f t="shared" si="17"/>
        <v>143975048196.036</v>
      </c>
      <c r="AY24" s="581">
        <f t="shared" si="18"/>
        <v>0</v>
      </c>
      <c r="AZ24" s="580">
        <v>0</v>
      </c>
      <c r="BA24" s="580">
        <f ca="1">MAX(INDIRECT("'"&amp;$B$2&amp;"-事故进程'!Y"&amp;(ROW()+22)),INDIRECT("'"&amp;$B$2&amp;"-事故进程'!Z"&amp;(ROW()+22)))</f>
        <v>0</v>
      </c>
      <c r="BB24" s="580">
        <f ca="1">SUM(BA$3,-LN(1-BB$3)/AV24)</f>
        <v>0.00160041330566996</v>
      </c>
      <c r="BC24" s="580">
        <f>BC$3/24/3600</f>
        <v>1157407407407410</v>
      </c>
      <c r="BD24" s="582">
        <f ca="1" t="shared" si="19"/>
        <v>0.999987163680126</v>
      </c>
      <c r="BE24" s="582">
        <f ca="1" t="shared" si="20"/>
        <v>9.89987292043326e-6</v>
      </c>
      <c r="BF24" s="582">
        <f t="shared" si="21"/>
        <v>0</v>
      </c>
      <c r="BG24" s="582">
        <f ca="1" t="shared" si="22"/>
        <v>-230419582.817411</v>
      </c>
      <c r="BH24" s="582">
        <f ca="1" t="shared" si="23"/>
        <v>-1.99082519554243e-7</v>
      </c>
      <c r="BI24" s="582">
        <f ca="1" t="shared" si="24"/>
        <v>1</v>
      </c>
      <c r="BJ24" s="580">
        <f ca="1" t="shared" si="25"/>
        <v>110979341733162</v>
      </c>
      <c r="BK24" s="580">
        <f ca="1" t="shared" si="26"/>
        <v>1425334.68085401</v>
      </c>
      <c r="BL24" s="586">
        <f ca="1" t="shared" si="27"/>
        <v>1.97089164426667e-12</v>
      </c>
      <c r="BM24" s="594">
        <f ca="1" t="shared" si="28"/>
        <v>143971774751.569</v>
      </c>
      <c r="BN24" s="580">
        <f ca="1" t="shared" si="29"/>
        <v>0</v>
      </c>
      <c r="BO24" s="580">
        <f ca="1" t="shared" si="30"/>
        <v>143973462477.327</v>
      </c>
      <c r="BP24" s="595">
        <f ca="1" t="shared" si="31"/>
        <v>143973462477.327</v>
      </c>
      <c r="BQ24" s="596">
        <f>BQ$3*3600</f>
        <v>21600</v>
      </c>
      <c r="BR24" s="580">
        <f ca="1" t="shared" ref="BR24:BU24" si="212">BJ24</f>
        <v>110979341733162</v>
      </c>
      <c r="BS24" s="580">
        <f ca="1" t="shared" si="212"/>
        <v>1425334.68085401</v>
      </c>
      <c r="BT24" s="581">
        <f ca="1" t="shared" si="212"/>
        <v>1.97089164426667e-12</v>
      </c>
      <c r="BU24" s="580">
        <f ca="1" t="shared" si="212"/>
        <v>143971774751.569</v>
      </c>
      <c r="BV24" s="580">
        <f ca="1">MAX(INDIRECT("'"&amp;$B$2&amp;"-事故进程'!Z"&amp;(ROW()+22)),INDIRECT("'"&amp;$B$2&amp;"-事故进程'!AA"&amp;(ROW()+22)))</f>
        <v>0</v>
      </c>
      <c r="BW24" s="580">
        <f ca="1">SUM(BV$3,-LN(1-BW$3)/BQ24)</f>
        <v>0.00162728102077123</v>
      </c>
      <c r="BX24" s="580">
        <f>BX$3/24/3600</f>
        <v>1157407407407410</v>
      </c>
      <c r="BY24" s="582">
        <f ca="1" t="shared" si="33"/>
        <v>0.99996149153469</v>
      </c>
      <c r="BZ24" s="582">
        <f ca="1" t="shared" si="34"/>
        <v>5.43061794794714e-16</v>
      </c>
      <c r="CA24" s="582">
        <f t="shared" si="35"/>
        <v>0</v>
      </c>
      <c r="CB24" s="582">
        <f ca="1" t="shared" si="36"/>
        <v>-2319.42007440075</v>
      </c>
      <c r="CC24" s="582">
        <f ca="1" t="shared" si="37"/>
        <v>-3.30873000155802e-14</v>
      </c>
      <c r="CD24" s="582">
        <f ca="1" t="shared" si="38"/>
        <v>1</v>
      </c>
      <c r="CE24" s="580">
        <f ca="1" t="shared" si="39"/>
        <v>110975068089030</v>
      </c>
      <c r="CF24" s="580">
        <f ca="1" t="shared" si="40"/>
        <v>7.7404480996773e-10</v>
      </c>
      <c r="CG24" s="586">
        <f ca="1" t="shared" si="41"/>
        <v>1.08828440221274e-27</v>
      </c>
      <c r="CH24" s="594">
        <f ca="1" t="shared" si="42"/>
        <v>143967655899.266</v>
      </c>
      <c r="CI24" s="580">
        <f ca="1" t="shared" si="43"/>
        <v>0</v>
      </c>
      <c r="CJ24" s="580">
        <f ca="1" t="shared" si="44"/>
        <v>1425333.11927257</v>
      </c>
      <c r="CK24" s="595">
        <f ca="1" t="shared" si="45"/>
        <v>1425333.11927257</v>
      </c>
      <c r="CL24" s="596">
        <f>CL$3*3600</f>
        <v>57600</v>
      </c>
      <c r="CM24" s="580">
        <f ca="1" t="shared" ref="CM24:CP24" si="213">CE24</f>
        <v>110975068089030</v>
      </c>
      <c r="CN24" s="580">
        <f ca="1" t="shared" si="213"/>
        <v>7.7404480996773e-10</v>
      </c>
      <c r="CO24" s="581">
        <f ca="1" t="shared" si="213"/>
        <v>1.08828440221274e-27</v>
      </c>
      <c r="CP24" s="580">
        <f ca="1" t="shared" si="213"/>
        <v>143967655899.266</v>
      </c>
      <c r="CQ24" s="580">
        <f ca="1">MAX(INDIRECT("'"&amp;$B$2&amp;"-事故进程'!AA"&amp;(ROW()+22)),INDIRECT("'"&amp;$B$2&amp;"-事故进程'!AB"&amp;(ROW()+22)))</f>
        <v>0</v>
      </c>
      <c r="CR24" s="580">
        <f ca="1">SUM(CQ$3,-LN(1-CR$3)/CL24)</f>
        <v>6.95458811586267e-6</v>
      </c>
      <c r="CS24" s="580">
        <f>CS$3/24/3600</f>
        <v>1157407407407410</v>
      </c>
      <c r="CT24" s="582">
        <f ca="1" t="shared" si="47"/>
        <v>0.999897314054484</v>
      </c>
      <c r="CU24" s="582">
        <f ca="1" t="shared" si="48"/>
        <v>0.669859716624778</v>
      </c>
      <c r="CV24" s="582">
        <f t="shared" si="49"/>
        <v>0</v>
      </c>
      <c r="CW24" s="582">
        <f ca="1" t="shared" si="50"/>
        <v>-5.38316283654676e-15</v>
      </c>
      <c r="CX24" s="582">
        <f ca="1" t="shared" si="51"/>
        <v>1.08363334952196e-27</v>
      </c>
      <c r="CY24" s="582">
        <f ca="1" t="shared" si="52"/>
        <v>1</v>
      </c>
      <c r="CZ24" s="580">
        <f ca="1" t="shared" si="53"/>
        <v>110963672509235</v>
      </c>
      <c r="DA24" s="580">
        <f ca="1" t="shared" si="54"/>
        <v>5.18501437059864e-10</v>
      </c>
      <c r="DB24" s="586">
        <f ca="1" t="shared" si="55"/>
        <v>3.11555283745039e-30</v>
      </c>
      <c r="DC24" s="594">
        <f ca="1" t="shared" si="56"/>
        <v>143952872444.391</v>
      </c>
      <c r="DD24" s="580">
        <f ca="1" t="shared" si="57"/>
        <v>0</v>
      </c>
      <c r="DE24" s="580">
        <f ca="1" t="shared" si="58"/>
        <v>2.55477880235488e-10</v>
      </c>
      <c r="DF24" s="595">
        <f ca="1" t="shared" si="59"/>
        <v>2.55477880235488e-10</v>
      </c>
      <c r="DG24" s="596">
        <f>DG$3*3600</f>
        <v>86400</v>
      </c>
      <c r="DH24" s="580">
        <f ca="1" t="shared" ref="DH24:DK24" si="214">CZ24</f>
        <v>110963672509235</v>
      </c>
      <c r="DI24" s="580">
        <f ca="1" t="shared" si="214"/>
        <v>5.18501437059864e-10</v>
      </c>
      <c r="DJ24" s="581">
        <f ca="1" t="shared" si="214"/>
        <v>3.11555283745039e-30</v>
      </c>
      <c r="DK24" s="580">
        <f ca="1" t="shared" si="214"/>
        <v>143952872444.391</v>
      </c>
      <c r="DL24" s="580">
        <f ca="1">MAX(INDIRECT("'"&amp;$B$2&amp;"-事故进程'!AB"&amp;(ROW()+22)),INDIRECT("'"&amp;$B$2&amp;"-事故进程'!AC"&amp;(ROW()+22)))</f>
        <v>0</v>
      </c>
      <c r="DM24" s="580">
        <f ca="1">SUM(DL$3,-LN(1-DM$3)/DG24)</f>
        <v>1.01371476497628e-6</v>
      </c>
      <c r="DN24" s="580">
        <f>DN$3/24/3600</f>
        <v>1157407407407410</v>
      </c>
      <c r="DO24" s="582">
        <f ca="1" t="shared" si="61"/>
        <v>0.999845975035945</v>
      </c>
      <c r="DP24" s="582">
        <f ca="1" t="shared" si="62"/>
        <v>0.915999928356839</v>
      </c>
      <c r="DQ24" s="582">
        <f t="shared" si="63"/>
        <v>0</v>
      </c>
      <c r="DR24" s="582">
        <f ca="1" t="shared" si="64"/>
        <v>-5.25612562409001e-16</v>
      </c>
      <c r="DS24" s="582">
        <f ca="1" t="shared" si="65"/>
        <v>2.66142358352901e-30</v>
      </c>
      <c r="DT24" s="582">
        <f ca="1" t="shared" si="66"/>
        <v>1</v>
      </c>
      <c r="DU24" s="580">
        <f ca="1" t="shared" si="67"/>
        <v>110946581333565</v>
      </c>
      <c r="DV24" s="580">
        <f ca="1" t="shared" si="68"/>
        <v>4.74947279199753e-10</v>
      </c>
      <c r="DW24" s="586">
        <f ca="1" t="shared" si="69"/>
        <v>4.15982364056726e-31</v>
      </c>
      <c r="DX24" s="594">
        <f ca="1" t="shared" si="70"/>
        <v>143930700108.391</v>
      </c>
      <c r="DY24" s="580">
        <f ca="1" t="shared" si="71"/>
        <v>0</v>
      </c>
      <c r="DZ24" s="580">
        <f ca="1" t="shared" si="72"/>
        <v>4.34776930627408e-11</v>
      </c>
      <c r="EA24" s="595">
        <f ca="1" t="shared" si="73"/>
        <v>4.34776930627408e-11</v>
      </c>
      <c r="EB24" s="596">
        <f>EB$3*3600</f>
        <v>172800</v>
      </c>
      <c r="EC24" s="580">
        <f ca="1" t="shared" ref="EC24:EF24" si="215">DU24</f>
        <v>110946581333565</v>
      </c>
      <c r="ED24" s="580">
        <f ca="1" t="shared" si="215"/>
        <v>4.74947279199753e-10</v>
      </c>
      <c r="EE24" s="581">
        <f ca="1" t="shared" si="215"/>
        <v>4.15982364056726e-31</v>
      </c>
      <c r="EF24" s="580">
        <f ca="1" t="shared" si="215"/>
        <v>143930700108.391</v>
      </c>
      <c r="EG24" s="580">
        <f ca="1">MAX(INDIRECT("'"&amp;$B$2&amp;"-事故进程'!AC"&amp;(ROW()+22)),INDIRECT("'"&amp;$B$2&amp;"-事故进程'!AD"&amp;(ROW()+22)),INDIRECT("'"&amp;$B$2&amp;"-事故进程'!AE"&amp;(ROW()+22)))</f>
        <v>0</v>
      </c>
      <c r="EH24" s="580">
        <f ca="1">SUM(EG$3,-LN(1-EH$3)/EB24)</f>
        <v>5.81616658188741e-8</v>
      </c>
      <c r="EI24" s="580">
        <f>EI$3/24/3600</f>
        <v>1157407407407410</v>
      </c>
      <c r="EJ24" s="582">
        <f ca="1" t="shared" si="75"/>
        <v>0.99969197379558</v>
      </c>
      <c r="EK24" s="582">
        <f ca="1" t="shared" si="76"/>
        <v>0.989695054057624</v>
      </c>
      <c r="EL24" s="582">
        <f t="shared" si="77"/>
        <v>0</v>
      </c>
      <c r="EM24" s="582">
        <f ca="1" t="shared" si="78"/>
        <v>-2.76237249343996e-17</v>
      </c>
      <c r="EN24" s="582">
        <f ca="1" t="shared" si="79"/>
        <v>3.92115465713405e-31</v>
      </c>
      <c r="EO24" s="582">
        <f ca="1" t="shared" si="80"/>
        <v>1</v>
      </c>
      <c r="EP24" s="580">
        <f ca="1" t="shared" si="81"/>
        <v>110912406879224</v>
      </c>
      <c r="EQ24" s="580">
        <f ca="1" t="shared" si="82"/>
        <v>4.70052973162121e-10</v>
      </c>
      <c r="ER24" s="586">
        <f ca="1" t="shared" si="83"/>
        <v>2.36209512460811e-32</v>
      </c>
      <c r="ES24" s="594">
        <f ca="1" t="shared" si="84"/>
        <v>143886365681.141</v>
      </c>
      <c r="ET24" s="580">
        <f ca="1" t="shared" si="85"/>
        <v>0</v>
      </c>
      <c r="EU24" s="580">
        <f ca="1" t="shared" si="86"/>
        <v>4.7487424986703e-12</v>
      </c>
      <c r="EV24" s="595">
        <f ca="1" t="shared" si="87"/>
        <v>4.7487424986703e-12</v>
      </c>
      <c r="EW24" s="596">
        <f>EW$3*3600</f>
        <v>2246400</v>
      </c>
      <c r="EX24" s="580">
        <f ca="1" t="shared" ref="EX24:FA24" si="216">EP24</f>
        <v>110912406879224</v>
      </c>
      <c r="EY24" s="580">
        <f ca="1" t="shared" si="216"/>
        <v>4.70052973162121e-10</v>
      </c>
      <c r="EZ24" s="581">
        <f ca="1" t="shared" si="216"/>
        <v>2.36209512460811e-32</v>
      </c>
      <c r="FA24" s="580">
        <f ca="1" t="shared" si="216"/>
        <v>143886365681.141</v>
      </c>
      <c r="FB24" s="580">
        <f ca="1">INDIRECT("'"&amp;$B$2&amp;"-事故进程'!AE"&amp;(ROW()+22))</f>
        <v>0</v>
      </c>
      <c r="FC24" s="580">
        <f ca="1">SUM(FB$3,-LN(1-FC$3)/EW24)</f>
        <v>4.47397429375955e-9</v>
      </c>
      <c r="FD24" s="580">
        <f>FD$3/24/3600</f>
        <v>1157407407407410</v>
      </c>
      <c r="FE24" s="582">
        <f ca="1" t="shared" si="89"/>
        <v>0.996003051641582</v>
      </c>
      <c r="FF24" s="582">
        <f ca="1" t="shared" si="90"/>
        <v>0.986043021125167</v>
      </c>
      <c r="FG24" s="582">
        <f t="shared" si="91"/>
        <v>0</v>
      </c>
      <c r="FH24" s="582">
        <f ca="1" t="shared" si="92"/>
        <v>-2.10300491863258e-18</v>
      </c>
      <c r="FI24" s="582">
        <f ca="1" t="shared" si="93"/>
        <v>2.18039549963826e-32</v>
      </c>
      <c r="FJ24" s="582">
        <f ca="1" t="shared" si="94"/>
        <v>1</v>
      </c>
      <c r="FK24" s="580">
        <f ca="1" t="shared" si="95"/>
        <v>110469095716620</v>
      </c>
      <c r="FL24" s="580">
        <f ca="1" t="shared" si="96"/>
        <v>4.63492453745645e-10</v>
      </c>
      <c r="FM24" s="586">
        <f ca="1" t="shared" si="97"/>
        <v>1.79163647142585e-33</v>
      </c>
      <c r="FN24" s="594">
        <f ca="1" t="shared" si="98"/>
        <v>143311259308.031</v>
      </c>
      <c r="FO24" s="580">
        <f ca="1" t="shared" si="99"/>
        <v>0</v>
      </c>
      <c r="FP24" s="580">
        <f ca="1" t="shared" si="100"/>
        <v>4.69114530923932e-12</v>
      </c>
      <c r="FQ24" s="595">
        <f ca="1" t="shared" si="101"/>
        <v>4.69114530923932e-12</v>
      </c>
      <c r="FR24" s="608" t="str">
        <f t="shared" si="102"/>
        <v>H-3</v>
      </c>
      <c r="FS24" s="609">
        <v>7740000000000</v>
      </c>
      <c r="FT24" s="610">
        <v>0</v>
      </c>
      <c r="FU24" s="610">
        <v>0</v>
      </c>
      <c r="FV24" s="610">
        <v>0</v>
      </c>
      <c r="FW24" s="610">
        <v>7740000000000</v>
      </c>
      <c r="FX24" s="614">
        <f t="shared" si="103"/>
        <v>0</v>
      </c>
      <c r="FY24" s="614"/>
      <c r="FZ24" s="614"/>
      <c r="GA24" s="614"/>
      <c r="GB24" s="614">
        <f ca="1" t="shared" si="107"/>
        <v>0.0186014066938561</v>
      </c>
      <c r="GC24" s="455">
        <f ca="1" t="shared" si="108"/>
        <v>0.0186014066938561</v>
      </c>
      <c r="GE24" s="609">
        <v>2598482866976.27</v>
      </c>
      <c r="GF24" s="610">
        <v>340744870520.487</v>
      </c>
      <c r="GG24" s="610">
        <v>648293276966.639</v>
      </c>
      <c r="GH24" s="610">
        <v>894780329863.181</v>
      </c>
      <c r="GI24" s="610">
        <v>1541863130089.09</v>
      </c>
      <c r="GJ24" s="610">
        <v>6437907247922.24</v>
      </c>
      <c r="GK24" s="617">
        <v>12462071722337.9</v>
      </c>
      <c r="GL24" s="614">
        <f t="shared" si="109"/>
        <v>0</v>
      </c>
      <c r="GM24" s="614">
        <f ca="1" t="shared" si="110"/>
        <v>0.42252987577047</v>
      </c>
      <c r="GN24" s="614">
        <f ca="1" t="shared" si="111"/>
        <v>3.94077633244738e-22</v>
      </c>
      <c r="GO24" s="614">
        <f ca="1" t="shared" si="112"/>
        <v>1.97921593183583e-23</v>
      </c>
      <c r="GP24" s="614">
        <f ca="1" t="shared" si="113"/>
        <v>7.28675504101637e-25</v>
      </c>
      <c r="GQ24" s="614">
        <f ca="1" t="shared" si="114"/>
        <v>0.0115530459957453</v>
      </c>
      <c r="GR24" s="451">
        <f t="shared" si="115"/>
        <v>1.78283364719618e-9</v>
      </c>
      <c r="GS24" s="390">
        <f t="shared" si="116"/>
        <v>388789600.000001</v>
      </c>
    </row>
    <row r="25" spans="1:201">
      <c r="A25" s="430"/>
      <c r="B25" s="407" t="s">
        <v>276</v>
      </c>
      <c r="C25" s="636">
        <f>C22</f>
        <v>1e+20</v>
      </c>
      <c r="D25" s="410" t="s">
        <v>273</v>
      </c>
      <c r="E25" s="409" t="s">
        <v>274</v>
      </c>
      <c r="G25" s="411" t="s">
        <v>66</v>
      </c>
      <c r="H25" s="412">
        <f t="shared" si="1"/>
        <v>0</v>
      </c>
      <c r="I25" s="412">
        <f ca="1" t="shared" si="2"/>
        <v>207997862.392937</v>
      </c>
      <c r="J25" s="412">
        <f ca="1" t="shared" si="3"/>
        <v>2059.19916671184</v>
      </c>
      <c r="K25" s="412">
        <f ca="1" t="shared" si="4"/>
        <v>3.69123983328005e-13</v>
      </c>
      <c r="L25" s="412">
        <f ca="1" t="shared" si="5"/>
        <v>6.96900286083388e-14</v>
      </c>
      <c r="M25" s="412">
        <f ca="1" t="shared" si="6"/>
        <v>6.79497523406504e-15</v>
      </c>
      <c r="N25" s="412">
        <f ca="1" t="shared" si="7"/>
        <v>207999921.592103</v>
      </c>
      <c r="O25" s="450">
        <f t="shared" si="8"/>
        <v>0</v>
      </c>
      <c r="P25" s="451"/>
      <c r="Q25" s="477" t="str">
        <f t="shared" si="0"/>
        <v>C-14</v>
      </c>
      <c r="R25" s="412">
        <f t="shared" si="9"/>
        <v>0</v>
      </c>
      <c r="S25" s="412">
        <f ca="1">I25*(1-过滤效率!$B22)</f>
        <v>207997862.392937</v>
      </c>
      <c r="T25" s="412">
        <f ca="1">J25*(1-过滤效率!$B22)</f>
        <v>2059.19916671184</v>
      </c>
      <c r="U25" s="412">
        <f ca="1">K25*(1-过滤效率!$B22)</f>
        <v>3.69123983328005e-13</v>
      </c>
      <c r="V25" s="412">
        <f ca="1">L25*(1-过滤效率!$B22)</f>
        <v>6.96900286083388e-14</v>
      </c>
      <c r="W25" s="412">
        <f ca="1">M25*(1-过滤效率!$B22)</f>
        <v>6.79497523406504e-15</v>
      </c>
      <c r="X25" s="412">
        <f ca="1" t="shared" si="10"/>
        <v>207999921.592103</v>
      </c>
      <c r="Y25" s="493"/>
      <c r="Z25" s="494">
        <f>VLOOKUP(G25,衰变常数!$A$1:$H$3800,7,FALSE)</f>
        <v>3.8534294386192e-12</v>
      </c>
      <c r="AA25" s="495"/>
      <c r="AB25" s="496">
        <f>正常源项!F22</f>
        <v>0</v>
      </c>
      <c r="AC25" s="496">
        <f>正常源项!I22</f>
        <v>208000000</v>
      </c>
      <c r="AD25" s="496">
        <f>正常源项!L22</f>
        <v>18700000000</v>
      </c>
      <c r="AE25" s="496"/>
      <c r="AF25" s="498"/>
      <c r="AG25" s="519"/>
      <c r="AH25" s="523"/>
      <c r="AI25" s="519"/>
      <c r="AK25" s="527"/>
      <c r="AL25" s="527"/>
      <c r="AM25" s="528"/>
      <c r="AN25" s="527"/>
      <c r="AO25" s="527"/>
      <c r="AP25" s="560">
        <f t="shared" si="14"/>
        <v>0</v>
      </c>
      <c r="AQ25" s="561">
        <f>(AC25*$C$5+AD25*$C$8+AF25+AG25+AI25+(AL25+AM25)*$C$10)*EXP(-Z25*$C$12*3600)+AO25*$C$11</f>
        <v>207999922.09292</v>
      </c>
      <c r="AR25" s="562">
        <f>AQ25*(1-AR$3)</f>
        <v>207999922.09292</v>
      </c>
      <c r="AS25" s="563">
        <f t="shared" si="15"/>
        <v>0</v>
      </c>
      <c r="AT25" s="562">
        <f>AS25*(1-AT$3)</f>
        <v>0</v>
      </c>
      <c r="AU25" s="564">
        <f t="shared" si="16"/>
        <v>0</v>
      </c>
      <c r="AV25" s="565">
        <f>AV$3*3600</f>
        <v>7200</v>
      </c>
      <c r="AW25" s="580">
        <f>AP25*EXP(-Z25*AW$3*3600)</f>
        <v>0</v>
      </c>
      <c r="AX25" s="580">
        <f t="shared" si="17"/>
        <v>207999922.09292</v>
      </c>
      <c r="AY25" s="581">
        <f t="shared" si="18"/>
        <v>0</v>
      </c>
      <c r="AZ25" s="580">
        <v>0</v>
      </c>
      <c r="BA25" s="580">
        <f ca="1">MAX(INDIRECT("'"&amp;$B$2&amp;"-事故进程'!Y"&amp;(ROW()+22)),INDIRECT("'"&amp;$B$2&amp;"-事故进程'!Z"&amp;(ROW()+22)))</f>
        <v>0</v>
      </c>
      <c r="BB25" s="580">
        <f ca="1">SUM(BA$3,-LN(1-BB$3)/AV25)</f>
        <v>0.00160041330566996</v>
      </c>
      <c r="BC25" s="580">
        <f>BC$3/24/3600</f>
        <v>1157407407407410</v>
      </c>
      <c r="BD25" s="582">
        <f ca="1" t="shared" si="19"/>
        <v>0.999999972255308</v>
      </c>
      <c r="BE25" s="582">
        <f ca="1" t="shared" si="20"/>
        <v>9.89999972532756e-6</v>
      </c>
      <c r="BF25" s="582">
        <f t="shared" si="21"/>
        <v>0</v>
      </c>
      <c r="BG25" s="582">
        <f ca="1" t="shared" si="22"/>
        <v>-332885.842895824</v>
      </c>
      <c r="BH25" s="582">
        <f ca="1" t="shared" si="23"/>
        <v>-2.87613368261992e-10</v>
      </c>
      <c r="BI25" s="582">
        <f ca="1" t="shared" si="24"/>
        <v>1</v>
      </c>
      <c r="BJ25" s="580">
        <f ca="1" t="shared" si="25"/>
        <v>0</v>
      </c>
      <c r="BK25" s="580">
        <f ca="1" t="shared" si="26"/>
        <v>2059.19917158806</v>
      </c>
      <c r="BL25" s="586">
        <f ca="1" t="shared" si="27"/>
        <v>2.84737226679425e-15</v>
      </c>
      <c r="BM25" s="594">
        <f ca="1" t="shared" si="28"/>
        <v>207997857.122854</v>
      </c>
      <c r="BN25" s="580">
        <f ca="1" t="shared" si="29"/>
        <v>0</v>
      </c>
      <c r="BO25" s="580">
        <f ca="1" t="shared" si="30"/>
        <v>207997862.392937</v>
      </c>
      <c r="BP25" s="595">
        <f ca="1" t="shared" si="31"/>
        <v>207997862.392937</v>
      </c>
      <c r="BQ25" s="596">
        <f>BQ$3*3600</f>
        <v>21600</v>
      </c>
      <c r="BR25" s="580">
        <f ca="1" t="shared" ref="BR25:BU25" si="217">BJ25</f>
        <v>0</v>
      </c>
      <c r="BS25" s="580">
        <f ca="1" t="shared" si="217"/>
        <v>2059.19917158806</v>
      </c>
      <c r="BT25" s="581">
        <f ca="1" t="shared" si="217"/>
        <v>2.84737226679425e-15</v>
      </c>
      <c r="BU25" s="580">
        <f ca="1" t="shared" si="217"/>
        <v>207997857.122854</v>
      </c>
      <c r="BV25" s="580">
        <f ca="1">MAX(INDIRECT("'"&amp;$B$2&amp;"-事故进程'!Z"&amp;(ROW()+22)),INDIRECT("'"&amp;$B$2&amp;"-事故进程'!AA"&amp;(ROW()+22)))</f>
        <v>0</v>
      </c>
      <c r="BW25" s="580">
        <f ca="1">SUM(BV$3,-LN(1-BW$3)/BQ25)</f>
        <v>0.00162728102077123</v>
      </c>
      <c r="BX25" s="580">
        <f>BX$3/24/3600</f>
        <v>1157407407407410</v>
      </c>
      <c r="BY25" s="582">
        <f ca="1" t="shared" si="33"/>
        <v>0.999999916765928</v>
      </c>
      <c r="BZ25" s="582">
        <f ca="1" t="shared" si="34"/>
        <v>5.43082662873353e-16</v>
      </c>
      <c r="CA25" s="582">
        <f t="shared" si="35"/>
        <v>0</v>
      </c>
      <c r="CB25" s="582">
        <f ca="1" t="shared" si="36"/>
        <v>-3.35089572991309</v>
      </c>
      <c r="CC25" s="582">
        <f ca="1" t="shared" si="37"/>
        <v>-4.78016438506531e-17</v>
      </c>
      <c r="CD25" s="582">
        <f ca="1" t="shared" si="38"/>
        <v>1</v>
      </c>
      <c r="CE25" s="580">
        <f ca="1" t="shared" si="39"/>
        <v>0</v>
      </c>
      <c r="CF25" s="580">
        <f ca="1" t="shared" si="40"/>
        <v>1.11831536949264e-12</v>
      </c>
      <c r="CG25" s="586">
        <f ca="1" t="shared" si="41"/>
        <v>1.57231875687449e-30</v>
      </c>
      <c r="CH25" s="594">
        <f ca="1" t="shared" si="42"/>
        <v>207999899.009346</v>
      </c>
      <c r="CI25" s="580">
        <f ca="1" t="shared" si="43"/>
        <v>0</v>
      </c>
      <c r="CJ25" s="580">
        <f ca="1" t="shared" si="44"/>
        <v>2059.19916671184</v>
      </c>
      <c r="CK25" s="595">
        <f ca="1" t="shared" si="45"/>
        <v>2059.19916671184</v>
      </c>
      <c r="CL25" s="596">
        <f>CL$3*3600</f>
        <v>57600</v>
      </c>
      <c r="CM25" s="580">
        <f ca="1" t="shared" ref="CM25:CP25" si="218">CE25</f>
        <v>0</v>
      </c>
      <c r="CN25" s="580">
        <f ca="1" t="shared" si="218"/>
        <v>1.11831536949264e-12</v>
      </c>
      <c r="CO25" s="581">
        <f ca="1" t="shared" si="218"/>
        <v>1.57231875687449e-30</v>
      </c>
      <c r="CP25" s="580">
        <f ca="1" t="shared" si="218"/>
        <v>207999899.009346</v>
      </c>
      <c r="CQ25" s="580">
        <f ca="1">MAX(INDIRECT("'"&amp;$B$2&amp;"-事故进程'!AA"&amp;(ROW()+22)),INDIRECT("'"&amp;$B$2&amp;"-事故进程'!AB"&amp;(ROW()+22)))</f>
        <v>0</v>
      </c>
      <c r="CR25" s="580">
        <f ca="1">SUM(CQ$3,-LN(1-CR$3)/CL25)</f>
        <v>6.95458811586267e-6</v>
      </c>
      <c r="CS25" s="580">
        <f>CS$3/24/3600</f>
        <v>1157407407407410</v>
      </c>
      <c r="CT25" s="582">
        <f ca="1" t="shared" si="47"/>
        <v>0.999999778042489</v>
      </c>
      <c r="CU25" s="582">
        <f ca="1" t="shared" si="48"/>
        <v>0.669928360171474</v>
      </c>
      <c r="CV25" s="582">
        <f t="shared" si="49"/>
        <v>0</v>
      </c>
      <c r="CW25" s="582">
        <f ca="1" t="shared" si="50"/>
        <v>-7.77742277846011e-18</v>
      </c>
      <c r="CX25" s="582">
        <f ca="1" t="shared" si="51"/>
        <v>1.5655990635939e-30</v>
      </c>
      <c r="CY25" s="582">
        <f ca="1" t="shared" si="52"/>
        <v>1</v>
      </c>
      <c r="CZ25" s="580">
        <f ca="1" t="shared" si="53"/>
        <v>0</v>
      </c>
      <c r="DA25" s="580">
        <f ca="1" t="shared" si="54"/>
        <v>7.49191181638763e-13</v>
      </c>
      <c r="DB25" s="586">
        <f ca="1" t="shared" si="55"/>
        <v>4.50171310032062e-33</v>
      </c>
      <c r="DC25" s="594">
        <f ca="1" t="shared" si="56"/>
        <v>207999852.842206</v>
      </c>
      <c r="DD25" s="580">
        <f ca="1" t="shared" si="57"/>
        <v>0</v>
      </c>
      <c r="DE25" s="580">
        <f ca="1" t="shared" si="58"/>
        <v>3.69123983328005e-13</v>
      </c>
      <c r="DF25" s="595">
        <f ca="1" t="shared" si="59"/>
        <v>3.69123983328005e-13</v>
      </c>
      <c r="DG25" s="596">
        <f>DG$3*3600</f>
        <v>86400</v>
      </c>
      <c r="DH25" s="580">
        <f ca="1" t="shared" ref="DH25:DK25" si="219">CZ25</f>
        <v>0</v>
      </c>
      <c r="DI25" s="580">
        <f ca="1" t="shared" si="219"/>
        <v>7.49191181638763e-13</v>
      </c>
      <c r="DJ25" s="581">
        <f ca="1" t="shared" si="219"/>
        <v>4.50171310032062e-33</v>
      </c>
      <c r="DK25" s="580">
        <f ca="1" t="shared" si="219"/>
        <v>207999852.842206</v>
      </c>
      <c r="DL25" s="580">
        <f ca="1">MAX(INDIRECT("'"&amp;$B$2&amp;"-事故进程'!AB"&amp;(ROW()+22)),INDIRECT("'"&amp;$B$2&amp;"-事故进程'!AC"&amp;(ROW()+22)))</f>
        <v>0</v>
      </c>
      <c r="DM25" s="580">
        <f ca="1">SUM(DL$3,-LN(1-DM$3)/DG25)</f>
        <v>1.01371476497628e-6</v>
      </c>
      <c r="DN25" s="580">
        <f>DN$3/24/3600</f>
        <v>1157407407407410</v>
      </c>
      <c r="DO25" s="582">
        <f ca="1" t="shared" si="61"/>
        <v>0.999999667063752</v>
      </c>
      <c r="DP25" s="582">
        <f ca="1" t="shared" si="62"/>
        <v>0.916140731930564</v>
      </c>
      <c r="DQ25" s="582">
        <f t="shared" si="63"/>
        <v>0</v>
      </c>
      <c r="DR25" s="582">
        <f ca="1" t="shared" si="64"/>
        <v>-7.59466162617237e-19</v>
      </c>
      <c r="DS25" s="582">
        <f ca="1" t="shared" si="65"/>
        <v>3.84553433581933e-33</v>
      </c>
      <c r="DT25" s="582">
        <f ca="1" t="shared" si="66"/>
        <v>1</v>
      </c>
      <c r="DU25" s="580">
        <f ca="1" t="shared" si="67"/>
        <v>0</v>
      </c>
      <c r="DV25" s="580">
        <f ca="1" t="shared" si="68"/>
        <v>6.86364557502461e-13</v>
      </c>
      <c r="DW25" s="586">
        <f ca="1" t="shared" si="69"/>
        <v>6.01152093587508e-34</v>
      </c>
      <c r="DX25" s="594">
        <f ca="1" t="shared" si="70"/>
        <v>207999783.591515</v>
      </c>
      <c r="DY25" s="580">
        <f ca="1" t="shared" si="71"/>
        <v>0</v>
      </c>
      <c r="DZ25" s="580">
        <f ca="1" t="shared" si="72"/>
        <v>6.28263853146427e-14</v>
      </c>
      <c r="EA25" s="595">
        <f ca="1" t="shared" si="73"/>
        <v>6.28263853146427e-14</v>
      </c>
      <c r="EB25" s="596">
        <f>EB$3*3600</f>
        <v>172800</v>
      </c>
      <c r="EC25" s="580">
        <f ca="1" t="shared" ref="EC25:EF25" si="220">DU25</f>
        <v>0</v>
      </c>
      <c r="ED25" s="580">
        <f ca="1" t="shared" si="220"/>
        <v>6.86364557502461e-13</v>
      </c>
      <c r="EE25" s="581">
        <f ca="1" t="shared" si="220"/>
        <v>6.01152093587508e-34</v>
      </c>
      <c r="EF25" s="580">
        <f ca="1" t="shared" si="220"/>
        <v>207999783.591515</v>
      </c>
      <c r="EG25" s="580">
        <f ca="1">MAX(INDIRECT("'"&amp;$B$2&amp;"-事故进程'!AC"&amp;(ROW()+22)),INDIRECT("'"&amp;$B$2&amp;"-事故进程'!AD"&amp;(ROW()+22)),INDIRECT("'"&amp;$B$2&amp;"-事故进程'!AE"&amp;(ROW()+22)))</f>
        <v>0</v>
      </c>
      <c r="EH25" s="580">
        <f ca="1">SUM(EG$3,-LN(1-EH$3)/EB25)</f>
        <v>5.81616658188741e-8</v>
      </c>
      <c r="EI25" s="580">
        <f>EI$3/24/3600</f>
        <v>1157407407407410</v>
      </c>
      <c r="EJ25" s="582">
        <f ca="1" t="shared" si="75"/>
        <v>0.999999334127615</v>
      </c>
      <c r="EK25" s="582">
        <f ca="1" t="shared" si="76"/>
        <v>0.989999340786339</v>
      </c>
      <c r="EL25" s="582">
        <f t="shared" si="77"/>
        <v>0</v>
      </c>
      <c r="EM25" s="582">
        <f ca="1" t="shared" si="78"/>
        <v>-3.99201060233775e-20</v>
      </c>
      <c r="EN25" s="582">
        <f ca="1" t="shared" si="79"/>
        <v>5.66661121983309e-34</v>
      </c>
      <c r="EO25" s="582">
        <f ca="1" t="shared" si="80"/>
        <v>1</v>
      </c>
      <c r="EP25" s="580">
        <f ca="1" t="shared" si="81"/>
        <v>0</v>
      </c>
      <c r="EQ25" s="580">
        <f ca="1" t="shared" si="82"/>
        <v>6.79500459466543e-13</v>
      </c>
      <c r="ER25" s="586">
        <f ca="1" t="shared" si="83"/>
        <v>3.41460391512365e-35</v>
      </c>
      <c r="ES25" s="594">
        <f ca="1" t="shared" si="84"/>
        <v>207999645.090203</v>
      </c>
      <c r="ET25" s="580">
        <f ca="1" t="shared" si="85"/>
        <v>0</v>
      </c>
      <c r="EU25" s="580">
        <f ca="1" t="shared" si="86"/>
        <v>6.86364329369608e-15</v>
      </c>
      <c r="EV25" s="595">
        <f ca="1" t="shared" si="87"/>
        <v>6.86364329369608e-15</v>
      </c>
      <c r="EW25" s="596">
        <f>EW$3*3600</f>
        <v>2246400</v>
      </c>
      <c r="EX25" s="580">
        <f ca="1" t="shared" ref="EX25:FA25" si="221">EP25</f>
        <v>0</v>
      </c>
      <c r="EY25" s="580">
        <f ca="1" t="shared" si="221"/>
        <v>6.79500459466543e-13</v>
      </c>
      <c r="EZ25" s="581">
        <f ca="1" t="shared" si="221"/>
        <v>3.41460391512365e-35</v>
      </c>
      <c r="FA25" s="580">
        <f ca="1" t="shared" si="221"/>
        <v>207999645.090203</v>
      </c>
      <c r="FB25" s="580">
        <f ca="1">INDIRECT("'"&amp;$B$2&amp;"-事故进程'!AE"&amp;(ROW()+22))</f>
        <v>0</v>
      </c>
      <c r="FC25" s="580">
        <f ca="1">SUM(FB$3,-LN(1-FC$3)/EW25)</f>
        <v>4.47397429375955e-9</v>
      </c>
      <c r="FD25" s="580">
        <f>FD$3/24/3600</f>
        <v>1157407407407410</v>
      </c>
      <c r="FE25" s="582">
        <f ca="1" t="shared" si="89"/>
        <v>0.999991343693575</v>
      </c>
      <c r="FF25" s="582">
        <f ca="1" t="shared" si="90"/>
        <v>0.989991430256639</v>
      </c>
      <c r="FG25" s="582">
        <f t="shared" si="91"/>
        <v>0</v>
      </c>
      <c r="FH25" s="582">
        <f ca="1" t="shared" si="92"/>
        <v>-3.04006758825111e-21</v>
      </c>
      <c r="FI25" s="582">
        <f ca="1" t="shared" si="93"/>
        <v>3.15194207549876e-35</v>
      </c>
      <c r="FJ25" s="582">
        <f ca="1" t="shared" si="94"/>
        <v>1</v>
      </c>
      <c r="FK25" s="580">
        <f ca="1" t="shared" si="95"/>
        <v>0</v>
      </c>
      <c r="FL25" s="580">
        <f ca="1" t="shared" si="96"/>
        <v>6.72699631727326e-13</v>
      </c>
      <c r="FM25" s="586">
        <f ca="1" t="shared" si="97"/>
        <v>2.60032970284091e-36</v>
      </c>
      <c r="FN25" s="594">
        <f ca="1" t="shared" si="98"/>
        <v>207997844.581539</v>
      </c>
      <c r="FO25" s="580">
        <f ca="1" t="shared" si="99"/>
        <v>0</v>
      </c>
      <c r="FP25" s="580">
        <f ca="1" t="shared" si="100"/>
        <v>6.79497523406504e-15</v>
      </c>
      <c r="FQ25" s="595">
        <f ca="1" t="shared" si="101"/>
        <v>6.79497523406504e-15</v>
      </c>
      <c r="FR25" s="608" t="str">
        <f t="shared" si="102"/>
        <v>C-14</v>
      </c>
      <c r="FS25" s="609">
        <v>4940000000</v>
      </c>
      <c r="FT25" s="610">
        <v>0</v>
      </c>
      <c r="FU25" s="610">
        <v>0</v>
      </c>
      <c r="FV25" s="610">
        <v>0</v>
      </c>
      <c r="FW25" s="610">
        <v>4940000000</v>
      </c>
      <c r="FX25" s="614">
        <f t="shared" si="103"/>
        <v>0</v>
      </c>
      <c r="FY25" s="614"/>
      <c r="FZ25" s="614"/>
      <c r="GA25" s="614"/>
      <c r="GB25" s="614">
        <f ca="1" t="shared" si="107"/>
        <v>0.0421052472858509</v>
      </c>
      <c r="GC25" s="455">
        <f ca="1" t="shared" si="108"/>
        <v>0.0421052472858509</v>
      </c>
      <c r="GE25" s="609">
        <v>3837456881.37195</v>
      </c>
      <c r="GF25" s="610">
        <v>504669667.114012</v>
      </c>
      <c r="GG25" s="610">
        <v>960246468.180332</v>
      </c>
      <c r="GH25" s="610">
        <v>1325510494.87155</v>
      </c>
      <c r="GI25" s="610">
        <v>2284606584.31661</v>
      </c>
      <c r="GJ25" s="610">
        <v>9552339972.24301</v>
      </c>
      <c r="GK25" s="617">
        <v>18464830068.0975</v>
      </c>
      <c r="GL25" s="614">
        <f t="shared" si="109"/>
        <v>0</v>
      </c>
      <c r="GM25" s="614">
        <f ca="1" t="shared" si="110"/>
        <v>0.412150630691884</v>
      </c>
      <c r="GN25" s="614">
        <f ca="1" t="shared" si="111"/>
        <v>3.8440545793154e-22</v>
      </c>
      <c r="GO25" s="614">
        <f ca="1" t="shared" si="112"/>
        <v>1.93040909975171e-23</v>
      </c>
      <c r="GP25" s="614">
        <f ca="1" t="shared" si="113"/>
        <v>7.11341436109868e-25</v>
      </c>
      <c r="GQ25" s="614">
        <f ca="1" t="shared" si="114"/>
        <v>0.0112646539840881</v>
      </c>
      <c r="GR25" s="451">
        <f t="shared" si="115"/>
        <v>3.8534294386192e-12</v>
      </c>
      <c r="GS25" s="390">
        <f t="shared" si="116"/>
        <v>179878000000</v>
      </c>
    </row>
    <row r="26" spans="1:201">
      <c r="A26" s="432" t="s">
        <v>277</v>
      </c>
      <c r="B26" s="407" t="s">
        <v>267</v>
      </c>
      <c r="C26" s="428">
        <f>-LN(1-0%)/8/3600</f>
        <v>0</v>
      </c>
      <c r="D26" s="410" t="s">
        <v>268</v>
      </c>
      <c r="E26" s="409" t="s">
        <v>269</v>
      </c>
      <c r="G26" s="435" t="s">
        <v>67</v>
      </c>
      <c r="H26" s="412">
        <f t="shared" si="1"/>
        <v>0</v>
      </c>
      <c r="I26" s="412">
        <f ca="1" t="shared" si="2"/>
        <v>111533469.020189</v>
      </c>
      <c r="J26" s="412">
        <f ca="1" t="shared" si="3"/>
        <v>1104.15919445523</v>
      </c>
      <c r="K26" s="412">
        <f ca="1" t="shared" si="4"/>
        <v>1.9788781758418e-13</v>
      </c>
      <c r="L26" s="412">
        <f ca="1" t="shared" si="5"/>
        <v>3.73475207962802e-14</v>
      </c>
      <c r="M26" s="412">
        <f ca="1" t="shared" si="6"/>
        <v>3.62146866321512e-15</v>
      </c>
      <c r="N26" s="412">
        <f ca="1" t="shared" si="7"/>
        <v>111534573.179384</v>
      </c>
      <c r="O26" s="450">
        <f t="shared" si="8"/>
        <v>0</v>
      </c>
      <c r="P26" s="451"/>
      <c r="Q26" s="477" t="str">
        <f t="shared" si="0"/>
        <v>Co-60</v>
      </c>
      <c r="R26" s="412">
        <f t="shared" si="9"/>
        <v>0</v>
      </c>
      <c r="S26" s="412">
        <f ca="1">I26*(1-过滤效率!$B23)</f>
        <v>111533.469020189</v>
      </c>
      <c r="T26" s="412">
        <f ca="1">J26*(1-过滤效率!$B23)</f>
        <v>1.10415919445524</v>
      </c>
      <c r="U26" s="412">
        <f ca="1">K26*(1-过滤效率!$B23)</f>
        <v>1.97887817584181e-16</v>
      </c>
      <c r="V26" s="412">
        <f ca="1">L26*(1-过滤效率!$B23)</f>
        <v>3.73475207962803e-17</v>
      </c>
      <c r="W26" s="412">
        <f ca="1">M26*(1-过滤效率!$B23)</f>
        <v>3.62146866321512e-18</v>
      </c>
      <c r="X26" s="412">
        <f ca="1" t="shared" si="10"/>
        <v>111534.573179384</v>
      </c>
      <c r="Y26" s="493"/>
      <c r="Z26" s="494">
        <f>VLOOKUP(G26,衰变常数!$A$1:$H$3800,7,FALSE)</f>
        <v>4.16694528910503e-9</v>
      </c>
      <c r="AA26" s="495"/>
      <c r="AB26" s="496">
        <f>正常源项!F23</f>
        <v>0</v>
      </c>
      <c r="AC26" s="496">
        <f>正常源项!I23</f>
        <v>1100</v>
      </c>
      <c r="AD26" s="497"/>
      <c r="AE26" s="496">
        <f>正常源项!O23</f>
        <v>2120000000</v>
      </c>
      <c r="AF26" s="498">
        <f>AC26*$C$6</f>
        <v>0</v>
      </c>
      <c r="AG26" s="519">
        <f>AE26*MIN(100%,$C$7/500)</f>
        <v>0</v>
      </c>
      <c r="AH26" s="523">
        <v>1</v>
      </c>
      <c r="AI26" s="519">
        <f>AE26*AH26*$C$9</f>
        <v>111578947.368421</v>
      </c>
      <c r="AK26" s="527"/>
      <c r="AL26" s="527"/>
      <c r="AM26" s="528"/>
      <c r="AN26" s="527"/>
      <c r="AO26" s="527"/>
      <c r="AP26" s="560">
        <f t="shared" si="14"/>
        <v>0</v>
      </c>
      <c r="AQ26" s="561">
        <f>(AC26*$C$5+AD26*$C$8+AF26+AG26+AI26+(AL26+AM26)*$C$10)*EXP(-Z26*$C$12*3600)+AO26*$C$11</f>
        <v>111534863.578362</v>
      </c>
      <c r="AR26" s="562">
        <f>AQ26*(1-AR$3)</f>
        <v>111534863.578362</v>
      </c>
      <c r="AS26" s="563">
        <f t="shared" si="15"/>
        <v>0</v>
      </c>
      <c r="AT26" s="562">
        <f>AS26*(1-AT$3)</f>
        <v>0</v>
      </c>
      <c r="AU26" s="564">
        <f t="shared" si="16"/>
        <v>0</v>
      </c>
      <c r="AV26" s="565">
        <f>AV$3*3600</f>
        <v>7200</v>
      </c>
      <c r="AW26" s="580">
        <f>AP26*EXP(-Z26*AW$3*3600)</f>
        <v>0</v>
      </c>
      <c r="AX26" s="580">
        <f t="shared" si="17"/>
        <v>111534863.578362</v>
      </c>
      <c r="AY26" s="581">
        <f t="shared" si="18"/>
        <v>0</v>
      </c>
      <c r="AZ26" s="580">
        <v>0</v>
      </c>
      <c r="BA26" s="580">
        <f ca="1">MAX(INDIRECT("'"&amp;$B$2&amp;"-事故进程'!Y"&amp;(ROW()+22)),INDIRECT("'"&amp;$B$2&amp;"-事故进程'!Z"&amp;(ROW()+22)))</f>
        <v>0</v>
      </c>
      <c r="BB26" s="580">
        <f ca="1">SUM(BA$3,-LN(1-BB$3)/AV26)</f>
        <v>0.00160041330566996</v>
      </c>
      <c r="BC26" s="580">
        <f>BC$3/24/3600</f>
        <v>1157407407407410</v>
      </c>
      <c r="BD26" s="582">
        <f ca="1" t="shared" si="19"/>
        <v>0.999969998443974</v>
      </c>
      <c r="BE26" s="582">
        <f ca="1" t="shared" si="20"/>
        <v>9.89970298459535e-6</v>
      </c>
      <c r="BF26" s="582">
        <f t="shared" si="21"/>
        <v>0</v>
      </c>
      <c r="BG26" s="582">
        <f ca="1" t="shared" si="22"/>
        <v>-178501.879716894</v>
      </c>
      <c r="BH26" s="582">
        <f ca="1" t="shared" si="23"/>
        <v>-1.54225624075397e-10</v>
      </c>
      <c r="BI26" s="582">
        <f ca="1" t="shared" si="24"/>
        <v>1</v>
      </c>
      <c r="BJ26" s="580">
        <f ca="1" t="shared" si="25"/>
        <v>0</v>
      </c>
      <c r="BK26" s="580">
        <f ca="1" t="shared" si="26"/>
        <v>1104.16202185314</v>
      </c>
      <c r="BL26" s="586">
        <f ca="1" t="shared" si="27"/>
        <v>1.52678787096028e-15</v>
      </c>
      <c r="BM26" s="594">
        <f ca="1" t="shared" si="28"/>
        <v>111530413.196881</v>
      </c>
      <c r="BN26" s="580">
        <f ca="1" t="shared" si="29"/>
        <v>0</v>
      </c>
      <c r="BO26" s="580">
        <f ca="1" t="shared" si="30"/>
        <v>111533469.020189</v>
      </c>
      <c r="BP26" s="595">
        <f ca="1" t="shared" si="31"/>
        <v>111533469.020189</v>
      </c>
      <c r="BQ26" s="596">
        <f>BQ$3*3600</f>
        <v>21600</v>
      </c>
      <c r="BR26" s="580">
        <f ca="1" t="shared" ref="BR26:BU26" si="222">BJ26</f>
        <v>0</v>
      </c>
      <c r="BS26" s="580">
        <f ca="1" t="shared" si="222"/>
        <v>1104.16202185314</v>
      </c>
      <c r="BT26" s="581">
        <f ca="1" t="shared" si="222"/>
        <v>1.52678787096028e-15</v>
      </c>
      <c r="BU26" s="580">
        <f ca="1" t="shared" si="222"/>
        <v>111530413.196881</v>
      </c>
      <c r="BV26" s="580">
        <f ca="1">MAX(INDIRECT("'"&amp;$B$2&amp;"-事故进程'!Z"&amp;(ROW()+22)),INDIRECT("'"&amp;$B$2&amp;"-事故进程'!AA"&amp;(ROW()+22)))</f>
        <v>0</v>
      </c>
      <c r="BW26" s="580">
        <f ca="1">SUM(BV$3,-LN(1-BW$3)/BQ26)</f>
        <v>0.00162728102077123</v>
      </c>
      <c r="BX26" s="580">
        <f>BX$3/24/3600</f>
        <v>1157407407407410</v>
      </c>
      <c r="BY26" s="582">
        <f ca="1" t="shared" si="33"/>
        <v>0.999909998032176</v>
      </c>
      <c r="BZ26" s="582">
        <f ca="1" t="shared" si="34"/>
        <v>5.43033829563919e-16</v>
      </c>
      <c r="CA26" s="582">
        <f t="shared" si="35"/>
        <v>0</v>
      </c>
      <c r="CB26" s="582">
        <f ca="1" t="shared" si="36"/>
        <v>-1.79678190201801</v>
      </c>
      <c r="CC26" s="582">
        <f ca="1" t="shared" si="37"/>
        <v>-2.56316923832759e-17</v>
      </c>
      <c r="CD26" s="582">
        <f ca="1" t="shared" si="38"/>
        <v>1</v>
      </c>
      <c r="CE26" s="580">
        <f ca="1" t="shared" si="39"/>
        <v>0</v>
      </c>
      <c r="CF26" s="580">
        <f ca="1" t="shared" si="40"/>
        <v>5.99597331185952e-13</v>
      </c>
      <c r="CG26" s="586">
        <f ca="1" t="shared" si="41"/>
        <v>8.430163405724e-31</v>
      </c>
      <c r="CH26" s="594">
        <f ca="1" t="shared" si="42"/>
        <v>111521479.302867</v>
      </c>
      <c r="CI26" s="580">
        <f ca="1" t="shared" si="43"/>
        <v>0</v>
      </c>
      <c r="CJ26" s="580">
        <f ca="1" t="shared" si="44"/>
        <v>1104.15919445523</v>
      </c>
      <c r="CK26" s="595">
        <f ca="1" t="shared" si="45"/>
        <v>1104.15919445523</v>
      </c>
      <c r="CL26" s="596">
        <f>CL$3*3600</f>
        <v>57600</v>
      </c>
      <c r="CM26" s="580">
        <f ca="1" t="shared" ref="CM26:CP26" si="223">CE26</f>
        <v>0</v>
      </c>
      <c r="CN26" s="580">
        <f ca="1" t="shared" si="223"/>
        <v>5.99597331185952e-13</v>
      </c>
      <c r="CO26" s="581">
        <f ca="1" t="shared" si="223"/>
        <v>8.430163405724e-31</v>
      </c>
      <c r="CP26" s="580">
        <f ca="1" t="shared" si="223"/>
        <v>111521479.302867</v>
      </c>
      <c r="CQ26" s="580">
        <f ca="1">MAX(INDIRECT("'"&amp;$B$2&amp;"-事故进程'!AA"&amp;(ROW()+22)),INDIRECT("'"&amp;$B$2&amp;"-事故进程'!AB"&amp;(ROW()+22)))</f>
        <v>0</v>
      </c>
      <c r="CR26" s="580">
        <f ca="1">SUM(CQ$3,-LN(1-CR$3)/CL26)</f>
        <v>6.95458811586267e-6</v>
      </c>
      <c r="CS26" s="580">
        <f>CS$3/24/3600</f>
        <v>1157407407407410</v>
      </c>
      <c r="CT26" s="582">
        <f ca="1" t="shared" si="47"/>
        <v>0.999760012752895</v>
      </c>
      <c r="CU26" s="582">
        <f ca="1" t="shared" si="48"/>
        <v>0.669767734568539</v>
      </c>
      <c r="CV26" s="582">
        <f t="shared" si="49"/>
        <v>0</v>
      </c>
      <c r="CW26" s="582">
        <f ca="1" t="shared" si="50"/>
        <v>-4.1699524737688e-18</v>
      </c>
      <c r="CX26" s="582">
        <f ca="1" t="shared" si="51"/>
        <v>8.39413501635064e-31</v>
      </c>
      <c r="CY26" s="582">
        <f ca="1" t="shared" si="52"/>
        <v>1</v>
      </c>
      <c r="CZ26" s="580">
        <f ca="1" t="shared" si="53"/>
        <v>0</v>
      </c>
      <c r="DA26" s="580">
        <f ca="1" t="shared" si="54"/>
        <v>4.01590946161757e-13</v>
      </c>
      <c r="DB26" s="586">
        <f ca="1" t="shared" si="55"/>
        <v>2.41306527307501e-33</v>
      </c>
      <c r="DC26" s="594">
        <f ca="1" t="shared" si="56"/>
        <v>111494715.570056</v>
      </c>
      <c r="DD26" s="580">
        <f ca="1" t="shared" si="57"/>
        <v>0</v>
      </c>
      <c r="DE26" s="580">
        <f ca="1" t="shared" si="58"/>
        <v>1.9788781758418e-13</v>
      </c>
      <c r="DF26" s="595">
        <f ca="1" t="shared" si="59"/>
        <v>1.9788781758418e-13</v>
      </c>
      <c r="DG26" s="596">
        <f>DG$3*3600</f>
        <v>86400</v>
      </c>
      <c r="DH26" s="580">
        <f ca="1" t="shared" ref="DH26:DK26" si="224">CZ26</f>
        <v>0</v>
      </c>
      <c r="DI26" s="580">
        <f ca="1" t="shared" si="224"/>
        <v>4.01590946161757e-13</v>
      </c>
      <c r="DJ26" s="581">
        <f ca="1" t="shared" si="224"/>
        <v>2.41306527307501e-33</v>
      </c>
      <c r="DK26" s="580">
        <f ca="1" t="shared" si="224"/>
        <v>111494715.570056</v>
      </c>
      <c r="DL26" s="580">
        <f ca="1">MAX(INDIRECT("'"&amp;$B$2&amp;"-事故进程'!AB"&amp;(ROW()+22)),INDIRECT("'"&amp;$B$2&amp;"-事故进程'!AC"&amp;(ROW()+22)))</f>
        <v>0</v>
      </c>
      <c r="DM26" s="580">
        <f ca="1">SUM(DL$3,-LN(1-DM$3)/DG26)</f>
        <v>1.01371476497628e-6</v>
      </c>
      <c r="DN26" s="580">
        <f>DN$3/24/3600</f>
        <v>1157407407407410</v>
      </c>
      <c r="DO26" s="582">
        <f ca="1" t="shared" si="61"/>
        <v>0.999640040727911</v>
      </c>
      <c r="DP26" s="582">
        <f ca="1" t="shared" si="62"/>
        <v>0.915811263486333</v>
      </c>
      <c r="DQ26" s="582">
        <f t="shared" si="63"/>
        <v>0</v>
      </c>
      <c r="DR26" s="582">
        <f ca="1" t="shared" si="64"/>
        <v>-4.07098671604965e-19</v>
      </c>
      <c r="DS26" s="582">
        <f ca="1" t="shared" si="65"/>
        <v>2.06133202080832e-33</v>
      </c>
      <c r="DT26" s="582">
        <f ca="1" t="shared" si="66"/>
        <v>1</v>
      </c>
      <c r="DU26" s="580">
        <f ca="1" t="shared" si="67"/>
        <v>0</v>
      </c>
      <c r="DV26" s="580">
        <f ca="1" t="shared" si="68"/>
        <v>3.6778151180907e-13</v>
      </c>
      <c r="DW26" s="586">
        <f ca="1" t="shared" si="69"/>
        <v>3.22121274168515e-34</v>
      </c>
      <c r="DX26" s="594">
        <f ca="1" t="shared" si="70"/>
        <v>111454582.013397</v>
      </c>
      <c r="DY26" s="580">
        <f ca="1" t="shared" si="71"/>
        <v>0</v>
      </c>
      <c r="DZ26" s="580">
        <f ca="1" t="shared" si="72"/>
        <v>3.36710272452764e-14</v>
      </c>
      <c r="EA26" s="595">
        <f ca="1" t="shared" si="73"/>
        <v>3.36710272452764e-14</v>
      </c>
      <c r="EB26" s="596">
        <f>EB$3*3600</f>
        <v>172800</v>
      </c>
      <c r="EC26" s="580">
        <f ca="1" t="shared" ref="EC26:EF26" si="225">DU26</f>
        <v>0</v>
      </c>
      <c r="ED26" s="580">
        <f ca="1" t="shared" si="225"/>
        <v>3.6778151180907e-13</v>
      </c>
      <c r="EE26" s="581">
        <f ca="1" t="shared" si="225"/>
        <v>3.22121274168515e-34</v>
      </c>
      <c r="EF26" s="580">
        <f ca="1" t="shared" si="225"/>
        <v>111454582.013397</v>
      </c>
      <c r="EG26" s="580">
        <f ca="1">MAX(INDIRECT("'"&amp;$B$2&amp;"-事故进程'!AC"&amp;(ROW()+22)),INDIRECT("'"&amp;$B$2&amp;"-事故进程'!AD"&amp;(ROW()+22)),INDIRECT("'"&amp;$B$2&amp;"-事故进程'!AE"&amp;(ROW()+22)))</f>
        <v>0</v>
      </c>
      <c r="EH26" s="580">
        <f ca="1">SUM(EG$3,-LN(1-EH$3)/EB26)</f>
        <v>5.81616658188741e-8</v>
      </c>
      <c r="EI26" s="580">
        <f>EI$3/24/3600</f>
        <v>1157407407407410</v>
      </c>
      <c r="EJ26" s="582">
        <f ca="1" t="shared" si="75"/>
        <v>0.9992802110265</v>
      </c>
      <c r="EK26" s="582">
        <f ca="1" t="shared" si="76"/>
        <v>0.989287408916235</v>
      </c>
      <c r="EL26" s="582">
        <f t="shared" si="77"/>
        <v>0</v>
      </c>
      <c r="EM26" s="582">
        <f ca="1" t="shared" si="78"/>
        <v>-2.13907853841995e-20</v>
      </c>
      <c r="EN26" s="582">
        <f ca="1" t="shared" si="79"/>
        <v>3.03639635596566e-34</v>
      </c>
      <c r="EO26" s="582">
        <f ca="1" t="shared" si="80"/>
        <v>1</v>
      </c>
      <c r="EP26" s="580">
        <f ca="1" t="shared" si="81"/>
        <v>0</v>
      </c>
      <c r="EQ26" s="580">
        <f ca="1" t="shared" si="82"/>
        <v>3.63841618864891e-13</v>
      </c>
      <c r="ER26" s="586">
        <f ca="1" t="shared" si="83"/>
        <v>1.82836523353691e-35</v>
      </c>
      <c r="ES26" s="594">
        <f ca="1" t="shared" si="84"/>
        <v>111374358.234218</v>
      </c>
      <c r="ET26" s="580">
        <f ca="1" t="shared" si="85"/>
        <v>0</v>
      </c>
      <c r="EU26" s="580">
        <f ca="1" t="shared" si="86"/>
        <v>3.67649355100389e-15</v>
      </c>
      <c r="EV26" s="595">
        <f ca="1" t="shared" si="87"/>
        <v>3.67649355100389e-15</v>
      </c>
      <c r="EW26" s="596">
        <f>EW$3*3600</f>
        <v>2246400</v>
      </c>
      <c r="EX26" s="580">
        <f ca="1" t="shared" ref="EX26:FA26" si="226">EP26</f>
        <v>0</v>
      </c>
      <c r="EY26" s="580">
        <f ca="1" t="shared" si="226"/>
        <v>3.63841618864891e-13</v>
      </c>
      <c r="EZ26" s="581">
        <f ca="1" t="shared" si="226"/>
        <v>1.82836523353691e-35</v>
      </c>
      <c r="FA26" s="580">
        <f ca="1" t="shared" si="226"/>
        <v>111374358.234218</v>
      </c>
      <c r="FB26" s="580">
        <f ca="1">INDIRECT("'"&amp;$B$2&amp;"-事故进程'!AE"&amp;(ROW()+22))</f>
        <v>0</v>
      </c>
      <c r="FC26" s="580">
        <f ca="1">SUM(FB$3,-LN(1-FC$3)/EW26)</f>
        <v>4.47397429375955e-9</v>
      </c>
      <c r="FD26" s="580">
        <f>FD$3/24/3600</f>
        <v>1157407407407410</v>
      </c>
      <c r="FE26" s="582">
        <f ca="1" t="shared" si="89"/>
        <v>0.990683048382053</v>
      </c>
      <c r="FF26" s="582">
        <f ca="1" t="shared" si="90"/>
        <v>0.980776217898232</v>
      </c>
      <c r="FG26" s="582">
        <f t="shared" si="91"/>
        <v>0</v>
      </c>
      <c r="FH26" s="582">
        <f ca="1" t="shared" si="92"/>
        <v>-1.62781804980138e-21</v>
      </c>
      <c r="FI26" s="582">
        <f ca="1" t="shared" si="93"/>
        <v>1.68772175403407e-35</v>
      </c>
      <c r="FJ26" s="582">
        <f ca="1" t="shared" si="94"/>
        <v>1</v>
      </c>
      <c r="FK26" s="580">
        <f ca="1" t="shared" si="95"/>
        <v>0</v>
      </c>
      <c r="FL26" s="580">
        <f ca="1" t="shared" si="96"/>
        <v>3.56847206864278e-13</v>
      </c>
      <c r="FM26" s="586">
        <f ca="1" t="shared" si="97"/>
        <v>1.37939779898842e-36</v>
      </c>
      <c r="FN26" s="594">
        <f ca="1" t="shared" si="98"/>
        <v>110336688.72707</v>
      </c>
      <c r="FO26" s="580">
        <f ca="1" t="shared" si="99"/>
        <v>0</v>
      </c>
      <c r="FP26" s="580">
        <f ca="1" t="shared" si="100"/>
        <v>3.62146866321512e-15</v>
      </c>
      <c r="FQ26" s="595">
        <f ca="1" t="shared" si="101"/>
        <v>3.62146866321512e-15</v>
      </c>
      <c r="FR26" s="608" t="str">
        <f t="shared" si="102"/>
        <v>Co-60</v>
      </c>
      <c r="FS26" s="609">
        <v>172000000</v>
      </c>
      <c r="FT26" s="610">
        <v>0</v>
      </c>
      <c r="FU26" s="610">
        <v>0</v>
      </c>
      <c r="FV26" s="610">
        <v>0</v>
      </c>
      <c r="FW26" s="610">
        <v>172000000</v>
      </c>
      <c r="FX26" s="614">
        <f t="shared" si="103"/>
        <v>0</v>
      </c>
      <c r="FY26" s="614"/>
      <c r="FZ26" s="614"/>
      <c r="GA26" s="614"/>
      <c r="GB26" s="614">
        <f ca="1" t="shared" si="107"/>
        <v>0.648456820810371</v>
      </c>
      <c r="GC26" s="455">
        <f ca="1" t="shared" si="108"/>
        <v>0.648456820810371</v>
      </c>
      <c r="GE26" s="609">
        <v>11430.4546063246</v>
      </c>
      <c r="GF26" s="610">
        <v>5639990.43821344</v>
      </c>
      <c r="GG26" s="610">
        <v>10729403.9250134</v>
      </c>
      <c r="GH26" s="610">
        <v>14806266.6574133</v>
      </c>
      <c r="GI26" s="610">
        <v>25505954.5046211</v>
      </c>
      <c r="GJ26" s="610">
        <v>106299770.702725</v>
      </c>
      <c r="GK26" s="617">
        <v>162992816.682593</v>
      </c>
      <c r="GL26" s="614">
        <f t="shared" si="109"/>
        <v>0</v>
      </c>
      <c r="GM26" s="614">
        <f ca="1" t="shared" si="110"/>
        <v>19.7756670691651</v>
      </c>
      <c r="GN26" s="614">
        <f ca="1" t="shared" si="111"/>
        <v>1.84435052466284e-20</v>
      </c>
      <c r="GO26" s="614">
        <f ca="1" t="shared" si="112"/>
        <v>9.2645653649702e-22</v>
      </c>
      <c r="GP26" s="614">
        <f ca="1" t="shared" si="113"/>
        <v>3.4068452257934e-23</v>
      </c>
      <c r="GQ26" s="614">
        <f ca="1" t="shared" si="114"/>
        <v>0.684291341480297</v>
      </c>
      <c r="GR26" s="451">
        <f t="shared" si="115"/>
        <v>4.16694528910503e-9</v>
      </c>
      <c r="GS26" s="390">
        <f t="shared" si="116"/>
        <v>166344200</v>
      </c>
    </row>
    <row r="27" s="390" customFormat="1" ht="13.5" spans="1:201">
      <c r="A27" s="430"/>
      <c r="B27" s="407" t="s">
        <v>278</v>
      </c>
      <c r="C27" s="433">
        <f ca="1">IF(24&lt;=$C$13-$C$12,MAX(1%,INDIRECT("'"&amp;$B$2&amp;"-事故进程'!$AC$23")*150%),0.000000000000001)</f>
        <v>0.0838589630528763</v>
      </c>
      <c r="D27" s="410"/>
      <c r="E27" s="409" t="s">
        <v>271</v>
      </c>
      <c r="G27" s="411" t="s">
        <v>68</v>
      </c>
      <c r="H27" s="412">
        <f t="shared" si="1"/>
        <v>0</v>
      </c>
      <c r="I27" s="412">
        <f ca="1" t="shared" si="2"/>
        <v>0</v>
      </c>
      <c r="J27" s="412">
        <f ca="1" t="shared" si="3"/>
        <v>0</v>
      </c>
      <c r="K27" s="412">
        <f ca="1" t="shared" si="4"/>
        <v>0</v>
      </c>
      <c r="L27" s="412">
        <f ca="1" t="shared" si="5"/>
        <v>0</v>
      </c>
      <c r="M27" s="412">
        <f ca="1" t="shared" si="6"/>
        <v>0</v>
      </c>
      <c r="N27" s="412">
        <f ca="1" t="shared" si="7"/>
        <v>0</v>
      </c>
      <c r="O27" s="450">
        <f t="shared" si="8"/>
        <v>0</v>
      </c>
      <c r="P27" s="451"/>
      <c r="Q27" s="477" t="str">
        <f t="shared" si="0"/>
        <v>Ar-41</v>
      </c>
      <c r="R27" s="412">
        <f t="shared" si="9"/>
        <v>0</v>
      </c>
      <c r="S27" s="412">
        <f ca="1">I27*(1-过滤效率!$B24)</f>
        <v>0</v>
      </c>
      <c r="T27" s="412">
        <f ca="1">J27*(1-过滤效率!$B24)</f>
        <v>0</v>
      </c>
      <c r="U27" s="412">
        <f ca="1">K27*(1-过滤效率!$B24)</f>
        <v>0</v>
      </c>
      <c r="V27" s="412">
        <f ca="1">L27*(1-过滤效率!$B24)</f>
        <v>0</v>
      </c>
      <c r="W27" s="412">
        <f ca="1">M27*(1-过滤效率!$B24)</f>
        <v>0</v>
      </c>
      <c r="X27" s="412">
        <f ca="1" t="shared" si="10"/>
        <v>0</v>
      </c>
      <c r="Y27" s="499"/>
      <c r="Z27" s="500">
        <f>VLOOKUP(G27,衰变常数!$A$1:$H$3800,7,FALSE)</f>
        <v>0.000105395976729608</v>
      </c>
      <c r="AA27" s="501"/>
      <c r="AB27" s="502">
        <f>正常源项!F24</f>
        <v>0</v>
      </c>
      <c r="AC27" s="502"/>
      <c r="AD27" s="502"/>
      <c r="AE27" s="503"/>
      <c r="AF27" s="504"/>
      <c r="AG27" s="529"/>
      <c r="AH27" s="530"/>
      <c r="AI27" s="531"/>
      <c r="AJ27" s="529"/>
      <c r="AK27" s="531"/>
      <c r="AL27" s="531"/>
      <c r="AM27" s="532"/>
      <c r="AN27" s="531"/>
      <c r="AO27" s="531"/>
      <c r="AP27" s="566">
        <f t="shared" si="14"/>
        <v>0</v>
      </c>
      <c r="AQ27" s="567">
        <f>(AC27*$C$5+AD27*$C$8+AF27+AG27+AI27+(AL27+AM27)*$C$10)*EXP(-Z27*$C$12*3600)+AO27*$C$11</f>
        <v>0</v>
      </c>
      <c r="AR27" s="568">
        <f>AQ27*(1-AR$3)</f>
        <v>0</v>
      </c>
      <c r="AS27" s="569">
        <f t="shared" si="15"/>
        <v>0</v>
      </c>
      <c r="AT27" s="568">
        <f>AS27*(1-AT$3)</f>
        <v>0</v>
      </c>
      <c r="AU27" s="570">
        <f t="shared" si="16"/>
        <v>0</v>
      </c>
      <c r="AV27" s="571">
        <f>AV$3*3600</f>
        <v>7200</v>
      </c>
      <c r="AW27" s="583">
        <f>AP27*EXP(-Z27*AW$3*3600)</f>
        <v>0</v>
      </c>
      <c r="AX27" s="583">
        <f t="shared" si="17"/>
        <v>0</v>
      </c>
      <c r="AY27" s="584">
        <f t="shared" si="18"/>
        <v>0</v>
      </c>
      <c r="AZ27" s="583">
        <v>0</v>
      </c>
      <c r="BA27" s="583">
        <f ca="1">MAX(INDIRECT("'"&amp;$B$2&amp;"-事故进程'!Y"&amp;(ROW()+22)),INDIRECT("'"&amp;$B$2&amp;"-事故进程'!Z"&amp;(ROW()+22)))</f>
        <v>0</v>
      </c>
      <c r="BB27" s="583">
        <f ca="1">SUM(BA$3,-LN(1-BB$3)/AV27)</f>
        <v>0.00160041330566996</v>
      </c>
      <c r="BC27" s="583">
        <f>BC$3/24/3600</f>
        <v>1157407407407410</v>
      </c>
      <c r="BD27" s="585">
        <f ca="1" t="shared" si="19"/>
        <v>0.468204069364945</v>
      </c>
      <c r="BE27" s="585">
        <f ca="1" t="shared" si="20"/>
        <v>4.63522028671295e-6</v>
      </c>
      <c r="BF27" s="585">
        <f t="shared" si="21"/>
        <v>0</v>
      </c>
      <c r="BG27" s="585">
        <f ca="1" t="shared" si="22"/>
        <v>0</v>
      </c>
      <c r="BH27" s="585">
        <f ca="1" t="shared" si="23"/>
        <v>0</v>
      </c>
      <c r="BI27" s="585">
        <f ca="1" t="shared" si="24"/>
        <v>1</v>
      </c>
      <c r="BJ27" s="583">
        <f ca="1" t="shared" si="25"/>
        <v>0</v>
      </c>
      <c r="BK27" s="583">
        <f ca="1" t="shared" si="26"/>
        <v>0</v>
      </c>
      <c r="BL27" s="587">
        <f ca="1" t="shared" si="27"/>
        <v>0</v>
      </c>
      <c r="BM27" s="597">
        <f ca="1" t="shared" si="28"/>
        <v>0</v>
      </c>
      <c r="BN27" s="583">
        <f ca="1" t="shared" si="29"/>
        <v>0</v>
      </c>
      <c r="BO27" s="583">
        <f ca="1" t="shared" si="30"/>
        <v>0</v>
      </c>
      <c r="BP27" s="598">
        <f ca="1" t="shared" si="31"/>
        <v>0</v>
      </c>
      <c r="BQ27" s="599">
        <f>BQ$3*3600</f>
        <v>21600</v>
      </c>
      <c r="BR27" s="583">
        <f ca="1" t="shared" ref="BR27:BU27" si="227">BJ27</f>
        <v>0</v>
      </c>
      <c r="BS27" s="583">
        <f ca="1" t="shared" si="227"/>
        <v>0</v>
      </c>
      <c r="BT27" s="584">
        <f ca="1" t="shared" si="227"/>
        <v>0</v>
      </c>
      <c r="BU27" s="583">
        <f ca="1" t="shared" si="227"/>
        <v>0</v>
      </c>
      <c r="BV27" s="583">
        <f ca="1">MAX(INDIRECT("'"&amp;$B$2&amp;"-事故进程'!Z"&amp;(ROW()+22)),INDIRECT("'"&amp;$B$2&amp;"-事故进程'!AA"&amp;(ROW()+22)))</f>
        <v>0</v>
      </c>
      <c r="BW27" s="583">
        <f ca="1">SUM(BV$3,-LN(1-BW$3)/BQ27)</f>
        <v>0.00162728102077123</v>
      </c>
      <c r="BX27" s="583">
        <f>BX$3/24/3600</f>
        <v>1157407407407410</v>
      </c>
      <c r="BY27" s="585">
        <f ca="1" t="shared" si="33"/>
        <v>0.102637378742866</v>
      </c>
      <c r="BZ27" s="585">
        <f ca="1" t="shared" si="34"/>
        <v>5.57405855975324e-17</v>
      </c>
      <c r="CA27" s="585">
        <f t="shared" si="35"/>
        <v>0</v>
      </c>
      <c r="CB27" s="585">
        <f ca="1" t="shared" si="36"/>
        <v>0</v>
      </c>
      <c r="CC27" s="585">
        <f ca="1" t="shared" si="37"/>
        <v>0</v>
      </c>
      <c r="CD27" s="585">
        <f ca="1" t="shared" si="38"/>
        <v>1</v>
      </c>
      <c r="CE27" s="583">
        <f ca="1" t="shared" si="39"/>
        <v>0</v>
      </c>
      <c r="CF27" s="583">
        <f ca="1" t="shared" si="40"/>
        <v>0</v>
      </c>
      <c r="CG27" s="587">
        <f ca="1" t="shared" si="41"/>
        <v>0</v>
      </c>
      <c r="CH27" s="597">
        <f ca="1" t="shared" si="42"/>
        <v>0</v>
      </c>
      <c r="CI27" s="583">
        <f ca="1" t="shared" si="43"/>
        <v>0</v>
      </c>
      <c r="CJ27" s="583">
        <f ca="1" t="shared" si="44"/>
        <v>0</v>
      </c>
      <c r="CK27" s="598">
        <f ca="1" t="shared" si="45"/>
        <v>0</v>
      </c>
      <c r="CL27" s="599">
        <f>CL$3*3600</f>
        <v>57600</v>
      </c>
      <c r="CM27" s="583">
        <f ca="1" t="shared" ref="CM27:CP27" si="228">CE27</f>
        <v>0</v>
      </c>
      <c r="CN27" s="583">
        <f ca="1" t="shared" si="228"/>
        <v>0</v>
      </c>
      <c r="CO27" s="584">
        <f ca="1" t="shared" si="228"/>
        <v>0</v>
      </c>
      <c r="CP27" s="583">
        <f ca="1" t="shared" si="228"/>
        <v>0</v>
      </c>
      <c r="CQ27" s="583">
        <f ca="1">MAX(INDIRECT("'"&amp;$B$2&amp;"-事故进程'!AA"&amp;(ROW()+22)),INDIRECT("'"&amp;$B$2&amp;"-事故进程'!AB"&amp;(ROW()+22)))</f>
        <v>0</v>
      </c>
      <c r="CR27" s="583">
        <f ca="1">SUM(CQ$3,-LN(1-CR$3)/CL27)</f>
        <v>6.95458811586267e-6</v>
      </c>
      <c r="CS27" s="583">
        <f>CS$3/24/3600</f>
        <v>1157407407407410</v>
      </c>
      <c r="CT27" s="585">
        <f ca="1" t="shared" si="47"/>
        <v>0.0023093059373311</v>
      </c>
      <c r="CU27" s="585">
        <f ca="1" t="shared" si="48"/>
        <v>0.00154706988311425</v>
      </c>
      <c r="CV27" s="585">
        <f t="shared" si="49"/>
        <v>0</v>
      </c>
      <c r="CW27" s="585">
        <f ca="1" t="shared" si="50"/>
        <v>0</v>
      </c>
      <c r="CX27" s="585">
        <f ca="1" t="shared" si="51"/>
        <v>0</v>
      </c>
      <c r="CY27" s="585">
        <f ca="1" t="shared" si="52"/>
        <v>1</v>
      </c>
      <c r="CZ27" s="583">
        <f ca="1" t="shared" si="53"/>
        <v>0</v>
      </c>
      <c r="DA27" s="583">
        <f ca="1" t="shared" si="54"/>
        <v>0</v>
      </c>
      <c r="DB27" s="587">
        <f ca="1" t="shared" si="55"/>
        <v>0</v>
      </c>
      <c r="DC27" s="597">
        <f ca="1" t="shared" si="56"/>
        <v>0</v>
      </c>
      <c r="DD27" s="583">
        <f ca="1" t="shared" si="57"/>
        <v>0</v>
      </c>
      <c r="DE27" s="583">
        <f ca="1" t="shared" si="58"/>
        <v>0</v>
      </c>
      <c r="DF27" s="598">
        <f ca="1" t="shared" si="59"/>
        <v>0</v>
      </c>
      <c r="DG27" s="599">
        <f>DG$3*3600</f>
        <v>86400</v>
      </c>
      <c r="DH27" s="583">
        <f ca="1" t="shared" ref="DH27:DK27" si="229">CZ27</f>
        <v>0</v>
      </c>
      <c r="DI27" s="583">
        <f ca="1" t="shared" si="229"/>
        <v>0</v>
      </c>
      <c r="DJ27" s="584">
        <f ca="1" t="shared" si="229"/>
        <v>0</v>
      </c>
      <c r="DK27" s="583">
        <f ca="1" t="shared" si="229"/>
        <v>0</v>
      </c>
      <c r="DL27" s="583">
        <f ca="1">MAX(INDIRECT("'"&amp;$B$2&amp;"-事故进程'!AB"&amp;(ROW()+22)),INDIRECT("'"&amp;$B$2&amp;"-事故进程'!AC"&amp;(ROW()+22)))</f>
        <v>0</v>
      </c>
      <c r="DM27" s="583">
        <f ca="1">SUM(DL$3,-LN(1-DM$3)/DG27)</f>
        <v>1.01371476497628e-6</v>
      </c>
      <c r="DN27" s="583">
        <f>DN$3/24/3600</f>
        <v>1157407407407410</v>
      </c>
      <c r="DO27" s="585">
        <f ca="1" t="shared" si="61"/>
        <v>0.000110974247348578</v>
      </c>
      <c r="DP27" s="585">
        <f ca="1" t="shared" si="62"/>
        <v>0.000101668062040353</v>
      </c>
      <c r="DQ27" s="585">
        <f t="shared" si="63"/>
        <v>0</v>
      </c>
      <c r="DR27" s="585">
        <f ca="1" t="shared" si="64"/>
        <v>0</v>
      </c>
      <c r="DS27" s="585">
        <f ca="1" t="shared" si="65"/>
        <v>0</v>
      </c>
      <c r="DT27" s="585">
        <f ca="1" t="shared" si="66"/>
        <v>1</v>
      </c>
      <c r="DU27" s="583">
        <f ca="1" t="shared" si="67"/>
        <v>0</v>
      </c>
      <c r="DV27" s="583">
        <f ca="1" t="shared" si="68"/>
        <v>0</v>
      </c>
      <c r="DW27" s="587">
        <f ca="1" t="shared" si="69"/>
        <v>0</v>
      </c>
      <c r="DX27" s="597">
        <f ca="1" t="shared" si="70"/>
        <v>0</v>
      </c>
      <c r="DY27" s="583">
        <f ca="1" t="shared" si="71"/>
        <v>0</v>
      </c>
      <c r="DZ27" s="583">
        <f ca="1" t="shared" si="72"/>
        <v>0</v>
      </c>
      <c r="EA27" s="598">
        <f ca="1" t="shared" si="73"/>
        <v>0</v>
      </c>
      <c r="EB27" s="599">
        <f>EB$3*3600</f>
        <v>172800</v>
      </c>
      <c r="EC27" s="583">
        <f ca="1" t="shared" ref="EC27:EF27" si="230">DU27</f>
        <v>0</v>
      </c>
      <c r="ED27" s="583">
        <f ca="1" t="shared" si="230"/>
        <v>0</v>
      </c>
      <c r="EE27" s="584">
        <f ca="1" t="shared" si="230"/>
        <v>0</v>
      </c>
      <c r="EF27" s="583">
        <f ca="1" t="shared" si="230"/>
        <v>0</v>
      </c>
      <c r="EG27" s="583">
        <f ca="1">MAX(INDIRECT("'"&amp;$B$2&amp;"-事故进程'!AC"&amp;(ROW()+22)),INDIRECT("'"&amp;$B$2&amp;"-事故进程'!AD"&amp;(ROW()+22)),INDIRECT("'"&amp;$B$2&amp;"-事故进程'!AE"&amp;(ROW()+22)))</f>
        <v>0</v>
      </c>
      <c r="EH27" s="583">
        <f ca="1">SUM(EG$3,-LN(1-EH$3)/EB27)</f>
        <v>5.81616658188741e-8</v>
      </c>
      <c r="EI27" s="583">
        <f>EI$3/24/3600</f>
        <v>1157407407407410</v>
      </c>
      <c r="EJ27" s="585">
        <f ca="1" t="shared" si="75"/>
        <v>1.23152835745834e-8</v>
      </c>
      <c r="EK27" s="585">
        <f ca="1" t="shared" si="76"/>
        <v>1.21921307388375e-8</v>
      </c>
      <c r="EL27" s="585">
        <f t="shared" si="77"/>
        <v>0</v>
      </c>
      <c r="EM27" s="585">
        <f ca="1" t="shared" si="78"/>
        <v>0</v>
      </c>
      <c r="EN27" s="585">
        <f ca="1" t="shared" si="79"/>
        <v>0</v>
      </c>
      <c r="EO27" s="585">
        <f ca="1" t="shared" si="80"/>
        <v>1</v>
      </c>
      <c r="EP27" s="583">
        <f ca="1" t="shared" si="81"/>
        <v>0</v>
      </c>
      <c r="EQ27" s="583">
        <f ca="1" t="shared" si="82"/>
        <v>0</v>
      </c>
      <c r="ER27" s="587">
        <f ca="1" t="shared" si="83"/>
        <v>0</v>
      </c>
      <c r="ES27" s="597">
        <f ca="1" t="shared" si="84"/>
        <v>0</v>
      </c>
      <c r="ET27" s="583">
        <f ca="1" t="shared" si="85"/>
        <v>0</v>
      </c>
      <c r="EU27" s="583">
        <f ca="1" t="shared" si="86"/>
        <v>0</v>
      </c>
      <c r="EV27" s="598">
        <f ca="1" t="shared" si="87"/>
        <v>0</v>
      </c>
      <c r="EW27" s="599">
        <f>EW$3*3600</f>
        <v>2246400</v>
      </c>
      <c r="EX27" s="583">
        <f ca="1" t="shared" ref="EX27:FA27" si="231">EP27</f>
        <v>0</v>
      </c>
      <c r="EY27" s="583">
        <f ca="1" t="shared" si="231"/>
        <v>0</v>
      </c>
      <c r="EZ27" s="584">
        <f ca="1" t="shared" si="231"/>
        <v>0</v>
      </c>
      <c r="FA27" s="583">
        <f ca="1" t="shared" si="231"/>
        <v>0</v>
      </c>
      <c r="FB27" s="583">
        <f ca="1">INDIRECT("'"&amp;$B$2&amp;"-事故进程'!AE"&amp;(ROW()+22))</f>
        <v>0</v>
      </c>
      <c r="FC27" s="583">
        <f ca="1">SUM(FB$3,-LN(1-FC$3)/EW27)</f>
        <v>4.47397429375955e-9</v>
      </c>
      <c r="FD27" s="583">
        <f>FD$3/24/3600</f>
        <v>1157407407407410</v>
      </c>
      <c r="FE27" s="585">
        <f ca="1" t="shared" si="89"/>
        <v>1.49891640890916e-103</v>
      </c>
      <c r="FF27" s="585">
        <f ca="1" t="shared" si="90"/>
        <v>1.48392724482008e-103</v>
      </c>
      <c r="FG27" s="585">
        <f t="shared" si="91"/>
        <v>0</v>
      </c>
      <c r="FH27" s="585">
        <f ca="1" t="shared" si="92"/>
        <v>0</v>
      </c>
      <c r="FI27" s="585">
        <f ca="1" t="shared" si="93"/>
        <v>0</v>
      </c>
      <c r="FJ27" s="585">
        <f ca="1" t="shared" si="94"/>
        <v>1</v>
      </c>
      <c r="FK27" s="583">
        <f ca="1" t="shared" si="95"/>
        <v>0</v>
      </c>
      <c r="FL27" s="583">
        <f ca="1" t="shared" si="96"/>
        <v>0</v>
      </c>
      <c r="FM27" s="587">
        <f ca="1" t="shared" si="97"/>
        <v>0</v>
      </c>
      <c r="FN27" s="597">
        <f ca="1" t="shared" si="98"/>
        <v>0</v>
      </c>
      <c r="FO27" s="583">
        <f ca="1" t="shared" si="99"/>
        <v>0</v>
      </c>
      <c r="FP27" s="583">
        <f ca="1" t="shared" si="100"/>
        <v>0</v>
      </c>
      <c r="FQ27" s="598">
        <f ca="1" t="shared" si="101"/>
        <v>0</v>
      </c>
      <c r="FR27" s="608" t="str">
        <f t="shared" si="102"/>
        <v>Ar-41</v>
      </c>
      <c r="FS27" s="609"/>
      <c r="FT27" s="610"/>
      <c r="FU27" s="610"/>
      <c r="FV27" s="610"/>
      <c r="FW27" s="610"/>
      <c r="FX27" s="615"/>
      <c r="FY27" s="615"/>
      <c r="FZ27" s="615"/>
      <c r="GA27" s="615"/>
      <c r="GB27" s="615"/>
      <c r="GC27" s="455"/>
      <c r="GE27" s="609">
        <v>9981776543.449</v>
      </c>
      <c r="GF27" s="610">
        <v>411553901.319185</v>
      </c>
      <c r="GG27" s="610">
        <v>19657763.9071776</v>
      </c>
      <c r="GH27" s="610">
        <v>41097.7900978501</v>
      </c>
      <c r="GI27" s="610">
        <v>3.91730897966321</v>
      </c>
      <c r="GJ27" s="610">
        <v>3.55830990489314e-8</v>
      </c>
      <c r="GK27" s="617">
        <v>10413029310.3828</v>
      </c>
      <c r="GL27" s="614">
        <f t="shared" si="109"/>
        <v>0</v>
      </c>
      <c r="GM27" s="614">
        <f ca="1" t="shared" si="110"/>
        <v>0</v>
      </c>
      <c r="GN27" s="614">
        <f ca="1" t="shared" si="111"/>
        <v>0</v>
      </c>
      <c r="GO27" s="614">
        <f ca="1" t="shared" si="112"/>
        <v>0</v>
      </c>
      <c r="GP27" s="614">
        <f ca="1" t="shared" si="113"/>
        <v>0</v>
      </c>
      <c r="GQ27" s="614">
        <f ca="1" t="shared" si="114"/>
        <v>0</v>
      </c>
      <c r="GR27" s="451">
        <f t="shared" si="115"/>
        <v>0.000105395976729608</v>
      </c>
      <c r="GS27" s="390">
        <f t="shared" si="116"/>
        <v>6576.60000000005</v>
      </c>
    </row>
    <row r="28" spans="1:173">
      <c r="A28" s="430"/>
      <c r="B28" s="407" t="s">
        <v>276</v>
      </c>
      <c r="C28" s="636">
        <f>C25</f>
        <v>1e+20</v>
      </c>
      <c r="D28" s="410" t="s">
        <v>273</v>
      </c>
      <c r="E28" s="409" t="s">
        <v>274</v>
      </c>
      <c r="G28" s="436" t="s">
        <v>73</v>
      </c>
      <c r="AA28" s="390">
        <f t="shared" ref="AA28:AG28" si="232">SUM(AA5:AA27)</f>
        <v>3.190513e+18</v>
      </c>
      <c r="AB28" s="390">
        <f t="shared" si="232"/>
        <v>0</v>
      </c>
      <c r="AC28" s="390">
        <f t="shared" si="232"/>
        <v>490140141999.4</v>
      </c>
      <c r="AD28" s="390">
        <f t="shared" si="232"/>
        <v>13434246000000</v>
      </c>
      <c r="AE28" s="390">
        <f t="shared" si="232"/>
        <v>14488800000000</v>
      </c>
      <c r="AF28" s="390">
        <f t="shared" si="232"/>
        <v>0</v>
      </c>
      <c r="AG28" s="390">
        <f t="shared" si="232"/>
        <v>0</v>
      </c>
      <c r="AI28" s="390">
        <f t="shared" ref="AI28:AM28" si="233">SUM(AI5:AI27)</f>
        <v>726311105263.158</v>
      </c>
      <c r="AL28" s="390">
        <f t="shared" si="233"/>
        <v>687814609.14826</v>
      </c>
      <c r="AM28" s="390">
        <f t="shared" si="233"/>
        <v>12293040000000</v>
      </c>
      <c r="AO28" s="390">
        <f ca="1" t="shared" ref="AO28:AQ28" si="234">SUM(AO5:AO27)</f>
        <v>492427025646.833</v>
      </c>
      <c r="AP28" s="390">
        <f t="shared" si="234"/>
        <v>1.11492488209735e+18</v>
      </c>
      <c r="AQ28" s="390">
        <f ca="1" t="shared" si="234"/>
        <v>5126441900361.97</v>
      </c>
      <c r="AS28" s="390">
        <f ca="1">SUM(AS5:AS27)</f>
        <v>0</v>
      </c>
      <c r="AU28" s="390">
        <f ca="1" t="shared" ref="AS28:AZ28" si="235">SUM(AU5:AU27)</f>
        <v>0</v>
      </c>
      <c r="AW28" s="390">
        <f t="shared" si="235"/>
        <v>1.11492488209735e+18</v>
      </c>
      <c r="AX28" s="390">
        <f ca="1" t="shared" si="235"/>
        <v>5126441900361.97</v>
      </c>
      <c r="AY28" s="390">
        <f ca="1" t="shared" si="235"/>
        <v>0</v>
      </c>
      <c r="AZ28" s="390">
        <f t="shared" si="235"/>
        <v>0</v>
      </c>
      <c r="BB28" s="580"/>
      <c r="BC28" s="580"/>
      <c r="BD28" s="521"/>
      <c r="BE28" s="521"/>
      <c r="BF28" s="521"/>
      <c r="BG28" s="521"/>
      <c r="BH28" s="521"/>
      <c r="BI28" s="521"/>
      <c r="BJ28" s="390">
        <f ca="1" t="shared" ref="BJ28:BL28" si="236">SUM(BJ5:BJ27)</f>
        <v>1.09017804206395e+18</v>
      </c>
      <c r="BK28" s="390">
        <f ca="1" t="shared" si="236"/>
        <v>2793753720.67767</v>
      </c>
      <c r="BL28" s="390">
        <f ca="1" t="shared" si="236"/>
        <v>3.8630827820196e-9</v>
      </c>
      <c r="BM28" s="390"/>
      <c r="BN28" s="390">
        <f ca="1" t="shared" ref="BN28:BP28" si="237">SUM(BN5:BN27)</f>
        <v>32285902079.9395</v>
      </c>
      <c r="BO28" s="390">
        <f ca="1" t="shared" si="237"/>
        <v>5144402733631.58</v>
      </c>
      <c r="BP28" s="451">
        <f ca="1" t="shared" si="237"/>
        <v>5144402733631.58</v>
      </c>
      <c r="BR28" s="390">
        <f ca="1" t="shared" ref="BR28:BU28" si="238">SUM(BR5:BR27)</f>
        <v>1.09017804206395e+18</v>
      </c>
      <c r="BS28" s="390">
        <f ca="1" t="shared" si="238"/>
        <v>2793753720.67767</v>
      </c>
      <c r="BT28" s="390">
        <f ca="1" t="shared" si="238"/>
        <v>3.8630827820196e-9</v>
      </c>
      <c r="BU28" s="390">
        <f ca="1" t="shared" si="238"/>
        <v>5028686696894.82</v>
      </c>
      <c r="BW28" s="580"/>
      <c r="BX28" s="580"/>
      <c r="BY28" s="521"/>
      <c r="BZ28" s="521"/>
      <c r="CA28" s="521"/>
      <c r="CB28" s="521"/>
      <c r="CC28" s="521"/>
      <c r="CD28" s="521"/>
      <c r="CE28" s="390">
        <f ca="1" t="shared" ref="CE28:CG28" si="239">SUM(CE5:CE27)</f>
        <v>1.02701346838527e+18</v>
      </c>
      <c r="CF28" s="390">
        <f ca="1" t="shared" si="239"/>
        <v>2682385462.41211</v>
      </c>
      <c r="CG28" s="390">
        <f ca="1" t="shared" si="239"/>
        <v>3.77135563971677e-9</v>
      </c>
      <c r="CH28" s="390"/>
      <c r="CI28" s="390">
        <f ca="1" t="shared" ref="CI28:CK28" si="240">SUM(CI5:CI27)</f>
        <v>99316415502.0657</v>
      </c>
      <c r="CJ28" s="390">
        <f ca="1" t="shared" si="240"/>
        <v>99125239306.777</v>
      </c>
      <c r="CK28" s="390">
        <f ca="1" t="shared" si="240"/>
        <v>99125239306.777</v>
      </c>
      <c r="CM28" s="390">
        <f ca="1" t="shared" ref="CM28:CP28" si="241">SUM(CM5:CM27)</f>
        <v>1.02701346838527e+18</v>
      </c>
      <c r="CN28" s="390">
        <f ca="1" t="shared" si="241"/>
        <v>2682385462.41211</v>
      </c>
      <c r="CO28" s="390">
        <f ca="1" t="shared" si="241"/>
        <v>3.77135563971677e-9</v>
      </c>
      <c r="CP28" s="390">
        <f ca="1" t="shared" si="241"/>
        <v>4800273551183.26</v>
      </c>
      <c r="CR28" s="580"/>
      <c r="CS28" s="580"/>
      <c r="CT28" s="521"/>
      <c r="CU28" s="521"/>
      <c r="CV28" s="521"/>
      <c r="CW28" s="521"/>
      <c r="CX28" s="521"/>
      <c r="CY28" s="521"/>
      <c r="CZ28" s="390">
        <f ca="1" t="shared" ref="CZ28:DB28" si="242">SUM(CZ5:CZ27)</f>
        <v>9.08354759485633e+17</v>
      </c>
      <c r="DA28" s="390">
        <f ca="1" t="shared" si="242"/>
        <v>854317706816.69</v>
      </c>
      <c r="DB28" s="390">
        <f ca="1" t="shared" si="242"/>
        <v>5.13339359414262e-9</v>
      </c>
      <c r="DC28" s="390"/>
      <c r="DD28" s="390">
        <f ca="1" t="shared" ref="DD28:DF28" si="243">SUM(DD5:DD27)</f>
        <v>1168368981644.76</v>
      </c>
      <c r="DE28" s="390">
        <f ca="1" t="shared" si="243"/>
        <v>198289987830.734</v>
      </c>
      <c r="DF28" s="390">
        <f ca="1" t="shared" si="243"/>
        <v>198289987830.734</v>
      </c>
      <c r="DH28" s="390">
        <f ca="1" t="shared" ref="DH28:DJ28" si="244">SUM(DH5:DH27)</f>
        <v>9.08354759485633e+17</v>
      </c>
      <c r="DI28" s="390">
        <f ca="1" t="shared" si="244"/>
        <v>854317706816.69</v>
      </c>
      <c r="DJ28" s="390">
        <f ca="1" t="shared" si="244"/>
        <v>5.13339359414262e-9</v>
      </c>
      <c r="DK28" s="390"/>
      <c r="DM28" s="580"/>
      <c r="DN28" s="580"/>
      <c r="DO28" s="521"/>
      <c r="DP28" s="521"/>
      <c r="DQ28" s="521"/>
      <c r="DR28" s="521"/>
      <c r="DS28" s="521"/>
      <c r="DT28" s="521"/>
      <c r="DU28" s="390">
        <f ca="1" t="shared" ref="DU28:DW28" si="245">SUM(DU5:DU27)</f>
        <v>7.95495199867345e+17</v>
      </c>
      <c r="DV28" s="390">
        <f ca="1" t="shared" si="245"/>
        <v>2681227888610.18</v>
      </c>
      <c r="DW28" s="390">
        <f ca="1" t="shared" si="245"/>
        <v>2.34835225829307e-9</v>
      </c>
      <c r="DX28" s="390"/>
      <c r="DY28" s="390">
        <f ca="1" t="shared" ref="DY28:EA28" si="246">SUM(DY5:DY27)</f>
        <v>2398579386408.31</v>
      </c>
      <c r="DZ28" s="390">
        <f ca="1" t="shared" si="246"/>
        <v>161310760663.733</v>
      </c>
      <c r="EA28" s="390">
        <f ca="1" t="shared" si="246"/>
        <v>161310760663.733</v>
      </c>
      <c r="EC28" s="390">
        <f ca="1" t="shared" ref="EC28:EE28" si="247">SUM(EC5:EC27)</f>
        <v>7.95495199867345e+17</v>
      </c>
      <c r="ED28" s="390">
        <f ca="1" t="shared" si="247"/>
        <v>2681227888610.18</v>
      </c>
      <c r="EE28" s="390">
        <f ca="1" t="shared" si="247"/>
        <v>2.34835225829307e-9</v>
      </c>
      <c r="EF28" s="390"/>
      <c r="EH28" s="580"/>
      <c r="EI28" s="580"/>
      <c r="EJ28" s="521"/>
      <c r="EK28" s="521"/>
      <c r="EL28" s="521"/>
      <c r="EM28" s="521"/>
      <c r="EN28" s="521"/>
      <c r="EO28" s="521"/>
      <c r="EP28" s="390">
        <f ca="1" t="shared" ref="EP28:ER28" si="248">SUM(EP5:EP27)</f>
        <v>6.58525548336259e+17</v>
      </c>
      <c r="EQ28" s="390">
        <f ca="1" t="shared" si="248"/>
        <v>6010976571400.88</v>
      </c>
      <c r="ER28" s="390">
        <f ca="1" t="shared" si="248"/>
        <v>3.02061666750537e-10</v>
      </c>
      <c r="ES28" s="390"/>
      <c r="ET28" s="390">
        <f ca="1" t="shared" ref="ET28:EV28" si="249">SUM(ET5:ET27)</f>
        <v>4428131775396.36</v>
      </c>
      <c r="EU28" s="390">
        <f ca="1" t="shared" si="249"/>
        <v>44589954006.5282</v>
      </c>
      <c r="EV28" s="390">
        <f ca="1" t="shared" si="249"/>
        <v>44589954006.5282</v>
      </c>
      <c r="EX28" s="390">
        <f ca="1" t="shared" ref="EX28:EZ28" si="250">SUM(EX5:EX27)</f>
        <v>6.58525548336259e+17</v>
      </c>
      <c r="EY28" s="390">
        <f ca="1" t="shared" si="250"/>
        <v>6010976571400.88</v>
      </c>
      <c r="EZ28" s="390">
        <f ca="1" t="shared" si="250"/>
        <v>3.02061666750537e-10</v>
      </c>
      <c r="FA28" s="390"/>
      <c r="FC28" s="580"/>
      <c r="FD28" s="580"/>
      <c r="FE28" s="521"/>
      <c r="FF28" s="521"/>
      <c r="FG28" s="521"/>
      <c r="FH28" s="521"/>
      <c r="FI28" s="521"/>
      <c r="FJ28" s="521"/>
      <c r="FK28" s="390">
        <f ca="1" t="shared" ref="FK28:FM28" si="251">SUM(FK5:FK27)</f>
        <v>2.24156137712297e+17</v>
      </c>
      <c r="FL28" s="390">
        <f ca="1" t="shared" si="251"/>
        <v>20754568303737</v>
      </c>
      <c r="FM28" s="390">
        <f ca="1" t="shared" si="251"/>
        <v>8.02270699796125e-11</v>
      </c>
      <c r="FN28" s="390"/>
      <c r="FO28" s="390">
        <f ca="1" t="shared" ref="FO28:FQ28" si="252">SUM(FO5:FO27)</f>
        <v>23749829487048.2</v>
      </c>
      <c r="FP28" s="390">
        <f ca="1" t="shared" si="252"/>
        <v>140695875242.404</v>
      </c>
      <c r="FQ28" s="390">
        <f ca="1" t="shared" si="252"/>
        <v>140695875242.404</v>
      </c>
    </row>
    <row r="29" spans="1:189">
      <c r="A29" s="432" t="s">
        <v>279</v>
      </c>
      <c r="B29" s="407" t="s">
        <v>267</v>
      </c>
      <c r="C29" s="428">
        <f>-LN(1-0%)/8/3600</f>
        <v>0</v>
      </c>
      <c r="D29" s="410" t="s">
        <v>268</v>
      </c>
      <c r="E29" s="409" t="s">
        <v>269</v>
      </c>
      <c r="H29" s="390" t="s">
        <v>280</v>
      </c>
      <c r="J29" s="390" t="s">
        <v>281</v>
      </c>
      <c r="R29" s="390" t="s">
        <v>280</v>
      </c>
      <c r="T29" s="390" t="s">
        <v>281</v>
      </c>
      <c r="AN29" s="390" t="s">
        <v>282</v>
      </c>
      <c r="BA29" s="394" t="s">
        <v>283</v>
      </c>
      <c r="BB29" s="580"/>
      <c r="BC29" s="580"/>
      <c r="BD29" s="580"/>
      <c r="BE29" s="580"/>
      <c r="BF29" s="580"/>
      <c r="BG29" s="580"/>
      <c r="BH29" s="580"/>
      <c r="BI29" s="580"/>
      <c r="BJ29" s="580"/>
      <c r="BK29" s="580"/>
      <c r="BL29" s="580"/>
      <c r="BM29" s="580"/>
      <c r="BN29" s="580"/>
      <c r="BO29" s="600"/>
      <c r="BP29" s="601"/>
      <c r="BS29" s="580"/>
      <c r="BT29" s="521"/>
      <c r="BV29" s="394" t="s">
        <v>284</v>
      </c>
      <c r="BW29" s="580"/>
      <c r="BX29" s="580"/>
      <c r="BY29" s="580"/>
      <c r="BZ29" s="580"/>
      <c r="CA29" s="580"/>
      <c r="CB29" s="580"/>
      <c r="CC29" s="580"/>
      <c r="CD29" s="580"/>
      <c r="CE29" s="580"/>
      <c r="CF29" s="580"/>
      <c r="CG29" s="580"/>
      <c r="CH29" s="580"/>
      <c r="CI29" s="580"/>
      <c r="CJ29" s="600"/>
      <c r="CN29" s="580"/>
      <c r="CO29" s="580"/>
      <c r="CQ29" s="394" t="s">
        <v>285</v>
      </c>
      <c r="CR29" s="580"/>
      <c r="CS29" s="580"/>
      <c r="CT29" s="580"/>
      <c r="CU29" s="580"/>
      <c r="CV29" s="580"/>
      <c r="CW29" s="580"/>
      <c r="CX29" s="580"/>
      <c r="CY29" s="580"/>
      <c r="CZ29" s="580"/>
      <c r="DA29" s="580"/>
      <c r="DB29" s="580"/>
      <c r="DC29" s="580"/>
      <c r="DD29" s="580"/>
      <c r="DE29" s="580"/>
      <c r="DI29" s="580"/>
      <c r="DJ29" s="580"/>
      <c r="DK29" s="521"/>
      <c r="DL29" s="394" t="s">
        <v>286</v>
      </c>
      <c r="DM29" s="580"/>
      <c r="DN29" s="580"/>
      <c r="DO29" s="580"/>
      <c r="DP29" s="580"/>
      <c r="DQ29" s="580"/>
      <c r="DR29" s="580"/>
      <c r="DS29" s="580"/>
      <c r="DT29" s="580"/>
      <c r="DU29" s="580"/>
      <c r="DV29" s="580"/>
      <c r="DW29" s="580"/>
      <c r="DX29" s="580"/>
      <c r="DY29" s="580"/>
      <c r="DZ29" s="600"/>
      <c r="ED29" s="580"/>
      <c r="EE29" s="580"/>
      <c r="EF29" s="521"/>
      <c r="EG29" s="394" t="s">
        <v>287</v>
      </c>
      <c r="EJ29" s="580"/>
      <c r="EK29" s="580"/>
      <c r="EL29" s="580"/>
      <c r="EM29" s="580"/>
      <c r="EN29" s="580"/>
      <c r="EO29" s="580"/>
      <c r="EP29" s="580"/>
      <c r="EQ29" s="580"/>
      <c r="ER29" s="580"/>
      <c r="ES29" s="580"/>
      <c r="ET29" s="580"/>
      <c r="EU29" s="603"/>
      <c r="EY29" s="580"/>
      <c r="EZ29" s="580"/>
      <c r="FA29" s="521"/>
      <c r="FB29" s="394" t="s">
        <v>288</v>
      </c>
      <c r="FE29" s="580"/>
      <c r="FF29" s="580"/>
      <c r="FG29" s="580"/>
      <c r="FH29" s="580"/>
      <c r="FI29" s="580"/>
      <c r="FJ29" s="580"/>
      <c r="FK29" s="580"/>
      <c r="FL29" s="580"/>
      <c r="FM29" s="580"/>
      <c r="FN29" s="580"/>
      <c r="FO29" s="580"/>
      <c r="FP29" s="603"/>
      <c r="FS29" s="390" t="s">
        <v>280</v>
      </c>
      <c r="FU29" s="390" t="s">
        <v>281</v>
      </c>
      <c r="GD29" s="392"/>
      <c r="GE29" s="390" t="s">
        <v>280</v>
      </c>
      <c r="GG29" s="390" t="s">
        <v>281</v>
      </c>
    </row>
    <row r="30" spans="1:192">
      <c r="A30" s="430"/>
      <c r="B30" s="407" t="s">
        <v>270</v>
      </c>
      <c r="C30" s="437">
        <f ca="1">IF(48&lt;=$C$13-$C$12,MAX(1%,INDIRECT("'"&amp;$B$2&amp;"-事故进程'!$AD$23")*150%),0.000000000000001)</f>
        <v>0.01</v>
      </c>
      <c r="D30" s="410"/>
      <c r="E30" s="409" t="s">
        <v>271</v>
      </c>
      <c r="G30" s="438" t="s">
        <v>289</v>
      </c>
      <c r="H30" s="439" t="s">
        <v>290</v>
      </c>
      <c r="I30" s="439" t="s">
        <v>291</v>
      </c>
      <c r="J30" s="452" t="s">
        <v>290</v>
      </c>
      <c r="K30" s="452" t="s">
        <v>291</v>
      </c>
      <c r="L30" s="452" t="s">
        <v>292</v>
      </c>
      <c r="M30" s="452" t="s">
        <v>292</v>
      </c>
      <c r="Q30" s="438" t="s">
        <v>289</v>
      </c>
      <c r="R30" s="439" t="s">
        <v>290</v>
      </c>
      <c r="S30" s="439" t="s">
        <v>291</v>
      </c>
      <c r="T30" s="452" t="s">
        <v>290</v>
      </c>
      <c r="U30" s="452" t="s">
        <v>291</v>
      </c>
      <c r="V30" s="452" t="s">
        <v>292</v>
      </c>
      <c r="W30" s="452" t="s">
        <v>292</v>
      </c>
      <c r="AD30" s="451"/>
      <c r="AN30" s="533"/>
      <c r="AS30" s="572"/>
      <c r="BO30" s="600"/>
      <c r="BP30" s="601"/>
      <c r="CJ30" s="600"/>
      <c r="DZ30" s="602"/>
      <c r="EU30" s="603"/>
      <c r="FP30" s="603"/>
      <c r="FS30" s="439" t="s">
        <v>290</v>
      </c>
      <c r="FT30" s="439" t="s">
        <v>291</v>
      </c>
      <c r="FU30" s="452" t="s">
        <v>290</v>
      </c>
      <c r="FV30" s="452" t="s">
        <v>291</v>
      </c>
      <c r="FW30" s="452" t="s">
        <v>292</v>
      </c>
      <c r="FX30" s="452" t="s">
        <v>292</v>
      </c>
      <c r="GD30" s="438" t="s">
        <v>289</v>
      </c>
      <c r="GE30" s="439" t="s">
        <v>290</v>
      </c>
      <c r="GF30" s="439" t="s">
        <v>291</v>
      </c>
      <c r="GG30" s="439" t="s">
        <v>290</v>
      </c>
      <c r="GH30" s="439" t="s">
        <v>291</v>
      </c>
      <c r="GI30" s="439" t="s">
        <v>292</v>
      </c>
      <c r="GJ30" s="439" t="s">
        <v>292</v>
      </c>
    </row>
    <row r="31" spans="1:192">
      <c r="A31" s="430"/>
      <c r="B31" s="407" t="s">
        <v>276</v>
      </c>
      <c r="C31" s="636">
        <f>C28</f>
        <v>1e+20</v>
      </c>
      <c r="D31" s="410" t="s">
        <v>273</v>
      </c>
      <c r="E31" s="409" t="s">
        <v>274</v>
      </c>
      <c r="G31" s="440">
        <f>后果有效剂量!$P5</f>
        <v>0</v>
      </c>
      <c r="H31" s="441">
        <f ca="1">SUMPRODUCT(H$5:H$27,后果有效剂量!$I$5:$I$27)*后果有效剂量!$Q5+SUMPRODUCT(I$5:I$27,后果有效剂量!$I$5:$I$27)*后果有效剂量!$Q5+SUMPRODUCT(J$5:J$27,后果有效剂量!$I$5:$I$27)*后果有效剂量!$R5+SUMPRODUCT(K$5:K$27,后果有效剂量!$I$5:$I$27)*后果有效剂量!$S5+SUMPRODUCT(L$5:L$27,后果有效剂量!$I$5:$I$27)*后果有效剂量!$T5+SUMPRODUCT(M$5:M$27,后果有效剂量!$I$5:$I$27)*后果有效剂量!$U5+SUMPRODUCT(H$5:H$27,后果有效剂量!$J$5:$J$27)*后果有效剂量!$Q5*后果有效剂量!$Q$3+SUMPRODUCT(I$5:I$27,后果有效剂量!$J$5:$J$27)*后果有效剂量!$Q5*后果有效剂量!$Q$3+SUMPRODUCT(J$5:J$27,后果有效剂量!$J$5:$J$27)*后果有效剂量!$R5*后果有效剂量!$R$3+SUMPRODUCT(K$5:K$27,后果有效剂量!$J$5:$J$27)*后果有效剂量!$S5*后果有效剂量!$S$3+SUMPRODUCT(L$5:L$27,后果有效剂量!$J$5:$J$27)*后果有效剂量!$T5*后果有效剂量!$T$3+SUMPRODUCT(M$5:M$27,后果有效剂量!$J$5:$J$27)*后果有效剂量!$U5*后果有效剂量!$U$3+SUMPRODUCT(H$5:H$27,后果有效剂量!$K$5:$K$27)*后果有效剂量!$Q5+SUMPRODUCT(I$5:I$27,后果有效剂量!$K$5:$K$27)*后果有效剂量!$Q5+SUMPRODUCT(J$5:J$27,后果有效剂量!$K$5:$K$27)*后果有效剂量!$R5+SUMPRODUCT(K$5:K$27,后果有效剂量!$K$5:$K$27)*后果有效剂量!$S5+SUMPRODUCT(L$5:L$27,后果有效剂量!$K$5:$K$27)*后果有效剂量!$T5+SUMPRODUCT(M$5:M$27,后果有效剂量!$K$5:$K$27)*后果有效剂量!$U5</f>
        <v>0</v>
      </c>
      <c r="I31" s="453">
        <f ca="1">SUMPRODUCT(H$5:H$27,后果甲状腺剂量!$I$5:$I$27)*后果甲状腺剂量!$Q5+SUMPRODUCT(I$5:I$27,后果甲状腺剂量!$I$5:$I$27)*后果甲状腺剂量!$Q5+SUMPRODUCT(J$5:J$27,后果甲状腺剂量!$I$5:$I$27)*后果甲状腺剂量!$R5+SUMPRODUCT(K$5:K$27,后果甲状腺剂量!$I$5:$I$27)*后果甲状腺剂量!$S5+SUMPRODUCT(L$5:L$27,后果甲状腺剂量!$I$5:$I$27)*后果甲状腺剂量!$T5+SUMPRODUCT(M$5:M$27,后果甲状腺剂量!$I$5:$I$27)*后果甲状腺剂量!$U5+SUMPRODUCT(H$5:H$27,后果甲状腺剂量!$J$5:$J$27)*后果甲状腺剂量!$Q5*后果甲状腺剂量!$Q$3+SUMPRODUCT(I$5:I$27,后果甲状腺剂量!$J$5:$J$27)*后果甲状腺剂量!$Q5*后果甲状腺剂量!$Q$3+SUMPRODUCT(J$5:J$27,后果甲状腺剂量!$J$5:$J$27)*后果甲状腺剂量!$R5*后果甲状腺剂量!$R$3+SUMPRODUCT(K$5:K$27,后果甲状腺剂量!$J$5:$J$27)*后果甲状腺剂量!$S5*后果甲状腺剂量!$S$3+SUMPRODUCT(L$5:L$27,后果甲状腺剂量!$J$5:$J$27)*后果甲状腺剂量!$T5*后果甲状腺剂量!$T$3+SUMPRODUCT(M$5:M$27,后果甲状腺剂量!$J$5:$J$27)*后果甲状腺剂量!$U5*后果甲状腺剂量!$U$3+SUMPRODUCT(H$5:H$27,后果甲状腺剂量!$K$5:$K$27)*后果甲状腺剂量!$Q5+SUMPRODUCT(I$5:I$27,后果甲状腺剂量!$K$5:$K$27)*后果甲状腺剂量!$Q5+SUMPRODUCT(J$5:J$27,后果甲状腺剂量!$K$5:$K$27)*后果甲状腺剂量!$R5+SUMPRODUCT(K$5:K$27,后果甲状腺剂量!$K$5:$K$27)*后果甲状腺剂量!$S5+SUMPRODUCT(L$5:L$27,后果甲状腺剂量!$K$5:$K$27)*后果甲状腺剂量!$T5+SUMPRODUCT(M$5:M$27,后果甲状腺剂量!$K$5:$K$27)*后果甲状腺剂量!$U5</f>
        <v>0</v>
      </c>
      <c r="J31" s="454">
        <f ca="1" t="shared" ref="J31:J56" si="253">H31*1000</f>
        <v>0</v>
      </c>
      <c r="K31" s="454">
        <f ca="1" t="shared" ref="K31:K56" si="254">I31*1000</f>
        <v>0</v>
      </c>
      <c r="L31" s="436"/>
      <c r="M31" s="436"/>
      <c r="N31" s="455"/>
      <c r="Q31" s="440">
        <f>后果有效剂量!$P5</f>
        <v>0</v>
      </c>
      <c r="R31" s="441">
        <f ca="1">SUMPRODUCT(R$5:R$27,后果有效剂量!$I$5:$I$27)*后果有效剂量!$Q5+SUMPRODUCT(S$5:S$27,后果有效剂量!$I$5:$I$27)*后果有效剂量!$Q5+SUMPRODUCT(T$5:T$27,后果有效剂量!$I$5:$I$27)*后果有效剂量!$R5+SUMPRODUCT(U$5:U$27,后果有效剂量!$I$5:$I$27)*后果有效剂量!$S5+SUMPRODUCT(V$5:V$27,后果有效剂量!$I$5:$I$27)*后果有效剂量!$T5+SUMPRODUCT(W$5:W$27,后果有效剂量!$I$5:$I$27)*后果有效剂量!$U5+SUMPRODUCT(R$5:R$27,后果有效剂量!$J$5:$J$27)*后果有效剂量!$Q5*后果有效剂量!$Q$3+SUMPRODUCT(S$5:S$27,后果有效剂量!$J$5:$J$27)*后果有效剂量!$Q5*后果有效剂量!$Q$3+SUMPRODUCT(T$5:T$27,后果有效剂量!$J$5:$J$27)*后果有效剂量!$R5*后果有效剂量!$R$3+SUMPRODUCT(U$5:U$27,后果有效剂量!$J$5:$J$27)*后果有效剂量!$S5*后果有效剂量!$S$3+SUMPRODUCT(V$5:V$27,后果有效剂量!$J$5:$J$27)*后果有效剂量!$T5*后果有效剂量!$T$3+SUMPRODUCT(W$5:W$27,后果有效剂量!$J$5:$J$27)*后果有效剂量!$U5*后果有效剂量!$U$3+SUMPRODUCT(R$5:R$27,后果有效剂量!$K$5:$K$27)*后果有效剂量!$Q5+SUMPRODUCT(S$5:S$27,后果有效剂量!$K$5:$K$27)*后果有效剂量!$Q5+SUMPRODUCT(T$5:T$27,后果有效剂量!$K$5:$K$27)*后果有效剂量!$R5+SUMPRODUCT(U$5:U$27,后果有效剂量!$K$5:$K$27)*后果有效剂量!$S5+SUMPRODUCT(V$5:V$27,后果有效剂量!$K$5:$K$27)*后果有效剂量!$T5+SUMPRODUCT(W$5:W$27,后果有效剂量!$K$5:$K$27)*后果有效剂量!$U5</f>
        <v>0</v>
      </c>
      <c r="S31" s="453">
        <f ca="1">SUMPRODUCT(R$5:R$27,后果甲状腺剂量!$I$5:$I$27)*后果甲状腺剂量!$Q5+SUMPRODUCT(S$5:S$27,后果甲状腺剂量!$I$5:$I$27)*后果甲状腺剂量!$Q5+SUMPRODUCT(T$5:T$27,后果甲状腺剂量!$I$5:$I$27)*后果甲状腺剂量!$R5+SUMPRODUCT(U$5:U$27,后果甲状腺剂量!$I$5:$I$27)*后果甲状腺剂量!$S5+SUMPRODUCT(V$5:V$27,后果甲状腺剂量!$I$5:$I$27)*后果甲状腺剂量!$T5+SUMPRODUCT(W$5:W$27,后果甲状腺剂量!$I$5:$I$27)*后果甲状腺剂量!$U5+SUMPRODUCT(R$5:R$27,后果甲状腺剂量!$J$5:$J$27)*后果甲状腺剂量!$Q5*后果甲状腺剂量!$Q$3+SUMPRODUCT(S$5:S$27,后果甲状腺剂量!$J$5:$J$27)*后果甲状腺剂量!$Q5*后果甲状腺剂量!$Q$3+SUMPRODUCT(T$5:T$27,后果甲状腺剂量!$J$5:$J$27)*后果甲状腺剂量!$R5*后果甲状腺剂量!$R$3+SUMPRODUCT(U$5:U$27,后果甲状腺剂量!$J$5:$J$27)*后果甲状腺剂量!$S5*后果甲状腺剂量!$S$3+SUMPRODUCT(V$5:V$27,后果甲状腺剂量!$J$5:$J$27)*后果甲状腺剂量!$T5*后果甲状腺剂量!$T$3+SUMPRODUCT(W$5:W$27,后果甲状腺剂量!$J$5:$J$27)*后果甲状腺剂量!$U5*后果甲状腺剂量!$U$3+SUMPRODUCT(R$5:R$27,后果甲状腺剂量!$K$5:$K$27)*后果甲状腺剂量!$Q5+SUMPRODUCT(S$5:S$27,后果甲状腺剂量!$K$5:$K$27)*后果甲状腺剂量!$Q5+SUMPRODUCT(T$5:T$27,后果甲状腺剂量!$K$5:$K$27)*后果甲状腺剂量!$R5+SUMPRODUCT(U$5:U$27,后果甲状腺剂量!$K$5:$K$27)*后果甲状腺剂量!$S5+SUMPRODUCT(V$5:V$27,后果甲状腺剂量!$K$5:$K$27)*后果甲状腺剂量!$T5+SUMPRODUCT(W$5:W$27,后果甲状腺剂量!$K$5:$K$27)*后果甲状腺剂量!$U5</f>
        <v>0</v>
      </c>
      <c r="T31" s="454">
        <f ca="1" t="shared" ref="T31:T56" si="255">R31*1000</f>
        <v>0</v>
      </c>
      <c r="U31" s="454">
        <f ca="1" t="shared" ref="U31:U56" si="256">S31*1000</f>
        <v>0</v>
      </c>
      <c r="V31" s="436"/>
      <c r="W31" s="436"/>
      <c r="AN31" s="533"/>
      <c r="AS31" s="572"/>
      <c r="BO31" s="600"/>
      <c r="BP31" s="600"/>
      <c r="CJ31" s="600"/>
      <c r="DZ31" s="600"/>
      <c r="EU31" s="603"/>
      <c r="FP31" s="603"/>
      <c r="FS31" s="441">
        <f>SUMPRODUCT(FS$5:FS$27,后果有效剂量!$I$5:$I$27)*后果有效剂量!$Q5+SUMPRODUCT(FT$5:FT$27,后果有效剂量!$I$5:$I$27)*后果有效剂量!$R5+SUMPRODUCT(FU$5:FU$27,后果有效剂量!$I$5:$I$27)*后果有效剂量!$S5+SUMPRODUCT(FV$5:FV$27,后果有效剂量!$I$5:$I$27)*后果有效剂量!$T5+SUMPRODUCT(FS$5:FS$27,后果有效剂量!$J$5:$J$27)*后果有效剂量!$Q5*后果有效剂量!$Q$3+SUMPRODUCT(FT$5:FT$27,后果有效剂量!$J$5:$J$27)*后果有效剂量!$R5*后果有效剂量!$R$3+SUMPRODUCT(FU$5:FU$27,后果有效剂量!$J$5:$J$27)*后果有效剂量!$S5*后果有效剂量!$S$3+SUMPRODUCT(FV$5:FV$27,后果有效剂量!$J$5:$J$27)*后果有效剂量!$T5*后果有效剂量!$T$3+SUMPRODUCT(FS$5:FS$27,后果有效剂量!$K$5:$K$27)*后果有效剂量!$Q5+SUMPRODUCT(FT$5:FT$27,后果有效剂量!$K$5:$K$27)*后果有效剂量!$R5+SUMPRODUCT(FU$5:FU$27,后果有效剂量!$K$5:$K$27)*后果有效剂量!$S5+SUMPRODUCT(FV$5:FV$27,后果有效剂量!$K$5:$K$27)*后果有效剂量!$T5</f>
        <v>0</v>
      </c>
      <c r="FT31" s="441">
        <f>SUMPRODUCT(FS$5:FS$27,后果甲状腺剂量!$I$5:$I$27)*后果甲状腺剂量!$Q5+SUMPRODUCT(FT$5:FT$27,后果甲状腺剂量!$I$5:$I$27)*后果甲状腺剂量!$R5+SUMPRODUCT(FU$5:FU$27,后果甲状腺剂量!$I$5:$I$27)*后果甲状腺剂量!$S5+SUMPRODUCT(FV$5:FV$27,后果甲状腺剂量!$I$5:$I$27)*后果甲状腺剂量!$T5+SUMPRODUCT(FS$5:FS$27,后果甲状腺剂量!$J$5:$J$27)*后果甲状腺剂量!$Q5*后果甲状腺剂量!$Q$3+SUMPRODUCT(FT$5:FT$27,后果甲状腺剂量!$J$5:$J$27)*后果甲状腺剂量!$R5*后果甲状腺剂量!$R$3+SUMPRODUCT(FU$5:FU$27,后果甲状腺剂量!$J$5:$J$27)*后果甲状腺剂量!$S5*后果甲状腺剂量!$S$3+SUMPRODUCT(FV$5:FV$27,后果甲状腺剂量!$J$5:$J$27)*后果甲状腺剂量!$T5*后果甲状腺剂量!$T$3+SUMPRODUCT(FS$5:FS$27,后果甲状腺剂量!$K$5:$K$27)*后果甲状腺剂量!$Q5+SUMPRODUCT(FT$5:FT$27,后果甲状腺剂量!$K$5:$K$27)*后果甲状腺剂量!$R5+SUMPRODUCT(FU$5:FU$27,后果甲状腺剂量!$K$5:$K$27)*后果甲状腺剂量!$S5+SUMPRODUCT(FV$5:FV$27,后果甲状腺剂量!$K$5:$K$27)*后果甲状腺剂量!$T5</f>
        <v>0</v>
      </c>
      <c r="FU31" s="454">
        <f t="shared" ref="FU31:FU56" si="257">FS31*1000</f>
        <v>0</v>
      </c>
      <c r="FV31" s="454">
        <f t="shared" ref="FV31:FV56" si="258">FT31*1000</f>
        <v>0</v>
      </c>
      <c r="FW31" s="436"/>
      <c r="FX31" s="436"/>
      <c r="GD31" s="440">
        <f>后果有效剂量!$P5</f>
        <v>0</v>
      </c>
      <c r="GE31" s="441">
        <f>SUMPRODUCT(GE$5:GE$27,后果有效剂量!$I$5:$I$27)*后果有效剂量!$Q5+SUMPRODUCT(GF$5:GF$27,后果有效剂量!$I$5:$I$27)*后果有效剂量!$R5+SUMPRODUCT(GG$5:GG$27,后果有效剂量!$I$5:$I$27)*后果有效剂量!$S5+(SUMPRODUCT(GH$5:GH$27,后果有效剂量!$I$5:$I$27)+SUMPRODUCT(GI$5:GI$27,后果有效剂量!$I$5:$I$27))*后果有效剂量!$T5+SUMPRODUCT(GJ$5:GJ$27,后果有效剂量!$I$5:$I$27)*后果有效剂量!$U5+SUMPRODUCT(GE$5:GE$27,后果有效剂量!$J$5:$J$27)*后果有效剂量!$Q5*后果有效剂量!$Q$3+SUMPRODUCT(GF$5:GF$27,后果有效剂量!$J$5:$J$27)*后果有效剂量!$R5*后果有效剂量!$R$3+SUMPRODUCT(GG$5:GG$27,后果有效剂量!$J$5:$J$27)*后果有效剂量!$S5*后果有效剂量!$S$3+(SUMPRODUCT(GH$5:GH$27,后果有效剂量!$J$5:$J$27)+SUMPRODUCT(GI$5:GI$27,后果有效剂量!$J$5:$J$27))*后果有效剂量!$T5*后果有效剂量!$T$3+SUMPRODUCT(GJ$5:GJ$27,后果有效剂量!$J$5:$J$27)*后果有效剂量!$U5*后果有效剂量!$U$3+SUMPRODUCT(GE$5:GE$27,后果有效剂量!$K$5:$K$27)*后果有效剂量!$Q5+SUMPRODUCT(GF$5:GF$27,后果有效剂量!$K$5:$K$27)*后果有效剂量!$R5+SUMPRODUCT(GG$5:GG$27,后果有效剂量!$K$5:$K$27)*后果有效剂量!$S5+(SUMPRODUCT(GH$5:GH$27,后果有效剂量!$K$5:$K$27)+SUMPRODUCT(GI$5:GI$27,后果有效剂量!$K$5:$K$27))*后果有效剂量!$T5+SUMPRODUCT(GJ$5:GJ$27,后果有效剂量!$K$5:$K$27)*后果有效剂量!$U5</f>
        <v>0</v>
      </c>
      <c r="GF31" s="453">
        <f>SUMPRODUCT(GE$5:GE$27,后果甲状腺剂量!$I$5:$I$27)*后果甲状腺剂量!$Q5+SUMPRODUCT(GF$5:GF$27,后果甲状腺剂量!$I$5:$I$27)*后果甲状腺剂量!$R5+SUMPRODUCT(GG$5:GG$27,后果甲状腺剂量!$I$5:$I$27)*后果甲状腺剂量!$S5+(SUMPRODUCT(GH$5:GH$27,后果甲状腺剂量!$I$5:$I$27)+SUMPRODUCT(GI$5:GI$27,后果甲状腺剂量!$I$5:$I$27))*后果甲状腺剂量!$T5+SUMPRODUCT(GJ$5:GJ$27,后果甲状腺剂量!$I$5:$I$27)*后果甲状腺剂量!$U5+SUMPRODUCT(GE$5:GE$27,后果甲状腺剂量!$J$5:$J$27)*后果甲状腺剂量!$Q5*后果甲状腺剂量!$Q$3+SUMPRODUCT(GF$5:GF$27,后果甲状腺剂量!$J$5:$J$27)*后果甲状腺剂量!$R5*后果甲状腺剂量!$R$3+SUMPRODUCT(GG$5:GG$27,后果甲状腺剂量!$J$5:$J$27)*后果甲状腺剂量!$S5*后果甲状腺剂量!$S$3+(SUMPRODUCT(GH$5:GH$27,后果甲状腺剂量!$J$5:$J$27)+SUMPRODUCT(GI$5:GI$27,后果甲状腺剂量!$J$5:$J$27))*后果甲状腺剂量!$T5*后果甲状腺剂量!$T$3+SUMPRODUCT(GJ$5:GJ$27,后果甲状腺剂量!$J$5:$J$27)*后果甲状腺剂量!$U5*后果甲状腺剂量!$U$3+SUMPRODUCT(GE$5:GE$27,后果甲状腺剂量!$K$5:$K$27)*后果甲状腺剂量!$Q5+SUMPRODUCT(GF$5:GF$27,后果甲状腺剂量!$K$5:$K$27)*后果甲状腺剂量!$R5+SUMPRODUCT(GG$5:GG$27,后果甲状腺剂量!$K$5:$K$27)*后果甲状腺剂量!$S5+(SUMPRODUCT(GH$5:GH$27,后果甲状腺剂量!$K$5:$K$27)+SUMPRODUCT(GI$5:GI$27,后果甲状腺剂量!$K$5:$K$27))*后果甲状腺剂量!$T5+SUMPRODUCT(GJ$5:GJ$27,后果甲状腺剂量!$K$5:$K$27)*后果甲状腺剂量!$U5</f>
        <v>0</v>
      </c>
      <c r="GG31" s="454">
        <f t="shared" ref="GG31:GG56" si="259">GE31*1000</f>
        <v>0</v>
      </c>
      <c r="GH31" s="454">
        <f t="shared" ref="GH31:GH56" si="260">GF31*1000</f>
        <v>0</v>
      </c>
      <c r="GI31" s="436"/>
      <c r="GJ31" s="436"/>
    </row>
    <row r="32" spans="1:192">
      <c r="A32" s="432" t="s">
        <v>293</v>
      </c>
      <c r="B32" s="407" t="s">
        <v>267</v>
      </c>
      <c r="C32" s="428">
        <f>-LN(1-0%)/8/3600</f>
        <v>0</v>
      </c>
      <c r="D32" s="410" t="s">
        <v>268</v>
      </c>
      <c r="E32" s="409" t="s">
        <v>269</v>
      </c>
      <c r="G32" s="440">
        <f>后果有效剂量!$P6</f>
        <v>0</v>
      </c>
      <c r="H32" s="441">
        <f ca="1">SUMPRODUCT(H$5:H$27,后果有效剂量!$I$5:$I$27)*后果有效剂量!$Q6+SUMPRODUCT(I$5:I$27,后果有效剂量!$I$5:$I$27)*后果有效剂量!$Q6+SUMPRODUCT(J$5:J$27,后果有效剂量!$I$5:$I$27)*后果有效剂量!$R6+SUMPRODUCT(K$5:K$27,后果有效剂量!$I$5:$I$27)*后果有效剂量!$S6+SUMPRODUCT(L$5:L$27,后果有效剂量!$I$5:$I$27)*后果有效剂量!$T6+SUMPRODUCT(M$5:M$27,后果有效剂量!$I$5:$I$27)*后果有效剂量!$U6+SUMPRODUCT(H$5:H$27,后果有效剂量!$J$5:$J$27)*后果有效剂量!$Q6*后果有效剂量!$Q$3+SUMPRODUCT(I$5:I$27,后果有效剂量!$J$5:$J$27)*后果有效剂量!$Q6*后果有效剂量!$Q$3+SUMPRODUCT(J$5:J$27,后果有效剂量!$J$5:$J$27)*后果有效剂量!$R6*后果有效剂量!$R$3+SUMPRODUCT(K$5:K$27,后果有效剂量!$J$5:$J$27)*后果有效剂量!$S6*后果有效剂量!$S$3+SUMPRODUCT(L$5:L$27,后果有效剂量!$J$5:$J$27)*后果有效剂量!$T6*后果有效剂量!$T$3+SUMPRODUCT(M$5:M$27,后果有效剂量!$J$5:$J$27)*后果有效剂量!$U6*后果有效剂量!$U$3+SUMPRODUCT(H$5:H$27,后果有效剂量!$K$5:$K$27)*后果有效剂量!$Q6+SUMPRODUCT(I$5:I$27,后果有效剂量!$K$5:$K$27)*后果有效剂量!$Q6+SUMPRODUCT(J$5:J$27,后果有效剂量!$K$5:$K$27)*后果有效剂量!$R6+SUMPRODUCT(K$5:K$27,后果有效剂量!$K$5:$K$27)*后果有效剂量!$S6+SUMPRODUCT(L$5:L$27,后果有效剂量!$K$5:$K$27)*后果有效剂量!$T6+SUMPRODUCT(M$5:M$27,后果有效剂量!$K$5:$K$27)*后果有效剂量!$U6</f>
        <v>0</v>
      </c>
      <c r="I32" s="453">
        <f ca="1">SUMPRODUCT(H$5:H$27,后果甲状腺剂量!$I$5:$I$27)*后果甲状腺剂量!$Q6+SUMPRODUCT(I$5:I$27,后果甲状腺剂量!$I$5:$I$27)*后果甲状腺剂量!$Q6+SUMPRODUCT(J$5:J$27,后果甲状腺剂量!$I$5:$I$27)*后果甲状腺剂量!$R6+SUMPRODUCT(K$5:K$27,后果甲状腺剂量!$I$5:$I$27)*后果甲状腺剂量!$S6+SUMPRODUCT(L$5:L$27,后果甲状腺剂量!$I$5:$I$27)*后果甲状腺剂量!$T6+SUMPRODUCT(M$5:M$27,后果甲状腺剂量!$I$5:$I$27)*后果甲状腺剂量!$U6+SUMPRODUCT(H$5:H$27,后果甲状腺剂量!$J$5:$J$27)*后果甲状腺剂量!$Q6*后果甲状腺剂量!$Q$3+SUMPRODUCT(I$5:I$27,后果甲状腺剂量!$J$5:$J$27)*后果甲状腺剂量!$Q6*后果甲状腺剂量!$Q$3+SUMPRODUCT(J$5:J$27,后果甲状腺剂量!$J$5:$J$27)*后果甲状腺剂量!$R6*后果甲状腺剂量!$R$3+SUMPRODUCT(K$5:K$27,后果甲状腺剂量!$J$5:$J$27)*后果甲状腺剂量!$S6*后果甲状腺剂量!$S$3+SUMPRODUCT(L$5:L$27,后果甲状腺剂量!$J$5:$J$27)*后果甲状腺剂量!$T6*后果甲状腺剂量!$T$3+SUMPRODUCT(M$5:M$27,后果甲状腺剂量!$J$5:$J$27)*后果甲状腺剂量!$U6*后果甲状腺剂量!$U$3+SUMPRODUCT(H$5:H$27,后果甲状腺剂量!$K$5:$K$27)*后果甲状腺剂量!$Q6+SUMPRODUCT(I$5:I$27,后果甲状腺剂量!$K$5:$K$27)*后果甲状腺剂量!$Q6+SUMPRODUCT(J$5:J$27,后果甲状腺剂量!$K$5:$K$27)*后果甲状腺剂量!$R6+SUMPRODUCT(K$5:K$27,后果甲状腺剂量!$K$5:$K$27)*后果甲状腺剂量!$S6+SUMPRODUCT(L$5:L$27,后果甲状腺剂量!$K$5:$K$27)*后果甲状腺剂量!$T6+SUMPRODUCT(M$5:M$27,后果甲状腺剂量!$K$5:$K$27)*后果甲状腺剂量!$U6</f>
        <v>0</v>
      </c>
      <c r="J32" s="454">
        <f ca="1" t="shared" si="253"/>
        <v>0</v>
      </c>
      <c r="K32" s="454">
        <f ca="1" t="shared" si="254"/>
        <v>0</v>
      </c>
      <c r="L32" s="436"/>
      <c r="M32" s="436"/>
      <c r="N32" s="455"/>
      <c r="Q32" s="440">
        <f>后果有效剂量!$P6</f>
        <v>0</v>
      </c>
      <c r="R32" s="441">
        <f ca="1">SUMPRODUCT(R$5:R$27,后果有效剂量!$I$5:$I$27)*后果有效剂量!$Q6+SUMPRODUCT(S$5:S$27,后果有效剂量!$I$5:$I$27)*后果有效剂量!$Q6+SUMPRODUCT(T$5:T$27,后果有效剂量!$I$5:$I$27)*后果有效剂量!$R6+SUMPRODUCT(U$5:U$27,后果有效剂量!$I$5:$I$27)*后果有效剂量!$S6+SUMPRODUCT(V$5:V$27,后果有效剂量!$I$5:$I$27)*后果有效剂量!$T6+SUMPRODUCT(W$5:W$27,后果有效剂量!$I$5:$I$27)*后果有效剂量!$U6+SUMPRODUCT(R$5:R$27,后果有效剂量!$J$5:$J$27)*后果有效剂量!$Q6*后果有效剂量!$Q$3+SUMPRODUCT(S$5:S$27,后果有效剂量!$J$5:$J$27)*后果有效剂量!$Q6*后果有效剂量!$Q$3+SUMPRODUCT(T$5:T$27,后果有效剂量!$J$5:$J$27)*后果有效剂量!$R6*后果有效剂量!$R$3+SUMPRODUCT(U$5:U$27,后果有效剂量!$J$5:$J$27)*后果有效剂量!$S6*后果有效剂量!$S$3+SUMPRODUCT(V$5:V$27,后果有效剂量!$J$5:$J$27)*后果有效剂量!$T6*后果有效剂量!$T$3+SUMPRODUCT(W$5:W$27,后果有效剂量!$J$5:$J$27)*后果有效剂量!$U6*后果有效剂量!$U$3+SUMPRODUCT(R$5:R$27,后果有效剂量!$K$5:$K$27)*后果有效剂量!$Q6+SUMPRODUCT(S$5:S$27,后果有效剂量!$K$5:$K$27)*后果有效剂量!$Q6+SUMPRODUCT(T$5:T$27,后果有效剂量!$K$5:$K$27)*后果有效剂量!$R6+SUMPRODUCT(U$5:U$27,后果有效剂量!$K$5:$K$27)*后果有效剂量!$S6+SUMPRODUCT(V$5:V$27,后果有效剂量!$K$5:$K$27)*后果有效剂量!$T6+SUMPRODUCT(W$5:W$27,后果有效剂量!$K$5:$K$27)*后果有效剂量!$U6</f>
        <v>0</v>
      </c>
      <c r="S32" s="453">
        <f ca="1">SUMPRODUCT(R$5:R$27,后果甲状腺剂量!$I$5:$I$27)*后果甲状腺剂量!$Q6+SUMPRODUCT(S$5:S$27,后果甲状腺剂量!$I$5:$I$27)*后果甲状腺剂量!$Q6+SUMPRODUCT(T$5:T$27,后果甲状腺剂量!$I$5:$I$27)*后果甲状腺剂量!$R6+SUMPRODUCT(U$5:U$27,后果甲状腺剂量!$I$5:$I$27)*后果甲状腺剂量!$S6+SUMPRODUCT(V$5:V$27,后果甲状腺剂量!$I$5:$I$27)*后果甲状腺剂量!$T6+SUMPRODUCT(W$5:W$27,后果甲状腺剂量!$I$5:$I$27)*后果甲状腺剂量!$U6+SUMPRODUCT(R$5:R$27,后果甲状腺剂量!$J$5:$J$27)*后果甲状腺剂量!$Q6*后果甲状腺剂量!$Q$3+SUMPRODUCT(S$5:S$27,后果甲状腺剂量!$J$5:$J$27)*后果甲状腺剂量!$Q6*后果甲状腺剂量!$Q$3+SUMPRODUCT(T$5:T$27,后果甲状腺剂量!$J$5:$J$27)*后果甲状腺剂量!$R6*后果甲状腺剂量!$R$3+SUMPRODUCT(U$5:U$27,后果甲状腺剂量!$J$5:$J$27)*后果甲状腺剂量!$S6*后果甲状腺剂量!$S$3+SUMPRODUCT(V$5:V$27,后果甲状腺剂量!$J$5:$J$27)*后果甲状腺剂量!$T6*后果甲状腺剂量!$T$3+SUMPRODUCT(W$5:W$27,后果甲状腺剂量!$J$5:$J$27)*后果甲状腺剂量!$U6*后果甲状腺剂量!$U$3+SUMPRODUCT(R$5:R$27,后果甲状腺剂量!$K$5:$K$27)*后果甲状腺剂量!$Q6+SUMPRODUCT(S$5:S$27,后果甲状腺剂量!$K$5:$K$27)*后果甲状腺剂量!$Q6+SUMPRODUCT(T$5:T$27,后果甲状腺剂量!$K$5:$K$27)*后果甲状腺剂量!$R6+SUMPRODUCT(U$5:U$27,后果甲状腺剂量!$K$5:$K$27)*后果甲状腺剂量!$S6+SUMPRODUCT(V$5:V$27,后果甲状腺剂量!$K$5:$K$27)*后果甲状腺剂量!$T6+SUMPRODUCT(W$5:W$27,后果甲状腺剂量!$K$5:$K$27)*后果甲状腺剂量!$U6</f>
        <v>0</v>
      </c>
      <c r="T32" s="454">
        <f ca="1" t="shared" si="255"/>
        <v>0</v>
      </c>
      <c r="U32" s="454">
        <f ca="1" t="shared" si="256"/>
        <v>0</v>
      </c>
      <c r="V32" s="436"/>
      <c r="W32" s="436"/>
      <c r="AN32" s="533"/>
      <c r="AS32" s="572"/>
      <c r="BO32" s="600"/>
      <c r="BP32" s="600"/>
      <c r="CJ32" s="600"/>
      <c r="DZ32" s="600"/>
      <c r="EU32" s="603"/>
      <c r="FP32" s="603"/>
      <c r="FS32" s="441">
        <f>SUMPRODUCT(FS$5:FS$27,后果有效剂量!$I$5:$I$27)*后果有效剂量!$Q6+SUMPRODUCT(FT$5:FT$27,后果有效剂量!$I$5:$I$27)*后果有效剂量!$R6+SUMPRODUCT(FU$5:FU$27,后果有效剂量!$I$5:$I$27)*后果有效剂量!$S6+SUMPRODUCT(FV$5:FV$27,后果有效剂量!$I$5:$I$27)*后果有效剂量!$T6+SUMPRODUCT(FS$5:FS$27,后果有效剂量!$J$5:$J$27)*后果有效剂量!$Q6*后果有效剂量!$Q$3+SUMPRODUCT(FT$5:FT$27,后果有效剂量!$J$5:$J$27)*后果有效剂量!$R6*后果有效剂量!$R$3+SUMPRODUCT(FU$5:FU$27,后果有效剂量!$J$5:$J$27)*后果有效剂量!$S6*后果有效剂量!$S$3+SUMPRODUCT(FV$5:FV$27,后果有效剂量!$J$5:$J$27)*后果有效剂量!$T6*后果有效剂量!$T$3+SUMPRODUCT(FS$5:FS$27,后果有效剂量!$K$5:$K$27)*后果有效剂量!$Q6+SUMPRODUCT(FT$5:FT$27,后果有效剂量!$K$5:$K$27)*后果有效剂量!$R6+SUMPRODUCT(FU$5:FU$27,后果有效剂量!$K$5:$K$27)*后果有效剂量!$S6+SUMPRODUCT(FV$5:FV$27,后果有效剂量!$K$5:$K$27)*后果有效剂量!$T6</f>
        <v>0</v>
      </c>
      <c r="FT32" s="453">
        <f>SUMPRODUCT(FS$5:FS$27,后果甲状腺剂量!$I$5:$I$27)*后果甲状腺剂量!$Q6+SUMPRODUCT(FT$5:FT$27,后果甲状腺剂量!$I$5:$I$27)*后果甲状腺剂量!$R6+SUMPRODUCT(FU$5:FU$27,后果甲状腺剂量!$I$5:$I$27)*后果甲状腺剂量!$S6+SUMPRODUCT(FV$5:FV$27,后果甲状腺剂量!$I$5:$I$27)*后果甲状腺剂量!$T6+SUMPRODUCT(FS$5:FS$27,后果甲状腺剂量!$J$5:$J$27)*后果甲状腺剂量!$Q6*后果甲状腺剂量!$Q$3+SUMPRODUCT(FT$5:FT$27,后果甲状腺剂量!$J$5:$J$27)*后果甲状腺剂量!$R6*后果甲状腺剂量!$R$3+SUMPRODUCT(FU$5:FU$27,后果甲状腺剂量!$J$5:$J$27)*后果甲状腺剂量!$S6*后果甲状腺剂量!$S$3+SUMPRODUCT(FV$5:FV$27,后果甲状腺剂量!$J$5:$J$27)*后果甲状腺剂量!$T6*后果甲状腺剂量!$T$3+SUMPRODUCT(FS$5:FS$27,后果甲状腺剂量!$K$5:$K$27)*后果甲状腺剂量!$Q6+SUMPRODUCT(FT$5:FT$27,后果甲状腺剂量!$K$5:$K$27)*后果甲状腺剂量!$R6+SUMPRODUCT(FU$5:FU$27,后果甲状腺剂量!$K$5:$K$27)*后果甲状腺剂量!$S6+SUMPRODUCT(FV$5:FV$27,后果甲状腺剂量!$K$5:$K$27)*后果甲状腺剂量!$T6</f>
        <v>0</v>
      </c>
      <c r="FU32" s="454">
        <f t="shared" si="257"/>
        <v>0</v>
      </c>
      <c r="FV32" s="454">
        <f t="shared" si="258"/>
        <v>0</v>
      </c>
      <c r="FW32" s="436"/>
      <c r="FX32" s="436"/>
      <c r="GD32" s="440">
        <f>后果有效剂量!$P6</f>
        <v>0</v>
      </c>
      <c r="GE32" s="441">
        <f>SUMPRODUCT(GE$5:GE$27,后果有效剂量!$I$5:$I$27)*后果有效剂量!$Q6+SUMPRODUCT(GF$5:GF$27,后果有效剂量!$I$5:$I$27)*后果有效剂量!$R6+SUMPRODUCT(GG$5:GG$27,后果有效剂量!$I$5:$I$27)*后果有效剂量!$S6+(SUMPRODUCT(GH$5:GH$27,后果有效剂量!$I$5:$I$27)+SUMPRODUCT(GI$5:GI$27,后果有效剂量!$I$5:$I$27))*后果有效剂量!$T6+SUMPRODUCT(GJ$5:GJ$27,后果有效剂量!$I$5:$I$27)*后果有效剂量!$U6+SUMPRODUCT(GE$5:GE$27,后果有效剂量!$J$5:$J$27)*后果有效剂量!$Q6*后果有效剂量!$Q$3+SUMPRODUCT(GF$5:GF$27,后果有效剂量!$J$5:$J$27)*后果有效剂量!$R6*后果有效剂量!$R$3+SUMPRODUCT(GG$5:GG$27,后果有效剂量!$J$5:$J$27)*后果有效剂量!$S6*后果有效剂量!$S$3+(SUMPRODUCT(GH$5:GH$27,后果有效剂量!$J$5:$J$27)+SUMPRODUCT(GI$5:GI$27,后果有效剂量!$J$5:$J$27))*后果有效剂量!$T6*后果有效剂量!$T$3+SUMPRODUCT(GJ$5:GJ$27,后果有效剂量!$J$5:$J$27)*后果有效剂量!$U6*后果有效剂量!$U$3+SUMPRODUCT(GE$5:GE$27,后果有效剂量!$K$5:$K$27)*后果有效剂量!$Q6+SUMPRODUCT(GF$5:GF$27,后果有效剂量!$K$5:$K$27)*后果有效剂量!$R6+SUMPRODUCT(GG$5:GG$27,后果有效剂量!$K$5:$K$27)*后果有效剂量!$S6+(SUMPRODUCT(GH$5:GH$27,后果有效剂量!$K$5:$K$27)+SUMPRODUCT(GI$5:GI$27,后果有效剂量!$K$5:$K$27))*后果有效剂量!$T6+SUMPRODUCT(GJ$5:GJ$27,后果有效剂量!$K$5:$K$27)*后果有效剂量!$U6</f>
        <v>0</v>
      </c>
      <c r="GF32" s="453">
        <f>SUMPRODUCT(GE$5:GE$27,后果甲状腺剂量!$I$5:$I$27)*后果甲状腺剂量!$Q6+SUMPRODUCT(GF$5:GF$27,后果甲状腺剂量!$I$5:$I$27)*后果甲状腺剂量!$R6+SUMPRODUCT(GG$5:GG$27,后果甲状腺剂量!$I$5:$I$27)*后果甲状腺剂量!$S6+(SUMPRODUCT(GH$5:GH$27,后果甲状腺剂量!$I$5:$I$27)+SUMPRODUCT(GI$5:GI$27,后果甲状腺剂量!$I$5:$I$27))*后果甲状腺剂量!$T6+SUMPRODUCT(GJ$5:GJ$27,后果甲状腺剂量!$I$5:$I$27)*后果甲状腺剂量!$U6+SUMPRODUCT(GE$5:GE$27,后果甲状腺剂量!$J$5:$J$27)*后果甲状腺剂量!$Q6*后果甲状腺剂量!$Q$3+SUMPRODUCT(GF$5:GF$27,后果甲状腺剂量!$J$5:$J$27)*后果甲状腺剂量!$R6*后果甲状腺剂量!$R$3+SUMPRODUCT(GG$5:GG$27,后果甲状腺剂量!$J$5:$J$27)*后果甲状腺剂量!$S6*后果甲状腺剂量!$S$3+(SUMPRODUCT(GH$5:GH$27,后果甲状腺剂量!$J$5:$J$27)+SUMPRODUCT(GI$5:GI$27,后果甲状腺剂量!$J$5:$J$27))*后果甲状腺剂量!$T6*后果甲状腺剂量!$T$3+SUMPRODUCT(GJ$5:GJ$27,后果甲状腺剂量!$J$5:$J$27)*后果甲状腺剂量!$U6*后果甲状腺剂量!$U$3+SUMPRODUCT(GE$5:GE$27,后果甲状腺剂量!$K$5:$K$27)*后果甲状腺剂量!$Q6+SUMPRODUCT(GF$5:GF$27,后果甲状腺剂量!$K$5:$K$27)*后果甲状腺剂量!$R6+SUMPRODUCT(GG$5:GG$27,后果甲状腺剂量!$K$5:$K$27)*后果甲状腺剂量!$S6+(SUMPRODUCT(GH$5:GH$27,后果甲状腺剂量!$K$5:$K$27)+SUMPRODUCT(GI$5:GI$27,后果甲状腺剂量!$K$5:$K$27))*后果甲状腺剂量!$T6+SUMPRODUCT(GJ$5:GJ$27,后果甲状腺剂量!$K$5:$K$27)*后果甲状腺剂量!$U6</f>
        <v>0</v>
      </c>
      <c r="GG32" s="454">
        <f t="shared" si="259"/>
        <v>0</v>
      </c>
      <c r="GH32" s="454">
        <f t="shared" si="260"/>
        <v>0</v>
      </c>
      <c r="GI32" s="436"/>
      <c r="GJ32" s="436"/>
    </row>
    <row r="33" spans="1:192">
      <c r="A33" s="430"/>
      <c r="B33" s="407" t="s">
        <v>270</v>
      </c>
      <c r="C33" s="437">
        <f ca="1">IF(96&lt;=$C$13-$C$12,MAX(1%,INDIRECT("'"&amp;$B$2&amp;"-事故进程'!$AE$23")*150%),0.000000000000001)</f>
        <v>0.01</v>
      </c>
      <c r="D33" s="410"/>
      <c r="E33" s="409" t="s">
        <v>271</v>
      </c>
      <c r="G33" s="440">
        <f>后果有效剂量!$P7</f>
        <v>0</v>
      </c>
      <c r="H33" s="441">
        <f ca="1">SUMPRODUCT(H$5:H$27,后果有效剂量!$I$5:$I$27)*后果有效剂量!$Q7+SUMPRODUCT(I$5:I$27,后果有效剂量!$I$5:$I$27)*后果有效剂量!$Q7+SUMPRODUCT(J$5:J$27,后果有效剂量!$I$5:$I$27)*后果有效剂量!$R7+SUMPRODUCT(K$5:K$27,后果有效剂量!$I$5:$I$27)*后果有效剂量!$S7+SUMPRODUCT(L$5:L$27,后果有效剂量!$I$5:$I$27)*后果有效剂量!$T7+SUMPRODUCT(M$5:M$27,后果有效剂量!$I$5:$I$27)*后果有效剂量!$U7+SUMPRODUCT(H$5:H$27,后果有效剂量!$J$5:$J$27)*后果有效剂量!$Q7*后果有效剂量!$Q$3+SUMPRODUCT(I$5:I$27,后果有效剂量!$J$5:$J$27)*后果有效剂量!$Q7*后果有效剂量!$Q$3+SUMPRODUCT(J$5:J$27,后果有效剂量!$J$5:$J$27)*后果有效剂量!$R7*后果有效剂量!$R$3+SUMPRODUCT(K$5:K$27,后果有效剂量!$J$5:$J$27)*后果有效剂量!$S7*后果有效剂量!$S$3+SUMPRODUCT(L$5:L$27,后果有效剂量!$J$5:$J$27)*后果有效剂量!$T7*后果有效剂量!$T$3+SUMPRODUCT(M$5:M$27,后果有效剂量!$J$5:$J$27)*后果有效剂量!$U7*后果有效剂量!$U$3+SUMPRODUCT(H$5:H$27,后果有效剂量!$K$5:$K$27)*后果有效剂量!$Q7+SUMPRODUCT(I$5:I$27,后果有效剂量!$K$5:$K$27)*后果有效剂量!$Q7+SUMPRODUCT(J$5:J$27,后果有效剂量!$K$5:$K$27)*后果有效剂量!$R7+SUMPRODUCT(K$5:K$27,后果有效剂量!$K$5:$K$27)*后果有效剂量!$S7+SUMPRODUCT(L$5:L$27,后果有效剂量!$K$5:$K$27)*后果有效剂量!$T7+SUMPRODUCT(M$5:M$27,后果有效剂量!$K$5:$K$27)*后果有效剂量!$U7</f>
        <v>0</v>
      </c>
      <c r="I33" s="453">
        <f ca="1">SUMPRODUCT(H$5:H$27,后果甲状腺剂量!$I$5:$I$27)*后果甲状腺剂量!$Q7+SUMPRODUCT(I$5:I$27,后果甲状腺剂量!$I$5:$I$27)*后果甲状腺剂量!$Q7+SUMPRODUCT(J$5:J$27,后果甲状腺剂量!$I$5:$I$27)*后果甲状腺剂量!$R7+SUMPRODUCT(K$5:K$27,后果甲状腺剂量!$I$5:$I$27)*后果甲状腺剂量!$S7+SUMPRODUCT(L$5:L$27,后果甲状腺剂量!$I$5:$I$27)*后果甲状腺剂量!$T7+SUMPRODUCT(M$5:M$27,后果甲状腺剂量!$I$5:$I$27)*后果甲状腺剂量!$U7+SUMPRODUCT(H$5:H$27,后果甲状腺剂量!$J$5:$J$27)*后果甲状腺剂量!$Q7*后果甲状腺剂量!$Q$3+SUMPRODUCT(I$5:I$27,后果甲状腺剂量!$J$5:$J$27)*后果甲状腺剂量!$Q7*后果甲状腺剂量!$Q$3+SUMPRODUCT(J$5:J$27,后果甲状腺剂量!$J$5:$J$27)*后果甲状腺剂量!$R7*后果甲状腺剂量!$R$3+SUMPRODUCT(K$5:K$27,后果甲状腺剂量!$J$5:$J$27)*后果甲状腺剂量!$S7*后果甲状腺剂量!$S$3+SUMPRODUCT(L$5:L$27,后果甲状腺剂量!$J$5:$J$27)*后果甲状腺剂量!$T7*后果甲状腺剂量!$T$3+SUMPRODUCT(M$5:M$27,后果甲状腺剂量!$J$5:$J$27)*后果甲状腺剂量!$U7*后果甲状腺剂量!$U$3+SUMPRODUCT(H$5:H$27,后果甲状腺剂量!$K$5:$K$27)*后果甲状腺剂量!$Q7+SUMPRODUCT(I$5:I$27,后果甲状腺剂量!$K$5:$K$27)*后果甲状腺剂量!$Q7+SUMPRODUCT(J$5:J$27,后果甲状腺剂量!$K$5:$K$27)*后果甲状腺剂量!$R7+SUMPRODUCT(K$5:K$27,后果甲状腺剂量!$K$5:$K$27)*后果甲状腺剂量!$S7+SUMPRODUCT(L$5:L$27,后果甲状腺剂量!$K$5:$K$27)*后果甲状腺剂量!$T7+SUMPRODUCT(M$5:M$27,后果甲状腺剂量!$K$5:$K$27)*后果甲状腺剂量!$U7</f>
        <v>0</v>
      </c>
      <c r="J33" s="454">
        <f ca="1" t="shared" si="253"/>
        <v>0</v>
      </c>
      <c r="K33" s="454">
        <f ca="1" t="shared" si="254"/>
        <v>0</v>
      </c>
      <c r="L33" s="436"/>
      <c r="M33" s="436"/>
      <c r="N33" s="455"/>
      <c r="Q33" s="440">
        <f>后果有效剂量!$P7</f>
        <v>0</v>
      </c>
      <c r="R33" s="441">
        <f ca="1">SUMPRODUCT(R$5:R$27,后果有效剂量!$I$5:$I$27)*后果有效剂量!$Q7+SUMPRODUCT(S$5:S$27,后果有效剂量!$I$5:$I$27)*后果有效剂量!$Q7+SUMPRODUCT(T$5:T$27,后果有效剂量!$I$5:$I$27)*后果有效剂量!$R7+SUMPRODUCT(U$5:U$27,后果有效剂量!$I$5:$I$27)*后果有效剂量!$S7+SUMPRODUCT(V$5:V$27,后果有效剂量!$I$5:$I$27)*后果有效剂量!$T7+SUMPRODUCT(W$5:W$27,后果有效剂量!$I$5:$I$27)*后果有效剂量!$U7+SUMPRODUCT(R$5:R$27,后果有效剂量!$J$5:$J$27)*后果有效剂量!$Q7*后果有效剂量!$Q$3+SUMPRODUCT(S$5:S$27,后果有效剂量!$J$5:$J$27)*后果有效剂量!$Q7*后果有效剂量!$Q$3+SUMPRODUCT(T$5:T$27,后果有效剂量!$J$5:$J$27)*后果有效剂量!$R7*后果有效剂量!$R$3+SUMPRODUCT(U$5:U$27,后果有效剂量!$J$5:$J$27)*后果有效剂量!$S7*后果有效剂量!$S$3+SUMPRODUCT(V$5:V$27,后果有效剂量!$J$5:$J$27)*后果有效剂量!$T7*后果有效剂量!$T$3+SUMPRODUCT(W$5:W$27,后果有效剂量!$J$5:$J$27)*后果有效剂量!$U7*后果有效剂量!$U$3+SUMPRODUCT(R$5:R$27,后果有效剂量!$K$5:$K$27)*后果有效剂量!$Q7+SUMPRODUCT(S$5:S$27,后果有效剂量!$K$5:$K$27)*后果有效剂量!$Q7+SUMPRODUCT(T$5:T$27,后果有效剂量!$K$5:$K$27)*后果有效剂量!$R7+SUMPRODUCT(U$5:U$27,后果有效剂量!$K$5:$K$27)*后果有效剂量!$S7+SUMPRODUCT(V$5:V$27,后果有效剂量!$K$5:$K$27)*后果有效剂量!$T7+SUMPRODUCT(W$5:W$27,后果有效剂量!$K$5:$K$27)*后果有效剂量!$U7</f>
        <v>0</v>
      </c>
      <c r="S33" s="453">
        <f ca="1">SUMPRODUCT(R$5:R$27,后果甲状腺剂量!$I$5:$I$27)*后果甲状腺剂量!$Q7+SUMPRODUCT(S$5:S$27,后果甲状腺剂量!$I$5:$I$27)*后果甲状腺剂量!$Q7+SUMPRODUCT(T$5:T$27,后果甲状腺剂量!$I$5:$I$27)*后果甲状腺剂量!$R7+SUMPRODUCT(U$5:U$27,后果甲状腺剂量!$I$5:$I$27)*后果甲状腺剂量!$S7+SUMPRODUCT(V$5:V$27,后果甲状腺剂量!$I$5:$I$27)*后果甲状腺剂量!$T7+SUMPRODUCT(W$5:W$27,后果甲状腺剂量!$I$5:$I$27)*后果甲状腺剂量!$U7+SUMPRODUCT(R$5:R$27,后果甲状腺剂量!$J$5:$J$27)*后果甲状腺剂量!$Q7*后果甲状腺剂量!$Q$3+SUMPRODUCT(S$5:S$27,后果甲状腺剂量!$J$5:$J$27)*后果甲状腺剂量!$Q7*后果甲状腺剂量!$Q$3+SUMPRODUCT(T$5:T$27,后果甲状腺剂量!$J$5:$J$27)*后果甲状腺剂量!$R7*后果甲状腺剂量!$R$3+SUMPRODUCT(U$5:U$27,后果甲状腺剂量!$J$5:$J$27)*后果甲状腺剂量!$S7*后果甲状腺剂量!$S$3+SUMPRODUCT(V$5:V$27,后果甲状腺剂量!$J$5:$J$27)*后果甲状腺剂量!$T7*后果甲状腺剂量!$T$3+SUMPRODUCT(W$5:W$27,后果甲状腺剂量!$J$5:$J$27)*后果甲状腺剂量!$U7*后果甲状腺剂量!$U$3+SUMPRODUCT(R$5:R$27,后果甲状腺剂量!$K$5:$K$27)*后果甲状腺剂量!$Q7+SUMPRODUCT(S$5:S$27,后果甲状腺剂量!$K$5:$K$27)*后果甲状腺剂量!$Q7+SUMPRODUCT(T$5:T$27,后果甲状腺剂量!$K$5:$K$27)*后果甲状腺剂量!$R7+SUMPRODUCT(U$5:U$27,后果甲状腺剂量!$K$5:$K$27)*后果甲状腺剂量!$S7+SUMPRODUCT(V$5:V$27,后果甲状腺剂量!$K$5:$K$27)*后果甲状腺剂量!$T7+SUMPRODUCT(W$5:W$27,后果甲状腺剂量!$K$5:$K$27)*后果甲状腺剂量!$U7</f>
        <v>0</v>
      </c>
      <c r="T33" s="454">
        <f ca="1" t="shared" si="255"/>
        <v>0</v>
      </c>
      <c r="U33" s="454">
        <f ca="1" t="shared" si="256"/>
        <v>0</v>
      </c>
      <c r="V33" s="436"/>
      <c r="W33" s="436"/>
      <c r="AN33" s="533"/>
      <c r="AS33" s="572"/>
      <c r="BO33" s="600"/>
      <c r="BP33" s="600"/>
      <c r="CJ33" s="600"/>
      <c r="DZ33" s="600"/>
      <c r="EU33" s="603"/>
      <c r="FP33" s="603"/>
      <c r="FS33" s="441">
        <f>SUMPRODUCT(FS$5:FS$27,后果有效剂量!$I$5:$I$27)*后果有效剂量!$Q7+SUMPRODUCT(FT$5:FT$27,后果有效剂量!$I$5:$I$27)*后果有效剂量!$R7+SUMPRODUCT(FU$5:FU$27,后果有效剂量!$I$5:$I$27)*后果有效剂量!$S7+SUMPRODUCT(FV$5:FV$27,后果有效剂量!$I$5:$I$27)*后果有效剂量!$T7+SUMPRODUCT(FS$5:FS$27,后果有效剂量!$J$5:$J$27)*后果有效剂量!$Q7*后果有效剂量!$Q$3+SUMPRODUCT(FT$5:FT$27,后果有效剂量!$J$5:$J$27)*后果有效剂量!$R7*后果有效剂量!$R$3+SUMPRODUCT(FU$5:FU$27,后果有效剂量!$J$5:$J$27)*后果有效剂量!$S7*后果有效剂量!$S$3+SUMPRODUCT(FV$5:FV$27,后果有效剂量!$J$5:$J$27)*后果有效剂量!$T7*后果有效剂量!$T$3+SUMPRODUCT(FS$5:FS$27,后果有效剂量!$K$5:$K$27)*后果有效剂量!$Q7+SUMPRODUCT(FT$5:FT$27,后果有效剂量!$K$5:$K$27)*后果有效剂量!$R7+SUMPRODUCT(FU$5:FU$27,后果有效剂量!$K$5:$K$27)*后果有效剂量!$S7+SUMPRODUCT(FV$5:FV$27,后果有效剂量!$K$5:$K$27)*后果有效剂量!$T7</f>
        <v>0</v>
      </c>
      <c r="FT33" s="453">
        <f>SUMPRODUCT(FS$5:FS$27,后果甲状腺剂量!$I$5:$I$27)*后果甲状腺剂量!$Q7+SUMPRODUCT(FT$5:FT$27,后果甲状腺剂量!$I$5:$I$27)*后果甲状腺剂量!$R7+SUMPRODUCT(FU$5:FU$27,后果甲状腺剂量!$I$5:$I$27)*后果甲状腺剂量!$S7+SUMPRODUCT(FV$5:FV$27,后果甲状腺剂量!$I$5:$I$27)*后果甲状腺剂量!$T7+SUMPRODUCT(FS$5:FS$27,后果甲状腺剂量!$J$5:$J$27)*后果甲状腺剂量!$Q7*后果甲状腺剂量!$Q$3+SUMPRODUCT(FT$5:FT$27,后果甲状腺剂量!$J$5:$J$27)*后果甲状腺剂量!$R7*后果甲状腺剂量!$R$3+SUMPRODUCT(FU$5:FU$27,后果甲状腺剂量!$J$5:$J$27)*后果甲状腺剂量!$S7*后果甲状腺剂量!$S$3+SUMPRODUCT(FV$5:FV$27,后果甲状腺剂量!$J$5:$J$27)*后果甲状腺剂量!$T7*后果甲状腺剂量!$T$3+SUMPRODUCT(FS$5:FS$27,后果甲状腺剂量!$K$5:$K$27)*后果甲状腺剂量!$Q7+SUMPRODUCT(FT$5:FT$27,后果甲状腺剂量!$K$5:$K$27)*后果甲状腺剂量!$R7+SUMPRODUCT(FU$5:FU$27,后果甲状腺剂量!$K$5:$K$27)*后果甲状腺剂量!$S7+SUMPRODUCT(FV$5:FV$27,后果甲状腺剂量!$K$5:$K$27)*后果甲状腺剂量!$T7</f>
        <v>0</v>
      </c>
      <c r="FU33" s="454">
        <f t="shared" si="257"/>
        <v>0</v>
      </c>
      <c r="FV33" s="454">
        <f t="shared" si="258"/>
        <v>0</v>
      </c>
      <c r="FW33" s="436"/>
      <c r="FX33" s="436"/>
      <c r="GD33" s="440">
        <f>后果有效剂量!$P7</f>
        <v>0</v>
      </c>
      <c r="GE33" s="441">
        <f>SUMPRODUCT(GE$5:GE$27,后果有效剂量!$I$5:$I$27)*后果有效剂量!$Q7+SUMPRODUCT(GF$5:GF$27,后果有效剂量!$I$5:$I$27)*后果有效剂量!$R7+SUMPRODUCT(GG$5:GG$27,后果有效剂量!$I$5:$I$27)*后果有效剂量!$S7+(SUMPRODUCT(GH$5:GH$27,后果有效剂量!$I$5:$I$27)+SUMPRODUCT(GI$5:GI$27,后果有效剂量!$I$5:$I$27))*后果有效剂量!$T7+SUMPRODUCT(GJ$5:GJ$27,后果有效剂量!$I$5:$I$27)*后果有效剂量!$U7+SUMPRODUCT(GE$5:GE$27,后果有效剂量!$J$5:$J$27)*后果有效剂量!$Q7*后果有效剂量!$Q$3+SUMPRODUCT(GF$5:GF$27,后果有效剂量!$J$5:$J$27)*后果有效剂量!$R7*后果有效剂量!$R$3+SUMPRODUCT(GG$5:GG$27,后果有效剂量!$J$5:$J$27)*后果有效剂量!$S7*后果有效剂量!$S$3+(SUMPRODUCT(GH$5:GH$27,后果有效剂量!$J$5:$J$27)+SUMPRODUCT(GI$5:GI$27,后果有效剂量!$J$5:$J$27))*后果有效剂量!$T7*后果有效剂量!$T$3+SUMPRODUCT(GJ$5:GJ$27,后果有效剂量!$J$5:$J$27)*后果有效剂量!$U7*后果有效剂量!$U$3+SUMPRODUCT(GE$5:GE$27,后果有效剂量!$K$5:$K$27)*后果有效剂量!$Q7+SUMPRODUCT(GF$5:GF$27,后果有效剂量!$K$5:$K$27)*后果有效剂量!$R7+SUMPRODUCT(GG$5:GG$27,后果有效剂量!$K$5:$K$27)*后果有效剂量!$S7+(SUMPRODUCT(GH$5:GH$27,后果有效剂量!$K$5:$K$27)+SUMPRODUCT(GI$5:GI$27,后果有效剂量!$K$5:$K$27))*后果有效剂量!$T7+SUMPRODUCT(GJ$5:GJ$27,后果有效剂量!$K$5:$K$27)*后果有效剂量!$U7</f>
        <v>0</v>
      </c>
      <c r="GF33" s="453">
        <f>SUMPRODUCT(GE$5:GE$27,后果甲状腺剂量!$I$5:$I$27)*后果甲状腺剂量!$Q7+SUMPRODUCT(GF$5:GF$27,后果甲状腺剂量!$I$5:$I$27)*后果甲状腺剂量!$R7+SUMPRODUCT(GG$5:GG$27,后果甲状腺剂量!$I$5:$I$27)*后果甲状腺剂量!$S7+(SUMPRODUCT(GH$5:GH$27,后果甲状腺剂量!$I$5:$I$27)+SUMPRODUCT(GI$5:GI$27,后果甲状腺剂量!$I$5:$I$27))*后果甲状腺剂量!$T7+SUMPRODUCT(GJ$5:GJ$27,后果甲状腺剂量!$I$5:$I$27)*后果甲状腺剂量!$U7+SUMPRODUCT(GE$5:GE$27,后果甲状腺剂量!$J$5:$J$27)*后果甲状腺剂量!$Q7*后果甲状腺剂量!$Q$3+SUMPRODUCT(GF$5:GF$27,后果甲状腺剂量!$J$5:$J$27)*后果甲状腺剂量!$R7*后果甲状腺剂量!$R$3+SUMPRODUCT(GG$5:GG$27,后果甲状腺剂量!$J$5:$J$27)*后果甲状腺剂量!$S7*后果甲状腺剂量!$S$3+(SUMPRODUCT(GH$5:GH$27,后果甲状腺剂量!$J$5:$J$27)+SUMPRODUCT(GI$5:GI$27,后果甲状腺剂量!$J$5:$J$27))*后果甲状腺剂量!$T7*后果甲状腺剂量!$T$3+SUMPRODUCT(GJ$5:GJ$27,后果甲状腺剂量!$J$5:$J$27)*后果甲状腺剂量!$U7*后果甲状腺剂量!$U$3+SUMPRODUCT(GE$5:GE$27,后果甲状腺剂量!$K$5:$K$27)*后果甲状腺剂量!$Q7+SUMPRODUCT(GF$5:GF$27,后果甲状腺剂量!$K$5:$K$27)*后果甲状腺剂量!$R7+SUMPRODUCT(GG$5:GG$27,后果甲状腺剂量!$K$5:$K$27)*后果甲状腺剂量!$S7+(SUMPRODUCT(GH$5:GH$27,后果甲状腺剂量!$K$5:$K$27)+SUMPRODUCT(GI$5:GI$27,后果甲状腺剂量!$K$5:$K$27))*后果甲状腺剂量!$T7+SUMPRODUCT(GJ$5:GJ$27,后果甲状腺剂量!$K$5:$K$27)*后果甲状腺剂量!$U7</f>
        <v>0</v>
      </c>
      <c r="GG33" s="454">
        <f t="shared" si="259"/>
        <v>0</v>
      </c>
      <c r="GH33" s="454">
        <f t="shared" si="260"/>
        <v>0</v>
      </c>
      <c r="GI33" s="436"/>
      <c r="GJ33" s="436"/>
    </row>
    <row r="34" spans="1:192">
      <c r="A34" s="442"/>
      <c r="B34" s="407" t="s">
        <v>276</v>
      </c>
      <c r="C34" s="636">
        <f>C31</f>
        <v>1e+20</v>
      </c>
      <c r="D34" s="410" t="s">
        <v>273</v>
      </c>
      <c r="E34" s="409" t="s">
        <v>274</v>
      </c>
      <c r="G34" s="440" t="str">
        <f>后果有效剂量!$P8</f>
        <v>500m</v>
      </c>
      <c r="H34" s="443">
        <f ca="1">SUMPRODUCT(H$5:H$27,后果有效剂量!$I$5:$I$27)*后果有效剂量!$Q8+SUMPRODUCT(I$5:I$27,后果有效剂量!$I$5:$I$27)*后果有效剂量!$Q8+SUMPRODUCT(J$5:J$27,后果有效剂量!$I$5:$I$27)*后果有效剂量!$R8+SUMPRODUCT(K$5:K$27,后果有效剂量!$I$5:$I$27)*后果有效剂量!$S8+SUMPRODUCT(L$5:L$27,后果有效剂量!$I$5:$I$27)*后果有效剂量!$T8+SUMPRODUCT(M$5:M$27,后果有效剂量!$I$5:$I$27)*后果有效剂量!$U8+SUMPRODUCT(H$5:H$27,后果有效剂量!$J$5:$J$27)*后果有效剂量!$Q8*后果有效剂量!$Q$3+SUMPRODUCT(I$5:I$27,后果有效剂量!$J$5:$J$27)*后果有效剂量!$Q8*后果有效剂量!$Q$3+SUMPRODUCT(J$5:J$27,后果有效剂量!$J$5:$J$27)*后果有效剂量!$R8*后果有效剂量!$R$3+SUMPRODUCT(K$5:K$27,后果有效剂量!$J$5:$J$27)*后果有效剂量!$S8*后果有效剂量!$S$3+SUMPRODUCT(L$5:L$27,后果有效剂量!$J$5:$J$27)*后果有效剂量!$T8*后果有效剂量!$T$3+SUMPRODUCT(M$5:M$27,后果有效剂量!$J$5:$J$27)*后果有效剂量!$U8*后果有效剂量!$U$3+SUMPRODUCT(H$5:H$27,后果有效剂量!$K$5:$K$27)*后果有效剂量!$Q8+SUMPRODUCT(I$5:I$27,后果有效剂量!$K$5:$K$27)*后果有效剂量!$Q8+SUMPRODUCT(J$5:J$27,后果有效剂量!$K$5:$K$27)*后果有效剂量!$R8+SUMPRODUCT(K$5:K$27,后果有效剂量!$K$5:$K$27)*后果有效剂量!$S8+SUMPRODUCT(L$5:L$27,后果有效剂量!$K$5:$K$27)*后果有效剂量!$T8+SUMPRODUCT(M$5:M$27,后果有效剂量!$K$5:$K$27)*后果有效剂量!$U8</f>
        <v>0.00674774760000758</v>
      </c>
      <c r="I34" s="456">
        <f ca="1">SUMPRODUCT(H$5:H$27,后果甲状腺剂量!$I$5:$I$27)*后果甲状腺剂量!$Q8+SUMPRODUCT(I$5:I$27,后果甲状腺剂量!$I$5:$I$27)*后果甲状腺剂量!$Q8+SUMPRODUCT(J$5:J$27,后果甲状腺剂量!$I$5:$I$27)*后果甲状腺剂量!$R8+SUMPRODUCT(K$5:K$27,后果甲状腺剂量!$I$5:$I$27)*后果甲状腺剂量!$S8+SUMPRODUCT(L$5:L$27,后果甲状腺剂量!$I$5:$I$27)*后果甲状腺剂量!$T8+SUMPRODUCT(M$5:M$27,后果甲状腺剂量!$I$5:$I$27)*后果甲状腺剂量!$U8+SUMPRODUCT(H$5:H$27,后果甲状腺剂量!$J$5:$J$27)*后果甲状腺剂量!$Q8*后果甲状腺剂量!$Q$3+SUMPRODUCT(I$5:I$27,后果甲状腺剂量!$J$5:$J$27)*后果甲状腺剂量!$Q8*后果甲状腺剂量!$Q$3+SUMPRODUCT(J$5:J$27,后果甲状腺剂量!$J$5:$J$27)*后果甲状腺剂量!$R8*后果甲状腺剂量!$R$3+SUMPRODUCT(K$5:K$27,后果甲状腺剂量!$J$5:$J$27)*后果甲状腺剂量!$S8*后果甲状腺剂量!$S$3+SUMPRODUCT(L$5:L$27,后果甲状腺剂量!$J$5:$J$27)*后果甲状腺剂量!$T8*后果甲状腺剂量!$T$3+SUMPRODUCT(M$5:M$27,后果甲状腺剂量!$J$5:$J$27)*后果甲状腺剂量!$U8*后果甲状腺剂量!$U$3+SUMPRODUCT(H$5:H$27,后果甲状腺剂量!$K$5:$K$27)*后果甲状腺剂量!$Q8+SUMPRODUCT(I$5:I$27,后果甲状腺剂量!$K$5:$K$27)*后果甲状腺剂量!$Q8+SUMPRODUCT(J$5:J$27,后果甲状腺剂量!$K$5:$K$27)*后果甲状腺剂量!$R8+SUMPRODUCT(K$5:K$27,后果甲状腺剂量!$K$5:$K$27)*后果甲状腺剂量!$S8+SUMPRODUCT(L$5:L$27,后果甲状腺剂量!$K$5:$K$27)*后果甲状腺剂量!$T8+SUMPRODUCT(M$5:M$27,后果甲状腺剂量!$K$5:$K$27)*后果甲状腺剂量!$U8</f>
        <v>0.470766985889268</v>
      </c>
      <c r="J34" s="457">
        <f ca="1" t="shared" si="253"/>
        <v>6.74774760000758</v>
      </c>
      <c r="K34" s="457">
        <f ca="1" t="shared" si="254"/>
        <v>470.766985889268</v>
      </c>
      <c r="L34" s="458">
        <f ca="1">J34/$C$35</f>
        <v>0.674774760000758</v>
      </c>
      <c r="M34" s="458">
        <f ca="1">K34/$C$36</f>
        <v>4.70766985889268</v>
      </c>
      <c r="N34" s="455"/>
      <c r="Q34" s="440" t="str">
        <f>后果有效剂量!$P8</f>
        <v>500m</v>
      </c>
      <c r="R34" s="443">
        <f ca="1">SUMPRODUCT(R$5:R$27,后果有效剂量!$I$5:$I$27)*后果有效剂量!$Q8+SUMPRODUCT(S$5:S$27,后果有效剂量!$I$5:$I$27)*后果有效剂量!$Q8+SUMPRODUCT(T$5:T$27,后果有效剂量!$I$5:$I$27)*后果有效剂量!$R8+SUMPRODUCT(U$5:U$27,后果有效剂量!$I$5:$I$27)*后果有效剂量!$S8+SUMPRODUCT(V$5:V$27,后果有效剂量!$I$5:$I$27)*后果有效剂量!$T8+SUMPRODUCT(W$5:W$27,后果有效剂量!$I$5:$I$27)*后果有效剂量!$U8+SUMPRODUCT(R$5:R$27,后果有效剂量!$J$5:$J$27)*后果有效剂量!$Q8*后果有效剂量!$Q$3+SUMPRODUCT(S$5:S$27,后果有效剂量!$J$5:$J$27)*后果有效剂量!$Q8*后果有效剂量!$Q$3+SUMPRODUCT(T$5:T$27,后果有效剂量!$J$5:$J$27)*后果有效剂量!$R8*后果有效剂量!$R$3+SUMPRODUCT(U$5:U$27,后果有效剂量!$J$5:$J$27)*后果有效剂量!$S8*后果有效剂量!$S$3+SUMPRODUCT(V$5:V$27,后果有效剂量!$J$5:$J$27)*后果有效剂量!$T8*后果有效剂量!$T$3+SUMPRODUCT(W$5:W$27,后果有效剂量!$J$5:$J$27)*后果有效剂量!$U8*后果有效剂量!$U$3+SUMPRODUCT(R$5:R$27,后果有效剂量!$K$5:$K$27)*后果有效剂量!$Q8+SUMPRODUCT(S$5:S$27,后果有效剂量!$K$5:$K$27)*后果有效剂量!$Q8+SUMPRODUCT(T$5:T$27,后果有效剂量!$K$5:$K$27)*后果有效剂量!$R8+SUMPRODUCT(U$5:U$27,后果有效剂量!$K$5:$K$27)*后果有效剂量!$S8+SUMPRODUCT(V$5:V$27,后果有效剂量!$K$5:$K$27)*后果有效剂量!$T8+SUMPRODUCT(W$5:W$27,后果有效剂量!$K$5:$K$27)*后果有效剂量!$U8</f>
        <v>0.000269682458122765</v>
      </c>
      <c r="S34" s="456">
        <f ca="1">SUMPRODUCT(R$5:R$27,后果甲状腺剂量!$I$5:$I$27)*后果甲状腺剂量!$Q8+SUMPRODUCT(S$5:S$27,后果甲状腺剂量!$I$5:$I$27)*后果甲状腺剂量!$Q8+SUMPRODUCT(T$5:T$27,后果甲状腺剂量!$I$5:$I$27)*后果甲状腺剂量!$R8+SUMPRODUCT(U$5:U$27,后果甲状腺剂量!$I$5:$I$27)*后果甲状腺剂量!$S8+SUMPRODUCT(V$5:V$27,后果甲状腺剂量!$I$5:$I$27)*后果甲状腺剂量!$T8+SUMPRODUCT(W$5:W$27,后果甲状腺剂量!$I$5:$I$27)*后果甲状腺剂量!$U8+SUMPRODUCT(R$5:R$27,后果甲状腺剂量!$J$5:$J$27)*后果甲状腺剂量!$Q8*后果甲状腺剂量!$Q$3+SUMPRODUCT(S$5:S$27,后果甲状腺剂量!$J$5:$J$27)*后果甲状腺剂量!$Q8*后果甲状腺剂量!$Q$3+SUMPRODUCT(T$5:T$27,后果甲状腺剂量!$J$5:$J$27)*后果甲状腺剂量!$R8*后果甲状腺剂量!$R$3+SUMPRODUCT(U$5:U$27,后果甲状腺剂量!$J$5:$J$27)*后果甲状腺剂量!$S8*后果甲状腺剂量!$S$3+SUMPRODUCT(V$5:V$27,后果甲状腺剂量!$J$5:$J$27)*后果甲状腺剂量!$T8*后果甲状腺剂量!$T$3+SUMPRODUCT(W$5:W$27,后果甲状腺剂量!$J$5:$J$27)*后果甲状腺剂量!$U8*后果甲状腺剂量!$U$3+SUMPRODUCT(R$5:R$27,后果甲状腺剂量!$K$5:$K$27)*后果甲状腺剂量!$Q8+SUMPRODUCT(S$5:S$27,后果甲状腺剂量!$K$5:$K$27)*后果甲状腺剂量!$Q8+SUMPRODUCT(T$5:T$27,后果甲状腺剂量!$K$5:$K$27)*后果甲状腺剂量!$R8+SUMPRODUCT(U$5:U$27,后果甲状腺剂量!$K$5:$K$27)*后果甲状腺剂量!$S8+SUMPRODUCT(V$5:V$27,后果甲状腺剂量!$K$5:$K$27)*后果甲状腺剂量!$T8+SUMPRODUCT(W$5:W$27,后果甲状腺剂量!$K$5:$K$27)*后果甲状腺剂量!$U8</f>
        <v>0.0233907502569744</v>
      </c>
      <c r="T34" s="457">
        <f ca="1" t="shared" si="255"/>
        <v>0.269682458122765</v>
      </c>
      <c r="U34" s="457">
        <f ca="1" t="shared" si="256"/>
        <v>23.3907502569744</v>
      </c>
      <c r="V34" s="458">
        <f ca="1">T34/$C$35</f>
        <v>0.0269682458122765</v>
      </c>
      <c r="W34" s="458">
        <f ca="1">U34/$C$36</f>
        <v>0.233907502569744</v>
      </c>
      <c r="AN34" s="533"/>
      <c r="AS34" s="572"/>
      <c r="BO34" s="600"/>
      <c r="BP34" s="600"/>
      <c r="CJ34" s="600"/>
      <c r="DZ34" s="600"/>
      <c r="EU34" s="603"/>
      <c r="FP34" s="603"/>
      <c r="FS34" s="443">
        <f>SUMPRODUCT(FS$5:FS$27,后果有效剂量!$I$5:$I$27)*后果有效剂量!$Q8+SUMPRODUCT(FT$5:FT$27,后果有效剂量!$I$5:$I$27)*后果有效剂量!$R8+SUMPRODUCT(FU$5:FU$27,后果有效剂量!$I$5:$I$27)*后果有效剂量!$S8+SUMPRODUCT(FV$5:FV$27,后果有效剂量!$I$5:$I$27)*后果有效剂量!$T8+SUMPRODUCT(FS$5:FS$27,后果有效剂量!$J$5:$J$27)*后果有效剂量!$Q8*后果有效剂量!$Q$3+SUMPRODUCT(FT$5:FT$27,后果有效剂量!$J$5:$J$27)*后果有效剂量!$R8*后果有效剂量!$R$3+SUMPRODUCT(FU$5:FU$27,后果有效剂量!$J$5:$J$27)*后果有效剂量!$S8*后果有效剂量!$S$3+SUMPRODUCT(FV$5:FV$27,后果有效剂量!$J$5:$J$27)*后果有效剂量!$T8*后果有效剂量!$T$3+SUMPRODUCT(FS$5:FS$27,后果有效剂量!$K$5:$K$27)*后果有效剂量!$Q8+SUMPRODUCT(FT$5:FT$27,后果有效剂量!$K$5:$K$27)*后果有效剂量!$R8+SUMPRODUCT(FU$5:FU$27,后果有效剂量!$K$5:$K$27)*后果有效剂量!$S8+SUMPRODUCT(FV$5:FV$27,后果有效剂量!$K$5:$K$27)*后果有效剂量!$T8</f>
        <v>0.000430699305079664</v>
      </c>
      <c r="FT34" s="456">
        <f>SUMPRODUCT(FS$5:FS$27,后果甲状腺剂量!$I$5:$I$27)*后果甲状腺剂量!$Q8+SUMPRODUCT(FT$5:FT$27,后果甲状腺剂量!$I$5:$I$27)*后果甲状腺剂量!$R8+SUMPRODUCT(FU$5:FU$27,后果甲状腺剂量!$I$5:$I$27)*后果甲状腺剂量!$S8+SUMPRODUCT(FV$5:FV$27,后果甲状腺剂量!$I$5:$I$27)*后果甲状腺剂量!$T8+SUMPRODUCT(FS$5:FS$27,后果甲状腺剂量!$J$5:$J$27)*后果甲状腺剂量!$Q8*后果甲状腺剂量!$Q$3+SUMPRODUCT(FT$5:FT$27,后果甲状腺剂量!$J$5:$J$27)*后果甲状腺剂量!$R8*后果甲状腺剂量!$R$3+SUMPRODUCT(FU$5:FU$27,后果甲状腺剂量!$J$5:$J$27)*后果甲状腺剂量!$S8*后果甲状腺剂量!$S$3+SUMPRODUCT(FV$5:FV$27,后果甲状腺剂量!$J$5:$J$27)*后果甲状腺剂量!$T8*后果甲状腺剂量!$T$3+SUMPRODUCT(FS$5:FS$27,后果甲状腺剂量!$K$5:$K$27)*后果甲状腺剂量!$Q8+SUMPRODUCT(FT$5:FT$27,后果甲状腺剂量!$K$5:$K$27)*后果甲状腺剂量!$R8+SUMPRODUCT(FU$5:FU$27,后果甲状腺剂量!$K$5:$K$27)*后果甲状腺剂量!$S8+SUMPRODUCT(FV$5:FV$27,后果甲状腺剂量!$K$5:$K$27)*后果甲状腺剂量!$T8</f>
        <v>0.0235018831581312</v>
      </c>
      <c r="FU34" s="457">
        <f t="shared" si="257"/>
        <v>0.430699305079664</v>
      </c>
      <c r="FV34" s="457">
        <f t="shared" si="258"/>
        <v>23.5018831581312</v>
      </c>
      <c r="FW34" s="459">
        <f>FU34/10*100</f>
        <v>4.30699305079664</v>
      </c>
      <c r="FX34" s="459">
        <f>FV34/100*100</f>
        <v>23.5018831581312</v>
      </c>
      <c r="GD34" s="440" t="str">
        <f>后果有效剂量!$P8</f>
        <v>500m</v>
      </c>
      <c r="GE34" s="443">
        <f>SUMPRODUCT(GE$5:GE$27,后果有效剂量!$I$5:$I$27)*后果有效剂量!$Q8+SUMPRODUCT(GF$5:GF$27,后果有效剂量!$I$5:$I$27)*后果有效剂量!$R8+SUMPRODUCT(GG$5:GG$27,后果有效剂量!$I$5:$I$27)*后果有效剂量!$S8+(SUMPRODUCT(GH$5:GH$27,后果有效剂量!$I$5:$I$27)+SUMPRODUCT(GI$5:GI$27,后果有效剂量!$I$5:$I$27))*后果有效剂量!$T8+SUMPRODUCT(GJ$5:GJ$27,后果有效剂量!$I$5:$I$27)*后果有效剂量!$U8+SUMPRODUCT(GE$5:GE$27,后果有效剂量!$J$5:$J$27)*后果有效剂量!$Q8*后果有效剂量!$Q$3+SUMPRODUCT(GF$5:GF$27,后果有效剂量!$J$5:$J$27)*后果有效剂量!$R8*后果有效剂量!$R$3+SUMPRODUCT(GG$5:GG$27,后果有效剂量!$J$5:$J$27)*后果有效剂量!$S8*后果有效剂量!$S$3+(SUMPRODUCT(GH$5:GH$27,后果有效剂量!$J$5:$J$27)+SUMPRODUCT(GI$5:GI$27,后果有效剂量!$J$5:$J$27))*后果有效剂量!$T8*后果有效剂量!$T$3+SUMPRODUCT(GJ$5:GJ$27,后果有效剂量!$J$5:$J$27)*后果有效剂量!$U8*后果有效剂量!$U$3+SUMPRODUCT(GE$5:GE$27,后果有效剂量!$K$5:$K$27)*后果有效剂量!$Q8+SUMPRODUCT(GF$5:GF$27,后果有效剂量!$K$5:$K$27)*后果有效剂量!$R8+SUMPRODUCT(GG$5:GG$27,后果有效剂量!$K$5:$K$27)*后果有效剂量!$S8+(SUMPRODUCT(GH$5:GH$27,后果有效剂量!$K$5:$K$27)+SUMPRODUCT(GI$5:GI$27,后果有效剂量!$K$5:$K$27))*后果有效剂量!$T8+SUMPRODUCT(GJ$5:GJ$27,后果有效剂量!$K$5:$K$27)*后果有效剂量!$U8</f>
        <v>0.000177662497114534</v>
      </c>
      <c r="GF34" s="456">
        <f>SUMPRODUCT(GE$5:GE$27,后果甲状腺剂量!$I$5:$I$27)*后果甲状腺剂量!$Q8+SUMPRODUCT(GF$5:GF$27,后果甲状腺剂量!$I$5:$I$27)*后果甲状腺剂量!$R8+SUMPRODUCT(GG$5:GG$27,后果甲状腺剂量!$I$5:$I$27)*后果甲状腺剂量!$S8+(SUMPRODUCT(GH$5:GH$27,后果甲状腺剂量!$I$5:$I$27)+SUMPRODUCT(GI$5:GI$27,后果甲状腺剂量!$I$5:$I$27))*后果甲状腺剂量!$T8+SUMPRODUCT(GJ$5:GJ$27,后果甲状腺剂量!$I$5:$I$27)*后果甲状腺剂量!$U8+SUMPRODUCT(GE$5:GE$27,后果甲状腺剂量!$J$5:$J$27)*后果甲状腺剂量!$Q8*后果甲状腺剂量!$Q$3+SUMPRODUCT(GF$5:GF$27,后果甲状腺剂量!$J$5:$J$27)*后果甲状腺剂量!$R8*后果甲状腺剂量!$R$3+SUMPRODUCT(GG$5:GG$27,后果甲状腺剂量!$J$5:$J$27)*后果甲状腺剂量!$S8*后果甲状腺剂量!$S$3+(SUMPRODUCT(GH$5:GH$27,后果甲状腺剂量!$J$5:$J$27)+SUMPRODUCT(GI$5:GI$27,后果甲状腺剂量!$J$5:$J$27))*后果甲状腺剂量!$T8*后果甲状腺剂量!$T$3+SUMPRODUCT(GJ$5:GJ$27,后果甲状腺剂量!$J$5:$J$27)*后果甲状腺剂量!$U8*后果甲状腺剂量!$U$3+SUMPRODUCT(GE$5:GE$27,后果甲状腺剂量!$K$5:$K$27)*后果甲状腺剂量!$Q8+SUMPRODUCT(GF$5:GF$27,后果甲状腺剂量!$K$5:$K$27)*后果甲状腺剂量!$R8+SUMPRODUCT(GG$5:GG$27,后果甲状腺剂量!$K$5:$K$27)*后果甲状腺剂量!$S8+(SUMPRODUCT(GH$5:GH$27,后果甲状腺剂量!$K$5:$K$27)+SUMPRODUCT(GI$5:GI$27,后果甲状腺剂量!$K$5:$K$27))*后果甲状腺剂量!$T8+SUMPRODUCT(GJ$5:GJ$27,后果甲状腺剂量!$K$5:$K$27)*后果甲状腺剂量!$U8</f>
        <v>0.00783546060769133</v>
      </c>
      <c r="GG34" s="457">
        <f t="shared" si="259"/>
        <v>0.177662497114534</v>
      </c>
      <c r="GH34" s="457">
        <f t="shared" si="260"/>
        <v>7.83546060769133</v>
      </c>
      <c r="GI34" s="459">
        <f>GG34/10*100</f>
        <v>1.77662497114534</v>
      </c>
      <c r="GJ34" s="459">
        <f>GH34/100*100</f>
        <v>7.83546060769132</v>
      </c>
    </row>
    <row r="35" spans="1:192">
      <c r="A35" s="444" t="s">
        <v>294</v>
      </c>
      <c r="B35" s="445" t="s">
        <v>290</v>
      </c>
      <c r="C35" s="422">
        <v>10</v>
      </c>
      <c r="D35" s="410" t="s">
        <v>281</v>
      </c>
      <c r="E35" s="409" t="s">
        <v>295</v>
      </c>
      <c r="G35" s="440" t="str">
        <f>后果有效剂量!$P9</f>
        <v>1500m</v>
      </c>
      <c r="H35" s="441">
        <f ca="1">SUMPRODUCT(H$5:H$27,后果有效剂量!$I$5:$I$27)*后果有效剂量!$Q9+SUMPRODUCT(I$5:I$27,后果有效剂量!$I$5:$I$27)*后果有效剂量!$Q9+SUMPRODUCT(J$5:J$27,后果有效剂量!$I$5:$I$27)*后果有效剂量!$R9+SUMPRODUCT(K$5:K$27,后果有效剂量!$I$5:$I$27)*后果有效剂量!$S9+SUMPRODUCT(L$5:L$27,后果有效剂量!$I$5:$I$27)*后果有效剂量!$T9+SUMPRODUCT(M$5:M$27,后果有效剂量!$I$5:$I$27)*后果有效剂量!$U9+SUMPRODUCT(H$5:H$27,后果有效剂量!$J$5:$J$27)*后果有效剂量!$Q9*后果有效剂量!$Q$3+SUMPRODUCT(I$5:I$27,后果有效剂量!$J$5:$J$27)*后果有效剂量!$Q9*后果有效剂量!$Q$3+SUMPRODUCT(J$5:J$27,后果有效剂量!$J$5:$J$27)*后果有效剂量!$R9*后果有效剂量!$R$3+SUMPRODUCT(K$5:K$27,后果有效剂量!$J$5:$J$27)*后果有效剂量!$S9*后果有效剂量!$S$3+SUMPRODUCT(L$5:L$27,后果有效剂量!$J$5:$J$27)*后果有效剂量!$T9*后果有效剂量!$T$3+SUMPRODUCT(M$5:M$27,后果有效剂量!$J$5:$J$27)*后果有效剂量!$U9*后果有效剂量!$U$3+SUMPRODUCT(H$5:H$27,后果有效剂量!$K$5:$K$27)*后果有效剂量!$Q9+SUMPRODUCT(I$5:I$27,后果有效剂量!$K$5:$K$27)*后果有效剂量!$Q9+SUMPRODUCT(J$5:J$27,后果有效剂量!$K$5:$K$27)*后果有效剂量!$R9+SUMPRODUCT(K$5:K$27,后果有效剂量!$K$5:$K$27)*后果有效剂量!$S9+SUMPRODUCT(L$5:L$27,后果有效剂量!$K$5:$K$27)*后果有效剂量!$T9+SUMPRODUCT(M$5:M$27,后果有效剂量!$K$5:$K$27)*后果有效剂量!$U9</f>
        <v>0.00223508327389485</v>
      </c>
      <c r="I35" s="453">
        <f ca="1">SUMPRODUCT(H$5:H$27,后果甲状腺剂量!$I$5:$I$27)*后果甲状腺剂量!$Q9+SUMPRODUCT(I$5:I$27,后果甲状腺剂量!$I$5:$I$27)*后果甲状腺剂量!$Q9+SUMPRODUCT(J$5:J$27,后果甲状腺剂量!$I$5:$I$27)*后果甲状腺剂量!$R9+SUMPRODUCT(K$5:K$27,后果甲状腺剂量!$I$5:$I$27)*后果甲状腺剂量!$S9+SUMPRODUCT(L$5:L$27,后果甲状腺剂量!$I$5:$I$27)*后果甲状腺剂量!$T9+SUMPRODUCT(M$5:M$27,后果甲状腺剂量!$I$5:$I$27)*后果甲状腺剂量!$U9+SUMPRODUCT(H$5:H$27,后果甲状腺剂量!$J$5:$J$27)*后果甲状腺剂量!$Q9*后果甲状腺剂量!$Q$3+SUMPRODUCT(I$5:I$27,后果甲状腺剂量!$J$5:$J$27)*后果甲状腺剂量!$Q9*后果甲状腺剂量!$Q$3+SUMPRODUCT(J$5:J$27,后果甲状腺剂量!$J$5:$J$27)*后果甲状腺剂量!$R9*后果甲状腺剂量!$R$3+SUMPRODUCT(K$5:K$27,后果甲状腺剂量!$J$5:$J$27)*后果甲状腺剂量!$S9*后果甲状腺剂量!$S$3+SUMPRODUCT(L$5:L$27,后果甲状腺剂量!$J$5:$J$27)*后果甲状腺剂量!$T9*后果甲状腺剂量!$T$3+SUMPRODUCT(M$5:M$27,后果甲状腺剂量!$J$5:$J$27)*后果甲状腺剂量!$U9*后果甲状腺剂量!$U$3+SUMPRODUCT(H$5:H$27,后果甲状腺剂量!$K$5:$K$27)*后果甲状腺剂量!$Q9+SUMPRODUCT(I$5:I$27,后果甲状腺剂量!$K$5:$K$27)*后果甲状腺剂量!$Q9+SUMPRODUCT(J$5:J$27,后果甲状腺剂量!$K$5:$K$27)*后果甲状腺剂量!$R9+SUMPRODUCT(K$5:K$27,后果甲状腺剂量!$K$5:$K$27)*后果甲状腺剂量!$S9+SUMPRODUCT(L$5:L$27,后果甲状腺剂量!$K$5:$K$27)*后果甲状腺剂量!$T9+SUMPRODUCT(M$5:M$27,后果甲状腺剂量!$K$5:$K$27)*后果甲状腺剂量!$U9</f>
        <v>0.17195221999068</v>
      </c>
      <c r="J35" s="454">
        <f ca="1" t="shared" si="253"/>
        <v>2.23508327389485</v>
      </c>
      <c r="K35" s="454">
        <f ca="1" t="shared" si="254"/>
        <v>171.95221999068</v>
      </c>
      <c r="L35" s="436"/>
      <c r="M35" s="436"/>
      <c r="N35" s="455"/>
      <c r="Q35" s="440" t="str">
        <f>后果有效剂量!$P9</f>
        <v>1500m</v>
      </c>
      <c r="R35" s="441">
        <f ca="1">SUMPRODUCT(R$5:R$27,后果有效剂量!$I$5:$I$27)*后果有效剂量!$Q9+SUMPRODUCT(S$5:S$27,后果有效剂量!$I$5:$I$27)*后果有效剂量!$Q9+SUMPRODUCT(T$5:T$27,后果有效剂量!$I$5:$I$27)*后果有效剂量!$R9+SUMPRODUCT(U$5:U$27,后果有效剂量!$I$5:$I$27)*后果有效剂量!$S9+SUMPRODUCT(V$5:V$27,后果有效剂量!$I$5:$I$27)*后果有效剂量!$T9+SUMPRODUCT(W$5:W$27,后果有效剂量!$I$5:$I$27)*后果有效剂量!$U9+SUMPRODUCT(R$5:R$27,后果有效剂量!$J$5:$J$27)*后果有效剂量!$Q9*后果有效剂量!$Q$3+SUMPRODUCT(S$5:S$27,后果有效剂量!$J$5:$J$27)*后果有效剂量!$Q9*后果有效剂量!$Q$3+SUMPRODUCT(T$5:T$27,后果有效剂量!$J$5:$J$27)*后果有效剂量!$R9*后果有效剂量!$R$3+SUMPRODUCT(U$5:U$27,后果有效剂量!$J$5:$J$27)*后果有效剂量!$S9*后果有效剂量!$S$3+SUMPRODUCT(V$5:V$27,后果有效剂量!$J$5:$J$27)*后果有效剂量!$T9*后果有效剂量!$T$3+SUMPRODUCT(W$5:W$27,后果有效剂量!$J$5:$J$27)*后果有效剂量!$U9*后果有效剂量!$U$3+SUMPRODUCT(R$5:R$27,后果有效剂量!$K$5:$K$27)*后果有效剂量!$Q9+SUMPRODUCT(S$5:S$27,后果有效剂量!$K$5:$K$27)*后果有效剂量!$Q9+SUMPRODUCT(T$5:T$27,后果有效剂量!$K$5:$K$27)*后果有效剂量!$R9+SUMPRODUCT(U$5:U$27,后果有效剂量!$K$5:$K$27)*后果有效剂量!$S9+SUMPRODUCT(V$5:V$27,后果有效剂量!$K$5:$K$27)*后果有效剂量!$T9+SUMPRODUCT(W$5:W$27,后果有效剂量!$K$5:$K$27)*后果有效剂量!$U9</f>
        <v>8.99021495069129e-5</v>
      </c>
      <c r="S35" s="453">
        <f ca="1">SUMPRODUCT(R$5:R$27,后果甲状腺剂量!$I$5:$I$27)*后果甲状腺剂量!$Q9+SUMPRODUCT(S$5:S$27,后果甲状腺剂量!$I$5:$I$27)*后果甲状腺剂量!$Q9+SUMPRODUCT(T$5:T$27,后果甲状腺剂量!$I$5:$I$27)*后果甲状腺剂量!$R9+SUMPRODUCT(U$5:U$27,后果甲状腺剂量!$I$5:$I$27)*后果甲状腺剂量!$S9+SUMPRODUCT(V$5:V$27,后果甲状腺剂量!$I$5:$I$27)*后果甲状腺剂量!$T9+SUMPRODUCT(W$5:W$27,后果甲状腺剂量!$I$5:$I$27)*后果甲状腺剂量!$U9+SUMPRODUCT(R$5:R$27,后果甲状腺剂量!$J$5:$J$27)*后果甲状腺剂量!$Q9*后果甲状腺剂量!$Q$3+SUMPRODUCT(S$5:S$27,后果甲状腺剂量!$J$5:$J$27)*后果甲状腺剂量!$Q9*后果甲状腺剂量!$Q$3+SUMPRODUCT(T$5:T$27,后果甲状腺剂量!$J$5:$J$27)*后果甲状腺剂量!$R9*后果甲状腺剂量!$R$3+SUMPRODUCT(U$5:U$27,后果甲状腺剂量!$J$5:$J$27)*后果甲状腺剂量!$S9*后果甲状腺剂量!$S$3+SUMPRODUCT(V$5:V$27,后果甲状腺剂量!$J$5:$J$27)*后果甲状腺剂量!$T9*后果甲状腺剂量!$T$3+SUMPRODUCT(W$5:W$27,后果甲状腺剂量!$J$5:$J$27)*后果甲状腺剂量!$U9*后果甲状腺剂量!$U$3+SUMPRODUCT(R$5:R$27,后果甲状腺剂量!$K$5:$K$27)*后果甲状腺剂量!$Q9+SUMPRODUCT(S$5:S$27,后果甲状腺剂量!$K$5:$K$27)*后果甲状腺剂量!$Q9+SUMPRODUCT(T$5:T$27,后果甲状腺剂量!$K$5:$K$27)*后果甲状腺剂量!$R9+SUMPRODUCT(U$5:U$27,后果甲状腺剂量!$K$5:$K$27)*后果甲状腺剂量!$S9+SUMPRODUCT(V$5:V$27,后果甲状腺剂量!$K$5:$K$27)*后果甲状腺剂量!$T9+SUMPRODUCT(W$5:W$27,后果甲状腺剂量!$K$5:$K$27)*后果甲状腺剂量!$U9</f>
        <v>0.00854413876404164</v>
      </c>
      <c r="T35" s="454">
        <f ca="1" t="shared" si="255"/>
        <v>0.0899021495069129</v>
      </c>
      <c r="U35" s="454">
        <f ca="1" t="shared" si="256"/>
        <v>8.54413876404164</v>
      </c>
      <c r="V35" s="436"/>
      <c r="W35" s="436"/>
      <c r="AN35" s="533"/>
      <c r="AS35" s="572"/>
      <c r="BO35" s="600"/>
      <c r="BP35" s="600"/>
      <c r="CJ35" s="600"/>
      <c r="DZ35" s="600"/>
      <c r="EU35" s="603"/>
      <c r="FP35" s="603"/>
      <c r="FS35" s="441">
        <f>SUMPRODUCT(FS$5:FS$27,后果有效剂量!$I$5:$I$27)*后果有效剂量!$Q9+SUMPRODUCT(FT$5:FT$27,后果有效剂量!$I$5:$I$27)*后果有效剂量!$R9+SUMPRODUCT(FU$5:FU$27,后果有效剂量!$I$5:$I$27)*后果有效剂量!$S9+SUMPRODUCT(FV$5:FV$27,后果有效剂量!$I$5:$I$27)*后果有效剂量!$T9+SUMPRODUCT(FS$5:FS$27,后果有效剂量!$J$5:$J$27)*后果有效剂量!$Q9*后果有效剂量!$Q$3+SUMPRODUCT(FT$5:FT$27,后果有效剂量!$J$5:$J$27)*后果有效剂量!$R9*后果有效剂量!$R$3+SUMPRODUCT(FU$5:FU$27,后果有效剂量!$J$5:$J$27)*后果有效剂量!$S9*后果有效剂量!$S$3+SUMPRODUCT(FV$5:FV$27,后果有效剂量!$J$5:$J$27)*后果有效剂量!$T9*后果有效剂量!$T$3+SUMPRODUCT(FS$5:FS$27,后果有效剂量!$K$5:$K$27)*后果有效剂量!$Q9+SUMPRODUCT(FT$5:FT$27,后果有效剂量!$K$5:$K$27)*后果有效剂量!$R9+SUMPRODUCT(FU$5:FU$27,后果有效剂量!$K$5:$K$27)*后果有效剂量!$S9+SUMPRODUCT(FV$5:FV$27,后果有效剂量!$K$5:$K$27)*后果有效剂量!$T9</f>
        <v>0.000122787235560545</v>
      </c>
      <c r="FT35" s="453">
        <f>SUMPRODUCT(FS$5:FS$27,后果甲状腺剂量!$I$5:$I$27)*后果甲状腺剂量!$Q9+SUMPRODUCT(FT$5:FT$27,后果甲状腺剂量!$I$5:$I$27)*后果甲状腺剂量!$R9+SUMPRODUCT(FU$5:FU$27,后果甲状腺剂量!$I$5:$I$27)*后果甲状腺剂量!$S9+SUMPRODUCT(FV$5:FV$27,后果甲状腺剂量!$I$5:$I$27)*后果甲状腺剂量!$T9+SUMPRODUCT(FS$5:FS$27,后果甲状腺剂量!$J$5:$J$27)*后果甲状腺剂量!$Q9*后果甲状腺剂量!$Q$3+SUMPRODUCT(FT$5:FT$27,后果甲状腺剂量!$J$5:$J$27)*后果甲状腺剂量!$R9*后果甲状腺剂量!$R$3+SUMPRODUCT(FU$5:FU$27,后果甲状腺剂量!$J$5:$J$27)*后果甲状腺剂量!$S9*后果甲状腺剂量!$S$3+SUMPRODUCT(FV$5:FV$27,后果甲状腺剂量!$J$5:$J$27)*后果甲状腺剂量!$T9*后果甲状腺剂量!$T$3+SUMPRODUCT(FS$5:FS$27,后果甲状腺剂量!$K$5:$K$27)*后果甲状腺剂量!$Q9+SUMPRODUCT(FT$5:FT$27,后果甲状腺剂量!$K$5:$K$27)*后果甲状腺剂量!$R9+SUMPRODUCT(FU$5:FU$27,后果甲状腺剂量!$K$5:$K$27)*后果甲状腺剂量!$S9+SUMPRODUCT(FV$5:FV$27,后果甲状腺剂量!$K$5:$K$27)*后果甲状腺剂量!$T9</f>
        <v>0.00717817440586791</v>
      </c>
      <c r="FU35" s="454">
        <f t="shared" si="257"/>
        <v>0.122787235560545</v>
      </c>
      <c r="FV35" s="454">
        <f t="shared" si="258"/>
        <v>7.17817440586791</v>
      </c>
      <c r="FW35" s="436"/>
      <c r="FX35" s="436"/>
      <c r="GD35" s="440" t="str">
        <f>后果有效剂量!$P9</f>
        <v>1500m</v>
      </c>
      <c r="GE35" s="441">
        <f>SUMPRODUCT(GE$5:GE$27,后果有效剂量!$I$5:$I$27)*后果有效剂量!$Q9+SUMPRODUCT(GF$5:GF$27,后果有效剂量!$I$5:$I$27)*后果有效剂量!$R9+SUMPRODUCT(GG$5:GG$27,后果有效剂量!$I$5:$I$27)*后果有效剂量!$S9+(SUMPRODUCT(GH$5:GH$27,后果有效剂量!$I$5:$I$27)+SUMPRODUCT(GI$5:GI$27,后果有效剂量!$I$5:$I$27))*后果有效剂量!$T9+SUMPRODUCT(GJ$5:GJ$27,后果有效剂量!$I$5:$I$27)*后果有效剂量!$U9+SUMPRODUCT(GE$5:GE$27,后果有效剂量!$J$5:$J$27)*后果有效剂量!$Q9*后果有效剂量!$Q$3+SUMPRODUCT(GF$5:GF$27,后果有效剂量!$J$5:$J$27)*后果有效剂量!$R9*后果有效剂量!$R$3+SUMPRODUCT(GG$5:GG$27,后果有效剂量!$J$5:$J$27)*后果有效剂量!$S9*后果有效剂量!$S$3+(SUMPRODUCT(GH$5:GH$27,后果有效剂量!$J$5:$J$27)+SUMPRODUCT(GI$5:GI$27,后果有效剂量!$J$5:$J$27))*后果有效剂量!$T9*后果有效剂量!$T$3+SUMPRODUCT(GJ$5:GJ$27,后果有效剂量!$J$5:$J$27)*后果有效剂量!$U9*后果有效剂量!$U$3+SUMPRODUCT(GE$5:GE$27,后果有效剂量!$K$5:$K$27)*后果有效剂量!$Q9+SUMPRODUCT(GF$5:GF$27,后果有效剂量!$K$5:$K$27)*后果有效剂量!$R9+SUMPRODUCT(GG$5:GG$27,后果有效剂量!$K$5:$K$27)*后果有效剂量!$S9+(SUMPRODUCT(GH$5:GH$27,后果有效剂量!$K$5:$K$27)+SUMPRODUCT(GI$5:GI$27,后果有效剂量!$K$5:$K$27))*后果有效剂量!$T9+SUMPRODUCT(GJ$5:GJ$27,后果有效剂量!$K$5:$K$27)*后果有效剂量!$U9</f>
        <v>4.31227309385956e-5</v>
      </c>
      <c r="GF35" s="453">
        <f>SUMPRODUCT(GE$5:GE$27,后果甲状腺剂量!$I$5:$I$27)*后果甲状腺剂量!$Q9+SUMPRODUCT(GF$5:GF$27,后果甲状腺剂量!$I$5:$I$27)*后果甲状腺剂量!$R9+SUMPRODUCT(GG$5:GG$27,后果甲状腺剂量!$I$5:$I$27)*后果甲状腺剂量!$S9+(SUMPRODUCT(GH$5:GH$27,后果甲状腺剂量!$I$5:$I$27)+SUMPRODUCT(GI$5:GI$27,后果甲状腺剂量!$I$5:$I$27))*后果甲状腺剂量!$T9+SUMPRODUCT(GJ$5:GJ$27,后果甲状腺剂量!$I$5:$I$27)*后果甲状腺剂量!$U9+SUMPRODUCT(GE$5:GE$27,后果甲状腺剂量!$J$5:$J$27)*后果甲状腺剂量!$Q9*后果甲状腺剂量!$Q$3+SUMPRODUCT(GF$5:GF$27,后果甲状腺剂量!$J$5:$J$27)*后果甲状腺剂量!$R9*后果甲状腺剂量!$R$3+SUMPRODUCT(GG$5:GG$27,后果甲状腺剂量!$J$5:$J$27)*后果甲状腺剂量!$S9*后果甲状腺剂量!$S$3+(SUMPRODUCT(GH$5:GH$27,后果甲状腺剂量!$J$5:$J$27)+SUMPRODUCT(GI$5:GI$27,后果甲状腺剂量!$J$5:$J$27))*后果甲状腺剂量!$T9*后果甲状腺剂量!$T$3+SUMPRODUCT(GJ$5:GJ$27,后果甲状腺剂量!$J$5:$J$27)*后果甲状腺剂量!$U9*后果甲状腺剂量!$U$3+SUMPRODUCT(GE$5:GE$27,后果甲状腺剂量!$K$5:$K$27)*后果甲状腺剂量!$Q9+SUMPRODUCT(GF$5:GF$27,后果甲状腺剂量!$K$5:$K$27)*后果甲状腺剂量!$R9+SUMPRODUCT(GG$5:GG$27,后果甲状腺剂量!$K$5:$K$27)*后果甲状腺剂量!$S9+(SUMPRODUCT(GH$5:GH$27,后果甲状腺剂量!$K$5:$K$27)+SUMPRODUCT(GI$5:GI$27,后果甲状腺剂量!$K$5:$K$27))*后果甲状腺剂量!$T9+SUMPRODUCT(GJ$5:GJ$27,后果甲状腺剂量!$K$5:$K$27)*后果甲状腺剂量!$U9</f>
        <v>0.00196417473419171</v>
      </c>
      <c r="GG35" s="454">
        <f t="shared" si="259"/>
        <v>0.0431227309385956</v>
      </c>
      <c r="GH35" s="454">
        <f t="shared" si="260"/>
        <v>1.96417473419171</v>
      </c>
      <c r="GI35" s="436"/>
      <c r="GJ35" s="436"/>
    </row>
    <row r="36" spans="1:192">
      <c r="A36" s="446"/>
      <c r="B36" s="445" t="s">
        <v>291</v>
      </c>
      <c r="C36" s="422">
        <v>100</v>
      </c>
      <c r="D36" s="410" t="s">
        <v>281</v>
      </c>
      <c r="E36" s="410"/>
      <c r="G36" s="440" t="str">
        <f>后果有效剂量!$P10</f>
        <v>2500m</v>
      </c>
      <c r="H36" s="441">
        <f ca="1">SUMPRODUCT(H$5:H$27,后果有效剂量!$I$5:$I$27)*后果有效剂量!$Q10+SUMPRODUCT(I$5:I$27,后果有效剂量!$I$5:$I$27)*后果有效剂量!$Q10+SUMPRODUCT(J$5:J$27,后果有效剂量!$I$5:$I$27)*后果有效剂量!$R10+SUMPRODUCT(K$5:K$27,后果有效剂量!$I$5:$I$27)*后果有效剂量!$S10+SUMPRODUCT(L$5:L$27,后果有效剂量!$I$5:$I$27)*后果有效剂量!$T10+SUMPRODUCT(M$5:M$27,后果有效剂量!$I$5:$I$27)*后果有效剂量!$U10+SUMPRODUCT(H$5:H$27,后果有效剂量!$J$5:$J$27)*后果有效剂量!$Q10*后果有效剂量!$Q$3+SUMPRODUCT(I$5:I$27,后果有效剂量!$J$5:$J$27)*后果有效剂量!$Q10*后果有效剂量!$Q$3+SUMPRODUCT(J$5:J$27,后果有效剂量!$J$5:$J$27)*后果有效剂量!$R10*后果有效剂量!$R$3+SUMPRODUCT(K$5:K$27,后果有效剂量!$J$5:$J$27)*后果有效剂量!$S10*后果有效剂量!$S$3+SUMPRODUCT(L$5:L$27,后果有效剂量!$J$5:$J$27)*后果有效剂量!$T10*后果有效剂量!$T$3+SUMPRODUCT(M$5:M$27,后果有效剂量!$J$5:$J$27)*后果有效剂量!$U10*后果有效剂量!$U$3+SUMPRODUCT(H$5:H$27,后果有效剂量!$K$5:$K$27)*后果有效剂量!$Q10+SUMPRODUCT(I$5:I$27,后果有效剂量!$K$5:$K$27)*后果有效剂量!$Q10+SUMPRODUCT(J$5:J$27,后果有效剂量!$K$5:$K$27)*后果有效剂量!$R10+SUMPRODUCT(K$5:K$27,后果有效剂量!$K$5:$K$27)*后果有效剂量!$S10+SUMPRODUCT(L$5:L$27,后果有效剂量!$K$5:$K$27)*后果有效剂量!$T10+SUMPRODUCT(M$5:M$27,后果有效剂量!$K$5:$K$27)*后果有效剂量!$U10</f>
        <v>0.0014987143603327</v>
      </c>
      <c r="I36" s="453">
        <f ca="1">SUMPRODUCT(H$5:H$27,后果甲状腺剂量!$I$5:$I$27)*后果甲状腺剂量!$Q10+SUMPRODUCT(I$5:I$27,后果甲状腺剂量!$I$5:$I$27)*后果甲状腺剂量!$Q10+SUMPRODUCT(J$5:J$27,后果甲状腺剂量!$I$5:$I$27)*后果甲状腺剂量!$R10+SUMPRODUCT(K$5:K$27,后果甲状腺剂量!$I$5:$I$27)*后果甲状腺剂量!$S10+SUMPRODUCT(L$5:L$27,后果甲状腺剂量!$I$5:$I$27)*后果甲状腺剂量!$T10+SUMPRODUCT(M$5:M$27,后果甲状腺剂量!$I$5:$I$27)*后果甲状腺剂量!$U10+SUMPRODUCT(H$5:H$27,后果甲状腺剂量!$J$5:$J$27)*后果甲状腺剂量!$Q10*后果甲状腺剂量!$Q$3+SUMPRODUCT(I$5:I$27,后果甲状腺剂量!$J$5:$J$27)*后果甲状腺剂量!$Q10*后果甲状腺剂量!$Q$3+SUMPRODUCT(J$5:J$27,后果甲状腺剂量!$J$5:$J$27)*后果甲状腺剂量!$R10*后果甲状腺剂量!$R$3+SUMPRODUCT(K$5:K$27,后果甲状腺剂量!$J$5:$J$27)*后果甲状腺剂量!$S10*后果甲状腺剂量!$S$3+SUMPRODUCT(L$5:L$27,后果甲状腺剂量!$J$5:$J$27)*后果甲状腺剂量!$T10*后果甲状腺剂量!$T$3+SUMPRODUCT(M$5:M$27,后果甲状腺剂量!$J$5:$J$27)*后果甲状腺剂量!$U10*后果甲状腺剂量!$U$3+SUMPRODUCT(H$5:H$27,后果甲状腺剂量!$K$5:$K$27)*后果甲状腺剂量!$Q10+SUMPRODUCT(I$5:I$27,后果甲状腺剂量!$K$5:$K$27)*后果甲状腺剂量!$Q10+SUMPRODUCT(J$5:J$27,后果甲状腺剂量!$K$5:$K$27)*后果甲状腺剂量!$R10+SUMPRODUCT(K$5:K$27,后果甲状腺剂量!$K$5:$K$27)*后果甲状腺剂量!$S10+SUMPRODUCT(L$5:L$27,后果甲状腺剂量!$K$5:$K$27)*后果甲状腺剂量!$T10+SUMPRODUCT(M$5:M$27,后果甲状腺剂量!$K$5:$K$27)*后果甲状腺剂量!$U10</f>
        <v>0.126454765836465</v>
      </c>
      <c r="J36" s="454">
        <f ca="1" t="shared" si="253"/>
        <v>1.4987143603327</v>
      </c>
      <c r="K36" s="454">
        <f ca="1" t="shared" si="254"/>
        <v>126.454765836465</v>
      </c>
      <c r="L36" s="436"/>
      <c r="M36" s="436"/>
      <c r="N36" s="455"/>
      <c r="Q36" s="440" t="str">
        <f>后果有效剂量!$P10</f>
        <v>2500m</v>
      </c>
      <c r="R36" s="441">
        <f ca="1">SUMPRODUCT(R$5:R$27,后果有效剂量!$I$5:$I$27)*后果有效剂量!$Q10+SUMPRODUCT(S$5:S$27,后果有效剂量!$I$5:$I$27)*后果有效剂量!$Q10+SUMPRODUCT(T$5:T$27,后果有效剂量!$I$5:$I$27)*后果有效剂量!$R10+SUMPRODUCT(U$5:U$27,后果有效剂量!$I$5:$I$27)*后果有效剂量!$S10+SUMPRODUCT(V$5:V$27,后果有效剂量!$I$5:$I$27)*后果有效剂量!$T10+SUMPRODUCT(W$5:W$27,后果有效剂量!$I$5:$I$27)*后果有效剂量!$U10+SUMPRODUCT(R$5:R$27,后果有效剂量!$J$5:$J$27)*后果有效剂量!$Q10*后果有效剂量!$Q$3+SUMPRODUCT(S$5:S$27,后果有效剂量!$J$5:$J$27)*后果有效剂量!$Q10*后果有效剂量!$Q$3+SUMPRODUCT(T$5:T$27,后果有效剂量!$J$5:$J$27)*后果有效剂量!$R10*后果有效剂量!$R$3+SUMPRODUCT(U$5:U$27,后果有效剂量!$J$5:$J$27)*后果有效剂量!$S10*后果有效剂量!$S$3+SUMPRODUCT(V$5:V$27,后果有效剂量!$J$5:$J$27)*后果有效剂量!$T10*后果有效剂量!$T$3+SUMPRODUCT(W$5:W$27,后果有效剂量!$J$5:$J$27)*后果有效剂量!$U10*后果有效剂量!$U$3+SUMPRODUCT(R$5:R$27,后果有效剂量!$K$5:$K$27)*后果有效剂量!$Q10+SUMPRODUCT(S$5:S$27,后果有效剂量!$K$5:$K$27)*后果有效剂量!$Q10+SUMPRODUCT(T$5:T$27,后果有效剂量!$K$5:$K$27)*后果有效剂量!$R10+SUMPRODUCT(U$5:U$27,后果有效剂量!$K$5:$K$27)*后果有效剂量!$S10+SUMPRODUCT(V$5:V$27,后果有效剂量!$K$5:$K$27)*后果有效剂量!$T10+SUMPRODUCT(W$5:W$27,后果有效剂量!$K$5:$K$27)*后果有效剂量!$U10</f>
        <v>6.04955855316178e-5</v>
      </c>
      <c r="S36" s="453">
        <f ca="1">SUMPRODUCT(R$5:R$27,后果甲状腺剂量!$I$5:$I$27)*后果甲状腺剂量!$Q10+SUMPRODUCT(S$5:S$27,后果甲状腺剂量!$I$5:$I$27)*后果甲状腺剂量!$Q10+SUMPRODUCT(T$5:T$27,后果甲状腺剂量!$I$5:$I$27)*后果甲状腺剂量!$R10+SUMPRODUCT(U$5:U$27,后果甲状腺剂量!$I$5:$I$27)*后果甲状腺剂量!$S10+SUMPRODUCT(V$5:V$27,后果甲状腺剂量!$I$5:$I$27)*后果甲状腺剂量!$T10+SUMPRODUCT(W$5:W$27,后果甲状腺剂量!$I$5:$I$27)*后果甲状腺剂量!$U10+SUMPRODUCT(R$5:R$27,后果甲状腺剂量!$J$5:$J$27)*后果甲状腺剂量!$Q10*后果甲状腺剂量!$Q$3+SUMPRODUCT(S$5:S$27,后果甲状腺剂量!$J$5:$J$27)*后果甲状腺剂量!$Q10*后果甲状腺剂量!$Q$3+SUMPRODUCT(T$5:T$27,后果甲状腺剂量!$J$5:$J$27)*后果甲状腺剂量!$R10*后果甲状腺剂量!$R$3+SUMPRODUCT(U$5:U$27,后果甲状腺剂量!$J$5:$J$27)*后果甲状腺剂量!$S10*后果甲状腺剂量!$S$3+SUMPRODUCT(V$5:V$27,后果甲状腺剂量!$J$5:$J$27)*后果甲状腺剂量!$T10*后果甲状腺剂量!$T$3+SUMPRODUCT(W$5:W$27,后果甲状腺剂量!$J$5:$J$27)*后果甲状腺剂量!$U10*后果甲状腺剂量!$U$3+SUMPRODUCT(R$5:R$27,后果甲状腺剂量!$K$5:$K$27)*后果甲状腺剂量!$Q10+SUMPRODUCT(S$5:S$27,后果甲状腺剂量!$K$5:$K$27)*后果甲状腺剂量!$Q10+SUMPRODUCT(T$5:T$27,后果甲状腺剂量!$K$5:$K$27)*后果甲状腺剂量!$R10+SUMPRODUCT(U$5:U$27,后果甲状腺剂量!$K$5:$K$27)*后果甲状腺剂量!$S10+SUMPRODUCT(V$5:V$27,后果甲状腺剂量!$K$5:$K$27)*后果甲状腺剂量!$T10+SUMPRODUCT(W$5:W$27,后果甲状腺剂量!$K$5:$K$27)*后果甲状腺剂量!$U10</f>
        <v>0.00628359902779526</v>
      </c>
      <c r="T36" s="454">
        <f ca="1" t="shared" si="255"/>
        <v>0.0604955855316178</v>
      </c>
      <c r="U36" s="454">
        <f ca="1" t="shared" si="256"/>
        <v>6.28359902779526</v>
      </c>
      <c r="V36" s="436"/>
      <c r="W36" s="436"/>
      <c r="AN36" s="533"/>
      <c r="AS36" s="572"/>
      <c r="BO36" s="600"/>
      <c r="CJ36" s="600"/>
      <c r="DZ36" s="600"/>
      <c r="EU36" s="603"/>
      <c r="FP36" s="603"/>
      <c r="FS36" s="441">
        <f>SUMPRODUCT(FS$5:FS$27,后果有效剂量!$I$5:$I$27)*后果有效剂量!$Q10+SUMPRODUCT(FT$5:FT$27,后果有效剂量!$I$5:$I$27)*后果有效剂量!$R10+SUMPRODUCT(FU$5:FU$27,后果有效剂量!$I$5:$I$27)*后果有效剂量!$S10+SUMPRODUCT(FV$5:FV$27,后果有效剂量!$I$5:$I$27)*后果有效剂量!$T10+SUMPRODUCT(FS$5:FS$27,后果有效剂量!$J$5:$J$27)*后果有效剂量!$Q10*后果有效剂量!$Q$3+SUMPRODUCT(FT$5:FT$27,后果有效剂量!$J$5:$J$27)*后果有效剂量!$R10*后果有效剂量!$R$3+SUMPRODUCT(FU$5:FU$27,后果有效剂量!$J$5:$J$27)*后果有效剂量!$S10*后果有效剂量!$S$3+SUMPRODUCT(FV$5:FV$27,后果有效剂量!$J$5:$J$27)*后果有效剂量!$T10*后果有效剂量!$T$3+SUMPRODUCT(FS$5:FS$27,后果有效剂量!$K$5:$K$27)*后果有效剂量!$Q10+SUMPRODUCT(FT$5:FT$27,后果有效剂量!$K$5:$K$27)*后果有效剂量!$R10+SUMPRODUCT(FU$5:FU$27,后果有效剂量!$K$5:$K$27)*后果有效剂量!$S10+SUMPRODUCT(FV$5:FV$27,后果有效剂量!$K$5:$K$27)*后果有效剂量!$T10</f>
        <v>7.43271850862798e-5</v>
      </c>
      <c r="FT36" s="453">
        <f>SUMPRODUCT(FS$5:FS$27,后果甲状腺剂量!$I$5:$I$27)*后果甲状腺剂量!$Q10+SUMPRODUCT(FT$5:FT$27,后果甲状腺剂量!$I$5:$I$27)*后果甲状腺剂量!$R10+SUMPRODUCT(FU$5:FU$27,后果甲状腺剂量!$I$5:$I$27)*后果甲状腺剂量!$S10+SUMPRODUCT(FV$5:FV$27,后果甲状腺剂量!$I$5:$I$27)*后果甲状腺剂量!$T10+SUMPRODUCT(FS$5:FS$27,后果甲状腺剂量!$J$5:$J$27)*后果甲状腺剂量!$Q10*后果甲状腺剂量!$Q$3+SUMPRODUCT(FT$5:FT$27,后果甲状腺剂量!$J$5:$J$27)*后果甲状腺剂量!$R10*后果甲状腺剂量!$R$3+SUMPRODUCT(FU$5:FU$27,后果甲状腺剂量!$J$5:$J$27)*后果甲状腺剂量!$S10*后果甲状腺剂量!$S$3+SUMPRODUCT(FV$5:FV$27,后果甲状腺剂量!$J$5:$J$27)*后果甲状腺剂量!$T10*后果甲状腺剂量!$T$3+SUMPRODUCT(FS$5:FS$27,后果甲状腺剂量!$K$5:$K$27)*后果甲状腺剂量!$Q10+SUMPRODUCT(FT$5:FT$27,后果甲状腺剂量!$K$5:$K$27)*后果甲状腺剂量!$R10+SUMPRODUCT(FU$5:FU$27,后果甲状腺剂量!$K$5:$K$27)*后果甲状腺剂量!$S10+SUMPRODUCT(FV$5:FV$27,后果甲状腺剂量!$K$5:$K$27)*后果甲状腺剂量!$T10</f>
        <v>0.00447460799875152</v>
      </c>
      <c r="FU36" s="454">
        <f t="shared" si="257"/>
        <v>0.0743271850862798</v>
      </c>
      <c r="FV36" s="454">
        <f t="shared" si="258"/>
        <v>4.47460799875152</v>
      </c>
      <c r="FW36" s="436"/>
      <c r="FX36" s="436"/>
      <c r="GD36" s="440" t="str">
        <f>后果有效剂量!$P10</f>
        <v>2500m</v>
      </c>
      <c r="GE36" s="441">
        <f>SUMPRODUCT(GE$5:GE$27,后果有效剂量!$I$5:$I$27)*后果有效剂量!$Q10+SUMPRODUCT(GF$5:GF$27,后果有效剂量!$I$5:$I$27)*后果有效剂量!$R10+SUMPRODUCT(GG$5:GG$27,后果有效剂量!$I$5:$I$27)*后果有效剂量!$S10+(SUMPRODUCT(GH$5:GH$27,后果有效剂量!$I$5:$I$27)+SUMPRODUCT(GI$5:GI$27,后果有效剂量!$I$5:$I$27))*后果有效剂量!$T10+SUMPRODUCT(GJ$5:GJ$27,后果有效剂量!$I$5:$I$27)*后果有效剂量!$U10+SUMPRODUCT(GE$5:GE$27,后果有效剂量!$J$5:$J$27)*后果有效剂量!$Q10*后果有效剂量!$Q$3+SUMPRODUCT(GF$5:GF$27,后果有效剂量!$J$5:$J$27)*后果有效剂量!$R10*后果有效剂量!$R$3+SUMPRODUCT(GG$5:GG$27,后果有效剂量!$J$5:$J$27)*后果有效剂量!$S10*后果有效剂量!$S$3+(SUMPRODUCT(GH$5:GH$27,后果有效剂量!$J$5:$J$27)+SUMPRODUCT(GI$5:GI$27,后果有效剂量!$J$5:$J$27))*后果有效剂量!$T10*后果有效剂量!$T$3+SUMPRODUCT(GJ$5:GJ$27,后果有效剂量!$J$5:$J$27)*后果有效剂量!$U10*后果有效剂量!$U$3+SUMPRODUCT(GE$5:GE$27,后果有效剂量!$K$5:$K$27)*后果有效剂量!$Q10+SUMPRODUCT(GF$5:GF$27,后果有效剂量!$K$5:$K$27)*后果有效剂量!$R10+SUMPRODUCT(GG$5:GG$27,后果有效剂量!$K$5:$K$27)*后果有效剂量!$S10+(SUMPRODUCT(GH$5:GH$27,后果有效剂量!$K$5:$K$27)+SUMPRODUCT(GI$5:GI$27,后果有效剂量!$K$5:$K$27))*后果有效剂量!$T10+SUMPRODUCT(GJ$5:GJ$27,后果有效剂量!$K$5:$K$27)*后果有效剂量!$U10</f>
        <v>2.30543802500546e-5</v>
      </c>
      <c r="GF36" s="453">
        <f>SUMPRODUCT(GE$5:GE$27,后果甲状腺剂量!$I$5:$I$27)*后果甲状腺剂量!$Q10+SUMPRODUCT(GF$5:GF$27,后果甲状腺剂量!$I$5:$I$27)*后果甲状腺剂量!$R10+SUMPRODUCT(GG$5:GG$27,后果甲状腺剂量!$I$5:$I$27)*后果甲状腺剂量!$S10+(SUMPRODUCT(GH$5:GH$27,后果甲状腺剂量!$I$5:$I$27)+SUMPRODUCT(GI$5:GI$27,后果甲状腺剂量!$I$5:$I$27))*后果甲状腺剂量!$T10+SUMPRODUCT(GJ$5:GJ$27,后果甲状腺剂量!$I$5:$I$27)*后果甲状腺剂量!$U10+SUMPRODUCT(GE$5:GE$27,后果甲状腺剂量!$J$5:$J$27)*后果甲状腺剂量!$Q10*后果甲状腺剂量!$Q$3+SUMPRODUCT(GF$5:GF$27,后果甲状腺剂量!$J$5:$J$27)*后果甲状腺剂量!$R10*后果甲状腺剂量!$R$3+SUMPRODUCT(GG$5:GG$27,后果甲状腺剂量!$J$5:$J$27)*后果甲状腺剂量!$S10*后果甲状腺剂量!$S$3+(SUMPRODUCT(GH$5:GH$27,后果甲状腺剂量!$J$5:$J$27)+SUMPRODUCT(GI$5:GI$27,后果甲状腺剂量!$J$5:$J$27))*后果甲状腺剂量!$T10*后果甲状腺剂量!$T$3+SUMPRODUCT(GJ$5:GJ$27,后果甲状腺剂量!$J$5:$J$27)*后果甲状腺剂量!$U10*后果甲状腺剂量!$U$3+SUMPRODUCT(GE$5:GE$27,后果甲状腺剂量!$K$5:$K$27)*后果甲状腺剂量!$Q10+SUMPRODUCT(GF$5:GF$27,后果甲状腺剂量!$K$5:$K$27)*后果甲状腺剂量!$R10+SUMPRODUCT(GG$5:GG$27,后果甲状腺剂量!$K$5:$K$27)*后果甲状腺剂量!$S10+(SUMPRODUCT(GH$5:GH$27,后果甲状腺剂量!$K$5:$K$27)+SUMPRODUCT(GI$5:GI$27,后果甲状腺剂量!$K$5:$K$27))*后果甲状腺剂量!$T10+SUMPRODUCT(GJ$5:GJ$27,后果甲状腺剂量!$K$5:$K$27)*后果甲状腺剂量!$U10</f>
        <v>0.00101005182774948</v>
      </c>
      <c r="GG36" s="454">
        <f t="shared" si="259"/>
        <v>0.0230543802500546</v>
      </c>
      <c r="GH36" s="454">
        <f t="shared" si="260"/>
        <v>1.01005182774948</v>
      </c>
      <c r="GI36" s="436"/>
      <c r="GJ36" s="436"/>
    </row>
    <row r="37" spans="7:192">
      <c r="G37" s="440" t="str">
        <f>后果有效剂量!$P11</f>
        <v>4000m</v>
      </c>
      <c r="H37" s="441">
        <f ca="1">SUMPRODUCT(H$5:H$27,后果有效剂量!$I$5:$I$27)*后果有效剂量!$Q11+SUMPRODUCT(I$5:I$27,后果有效剂量!$I$5:$I$27)*后果有效剂量!$Q11+SUMPRODUCT(J$5:J$27,后果有效剂量!$I$5:$I$27)*后果有效剂量!$R11+SUMPRODUCT(K$5:K$27,后果有效剂量!$I$5:$I$27)*后果有效剂量!$S11+SUMPRODUCT(L$5:L$27,后果有效剂量!$I$5:$I$27)*后果有效剂量!$T11+SUMPRODUCT(M$5:M$27,后果有效剂量!$I$5:$I$27)*后果有效剂量!$U11+SUMPRODUCT(H$5:H$27,后果有效剂量!$J$5:$J$27)*后果有效剂量!$Q11*后果有效剂量!$Q$3+SUMPRODUCT(I$5:I$27,后果有效剂量!$J$5:$J$27)*后果有效剂量!$Q11*后果有效剂量!$Q$3+SUMPRODUCT(J$5:J$27,后果有效剂量!$J$5:$J$27)*后果有效剂量!$R11*后果有效剂量!$R$3+SUMPRODUCT(K$5:K$27,后果有效剂量!$J$5:$J$27)*后果有效剂量!$S11*后果有效剂量!$S$3+SUMPRODUCT(L$5:L$27,后果有效剂量!$J$5:$J$27)*后果有效剂量!$T11*后果有效剂量!$T$3+SUMPRODUCT(M$5:M$27,后果有效剂量!$J$5:$J$27)*后果有效剂量!$U11*后果有效剂量!$U$3+SUMPRODUCT(H$5:H$27,后果有效剂量!$K$5:$K$27)*后果有效剂量!$Q11+SUMPRODUCT(I$5:I$27,后果有效剂量!$K$5:$K$27)*后果有效剂量!$Q11+SUMPRODUCT(J$5:J$27,后果有效剂量!$K$5:$K$27)*后果有效剂量!$R11+SUMPRODUCT(K$5:K$27,后果有效剂量!$K$5:$K$27)*后果有效剂量!$S11+SUMPRODUCT(L$5:L$27,后果有效剂量!$K$5:$K$27)*后果有效剂量!$T11+SUMPRODUCT(M$5:M$27,后果有效剂量!$K$5:$K$27)*后果有效剂量!$U11</f>
        <v>0.00855341905118655</v>
      </c>
      <c r="I37" s="453">
        <f ca="1">SUMPRODUCT(H$5:H$27,后果甲状腺剂量!$I$5:$I$27)*后果甲状腺剂量!$Q11+SUMPRODUCT(I$5:I$27,后果甲状腺剂量!$I$5:$I$27)*后果甲状腺剂量!$Q11+SUMPRODUCT(J$5:J$27,后果甲状腺剂量!$I$5:$I$27)*后果甲状腺剂量!$R11+SUMPRODUCT(K$5:K$27,后果甲状腺剂量!$I$5:$I$27)*后果甲状腺剂量!$S11+SUMPRODUCT(L$5:L$27,后果甲状腺剂量!$I$5:$I$27)*后果甲状腺剂量!$T11+SUMPRODUCT(M$5:M$27,后果甲状腺剂量!$I$5:$I$27)*后果甲状腺剂量!$U11+SUMPRODUCT(H$5:H$27,后果甲状腺剂量!$J$5:$J$27)*后果甲状腺剂量!$Q11*后果甲状腺剂量!$Q$3+SUMPRODUCT(I$5:I$27,后果甲状腺剂量!$J$5:$J$27)*后果甲状腺剂量!$Q11*后果甲状腺剂量!$Q$3+SUMPRODUCT(J$5:J$27,后果甲状腺剂量!$J$5:$J$27)*后果甲状腺剂量!$R11*后果甲状腺剂量!$R$3+SUMPRODUCT(K$5:K$27,后果甲状腺剂量!$J$5:$J$27)*后果甲状腺剂量!$S11*后果甲状腺剂量!$S$3+SUMPRODUCT(L$5:L$27,后果甲状腺剂量!$J$5:$J$27)*后果甲状腺剂量!$T11*后果甲状腺剂量!$T$3+SUMPRODUCT(M$5:M$27,后果甲状腺剂量!$J$5:$J$27)*后果甲状腺剂量!$U11*后果甲状腺剂量!$U$3+SUMPRODUCT(H$5:H$27,后果甲状腺剂量!$K$5:$K$27)*后果甲状腺剂量!$Q11+SUMPRODUCT(I$5:I$27,后果甲状腺剂量!$K$5:$K$27)*后果甲状腺剂量!$Q11+SUMPRODUCT(J$5:J$27,后果甲状腺剂量!$K$5:$K$27)*后果甲状腺剂量!$R11+SUMPRODUCT(K$5:K$27,后果甲状腺剂量!$K$5:$K$27)*后果甲状腺剂量!$S11+SUMPRODUCT(L$5:L$27,后果甲状腺剂量!$K$5:$K$27)*后果甲状腺剂量!$T11+SUMPRODUCT(M$5:M$27,后果甲状腺剂量!$K$5:$K$27)*后果甲状腺剂量!$U11</f>
        <v>0.0878539516590037</v>
      </c>
      <c r="J37" s="454">
        <f ca="1" t="shared" si="253"/>
        <v>8.55341905118655</v>
      </c>
      <c r="K37" s="454">
        <f ca="1" t="shared" si="254"/>
        <v>87.8539516590037</v>
      </c>
      <c r="L37" s="436"/>
      <c r="M37" s="436"/>
      <c r="N37" s="455"/>
      <c r="Q37" s="440" t="str">
        <f>后果有效剂量!$P11</f>
        <v>4000m</v>
      </c>
      <c r="R37" s="441">
        <f ca="1">SUMPRODUCT(R$5:R$27,后果有效剂量!$I$5:$I$27)*后果有效剂量!$Q11+SUMPRODUCT(S$5:S$27,后果有效剂量!$I$5:$I$27)*后果有效剂量!$Q11+SUMPRODUCT(T$5:T$27,后果有效剂量!$I$5:$I$27)*后果有效剂量!$R11+SUMPRODUCT(U$5:U$27,后果有效剂量!$I$5:$I$27)*后果有效剂量!$S11+SUMPRODUCT(V$5:V$27,后果有效剂量!$I$5:$I$27)*后果有效剂量!$T11+SUMPRODUCT(W$5:W$27,后果有效剂量!$I$5:$I$27)*后果有效剂量!$U11+SUMPRODUCT(R$5:R$27,后果有效剂量!$J$5:$J$27)*后果有效剂量!$Q11*后果有效剂量!$Q$3+SUMPRODUCT(S$5:S$27,后果有效剂量!$J$5:$J$27)*后果有效剂量!$Q11*后果有效剂量!$Q$3+SUMPRODUCT(T$5:T$27,后果有效剂量!$J$5:$J$27)*后果有效剂量!$R11*后果有效剂量!$R$3+SUMPRODUCT(U$5:U$27,后果有效剂量!$J$5:$J$27)*后果有效剂量!$S11*后果有效剂量!$S$3+SUMPRODUCT(V$5:V$27,后果有效剂量!$J$5:$J$27)*后果有效剂量!$T11*后果有效剂量!$T$3+SUMPRODUCT(W$5:W$27,后果有效剂量!$J$5:$J$27)*后果有效剂量!$U11*后果有效剂量!$U$3+SUMPRODUCT(R$5:R$27,后果有效剂量!$K$5:$K$27)*后果有效剂量!$Q11+SUMPRODUCT(S$5:S$27,后果有效剂量!$K$5:$K$27)*后果有效剂量!$Q11+SUMPRODUCT(T$5:T$27,后果有效剂量!$K$5:$K$27)*后果有效剂量!$R11+SUMPRODUCT(U$5:U$27,后果有效剂量!$K$5:$K$27)*后果有效剂量!$S11+SUMPRODUCT(V$5:V$27,后果有效剂量!$K$5:$K$27)*后果有效剂量!$T11+SUMPRODUCT(W$5:W$27,后果有效剂量!$K$5:$K$27)*后果有效剂量!$U11</f>
        <v>0.000346746771850826</v>
      </c>
      <c r="S37" s="453">
        <f ca="1">SUMPRODUCT(R$5:R$27,后果甲状腺剂量!$I$5:$I$27)*后果甲状腺剂量!$Q11+SUMPRODUCT(S$5:S$27,后果甲状腺剂量!$I$5:$I$27)*后果甲状腺剂量!$Q11+SUMPRODUCT(T$5:T$27,后果甲状腺剂量!$I$5:$I$27)*后果甲状腺剂量!$R11+SUMPRODUCT(U$5:U$27,后果甲状腺剂量!$I$5:$I$27)*后果甲状腺剂量!$S11+SUMPRODUCT(V$5:V$27,后果甲状腺剂量!$I$5:$I$27)*后果甲状腺剂量!$T11+SUMPRODUCT(W$5:W$27,后果甲状腺剂量!$I$5:$I$27)*后果甲状腺剂量!$U11+SUMPRODUCT(R$5:R$27,后果甲状腺剂量!$J$5:$J$27)*后果甲状腺剂量!$Q11*后果甲状腺剂量!$Q$3+SUMPRODUCT(S$5:S$27,后果甲状腺剂量!$J$5:$J$27)*后果甲状腺剂量!$Q11*后果甲状腺剂量!$Q$3+SUMPRODUCT(T$5:T$27,后果甲状腺剂量!$J$5:$J$27)*后果甲状腺剂量!$R11*后果甲状腺剂量!$R$3+SUMPRODUCT(U$5:U$27,后果甲状腺剂量!$J$5:$J$27)*后果甲状腺剂量!$S11*后果甲状腺剂量!$S$3+SUMPRODUCT(V$5:V$27,后果甲状腺剂量!$J$5:$J$27)*后果甲状腺剂量!$T11*后果甲状腺剂量!$T$3+SUMPRODUCT(W$5:W$27,后果甲状腺剂量!$J$5:$J$27)*后果甲状腺剂量!$U11*后果甲状腺剂量!$U$3+SUMPRODUCT(R$5:R$27,后果甲状腺剂量!$K$5:$K$27)*后果甲状腺剂量!$Q11+SUMPRODUCT(S$5:S$27,后果甲状腺剂量!$K$5:$K$27)*后果甲状腺剂量!$Q11+SUMPRODUCT(T$5:T$27,后果甲状腺剂量!$K$5:$K$27)*后果甲状腺剂量!$R11+SUMPRODUCT(U$5:U$27,后果甲状腺剂量!$K$5:$K$27)*后果甲状腺剂量!$S11+SUMPRODUCT(V$5:V$27,后果甲状腺剂量!$K$5:$K$27)*后果甲状腺剂量!$T11+SUMPRODUCT(W$5:W$27,后果甲状腺剂量!$K$5:$K$27)*后果甲状腺剂量!$U11</f>
        <v>0.00436556352755416</v>
      </c>
      <c r="T37" s="454">
        <f ca="1" t="shared" si="255"/>
        <v>0.346746771850826</v>
      </c>
      <c r="U37" s="454">
        <f ca="1" t="shared" si="256"/>
        <v>4.36556352755416</v>
      </c>
      <c r="V37" s="436"/>
      <c r="W37" s="436"/>
      <c r="AN37" s="533"/>
      <c r="AS37" s="572"/>
      <c r="BO37" s="600"/>
      <c r="CJ37" s="600"/>
      <c r="DZ37" s="600"/>
      <c r="EU37" s="603"/>
      <c r="FP37" s="603"/>
      <c r="FS37" s="441">
        <f>SUMPRODUCT(FS$5:FS$27,后果有效剂量!$I$5:$I$27)*后果有效剂量!$Q11+SUMPRODUCT(FT$5:FT$27,后果有效剂量!$I$5:$I$27)*后果有效剂量!$R11+SUMPRODUCT(FU$5:FU$27,后果有效剂量!$I$5:$I$27)*后果有效剂量!$S11+SUMPRODUCT(FV$5:FV$27,后果有效剂量!$I$5:$I$27)*后果有效剂量!$T11+SUMPRODUCT(FS$5:FS$27,后果有效剂量!$J$5:$J$27)*后果有效剂量!$Q11*后果有效剂量!$Q$3+SUMPRODUCT(FT$5:FT$27,后果有效剂量!$J$5:$J$27)*后果有效剂量!$R11*后果有效剂量!$R$3+SUMPRODUCT(FU$5:FU$27,后果有效剂量!$J$5:$J$27)*后果有效剂量!$S11*后果有效剂量!$S$3+SUMPRODUCT(FV$5:FV$27,后果有效剂量!$J$5:$J$27)*后果有效剂量!$T11*后果有效剂量!$T$3+SUMPRODUCT(FS$5:FS$27,后果有效剂量!$K$5:$K$27)*后果有效剂量!$Q11+SUMPRODUCT(FT$5:FT$27,后果有效剂量!$K$5:$K$27)*后果有效剂量!$R11+SUMPRODUCT(FU$5:FU$27,后果有效剂量!$K$5:$K$27)*后果有效剂量!$S11+SUMPRODUCT(FV$5:FV$27,后果有效剂量!$K$5:$K$27)*后果有效剂量!$T11</f>
        <v>0.000364720194815751</v>
      </c>
      <c r="FT37" s="453">
        <f>SUMPRODUCT(FS$5:FS$27,后果甲状腺剂量!$I$5:$I$27)*后果甲状腺剂量!$Q11+SUMPRODUCT(FT$5:FT$27,后果甲状腺剂量!$I$5:$I$27)*后果甲状腺剂量!$R11+SUMPRODUCT(FU$5:FU$27,后果甲状腺剂量!$I$5:$I$27)*后果甲状腺剂量!$S11+SUMPRODUCT(FV$5:FV$27,后果甲状腺剂量!$I$5:$I$27)*后果甲状腺剂量!$T11+SUMPRODUCT(FS$5:FS$27,后果甲状腺剂量!$J$5:$J$27)*后果甲状腺剂量!$Q11*后果甲状腺剂量!$Q$3+SUMPRODUCT(FT$5:FT$27,后果甲状腺剂量!$J$5:$J$27)*后果甲状腺剂量!$R11*后果甲状腺剂量!$R$3+SUMPRODUCT(FU$5:FU$27,后果甲状腺剂量!$J$5:$J$27)*后果甲状腺剂量!$S11*后果甲状腺剂量!$S$3+SUMPRODUCT(FV$5:FV$27,后果甲状腺剂量!$J$5:$J$27)*后果甲状腺剂量!$T11*后果甲状腺剂量!$T$3+SUMPRODUCT(FS$5:FS$27,后果甲状腺剂量!$K$5:$K$27)*后果甲状腺剂量!$Q11+SUMPRODUCT(FT$5:FT$27,后果甲状腺剂量!$K$5:$K$27)*后果甲状腺剂量!$R11+SUMPRODUCT(FU$5:FU$27,后果甲状腺剂量!$K$5:$K$27)*后果甲状腺剂量!$S11+SUMPRODUCT(FV$5:FV$27,后果甲状腺剂量!$K$5:$K$27)*后果甲状腺剂量!$T11</f>
        <v>0.00275749363591398</v>
      </c>
      <c r="FU37" s="454">
        <f t="shared" si="257"/>
        <v>0.364720194815751</v>
      </c>
      <c r="FV37" s="454">
        <f t="shared" si="258"/>
        <v>2.75749363591398</v>
      </c>
      <c r="FW37" s="436"/>
      <c r="FX37" s="436"/>
      <c r="GD37" s="440" t="str">
        <f>后果有效剂量!$P11</f>
        <v>4000m</v>
      </c>
      <c r="GE37" s="441">
        <f>SUMPRODUCT(GE$5:GE$27,后果有效剂量!$I$5:$I$27)*后果有效剂量!$Q11+SUMPRODUCT(GF$5:GF$27,后果有效剂量!$I$5:$I$27)*后果有效剂量!$R11+SUMPRODUCT(GG$5:GG$27,后果有效剂量!$I$5:$I$27)*后果有效剂量!$S11+(SUMPRODUCT(GH$5:GH$27,后果有效剂量!$I$5:$I$27)+SUMPRODUCT(GI$5:GI$27,后果有效剂量!$I$5:$I$27))*后果有效剂量!$T11+SUMPRODUCT(GJ$5:GJ$27,后果有效剂量!$I$5:$I$27)*后果有效剂量!$U11+SUMPRODUCT(GE$5:GE$27,后果有效剂量!$J$5:$J$27)*后果有效剂量!$Q11*后果有效剂量!$Q$3+SUMPRODUCT(GF$5:GF$27,后果有效剂量!$J$5:$J$27)*后果有效剂量!$R11*后果有效剂量!$R$3+SUMPRODUCT(GG$5:GG$27,后果有效剂量!$J$5:$J$27)*后果有效剂量!$S11*后果有效剂量!$S$3+(SUMPRODUCT(GH$5:GH$27,后果有效剂量!$J$5:$J$27)+SUMPRODUCT(GI$5:GI$27,后果有效剂量!$J$5:$J$27))*后果有效剂量!$T11*后果有效剂量!$T$3+SUMPRODUCT(GJ$5:GJ$27,后果有效剂量!$J$5:$J$27)*后果有效剂量!$U11*后果有效剂量!$U$3+SUMPRODUCT(GE$5:GE$27,后果有效剂量!$K$5:$K$27)*后果有效剂量!$Q11+SUMPRODUCT(GF$5:GF$27,后果有效剂量!$K$5:$K$27)*后果有效剂量!$R11+SUMPRODUCT(GG$5:GG$27,后果有效剂量!$K$5:$K$27)*后果有效剂量!$S11+(SUMPRODUCT(GH$5:GH$27,后果有效剂量!$K$5:$K$27)+SUMPRODUCT(GI$5:GI$27,后果有效剂量!$K$5:$K$27))*后果有效剂量!$T11+SUMPRODUCT(GJ$5:GJ$27,后果有效剂量!$K$5:$K$27)*后果有效剂量!$U11</f>
        <v>8.91871700666406e-5</v>
      </c>
      <c r="GF37" s="453">
        <f>SUMPRODUCT(GE$5:GE$27,后果甲状腺剂量!$I$5:$I$27)*后果甲状腺剂量!$Q11+SUMPRODUCT(GF$5:GF$27,后果甲状腺剂量!$I$5:$I$27)*后果甲状腺剂量!$R11+SUMPRODUCT(GG$5:GG$27,后果甲状腺剂量!$I$5:$I$27)*后果甲状腺剂量!$S11+(SUMPRODUCT(GH$5:GH$27,后果甲状腺剂量!$I$5:$I$27)+SUMPRODUCT(GI$5:GI$27,后果甲状腺剂量!$I$5:$I$27))*后果甲状腺剂量!$T11+SUMPRODUCT(GJ$5:GJ$27,后果甲状腺剂量!$I$5:$I$27)*后果甲状腺剂量!$U11+SUMPRODUCT(GE$5:GE$27,后果甲状腺剂量!$J$5:$J$27)*后果甲状腺剂量!$Q11*后果甲状腺剂量!$Q$3+SUMPRODUCT(GF$5:GF$27,后果甲状腺剂量!$J$5:$J$27)*后果甲状腺剂量!$R11*后果甲状腺剂量!$R$3+SUMPRODUCT(GG$5:GG$27,后果甲状腺剂量!$J$5:$J$27)*后果甲状腺剂量!$S11*后果甲状腺剂量!$S$3+(SUMPRODUCT(GH$5:GH$27,后果甲状腺剂量!$J$5:$J$27)+SUMPRODUCT(GI$5:GI$27,后果甲状腺剂量!$J$5:$J$27))*后果甲状腺剂量!$T11*后果甲状腺剂量!$T$3+SUMPRODUCT(GJ$5:GJ$27,后果甲状腺剂量!$J$5:$J$27)*后果甲状腺剂量!$U11*后果甲状腺剂量!$U$3+SUMPRODUCT(GE$5:GE$27,后果甲状腺剂量!$K$5:$K$27)*后果甲状腺剂量!$Q11+SUMPRODUCT(GF$5:GF$27,后果甲状腺剂量!$K$5:$K$27)*后果甲状腺剂量!$R11+SUMPRODUCT(GG$5:GG$27,后果甲状腺剂量!$K$5:$K$27)*后果甲状腺剂量!$S11+(SUMPRODUCT(GH$5:GH$27,后果甲状腺剂量!$K$5:$K$27)+SUMPRODUCT(GI$5:GI$27,后果甲状腺剂量!$K$5:$K$27))*后果甲状腺剂量!$T11+SUMPRODUCT(GJ$5:GJ$27,后果甲状腺剂量!$K$5:$K$27)*后果甲状腺剂量!$U11</f>
        <v>0.000539068281266805</v>
      </c>
      <c r="GG37" s="454">
        <f t="shared" si="259"/>
        <v>0.0891871700666406</v>
      </c>
      <c r="GH37" s="454">
        <f t="shared" si="260"/>
        <v>0.539068281266805</v>
      </c>
      <c r="GI37" s="436"/>
      <c r="GJ37" s="436"/>
    </row>
    <row r="38" spans="7:192">
      <c r="G38" s="440" t="str">
        <f>后果有效剂量!$P12</f>
        <v>5000m</v>
      </c>
      <c r="H38" s="441">
        <f ca="1">SUMPRODUCT(H$5:H$27,后果有效剂量!$I$5:$I$27)*后果有效剂量!$Q12+SUMPRODUCT(I$5:I$27,后果有效剂量!$I$5:$I$27)*后果有效剂量!$Q12+SUMPRODUCT(J$5:J$27,后果有效剂量!$I$5:$I$27)*后果有效剂量!$R12+SUMPRODUCT(K$5:K$27,后果有效剂量!$I$5:$I$27)*后果有效剂量!$S12+SUMPRODUCT(L$5:L$27,后果有效剂量!$I$5:$I$27)*后果有效剂量!$T12+SUMPRODUCT(M$5:M$27,后果有效剂量!$I$5:$I$27)*后果有效剂量!$U12+SUMPRODUCT(H$5:H$27,后果有效剂量!$J$5:$J$27)*后果有效剂量!$Q12*后果有效剂量!$Q$3+SUMPRODUCT(I$5:I$27,后果有效剂量!$J$5:$J$27)*后果有效剂量!$Q12*后果有效剂量!$Q$3+SUMPRODUCT(J$5:J$27,后果有效剂量!$J$5:$J$27)*后果有效剂量!$R12*后果有效剂量!$R$3+SUMPRODUCT(K$5:K$27,后果有效剂量!$J$5:$J$27)*后果有效剂量!$S12*后果有效剂量!$S$3+SUMPRODUCT(L$5:L$27,后果有效剂量!$J$5:$J$27)*后果有效剂量!$T12*后果有效剂量!$T$3+SUMPRODUCT(M$5:M$27,后果有效剂量!$J$5:$J$27)*后果有效剂量!$U12*后果有效剂量!$U$3+SUMPRODUCT(H$5:H$27,后果有效剂量!$K$5:$K$27)*后果有效剂量!$Q12+SUMPRODUCT(I$5:I$27,后果有效剂量!$K$5:$K$27)*后果有效剂量!$Q12+SUMPRODUCT(J$5:J$27,后果有效剂量!$K$5:$K$27)*后果有效剂量!$R12+SUMPRODUCT(K$5:K$27,后果有效剂量!$K$5:$K$27)*后果有效剂量!$S12+SUMPRODUCT(L$5:L$27,后果有效剂量!$K$5:$K$27)*后果有效剂量!$T12+SUMPRODUCT(M$5:M$27,后果有效剂量!$K$5:$K$27)*后果有效剂量!$U12</f>
        <v>0.000813899603780865</v>
      </c>
      <c r="I38" s="453">
        <f ca="1">SUMPRODUCT(H$5:H$27,后果甲状腺剂量!$I$5:$I$27)*后果甲状腺剂量!$Q12+SUMPRODUCT(I$5:I$27,后果甲状腺剂量!$I$5:$I$27)*后果甲状腺剂量!$Q12+SUMPRODUCT(J$5:J$27,后果甲状腺剂量!$I$5:$I$27)*后果甲状腺剂量!$R12+SUMPRODUCT(K$5:K$27,后果甲状腺剂量!$I$5:$I$27)*后果甲状腺剂量!$S12+SUMPRODUCT(L$5:L$27,后果甲状腺剂量!$I$5:$I$27)*后果甲状腺剂量!$T12+SUMPRODUCT(M$5:M$27,后果甲状腺剂量!$I$5:$I$27)*后果甲状腺剂量!$U12+SUMPRODUCT(H$5:H$27,后果甲状腺剂量!$J$5:$J$27)*后果甲状腺剂量!$Q12*后果甲状腺剂量!$Q$3+SUMPRODUCT(I$5:I$27,后果甲状腺剂量!$J$5:$J$27)*后果甲状腺剂量!$Q12*后果甲状腺剂量!$Q$3+SUMPRODUCT(J$5:J$27,后果甲状腺剂量!$J$5:$J$27)*后果甲状腺剂量!$R12*后果甲状腺剂量!$R$3+SUMPRODUCT(K$5:K$27,后果甲状腺剂量!$J$5:$J$27)*后果甲状腺剂量!$S12*后果甲状腺剂量!$S$3+SUMPRODUCT(L$5:L$27,后果甲状腺剂量!$J$5:$J$27)*后果甲状腺剂量!$T12*后果甲状腺剂量!$T$3+SUMPRODUCT(M$5:M$27,后果甲状腺剂量!$J$5:$J$27)*后果甲状腺剂量!$U12*后果甲状腺剂量!$U$3+SUMPRODUCT(H$5:H$27,后果甲状腺剂量!$K$5:$K$27)*后果甲状腺剂量!$Q12+SUMPRODUCT(I$5:I$27,后果甲状腺剂量!$K$5:$K$27)*后果甲状腺剂量!$Q12+SUMPRODUCT(J$5:J$27,后果甲状腺剂量!$K$5:$K$27)*后果甲状腺剂量!$R12+SUMPRODUCT(K$5:K$27,后果甲状腺剂量!$K$5:$K$27)*后果甲状腺剂量!$S12+SUMPRODUCT(L$5:L$27,后果甲状腺剂量!$K$5:$K$27)*后果甲状腺剂量!$T12+SUMPRODUCT(M$5:M$27,后果甲状腺剂量!$K$5:$K$27)*后果甲状腺剂量!$U12</f>
        <v>0.0696488268205511</v>
      </c>
      <c r="J38" s="454">
        <f ca="1" t="shared" si="253"/>
        <v>0.813899603780865</v>
      </c>
      <c r="K38" s="454">
        <f ca="1" t="shared" si="254"/>
        <v>69.6488268205511</v>
      </c>
      <c r="L38" s="436"/>
      <c r="M38" s="436"/>
      <c r="N38" s="455"/>
      <c r="Q38" s="440" t="str">
        <f>后果有效剂量!$P12</f>
        <v>5000m</v>
      </c>
      <c r="R38" s="441">
        <f ca="1">SUMPRODUCT(R$5:R$27,后果有效剂量!$I$5:$I$27)*后果有效剂量!$Q12+SUMPRODUCT(S$5:S$27,后果有效剂量!$I$5:$I$27)*后果有效剂量!$Q12+SUMPRODUCT(T$5:T$27,后果有效剂量!$I$5:$I$27)*后果有效剂量!$R12+SUMPRODUCT(U$5:U$27,后果有效剂量!$I$5:$I$27)*后果有效剂量!$S12+SUMPRODUCT(V$5:V$27,后果有效剂量!$I$5:$I$27)*后果有效剂量!$T12+SUMPRODUCT(W$5:W$27,后果有效剂量!$I$5:$I$27)*后果有效剂量!$U12+SUMPRODUCT(R$5:R$27,后果有效剂量!$J$5:$J$27)*后果有效剂量!$Q12*后果有效剂量!$Q$3+SUMPRODUCT(S$5:S$27,后果有效剂量!$J$5:$J$27)*后果有效剂量!$Q12*后果有效剂量!$Q$3+SUMPRODUCT(T$5:T$27,后果有效剂量!$J$5:$J$27)*后果有效剂量!$R12*后果有效剂量!$R$3+SUMPRODUCT(U$5:U$27,后果有效剂量!$J$5:$J$27)*后果有效剂量!$S12*后果有效剂量!$S$3+SUMPRODUCT(V$5:V$27,后果有效剂量!$J$5:$J$27)*后果有效剂量!$T12*后果有效剂量!$T$3+SUMPRODUCT(W$5:W$27,后果有效剂量!$J$5:$J$27)*后果有效剂量!$U12*后果有效剂量!$U$3+SUMPRODUCT(R$5:R$27,后果有效剂量!$K$5:$K$27)*后果有效剂量!$Q12+SUMPRODUCT(S$5:S$27,后果有效剂量!$K$5:$K$27)*后果有效剂量!$Q12+SUMPRODUCT(T$5:T$27,后果有效剂量!$K$5:$K$27)*后果有效剂量!$R12+SUMPRODUCT(U$5:U$27,后果有效剂量!$K$5:$K$27)*后果有效剂量!$S12+SUMPRODUCT(V$5:V$27,后果有效剂量!$K$5:$K$27)*后果有效剂量!$T12+SUMPRODUCT(W$5:W$27,后果有效剂量!$K$5:$K$27)*后果有效剂量!$U12</f>
        <v>3.29495169477986e-5</v>
      </c>
      <c r="S38" s="453">
        <f ca="1">SUMPRODUCT(R$5:R$27,后果甲状腺剂量!$I$5:$I$27)*后果甲状腺剂量!$Q12+SUMPRODUCT(S$5:S$27,后果甲状腺剂量!$I$5:$I$27)*后果甲状腺剂量!$Q12+SUMPRODUCT(T$5:T$27,后果甲状腺剂量!$I$5:$I$27)*后果甲状腺剂量!$R12+SUMPRODUCT(U$5:U$27,后果甲状腺剂量!$I$5:$I$27)*后果甲状腺剂量!$S12+SUMPRODUCT(V$5:V$27,后果甲状腺剂量!$I$5:$I$27)*后果甲状腺剂量!$T12+SUMPRODUCT(W$5:W$27,后果甲状腺剂量!$I$5:$I$27)*后果甲状腺剂量!$U12+SUMPRODUCT(R$5:R$27,后果甲状腺剂量!$J$5:$J$27)*后果甲状腺剂量!$Q12*后果甲状腺剂量!$Q$3+SUMPRODUCT(S$5:S$27,后果甲状腺剂量!$J$5:$J$27)*后果甲状腺剂量!$Q12*后果甲状腺剂量!$Q$3+SUMPRODUCT(T$5:T$27,后果甲状腺剂量!$J$5:$J$27)*后果甲状腺剂量!$R12*后果甲状腺剂量!$R$3+SUMPRODUCT(U$5:U$27,后果甲状腺剂量!$J$5:$J$27)*后果甲状腺剂量!$S12*后果甲状腺剂量!$S$3+SUMPRODUCT(V$5:V$27,后果甲状腺剂量!$J$5:$J$27)*后果甲状腺剂量!$T12*后果甲状腺剂量!$T$3+SUMPRODUCT(W$5:W$27,后果甲状腺剂量!$J$5:$J$27)*后果甲状腺剂量!$U12*后果甲状腺剂量!$U$3+SUMPRODUCT(R$5:R$27,后果甲状腺剂量!$K$5:$K$27)*后果甲状腺剂量!$Q12+SUMPRODUCT(S$5:S$27,后果甲状腺剂量!$K$5:$K$27)*后果甲状腺剂量!$Q12+SUMPRODUCT(T$5:T$27,后果甲状腺剂量!$K$5:$K$27)*后果甲状腺剂量!$R12+SUMPRODUCT(U$5:U$27,后果甲状腺剂量!$K$5:$K$27)*后果甲状腺剂量!$S12+SUMPRODUCT(V$5:V$27,后果甲状腺剂量!$K$5:$K$27)*后果甲状腺剂量!$T12+SUMPRODUCT(W$5:W$27,后果甲状腺剂量!$K$5:$K$27)*后果甲状腺剂量!$U12</f>
        <v>0.00346094146491112</v>
      </c>
      <c r="T38" s="454">
        <f ca="1" t="shared" si="255"/>
        <v>0.0329495169477987</v>
      </c>
      <c r="U38" s="454">
        <f ca="1" t="shared" si="256"/>
        <v>3.46094146491112</v>
      </c>
      <c r="V38" s="436"/>
      <c r="W38" s="436"/>
      <c r="AN38" s="533"/>
      <c r="AS38" s="572"/>
      <c r="BO38" s="600"/>
      <c r="CJ38" s="600"/>
      <c r="DZ38" s="600"/>
      <c r="EU38" s="603"/>
      <c r="FP38" s="603"/>
      <c r="FS38" s="441">
        <f>SUMPRODUCT(FS$5:FS$27,后果有效剂量!$I$5:$I$27)*后果有效剂量!$Q12+SUMPRODUCT(FT$5:FT$27,后果有效剂量!$I$5:$I$27)*后果有效剂量!$R12+SUMPRODUCT(FU$5:FU$27,后果有效剂量!$I$5:$I$27)*后果有效剂量!$S12+SUMPRODUCT(FV$5:FV$27,后果有效剂量!$I$5:$I$27)*后果有效剂量!$T12+SUMPRODUCT(FS$5:FS$27,后果有效剂量!$J$5:$J$27)*后果有效剂量!$Q12*后果有效剂量!$Q$3+SUMPRODUCT(FT$5:FT$27,后果有效剂量!$J$5:$J$27)*后果有效剂量!$R12*后果有效剂量!$R$3+SUMPRODUCT(FU$5:FU$27,后果有效剂量!$J$5:$J$27)*后果有效剂量!$S12*后果有效剂量!$S$3+SUMPRODUCT(FV$5:FV$27,后果有效剂量!$J$5:$J$27)*后果有效剂量!$T12*后果有效剂量!$T$3+SUMPRODUCT(FS$5:FS$27,后果有效剂量!$K$5:$K$27)*后果有效剂量!$Q12+SUMPRODUCT(FT$5:FT$27,后果有效剂量!$K$5:$K$27)*后果有效剂量!$R12+SUMPRODUCT(FU$5:FU$27,后果有效剂量!$K$5:$K$27)*后果有效剂量!$S12+SUMPRODUCT(FV$5:FV$27,后果有效剂量!$K$5:$K$27)*后果有效剂量!$T12</f>
        <v>3.76124270740873e-5</v>
      </c>
      <c r="FT38" s="453">
        <f>SUMPRODUCT(FS$5:FS$27,后果甲状腺剂量!$I$5:$I$27)*后果甲状腺剂量!$Q12+SUMPRODUCT(FT$5:FT$27,后果甲状腺剂量!$I$5:$I$27)*后果甲状腺剂量!$R12+SUMPRODUCT(FU$5:FU$27,后果甲状腺剂量!$I$5:$I$27)*后果甲状腺剂量!$S12+SUMPRODUCT(FV$5:FV$27,后果甲状腺剂量!$I$5:$I$27)*后果甲状腺剂量!$T12+SUMPRODUCT(FS$5:FS$27,后果甲状腺剂量!$J$5:$J$27)*后果甲状腺剂量!$Q12*后果甲状腺剂量!$Q$3+SUMPRODUCT(FT$5:FT$27,后果甲状腺剂量!$J$5:$J$27)*后果甲状腺剂量!$R12*后果甲状腺剂量!$R$3+SUMPRODUCT(FU$5:FU$27,后果甲状腺剂量!$J$5:$J$27)*后果甲状腺剂量!$S12*后果甲状腺剂量!$S$3+SUMPRODUCT(FV$5:FV$27,后果甲状腺剂量!$J$5:$J$27)*后果甲状腺剂量!$T12*后果甲状腺剂量!$T$3+SUMPRODUCT(FS$5:FS$27,后果甲状腺剂量!$K$5:$K$27)*后果甲状腺剂量!$Q12+SUMPRODUCT(FT$5:FT$27,后果甲状腺剂量!$K$5:$K$27)*后果甲状腺剂量!$R12+SUMPRODUCT(FU$5:FU$27,后果甲状腺剂量!$K$5:$K$27)*后果甲状腺剂量!$S12+SUMPRODUCT(FV$5:FV$27,后果甲状腺剂量!$K$5:$K$27)*后果甲状腺剂量!$T12</f>
        <v>0.00209817268079309</v>
      </c>
      <c r="FU38" s="454">
        <f t="shared" si="257"/>
        <v>0.0376124270740873</v>
      </c>
      <c r="FV38" s="454">
        <f t="shared" si="258"/>
        <v>2.09817268079309</v>
      </c>
      <c r="FW38" s="436"/>
      <c r="FX38" s="436"/>
      <c r="GD38" s="440" t="str">
        <f>后果有效剂量!$P12</f>
        <v>5000m</v>
      </c>
      <c r="GE38" s="441">
        <f>SUMPRODUCT(GE$5:GE$27,后果有效剂量!$I$5:$I$27)*后果有效剂量!$Q12+SUMPRODUCT(GF$5:GF$27,后果有效剂量!$I$5:$I$27)*后果有效剂量!$R12+SUMPRODUCT(GG$5:GG$27,后果有效剂量!$I$5:$I$27)*后果有效剂量!$S12+(SUMPRODUCT(GH$5:GH$27,后果有效剂量!$I$5:$I$27)+SUMPRODUCT(GI$5:GI$27,后果有效剂量!$I$5:$I$27))*后果有效剂量!$T12+SUMPRODUCT(GJ$5:GJ$27,后果有效剂量!$I$5:$I$27)*后果有效剂量!$U12+SUMPRODUCT(GE$5:GE$27,后果有效剂量!$J$5:$J$27)*后果有效剂量!$Q12*后果有效剂量!$Q$3+SUMPRODUCT(GF$5:GF$27,后果有效剂量!$J$5:$J$27)*后果有效剂量!$R12*后果有效剂量!$R$3+SUMPRODUCT(GG$5:GG$27,后果有效剂量!$J$5:$J$27)*后果有效剂量!$S12*后果有效剂量!$S$3+(SUMPRODUCT(GH$5:GH$27,后果有效剂量!$J$5:$J$27)+SUMPRODUCT(GI$5:GI$27,后果有效剂量!$J$5:$J$27))*后果有效剂量!$T12*后果有效剂量!$T$3+SUMPRODUCT(GJ$5:GJ$27,后果有效剂量!$J$5:$J$27)*后果有效剂量!$U12*后果有效剂量!$U$3+SUMPRODUCT(GE$5:GE$27,后果有效剂量!$K$5:$K$27)*后果有效剂量!$Q12+SUMPRODUCT(GF$5:GF$27,后果有效剂量!$K$5:$K$27)*后果有效剂量!$R12+SUMPRODUCT(GG$5:GG$27,后果有效剂量!$K$5:$K$27)*后果有效剂量!$S12+(SUMPRODUCT(GH$5:GH$27,后果有效剂量!$K$5:$K$27)+SUMPRODUCT(GI$5:GI$27,后果有效剂量!$K$5:$K$27))*后果有效剂量!$T12+SUMPRODUCT(GJ$5:GJ$27,后果有效剂量!$K$5:$K$27)*后果有效剂量!$U12</f>
        <v>9.96698491087919e-6</v>
      </c>
      <c r="GF38" s="453">
        <f>SUMPRODUCT(GE$5:GE$27,后果甲状腺剂量!$I$5:$I$27)*后果甲状腺剂量!$Q12+SUMPRODUCT(GF$5:GF$27,后果甲状腺剂量!$I$5:$I$27)*后果甲状腺剂量!$R12+SUMPRODUCT(GG$5:GG$27,后果甲状腺剂量!$I$5:$I$27)*后果甲状腺剂量!$S12+(SUMPRODUCT(GH$5:GH$27,后果甲状腺剂量!$I$5:$I$27)+SUMPRODUCT(GI$5:GI$27,后果甲状腺剂量!$I$5:$I$27))*后果甲状腺剂量!$T12+SUMPRODUCT(GJ$5:GJ$27,后果甲状腺剂量!$I$5:$I$27)*后果甲状腺剂量!$U12+SUMPRODUCT(GE$5:GE$27,后果甲状腺剂量!$J$5:$J$27)*后果甲状腺剂量!$Q12*后果甲状腺剂量!$Q$3+SUMPRODUCT(GF$5:GF$27,后果甲状腺剂量!$J$5:$J$27)*后果甲状腺剂量!$R12*后果甲状腺剂量!$R$3+SUMPRODUCT(GG$5:GG$27,后果甲状腺剂量!$J$5:$J$27)*后果甲状腺剂量!$S12*后果甲状腺剂量!$S$3+(SUMPRODUCT(GH$5:GH$27,后果甲状腺剂量!$J$5:$J$27)+SUMPRODUCT(GI$5:GI$27,后果甲状腺剂量!$J$5:$J$27))*后果甲状腺剂量!$T12*后果甲状腺剂量!$T$3+SUMPRODUCT(GJ$5:GJ$27,后果甲状腺剂量!$J$5:$J$27)*后果甲状腺剂量!$U12*后果甲状腺剂量!$U$3+SUMPRODUCT(GE$5:GE$27,后果甲状腺剂量!$K$5:$K$27)*后果甲状腺剂量!$Q12+SUMPRODUCT(GF$5:GF$27,后果甲状腺剂量!$K$5:$K$27)*后果甲状腺剂量!$R12+SUMPRODUCT(GG$5:GG$27,后果甲状腺剂量!$K$5:$K$27)*后果甲状腺剂量!$S12+(SUMPRODUCT(GH$5:GH$27,后果甲状腺剂量!$K$5:$K$27)+SUMPRODUCT(GI$5:GI$27,后果甲状腺剂量!$K$5:$K$27))*后果甲状腺剂量!$T12+SUMPRODUCT(GJ$5:GJ$27,后果甲状腺剂量!$K$5:$K$27)*后果甲状腺剂量!$U12</f>
        <v>0.000390031853238463</v>
      </c>
      <c r="GG38" s="454">
        <f t="shared" si="259"/>
        <v>0.00996698491087919</v>
      </c>
      <c r="GH38" s="454">
        <f t="shared" si="260"/>
        <v>0.390031853238463</v>
      </c>
      <c r="GI38" s="436"/>
      <c r="GJ38" s="436"/>
    </row>
    <row r="39" spans="7:192">
      <c r="G39" s="440" t="str">
        <f>后果有效剂量!$P13</f>
        <v>7500m</v>
      </c>
      <c r="H39" s="441">
        <f ca="1">SUMPRODUCT(H$5:H$27,后果有效剂量!$I$5:$I$27)*后果有效剂量!$Q13+SUMPRODUCT(I$5:I$27,后果有效剂量!$I$5:$I$27)*后果有效剂量!$Q13+SUMPRODUCT(J$5:J$27,后果有效剂量!$I$5:$I$27)*后果有效剂量!$R13+SUMPRODUCT(K$5:K$27,后果有效剂量!$I$5:$I$27)*后果有效剂量!$S13+SUMPRODUCT(L$5:L$27,后果有效剂量!$I$5:$I$27)*后果有效剂量!$T13+SUMPRODUCT(M$5:M$27,后果有效剂量!$I$5:$I$27)*后果有效剂量!$U13+SUMPRODUCT(H$5:H$27,后果有效剂量!$J$5:$J$27)*后果有效剂量!$Q13*后果有效剂量!$Q$3+SUMPRODUCT(I$5:I$27,后果有效剂量!$J$5:$J$27)*后果有效剂量!$Q13*后果有效剂量!$Q$3+SUMPRODUCT(J$5:J$27,后果有效剂量!$J$5:$J$27)*后果有效剂量!$R13*后果有效剂量!$R$3+SUMPRODUCT(K$5:K$27,后果有效剂量!$J$5:$J$27)*后果有效剂量!$S13*后果有效剂量!$S$3+SUMPRODUCT(L$5:L$27,后果有效剂量!$J$5:$J$27)*后果有效剂量!$T13*后果有效剂量!$T$3+SUMPRODUCT(M$5:M$27,后果有效剂量!$J$5:$J$27)*后果有效剂量!$U13*后果有效剂量!$U$3+SUMPRODUCT(H$5:H$27,后果有效剂量!$K$5:$K$27)*后果有效剂量!$Q13+SUMPRODUCT(I$5:I$27,后果有效剂量!$K$5:$K$27)*后果有效剂量!$Q13+SUMPRODUCT(J$5:J$27,后果有效剂量!$K$5:$K$27)*后果有效剂量!$R13+SUMPRODUCT(K$5:K$27,后果有效剂量!$K$5:$K$27)*后果有效剂量!$S13+SUMPRODUCT(L$5:L$27,后果有效剂量!$K$5:$K$27)*后果有效剂量!$T13+SUMPRODUCT(M$5:M$27,后果有效剂量!$K$5:$K$27)*后果有效剂量!$U13</f>
        <v>0.00463080282108837</v>
      </c>
      <c r="I39" s="453">
        <f ca="1">SUMPRODUCT(H$5:H$27,后果甲状腺剂量!$I$5:$I$27)*后果甲状腺剂量!$Q13+SUMPRODUCT(I$5:I$27,后果甲状腺剂量!$I$5:$I$27)*后果甲状腺剂量!$Q13+SUMPRODUCT(J$5:J$27,后果甲状腺剂量!$I$5:$I$27)*后果甲状腺剂量!$R13+SUMPRODUCT(K$5:K$27,后果甲状腺剂量!$I$5:$I$27)*后果甲状腺剂量!$S13+SUMPRODUCT(L$5:L$27,后果甲状腺剂量!$I$5:$I$27)*后果甲状腺剂量!$T13+SUMPRODUCT(M$5:M$27,后果甲状腺剂量!$I$5:$I$27)*后果甲状腺剂量!$U13+SUMPRODUCT(H$5:H$27,后果甲状腺剂量!$J$5:$J$27)*后果甲状腺剂量!$Q13*后果甲状腺剂量!$Q$3+SUMPRODUCT(I$5:I$27,后果甲状腺剂量!$J$5:$J$27)*后果甲状腺剂量!$Q13*后果甲状腺剂量!$Q$3+SUMPRODUCT(J$5:J$27,后果甲状腺剂量!$J$5:$J$27)*后果甲状腺剂量!$R13*后果甲状腺剂量!$R$3+SUMPRODUCT(K$5:K$27,后果甲状腺剂量!$J$5:$J$27)*后果甲状腺剂量!$S13*后果甲状腺剂量!$S$3+SUMPRODUCT(L$5:L$27,后果甲状腺剂量!$J$5:$J$27)*后果甲状腺剂量!$T13*后果甲状腺剂量!$T$3+SUMPRODUCT(M$5:M$27,后果甲状腺剂量!$J$5:$J$27)*后果甲状腺剂量!$U13*后果甲状腺剂量!$U$3+SUMPRODUCT(H$5:H$27,后果甲状腺剂量!$K$5:$K$27)*后果甲状腺剂量!$Q13+SUMPRODUCT(I$5:I$27,后果甲状腺剂量!$K$5:$K$27)*后果甲状腺剂量!$Q13+SUMPRODUCT(J$5:J$27,后果甲状腺剂量!$K$5:$K$27)*后果甲状腺剂量!$R13+SUMPRODUCT(K$5:K$27,后果甲状腺剂量!$K$5:$K$27)*后果甲状腺剂量!$S13+SUMPRODUCT(L$5:L$27,后果甲状腺剂量!$K$5:$K$27)*后果甲状腺剂量!$T13+SUMPRODUCT(M$5:M$27,后果甲状腺剂量!$K$5:$K$27)*后果甲状腺剂量!$U13</f>
        <v>0.0476405941814719</v>
      </c>
      <c r="J39" s="454">
        <f ca="1" t="shared" si="253"/>
        <v>4.63080282108837</v>
      </c>
      <c r="K39" s="454">
        <f ca="1" t="shared" si="254"/>
        <v>47.6405941814719</v>
      </c>
      <c r="L39" s="436"/>
      <c r="M39" s="436"/>
      <c r="N39" s="455"/>
      <c r="Q39" s="440" t="str">
        <f>后果有效剂量!$P13</f>
        <v>7500m</v>
      </c>
      <c r="R39" s="441">
        <f ca="1">SUMPRODUCT(R$5:R$27,后果有效剂量!$I$5:$I$27)*后果有效剂量!$Q13+SUMPRODUCT(S$5:S$27,后果有效剂量!$I$5:$I$27)*后果有效剂量!$Q13+SUMPRODUCT(T$5:T$27,后果有效剂量!$I$5:$I$27)*后果有效剂量!$R13+SUMPRODUCT(U$5:U$27,后果有效剂量!$I$5:$I$27)*后果有效剂量!$S13+SUMPRODUCT(V$5:V$27,后果有效剂量!$I$5:$I$27)*后果有效剂量!$T13+SUMPRODUCT(W$5:W$27,后果有效剂量!$I$5:$I$27)*后果有效剂量!$U13+SUMPRODUCT(R$5:R$27,后果有效剂量!$J$5:$J$27)*后果有效剂量!$Q13*后果有效剂量!$Q$3+SUMPRODUCT(S$5:S$27,后果有效剂量!$J$5:$J$27)*后果有效剂量!$Q13*后果有效剂量!$Q$3+SUMPRODUCT(T$5:T$27,后果有效剂量!$J$5:$J$27)*后果有效剂量!$R13*后果有效剂量!$R$3+SUMPRODUCT(U$5:U$27,后果有效剂量!$J$5:$J$27)*后果有效剂量!$S13*后果有效剂量!$S$3+SUMPRODUCT(V$5:V$27,后果有效剂量!$J$5:$J$27)*后果有效剂量!$T13*后果有效剂量!$T$3+SUMPRODUCT(W$5:W$27,后果有效剂量!$J$5:$J$27)*后果有效剂量!$U13*后果有效剂量!$U$3+SUMPRODUCT(R$5:R$27,后果有效剂量!$K$5:$K$27)*后果有效剂量!$Q13+SUMPRODUCT(S$5:S$27,后果有效剂量!$K$5:$K$27)*后果有效剂量!$Q13+SUMPRODUCT(T$5:T$27,后果有效剂量!$K$5:$K$27)*后果有效剂量!$R13+SUMPRODUCT(U$5:U$27,后果有效剂量!$K$5:$K$27)*后果有效剂量!$S13+SUMPRODUCT(V$5:V$27,后果有效剂量!$K$5:$K$27)*后果有效剂量!$T13+SUMPRODUCT(W$5:W$27,后果有效剂量!$K$5:$K$27)*后果有效剂量!$U13</f>
        <v>0.000187950754286703</v>
      </c>
      <c r="S39" s="453">
        <f ca="1">SUMPRODUCT(R$5:R$27,后果甲状腺剂量!$I$5:$I$27)*后果甲状腺剂量!$Q13+SUMPRODUCT(S$5:S$27,后果甲状腺剂量!$I$5:$I$27)*后果甲状腺剂量!$Q13+SUMPRODUCT(T$5:T$27,后果甲状腺剂量!$I$5:$I$27)*后果甲状腺剂量!$R13+SUMPRODUCT(U$5:U$27,后果甲状腺剂量!$I$5:$I$27)*后果甲状腺剂量!$S13+SUMPRODUCT(V$5:V$27,后果甲状腺剂量!$I$5:$I$27)*后果甲状腺剂量!$T13+SUMPRODUCT(W$5:W$27,后果甲状腺剂量!$I$5:$I$27)*后果甲状腺剂量!$U13+SUMPRODUCT(R$5:R$27,后果甲状腺剂量!$J$5:$J$27)*后果甲状腺剂量!$Q13*后果甲状腺剂量!$Q$3+SUMPRODUCT(S$5:S$27,后果甲状腺剂量!$J$5:$J$27)*后果甲状腺剂量!$Q13*后果甲状腺剂量!$Q$3+SUMPRODUCT(T$5:T$27,后果甲状腺剂量!$J$5:$J$27)*后果甲状腺剂量!$R13*后果甲状腺剂量!$R$3+SUMPRODUCT(U$5:U$27,后果甲状腺剂量!$J$5:$J$27)*后果甲状腺剂量!$S13*后果甲状腺剂量!$S$3+SUMPRODUCT(V$5:V$27,后果甲状腺剂量!$J$5:$J$27)*后果甲状腺剂量!$T13*后果甲状腺剂量!$T$3+SUMPRODUCT(W$5:W$27,后果甲状腺剂量!$J$5:$J$27)*后果甲状腺剂量!$U13*后果甲状腺剂量!$U$3+SUMPRODUCT(R$5:R$27,后果甲状腺剂量!$K$5:$K$27)*后果甲状腺剂量!$Q13+SUMPRODUCT(S$5:S$27,后果甲状腺剂量!$K$5:$K$27)*后果甲状腺剂量!$Q13+SUMPRODUCT(T$5:T$27,后果甲状腺剂量!$K$5:$K$27)*后果甲状腺剂量!$R13+SUMPRODUCT(U$5:U$27,后果甲状腺剂量!$K$5:$K$27)*后果甲状腺剂量!$S13+SUMPRODUCT(V$5:V$27,后果甲状腺剂量!$K$5:$K$27)*后果甲状腺剂量!$T13+SUMPRODUCT(W$5:W$27,后果甲状腺剂量!$K$5:$K$27)*后果甲状腺剂量!$U13</f>
        <v>0.0023673346112821</v>
      </c>
      <c r="T39" s="454">
        <f ca="1" t="shared" si="255"/>
        <v>0.187950754286703</v>
      </c>
      <c r="U39" s="454">
        <f ca="1" t="shared" si="256"/>
        <v>2.3673346112821</v>
      </c>
      <c r="V39" s="436"/>
      <c r="W39" s="436"/>
      <c r="AN39" s="533"/>
      <c r="AS39" s="572"/>
      <c r="BO39" s="600"/>
      <c r="CJ39" s="600"/>
      <c r="DZ39" s="600"/>
      <c r="EU39" s="603"/>
      <c r="FP39" s="603"/>
      <c r="FS39" s="441">
        <f>SUMPRODUCT(FS$5:FS$27,后果有效剂量!$I$5:$I$27)*后果有效剂量!$Q13+SUMPRODUCT(FT$5:FT$27,后果有效剂量!$I$5:$I$27)*后果有效剂量!$R13+SUMPRODUCT(FU$5:FU$27,后果有效剂量!$I$5:$I$27)*后果有效剂量!$S13+SUMPRODUCT(FV$5:FV$27,后果有效剂量!$I$5:$I$27)*后果有效剂量!$T13+SUMPRODUCT(FS$5:FS$27,后果有效剂量!$J$5:$J$27)*后果有效剂量!$Q13*后果有效剂量!$Q$3+SUMPRODUCT(FT$5:FT$27,后果有效剂量!$J$5:$J$27)*后果有效剂量!$R13*后果有效剂量!$R$3+SUMPRODUCT(FU$5:FU$27,后果有效剂量!$J$5:$J$27)*后果有效剂量!$S13*后果有效剂量!$S$3+SUMPRODUCT(FV$5:FV$27,后果有效剂量!$J$5:$J$27)*后果有效剂量!$T13*后果有效剂量!$T$3+SUMPRODUCT(FS$5:FS$27,后果有效剂量!$K$5:$K$27)*后果有效剂量!$Q13+SUMPRODUCT(FT$5:FT$27,后果有效剂量!$K$5:$K$27)*后果有效剂量!$R13+SUMPRODUCT(FU$5:FU$27,后果有效剂量!$K$5:$K$27)*后果有效剂量!$S13+SUMPRODUCT(FV$5:FV$27,后果有效剂量!$K$5:$K$27)*后果有效剂量!$T13</f>
        <v>0.000180207217422311</v>
      </c>
      <c r="FT39" s="453">
        <f>SUMPRODUCT(FS$5:FS$27,后果甲状腺剂量!$I$5:$I$27)*后果甲状腺剂量!$Q13+SUMPRODUCT(FT$5:FT$27,后果甲状腺剂量!$I$5:$I$27)*后果甲状腺剂量!$R13+SUMPRODUCT(FU$5:FU$27,后果甲状腺剂量!$I$5:$I$27)*后果甲状腺剂量!$S13+SUMPRODUCT(FV$5:FV$27,后果甲状腺剂量!$I$5:$I$27)*后果甲状腺剂量!$T13+SUMPRODUCT(FS$5:FS$27,后果甲状腺剂量!$J$5:$J$27)*后果甲状腺剂量!$Q13*后果甲状腺剂量!$Q$3+SUMPRODUCT(FT$5:FT$27,后果甲状腺剂量!$J$5:$J$27)*后果甲状腺剂量!$R13*后果甲状腺剂量!$R$3+SUMPRODUCT(FU$5:FU$27,后果甲状腺剂量!$J$5:$J$27)*后果甲状腺剂量!$S13*后果甲状腺剂量!$S$3+SUMPRODUCT(FV$5:FV$27,后果甲状腺剂量!$J$5:$J$27)*后果甲状腺剂量!$T13*后果甲状腺剂量!$T$3+SUMPRODUCT(FS$5:FS$27,后果甲状腺剂量!$K$5:$K$27)*后果甲状腺剂量!$Q13+SUMPRODUCT(FT$5:FT$27,后果甲状腺剂量!$K$5:$K$27)*后果甲状腺剂量!$R13+SUMPRODUCT(FU$5:FU$27,后果甲状腺剂量!$K$5:$K$27)*后果甲状腺剂量!$S13+SUMPRODUCT(FV$5:FV$27,后果甲状腺剂量!$K$5:$K$27)*后果甲状腺剂量!$T13</f>
        <v>0.00133466805666965</v>
      </c>
      <c r="FU39" s="454">
        <f t="shared" si="257"/>
        <v>0.180207217422311</v>
      </c>
      <c r="FV39" s="454">
        <f t="shared" si="258"/>
        <v>1.33466805666965</v>
      </c>
      <c r="FW39" s="436"/>
      <c r="FX39" s="436"/>
      <c r="GD39" s="440" t="str">
        <f>后果有效剂量!$P13</f>
        <v>7500m</v>
      </c>
      <c r="GE39" s="441">
        <f>SUMPRODUCT(GE$5:GE$27,后果有效剂量!$I$5:$I$27)*后果有效剂量!$Q13+SUMPRODUCT(GF$5:GF$27,后果有效剂量!$I$5:$I$27)*后果有效剂量!$R13+SUMPRODUCT(GG$5:GG$27,后果有效剂量!$I$5:$I$27)*后果有效剂量!$S13+(SUMPRODUCT(GH$5:GH$27,后果有效剂量!$I$5:$I$27)+SUMPRODUCT(GI$5:GI$27,后果有效剂量!$I$5:$I$27))*后果有效剂量!$T13+SUMPRODUCT(GJ$5:GJ$27,后果有效剂量!$I$5:$I$27)*后果有效剂量!$U13+SUMPRODUCT(GE$5:GE$27,后果有效剂量!$J$5:$J$27)*后果有效剂量!$Q13*后果有效剂量!$Q$3+SUMPRODUCT(GF$5:GF$27,后果有效剂量!$J$5:$J$27)*后果有效剂量!$R13*后果有效剂量!$R$3+SUMPRODUCT(GG$5:GG$27,后果有效剂量!$J$5:$J$27)*后果有效剂量!$S13*后果有效剂量!$S$3+(SUMPRODUCT(GH$5:GH$27,后果有效剂量!$J$5:$J$27)+SUMPRODUCT(GI$5:GI$27,后果有效剂量!$J$5:$J$27))*后果有效剂量!$T13*后果有效剂量!$T$3+SUMPRODUCT(GJ$5:GJ$27,后果有效剂量!$J$5:$J$27)*后果有效剂量!$U13*后果有效剂量!$U$3+SUMPRODUCT(GE$5:GE$27,后果有效剂量!$K$5:$K$27)*后果有效剂量!$Q13+SUMPRODUCT(GF$5:GF$27,后果有效剂量!$K$5:$K$27)*后果有效剂量!$R13+SUMPRODUCT(GG$5:GG$27,后果有效剂量!$K$5:$K$27)*后果有效剂量!$S13+(SUMPRODUCT(GH$5:GH$27,后果有效剂量!$K$5:$K$27)+SUMPRODUCT(GI$5:GI$27,后果有效剂量!$K$5:$K$27))*后果有效剂量!$T13+SUMPRODUCT(GJ$5:GJ$27,后果有效剂量!$K$5:$K$27)*后果有效剂量!$U13</f>
        <v>4.04510808112764e-5</v>
      </c>
      <c r="GF39" s="453">
        <f>SUMPRODUCT(GE$5:GE$27,后果甲状腺剂量!$I$5:$I$27)*后果甲状腺剂量!$Q13+SUMPRODUCT(GF$5:GF$27,后果甲状腺剂量!$I$5:$I$27)*后果甲状腺剂量!$R13+SUMPRODUCT(GG$5:GG$27,后果甲状腺剂量!$I$5:$I$27)*后果甲状腺剂量!$S13+(SUMPRODUCT(GH$5:GH$27,后果甲状腺剂量!$I$5:$I$27)+SUMPRODUCT(GI$5:GI$27,后果甲状腺剂量!$I$5:$I$27))*后果甲状腺剂量!$T13+SUMPRODUCT(GJ$5:GJ$27,后果甲状腺剂量!$I$5:$I$27)*后果甲状腺剂量!$U13+SUMPRODUCT(GE$5:GE$27,后果甲状腺剂量!$J$5:$J$27)*后果甲状腺剂量!$Q13*后果甲状腺剂量!$Q$3+SUMPRODUCT(GF$5:GF$27,后果甲状腺剂量!$J$5:$J$27)*后果甲状腺剂量!$R13*后果甲状腺剂量!$R$3+SUMPRODUCT(GG$5:GG$27,后果甲状腺剂量!$J$5:$J$27)*后果甲状腺剂量!$S13*后果甲状腺剂量!$S$3+(SUMPRODUCT(GH$5:GH$27,后果甲状腺剂量!$J$5:$J$27)+SUMPRODUCT(GI$5:GI$27,后果甲状腺剂量!$J$5:$J$27))*后果甲状腺剂量!$T13*后果甲状腺剂量!$T$3+SUMPRODUCT(GJ$5:GJ$27,后果甲状腺剂量!$J$5:$J$27)*后果甲状腺剂量!$U13*后果甲状腺剂量!$U$3+SUMPRODUCT(GE$5:GE$27,后果甲状腺剂量!$K$5:$K$27)*后果甲状腺剂量!$Q13+SUMPRODUCT(GF$5:GF$27,后果甲状腺剂量!$K$5:$K$27)*后果甲状腺剂量!$R13+SUMPRODUCT(GG$5:GG$27,后果甲状腺剂量!$K$5:$K$27)*后果甲状腺剂量!$S13+(SUMPRODUCT(GH$5:GH$27,后果甲状腺剂量!$K$5:$K$27)+SUMPRODUCT(GI$5:GI$27,后果甲状腺剂量!$K$5:$K$27))*后果甲状腺剂量!$T13+SUMPRODUCT(GJ$5:GJ$27,后果甲状腺剂量!$K$5:$K$27)*后果甲状腺剂量!$U13</f>
        <v>0.000226352267715351</v>
      </c>
      <c r="GG39" s="454">
        <f t="shared" si="259"/>
        <v>0.0404510808112764</v>
      </c>
      <c r="GH39" s="454">
        <f t="shared" si="260"/>
        <v>0.226352267715351</v>
      </c>
      <c r="GI39" s="436"/>
      <c r="GJ39" s="436"/>
    </row>
    <row r="40" spans="7:192">
      <c r="G40" s="440" t="str">
        <f>后果有效剂量!$P14</f>
        <v>15000m</v>
      </c>
      <c r="H40" s="441">
        <f ca="1">SUMPRODUCT(H$5:H$27,后果有效剂量!$I$5:$I$27)*后果有效剂量!$Q14+SUMPRODUCT(I$5:I$27,后果有效剂量!$I$5:$I$27)*后果有效剂量!$Q14+SUMPRODUCT(J$5:J$27,后果有效剂量!$I$5:$I$27)*后果有效剂量!$R14+SUMPRODUCT(K$5:K$27,后果有效剂量!$I$5:$I$27)*后果有效剂量!$S14+SUMPRODUCT(L$5:L$27,后果有效剂量!$I$5:$I$27)*后果有效剂量!$T14+SUMPRODUCT(M$5:M$27,后果有效剂量!$I$5:$I$27)*后果有效剂量!$U14+SUMPRODUCT(H$5:H$27,后果有效剂量!$J$5:$J$27)*后果有效剂量!$Q14*后果有效剂量!$Q$3+SUMPRODUCT(I$5:I$27,后果有效剂量!$J$5:$J$27)*后果有效剂量!$Q14*后果有效剂量!$Q$3+SUMPRODUCT(J$5:J$27,后果有效剂量!$J$5:$J$27)*后果有效剂量!$R14*后果有效剂量!$R$3+SUMPRODUCT(K$5:K$27,后果有效剂量!$J$5:$J$27)*后果有效剂量!$S14*后果有效剂量!$S$3+SUMPRODUCT(L$5:L$27,后果有效剂量!$J$5:$J$27)*后果有效剂量!$T14*后果有效剂量!$T$3+SUMPRODUCT(M$5:M$27,后果有效剂量!$J$5:$J$27)*后果有效剂量!$U14*后果有效剂量!$U$3+SUMPRODUCT(H$5:H$27,后果有效剂量!$K$5:$K$27)*后果有效剂量!$Q14+SUMPRODUCT(I$5:I$27,后果有效剂量!$K$5:$K$27)*后果有效剂量!$Q14+SUMPRODUCT(J$5:J$27,后果有效剂量!$K$5:$K$27)*后果有效剂量!$R14+SUMPRODUCT(K$5:K$27,后果有效剂量!$K$5:$K$27)*后果有效剂量!$S14+SUMPRODUCT(L$5:L$27,后果有效剂量!$K$5:$K$27)*后果有效剂量!$T14+SUMPRODUCT(M$5:M$27,后果有效剂量!$K$5:$K$27)*后果有效剂量!$U14</f>
        <v>0.00209649742827901</v>
      </c>
      <c r="I40" s="453">
        <f ca="1">SUMPRODUCT(H$5:H$27,后果甲状腺剂量!$I$5:$I$27)*后果甲状腺剂量!$Q14+SUMPRODUCT(I$5:I$27,后果甲状腺剂量!$I$5:$I$27)*后果甲状腺剂量!$Q14+SUMPRODUCT(J$5:J$27,后果甲状腺剂量!$I$5:$I$27)*后果甲状腺剂量!$R14+SUMPRODUCT(K$5:K$27,后果甲状腺剂量!$I$5:$I$27)*后果甲状腺剂量!$S14+SUMPRODUCT(L$5:L$27,后果甲状腺剂量!$I$5:$I$27)*后果甲状腺剂量!$T14+SUMPRODUCT(M$5:M$27,后果甲状腺剂量!$I$5:$I$27)*后果甲状腺剂量!$U14+SUMPRODUCT(H$5:H$27,后果甲状腺剂量!$J$5:$J$27)*后果甲状腺剂量!$Q14*后果甲状腺剂量!$Q$3+SUMPRODUCT(I$5:I$27,后果甲状腺剂量!$J$5:$J$27)*后果甲状腺剂量!$Q14*后果甲状腺剂量!$Q$3+SUMPRODUCT(J$5:J$27,后果甲状腺剂量!$J$5:$J$27)*后果甲状腺剂量!$R14*后果甲状腺剂量!$R$3+SUMPRODUCT(K$5:K$27,后果甲状腺剂量!$J$5:$J$27)*后果甲状腺剂量!$S14*后果甲状腺剂量!$S$3+SUMPRODUCT(L$5:L$27,后果甲状腺剂量!$J$5:$J$27)*后果甲状腺剂量!$T14*后果甲状腺剂量!$T$3+SUMPRODUCT(M$5:M$27,后果甲状腺剂量!$J$5:$J$27)*后果甲状腺剂量!$U14*后果甲状腺剂量!$U$3+SUMPRODUCT(H$5:H$27,后果甲状腺剂量!$K$5:$K$27)*后果甲状腺剂量!$Q14+SUMPRODUCT(I$5:I$27,后果甲状腺剂量!$K$5:$K$27)*后果甲状腺剂量!$Q14+SUMPRODUCT(J$5:J$27,后果甲状腺剂量!$K$5:$K$27)*后果甲状腺剂量!$R14+SUMPRODUCT(K$5:K$27,后果甲状腺剂量!$K$5:$K$27)*后果甲状腺剂量!$S14+SUMPRODUCT(L$5:L$27,后果甲状腺剂量!$K$5:$K$27)*后果甲状腺剂量!$T14+SUMPRODUCT(M$5:M$27,后果甲状腺剂量!$K$5:$K$27)*后果甲状腺剂量!$U14</f>
        <v>0.0215865058795753</v>
      </c>
      <c r="J40" s="454">
        <f ca="1" t="shared" si="253"/>
        <v>2.09649742827901</v>
      </c>
      <c r="K40" s="454">
        <f ca="1" t="shared" si="254"/>
        <v>21.5865058795753</v>
      </c>
      <c r="L40" s="436"/>
      <c r="M40" s="436"/>
      <c r="N40" s="455"/>
      <c r="Q40" s="440" t="str">
        <f>后果有效剂量!$P14</f>
        <v>15000m</v>
      </c>
      <c r="R40" s="441">
        <f ca="1">SUMPRODUCT(R$5:R$27,后果有效剂量!$I$5:$I$27)*后果有效剂量!$Q14+SUMPRODUCT(S$5:S$27,后果有效剂量!$I$5:$I$27)*后果有效剂量!$Q14+SUMPRODUCT(T$5:T$27,后果有效剂量!$I$5:$I$27)*后果有效剂量!$R14+SUMPRODUCT(U$5:U$27,后果有效剂量!$I$5:$I$27)*后果有效剂量!$S14+SUMPRODUCT(V$5:V$27,后果有效剂量!$I$5:$I$27)*后果有效剂量!$T14+SUMPRODUCT(W$5:W$27,后果有效剂量!$I$5:$I$27)*后果有效剂量!$U14+SUMPRODUCT(R$5:R$27,后果有效剂量!$J$5:$J$27)*后果有效剂量!$Q14*后果有效剂量!$Q$3+SUMPRODUCT(S$5:S$27,后果有效剂量!$J$5:$J$27)*后果有效剂量!$Q14*后果有效剂量!$Q$3+SUMPRODUCT(T$5:T$27,后果有效剂量!$J$5:$J$27)*后果有效剂量!$R14*后果有效剂量!$R$3+SUMPRODUCT(U$5:U$27,后果有效剂量!$J$5:$J$27)*后果有效剂量!$S14*后果有效剂量!$S$3+SUMPRODUCT(V$5:V$27,后果有效剂量!$J$5:$J$27)*后果有效剂量!$T14*后果有效剂量!$T$3+SUMPRODUCT(W$5:W$27,后果有效剂量!$J$5:$J$27)*后果有效剂量!$U14*后果有效剂量!$U$3+SUMPRODUCT(R$5:R$27,后果有效剂量!$K$5:$K$27)*后果有效剂量!$Q14+SUMPRODUCT(S$5:S$27,后果有效剂量!$K$5:$K$27)*后果有效剂量!$Q14+SUMPRODUCT(T$5:T$27,后果有效剂量!$K$5:$K$27)*后果有效剂量!$R14+SUMPRODUCT(U$5:U$27,后果有效剂量!$K$5:$K$27)*后果有效剂量!$S14+SUMPRODUCT(V$5:V$27,后果有效剂量!$K$5:$K$27)*后果有效剂量!$T14+SUMPRODUCT(W$5:W$27,后果有效剂量!$K$5:$K$27)*后果有效剂量!$U14</f>
        <v>8.51410950476203e-5</v>
      </c>
      <c r="S40" s="453">
        <f ca="1">SUMPRODUCT(R$5:R$27,后果甲状腺剂量!$I$5:$I$27)*后果甲状腺剂量!$Q14+SUMPRODUCT(S$5:S$27,后果甲状腺剂量!$I$5:$I$27)*后果甲状腺剂量!$Q14+SUMPRODUCT(T$5:T$27,后果甲状腺剂量!$I$5:$I$27)*后果甲状腺剂量!$R14+SUMPRODUCT(U$5:U$27,后果甲状腺剂量!$I$5:$I$27)*后果甲状腺剂量!$S14+SUMPRODUCT(V$5:V$27,后果甲状腺剂量!$I$5:$I$27)*后果甲状腺剂量!$T14+SUMPRODUCT(W$5:W$27,后果甲状腺剂量!$I$5:$I$27)*后果甲状腺剂量!$U14+SUMPRODUCT(R$5:R$27,后果甲状腺剂量!$J$5:$J$27)*后果甲状腺剂量!$Q14*后果甲状腺剂量!$Q$3+SUMPRODUCT(S$5:S$27,后果甲状腺剂量!$J$5:$J$27)*后果甲状腺剂量!$Q14*后果甲状腺剂量!$Q$3+SUMPRODUCT(T$5:T$27,后果甲状腺剂量!$J$5:$J$27)*后果甲状腺剂量!$R14*后果甲状腺剂量!$R$3+SUMPRODUCT(U$5:U$27,后果甲状腺剂量!$J$5:$J$27)*后果甲状腺剂量!$S14*后果甲状腺剂量!$S$3+SUMPRODUCT(V$5:V$27,后果甲状腺剂量!$J$5:$J$27)*后果甲状腺剂量!$T14*后果甲状腺剂量!$T$3+SUMPRODUCT(W$5:W$27,后果甲状腺剂量!$J$5:$J$27)*后果甲状腺剂量!$U14*后果甲状腺剂量!$U$3+SUMPRODUCT(R$5:R$27,后果甲状腺剂量!$K$5:$K$27)*后果甲状腺剂量!$Q14+SUMPRODUCT(S$5:S$27,后果甲状腺剂量!$K$5:$K$27)*后果甲状腺剂量!$Q14+SUMPRODUCT(T$5:T$27,后果甲状腺剂量!$K$5:$K$27)*后果甲状腺剂量!$R14+SUMPRODUCT(U$5:U$27,后果甲状腺剂量!$K$5:$K$27)*后果甲状腺剂量!$S14+SUMPRODUCT(V$5:V$27,后果甲状腺剂量!$K$5:$K$27)*后果甲状腺剂量!$T14+SUMPRODUCT(W$5:W$27,后果甲状腺剂量!$K$5:$K$27)*后果甲状腺剂量!$U14</f>
        <v>0.00107267047381925</v>
      </c>
      <c r="T40" s="454">
        <f ca="1" t="shared" si="255"/>
        <v>0.0851410950476203</v>
      </c>
      <c r="U40" s="454">
        <f ca="1" t="shared" si="256"/>
        <v>1.07267047381925</v>
      </c>
      <c r="V40" s="436"/>
      <c r="W40" s="436"/>
      <c r="AN40" s="533"/>
      <c r="AS40" s="572"/>
      <c r="BO40" s="600"/>
      <c r="CJ40" s="600"/>
      <c r="DZ40" s="600"/>
      <c r="EU40" s="603"/>
      <c r="FP40" s="603"/>
      <c r="FS40" s="441">
        <f>SUMPRODUCT(FS$5:FS$27,后果有效剂量!$I$5:$I$27)*后果有效剂量!$Q14+SUMPRODUCT(FT$5:FT$27,后果有效剂量!$I$5:$I$27)*后果有效剂量!$R14+SUMPRODUCT(FU$5:FU$27,后果有效剂量!$I$5:$I$27)*后果有效剂量!$S14+SUMPRODUCT(FV$5:FV$27,后果有效剂量!$I$5:$I$27)*后果有效剂量!$T14+SUMPRODUCT(FS$5:FS$27,后果有效剂量!$J$5:$J$27)*后果有效剂量!$Q14*后果有效剂量!$Q$3+SUMPRODUCT(FT$5:FT$27,后果有效剂量!$J$5:$J$27)*后果有效剂量!$R14*后果有效剂量!$R$3+SUMPRODUCT(FU$5:FU$27,后果有效剂量!$J$5:$J$27)*后果有效剂量!$S14*后果有效剂量!$S$3+SUMPRODUCT(FV$5:FV$27,后果有效剂量!$J$5:$J$27)*后果有效剂量!$T14*后果有效剂量!$T$3+SUMPRODUCT(FS$5:FS$27,后果有效剂量!$K$5:$K$27)*后果有效剂量!$Q14+SUMPRODUCT(FT$5:FT$27,后果有效剂量!$K$5:$K$27)*后果有效剂量!$R14+SUMPRODUCT(FU$5:FU$27,后果有效剂量!$K$5:$K$27)*后果有效剂量!$S14+SUMPRODUCT(FV$5:FV$27,后果有效剂量!$K$5:$K$27)*后果有效剂量!$T14</f>
        <v>7.68902005784037e-5</v>
      </c>
      <c r="FT40" s="453">
        <f>SUMPRODUCT(FS$5:FS$27,后果甲状腺剂量!$I$5:$I$27)*后果甲状腺剂量!$Q14+SUMPRODUCT(FT$5:FT$27,后果甲状腺剂量!$I$5:$I$27)*后果甲状腺剂量!$R14+SUMPRODUCT(FU$5:FU$27,后果甲状腺剂量!$I$5:$I$27)*后果甲状腺剂量!$S14+SUMPRODUCT(FV$5:FV$27,后果甲状腺剂量!$I$5:$I$27)*后果甲状腺剂量!$T14+SUMPRODUCT(FS$5:FS$27,后果甲状腺剂量!$J$5:$J$27)*后果甲状腺剂量!$Q14*后果甲状腺剂量!$Q$3+SUMPRODUCT(FT$5:FT$27,后果甲状腺剂量!$J$5:$J$27)*后果甲状腺剂量!$R14*后果甲状腺剂量!$R$3+SUMPRODUCT(FU$5:FU$27,后果甲状腺剂量!$J$5:$J$27)*后果甲状腺剂量!$S14*后果甲状腺剂量!$S$3+SUMPRODUCT(FV$5:FV$27,后果甲状腺剂量!$J$5:$J$27)*后果甲状腺剂量!$T14*后果甲状腺剂量!$T$3+SUMPRODUCT(FS$5:FS$27,后果甲状腺剂量!$K$5:$K$27)*后果甲状腺剂量!$Q14+SUMPRODUCT(FT$5:FT$27,后果甲状腺剂量!$K$5:$K$27)*后果甲状腺剂量!$R14+SUMPRODUCT(FU$5:FU$27,后果甲状腺剂量!$K$5:$K$27)*后果甲状腺剂量!$S14+SUMPRODUCT(FV$5:FV$27,后果甲状腺剂量!$K$5:$K$27)*后果甲状腺剂量!$T14</f>
        <v>0.000561226102071427</v>
      </c>
      <c r="FU40" s="454">
        <f t="shared" si="257"/>
        <v>0.0768902005784037</v>
      </c>
      <c r="FV40" s="454">
        <f t="shared" si="258"/>
        <v>0.561226102071427</v>
      </c>
      <c r="FW40" s="436"/>
      <c r="FX40" s="436"/>
      <c r="GD40" s="440" t="str">
        <f>后果有效剂量!$P14</f>
        <v>15000m</v>
      </c>
      <c r="GE40" s="441">
        <f>SUMPRODUCT(GE$5:GE$27,后果有效剂量!$I$5:$I$27)*后果有效剂量!$Q14+SUMPRODUCT(GF$5:GF$27,后果有效剂量!$I$5:$I$27)*后果有效剂量!$R14+SUMPRODUCT(GG$5:GG$27,后果有效剂量!$I$5:$I$27)*后果有效剂量!$S14+(SUMPRODUCT(GH$5:GH$27,后果有效剂量!$I$5:$I$27)+SUMPRODUCT(GI$5:GI$27,后果有效剂量!$I$5:$I$27))*后果有效剂量!$T14+SUMPRODUCT(GJ$5:GJ$27,后果有效剂量!$I$5:$I$27)*后果有效剂量!$U14+SUMPRODUCT(GE$5:GE$27,后果有效剂量!$J$5:$J$27)*后果有效剂量!$Q14*后果有效剂量!$Q$3+SUMPRODUCT(GF$5:GF$27,后果有效剂量!$J$5:$J$27)*后果有效剂量!$R14*后果有效剂量!$R$3+SUMPRODUCT(GG$5:GG$27,后果有效剂量!$J$5:$J$27)*后果有效剂量!$S14*后果有效剂量!$S$3+(SUMPRODUCT(GH$5:GH$27,后果有效剂量!$J$5:$J$27)+SUMPRODUCT(GI$5:GI$27,后果有效剂量!$J$5:$J$27))*后果有效剂量!$T14*后果有效剂量!$T$3+SUMPRODUCT(GJ$5:GJ$27,后果有效剂量!$J$5:$J$27)*后果有效剂量!$U14*后果有效剂量!$U$3+SUMPRODUCT(GE$5:GE$27,后果有效剂量!$K$5:$K$27)*后果有效剂量!$Q14+SUMPRODUCT(GF$5:GF$27,后果有效剂量!$K$5:$K$27)*后果有效剂量!$R14+SUMPRODUCT(GG$5:GG$27,后果有效剂量!$K$5:$K$27)*后果有效剂量!$S14+(SUMPRODUCT(GH$5:GH$27,后果有效剂量!$K$5:$K$27)+SUMPRODUCT(GI$5:GI$27,后果有效剂量!$K$5:$K$27))*后果有效剂量!$T14+SUMPRODUCT(GJ$5:GJ$27,后果有效剂量!$K$5:$K$27)*后果有效剂量!$U14</f>
        <v>1.63999712876133e-5</v>
      </c>
      <c r="GF40" s="453">
        <f>SUMPRODUCT(GE$5:GE$27,后果甲状腺剂量!$I$5:$I$27)*后果甲状腺剂量!$Q14+SUMPRODUCT(GF$5:GF$27,后果甲状腺剂量!$I$5:$I$27)*后果甲状腺剂量!$R14+SUMPRODUCT(GG$5:GG$27,后果甲状腺剂量!$I$5:$I$27)*后果甲状腺剂量!$S14+(SUMPRODUCT(GH$5:GH$27,后果甲状腺剂量!$I$5:$I$27)+SUMPRODUCT(GI$5:GI$27,后果甲状腺剂量!$I$5:$I$27))*后果甲状腺剂量!$T14+SUMPRODUCT(GJ$5:GJ$27,后果甲状腺剂量!$I$5:$I$27)*后果甲状腺剂量!$U14+SUMPRODUCT(GE$5:GE$27,后果甲状腺剂量!$J$5:$J$27)*后果甲状腺剂量!$Q14*后果甲状腺剂量!$Q$3+SUMPRODUCT(GF$5:GF$27,后果甲状腺剂量!$J$5:$J$27)*后果甲状腺剂量!$R14*后果甲状腺剂量!$R$3+SUMPRODUCT(GG$5:GG$27,后果甲状腺剂量!$J$5:$J$27)*后果甲状腺剂量!$S14*后果甲状腺剂量!$S$3+(SUMPRODUCT(GH$5:GH$27,后果甲状腺剂量!$J$5:$J$27)+SUMPRODUCT(GI$5:GI$27,后果甲状腺剂量!$J$5:$J$27))*后果甲状腺剂量!$T14*后果甲状腺剂量!$T$3+SUMPRODUCT(GJ$5:GJ$27,后果甲状腺剂量!$J$5:$J$27)*后果甲状腺剂量!$U14*后果甲状腺剂量!$U$3+SUMPRODUCT(GE$5:GE$27,后果甲状腺剂量!$K$5:$K$27)*后果甲状腺剂量!$Q14+SUMPRODUCT(GF$5:GF$27,后果甲状腺剂量!$K$5:$K$27)*后果甲状腺剂量!$R14+SUMPRODUCT(GG$5:GG$27,后果甲状腺剂量!$K$5:$K$27)*后果甲状腺剂量!$S14+(SUMPRODUCT(GH$5:GH$27,后果甲状腺剂量!$K$5:$K$27)+SUMPRODUCT(GI$5:GI$27,后果甲状腺剂量!$K$5:$K$27))*后果甲状腺剂量!$T14+SUMPRODUCT(GJ$5:GJ$27,后果甲状腺剂量!$K$5:$K$27)*后果甲状腺剂量!$U14</f>
        <v>8.63559479091504e-5</v>
      </c>
      <c r="GG40" s="454">
        <f t="shared" si="259"/>
        <v>0.0163999712876133</v>
      </c>
      <c r="GH40" s="454">
        <f t="shared" si="260"/>
        <v>0.0863559479091504</v>
      </c>
      <c r="GI40" s="436"/>
      <c r="GJ40" s="436"/>
    </row>
    <row r="41" spans="7:192">
      <c r="G41" s="440" t="str">
        <f>后果有效剂量!$P15</f>
        <v>25000m</v>
      </c>
      <c r="H41" s="441">
        <f ca="1">SUMPRODUCT(H$5:H$27,后果有效剂量!$I$5:$I$27)*后果有效剂量!$Q15+SUMPRODUCT(I$5:I$27,后果有效剂量!$I$5:$I$27)*后果有效剂量!$Q15+SUMPRODUCT(J$5:J$27,后果有效剂量!$I$5:$I$27)*后果有效剂量!$R15+SUMPRODUCT(K$5:K$27,后果有效剂量!$I$5:$I$27)*后果有效剂量!$S15+SUMPRODUCT(L$5:L$27,后果有效剂量!$I$5:$I$27)*后果有效剂量!$T15+SUMPRODUCT(M$5:M$27,后果有效剂量!$I$5:$I$27)*后果有效剂量!$U15+SUMPRODUCT(H$5:H$27,后果有效剂量!$J$5:$J$27)*后果有效剂量!$Q15*后果有效剂量!$Q$3+SUMPRODUCT(I$5:I$27,后果有效剂量!$J$5:$J$27)*后果有效剂量!$Q15*后果有效剂量!$Q$3+SUMPRODUCT(J$5:J$27,后果有效剂量!$J$5:$J$27)*后果有效剂量!$R15*后果有效剂量!$R$3+SUMPRODUCT(K$5:K$27,后果有效剂量!$J$5:$J$27)*后果有效剂量!$S15*后果有效剂量!$S$3+SUMPRODUCT(L$5:L$27,后果有效剂量!$J$5:$J$27)*后果有效剂量!$T15*后果有效剂量!$T$3+SUMPRODUCT(M$5:M$27,后果有效剂量!$J$5:$J$27)*后果有效剂量!$U15*后果有效剂量!$U$3+SUMPRODUCT(H$5:H$27,后果有效剂量!$K$5:$K$27)*后果有效剂量!$Q15+SUMPRODUCT(I$5:I$27,后果有效剂量!$K$5:$K$27)*后果有效剂量!$Q15+SUMPRODUCT(J$5:J$27,后果有效剂量!$K$5:$K$27)*后果有效剂量!$R15+SUMPRODUCT(K$5:K$27,后果有效剂量!$K$5:$K$27)*后果有效剂量!$S15+SUMPRODUCT(L$5:L$27,后果有效剂量!$K$5:$K$27)*后果有效剂量!$T15+SUMPRODUCT(M$5:M$27,后果有效剂量!$K$5:$K$27)*后果有效剂量!$U15</f>
        <v>9.75098548264761e-5</v>
      </c>
      <c r="I41" s="453">
        <f ca="1">SUMPRODUCT(H$5:H$27,后果甲状腺剂量!$I$5:$I$27)*后果甲状腺剂量!$Q15+SUMPRODUCT(I$5:I$27,后果甲状腺剂量!$I$5:$I$27)*后果甲状腺剂量!$Q15+SUMPRODUCT(J$5:J$27,后果甲状腺剂量!$I$5:$I$27)*后果甲状腺剂量!$R15+SUMPRODUCT(K$5:K$27,后果甲状腺剂量!$I$5:$I$27)*后果甲状腺剂量!$S15+SUMPRODUCT(L$5:L$27,后果甲状腺剂量!$I$5:$I$27)*后果甲状腺剂量!$T15+SUMPRODUCT(M$5:M$27,后果甲状腺剂量!$I$5:$I$27)*后果甲状腺剂量!$U15+SUMPRODUCT(H$5:H$27,后果甲状腺剂量!$J$5:$J$27)*后果甲状腺剂量!$Q15*后果甲状腺剂量!$Q$3+SUMPRODUCT(I$5:I$27,后果甲状腺剂量!$J$5:$J$27)*后果甲状腺剂量!$Q15*后果甲状腺剂量!$Q$3+SUMPRODUCT(J$5:J$27,后果甲状腺剂量!$J$5:$J$27)*后果甲状腺剂量!$R15*后果甲状腺剂量!$R$3+SUMPRODUCT(K$5:K$27,后果甲状腺剂量!$J$5:$J$27)*后果甲状腺剂量!$S15*后果甲状腺剂量!$S$3+SUMPRODUCT(L$5:L$27,后果甲状腺剂量!$J$5:$J$27)*后果甲状腺剂量!$T15*后果甲状腺剂量!$T$3+SUMPRODUCT(M$5:M$27,后果甲状腺剂量!$J$5:$J$27)*后果甲状腺剂量!$U15*后果甲状腺剂量!$U$3+SUMPRODUCT(H$5:H$27,后果甲状腺剂量!$K$5:$K$27)*后果甲状腺剂量!$Q15+SUMPRODUCT(I$5:I$27,后果甲状腺剂量!$K$5:$K$27)*后果甲状腺剂量!$Q15+SUMPRODUCT(J$5:J$27,后果甲状腺剂量!$K$5:$K$27)*后果甲状腺剂量!$R15+SUMPRODUCT(K$5:K$27,后果甲状腺剂量!$K$5:$K$27)*后果甲状腺剂量!$S15+SUMPRODUCT(L$5:L$27,后果甲状腺剂量!$K$5:$K$27)*后果甲状腺剂量!$T15+SUMPRODUCT(M$5:M$27,后果甲状腺剂量!$K$5:$K$27)*后果甲状腺剂量!$U15</f>
        <v>0.00625346580424327</v>
      </c>
      <c r="J41" s="454">
        <f ca="1" t="shared" si="253"/>
        <v>0.0975098548264761</v>
      </c>
      <c r="K41" s="454">
        <f ca="1" t="shared" si="254"/>
        <v>6.25346580424327</v>
      </c>
      <c r="L41" s="436"/>
      <c r="M41" s="436"/>
      <c r="N41" s="455"/>
      <c r="Q41" s="440" t="str">
        <f>后果有效剂量!$P15</f>
        <v>25000m</v>
      </c>
      <c r="R41" s="441">
        <f ca="1">SUMPRODUCT(R$5:R$27,后果有效剂量!$I$5:$I$27)*后果有效剂量!$Q15+SUMPRODUCT(S$5:S$27,后果有效剂量!$I$5:$I$27)*后果有效剂量!$Q15+SUMPRODUCT(T$5:T$27,后果有效剂量!$I$5:$I$27)*后果有效剂量!$R15+SUMPRODUCT(U$5:U$27,后果有效剂量!$I$5:$I$27)*后果有效剂量!$S15+SUMPRODUCT(V$5:V$27,后果有效剂量!$I$5:$I$27)*后果有效剂量!$T15+SUMPRODUCT(W$5:W$27,后果有效剂量!$I$5:$I$27)*后果有效剂量!$U15+SUMPRODUCT(R$5:R$27,后果有效剂量!$J$5:$J$27)*后果有效剂量!$Q15*后果有效剂量!$Q$3+SUMPRODUCT(S$5:S$27,后果有效剂量!$J$5:$J$27)*后果有效剂量!$Q15*后果有效剂量!$Q$3+SUMPRODUCT(T$5:T$27,后果有效剂量!$J$5:$J$27)*后果有效剂量!$R15*后果有效剂量!$R$3+SUMPRODUCT(U$5:U$27,后果有效剂量!$J$5:$J$27)*后果有效剂量!$S15*后果有效剂量!$S$3+SUMPRODUCT(V$5:V$27,后果有效剂量!$J$5:$J$27)*后果有效剂量!$T15*后果有效剂量!$T$3+SUMPRODUCT(W$5:W$27,后果有效剂量!$J$5:$J$27)*后果有效剂量!$U15*后果有效剂量!$U$3+SUMPRODUCT(R$5:R$27,后果有效剂量!$K$5:$K$27)*后果有效剂量!$Q15+SUMPRODUCT(S$5:S$27,后果有效剂量!$K$5:$K$27)*后果有效剂量!$Q15+SUMPRODUCT(T$5:T$27,后果有效剂量!$K$5:$K$27)*后果有效剂量!$R15+SUMPRODUCT(U$5:U$27,后果有效剂量!$K$5:$K$27)*后果有效剂量!$S15+SUMPRODUCT(V$5:V$27,后果有效剂量!$K$5:$K$27)*后果有效剂量!$T15+SUMPRODUCT(W$5:W$27,后果有效剂量!$K$5:$K$27)*后果有效剂量!$U15</f>
        <v>3.95650456109741e-6</v>
      </c>
      <c r="S41" s="453">
        <f ca="1">SUMPRODUCT(R$5:R$27,后果甲状腺剂量!$I$5:$I$27)*后果甲状腺剂量!$Q15+SUMPRODUCT(S$5:S$27,后果甲状腺剂量!$I$5:$I$27)*后果甲状腺剂量!$Q15+SUMPRODUCT(T$5:T$27,后果甲状腺剂量!$I$5:$I$27)*后果甲状腺剂量!$R15+SUMPRODUCT(U$5:U$27,后果甲状腺剂量!$I$5:$I$27)*后果甲状腺剂量!$S15+SUMPRODUCT(V$5:V$27,后果甲状腺剂量!$I$5:$I$27)*后果甲状腺剂量!$T15+SUMPRODUCT(W$5:W$27,后果甲状腺剂量!$I$5:$I$27)*后果甲状腺剂量!$U15+SUMPRODUCT(R$5:R$27,后果甲状腺剂量!$J$5:$J$27)*后果甲状腺剂量!$Q15*后果甲状腺剂量!$Q$3+SUMPRODUCT(S$5:S$27,后果甲状腺剂量!$J$5:$J$27)*后果甲状腺剂量!$Q15*后果甲状腺剂量!$Q$3+SUMPRODUCT(T$5:T$27,后果甲状腺剂量!$J$5:$J$27)*后果甲状腺剂量!$R15*后果甲状腺剂量!$R$3+SUMPRODUCT(U$5:U$27,后果甲状腺剂量!$J$5:$J$27)*后果甲状腺剂量!$S15*后果甲状腺剂量!$S$3+SUMPRODUCT(V$5:V$27,后果甲状腺剂量!$J$5:$J$27)*后果甲状腺剂量!$T15*后果甲状腺剂量!$T$3+SUMPRODUCT(W$5:W$27,后果甲状腺剂量!$J$5:$J$27)*后果甲状腺剂量!$U15*后果甲状腺剂量!$U$3+SUMPRODUCT(R$5:R$27,后果甲状腺剂量!$K$5:$K$27)*后果甲状腺剂量!$Q15+SUMPRODUCT(S$5:S$27,后果甲状腺剂量!$K$5:$K$27)*后果甲状腺剂量!$Q15+SUMPRODUCT(T$5:T$27,后果甲状腺剂量!$K$5:$K$27)*后果甲状腺剂量!$R15+SUMPRODUCT(U$5:U$27,后果甲状腺剂量!$K$5:$K$27)*后果甲状腺剂量!$S15+SUMPRODUCT(V$5:V$27,后果甲状腺剂量!$K$5:$K$27)*后果甲状腺剂量!$T15+SUMPRODUCT(W$5:W$27,后果甲状腺剂量!$K$5:$K$27)*后果甲状腺剂量!$U15</f>
        <v>0.000310744711949236</v>
      </c>
      <c r="T41" s="454">
        <f ca="1" t="shared" si="255"/>
        <v>0.00395650456109741</v>
      </c>
      <c r="U41" s="454">
        <f ca="1" t="shared" si="256"/>
        <v>0.310744711949236</v>
      </c>
      <c r="V41" s="436"/>
      <c r="W41" s="436"/>
      <c r="AN41" s="533"/>
      <c r="AS41" s="572"/>
      <c r="BO41" s="600"/>
      <c r="CJ41" s="600"/>
      <c r="DZ41" s="600"/>
      <c r="EU41" s="603"/>
      <c r="FP41" s="603"/>
      <c r="FS41" s="441">
        <f>SUMPRODUCT(FS$5:FS$27,后果有效剂量!$I$5:$I$27)*后果有效剂量!$Q15+SUMPRODUCT(FT$5:FT$27,后果有效剂量!$I$5:$I$27)*后果有效剂量!$R15+SUMPRODUCT(FU$5:FU$27,后果有效剂量!$I$5:$I$27)*后果有效剂量!$S15+SUMPRODUCT(FV$5:FV$27,后果有效剂量!$I$5:$I$27)*后果有效剂量!$T15+SUMPRODUCT(FS$5:FS$27,后果有效剂量!$J$5:$J$27)*后果有效剂量!$Q15*后果有效剂量!$Q$3+SUMPRODUCT(FT$5:FT$27,后果有效剂量!$J$5:$J$27)*后果有效剂量!$R15*后果有效剂量!$R$3+SUMPRODUCT(FU$5:FU$27,后果有效剂量!$J$5:$J$27)*后果有效剂量!$S15*后果有效剂量!$S$3+SUMPRODUCT(FV$5:FV$27,后果有效剂量!$J$5:$J$27)*后果有效剂量!$T15*后果有效剂量!$T$3+SUMPRODUCT(FS$5:FS$27,后果有效剂量!$K$5:$K$27)*后果有效剂量!$Q15+SUMPRODUCT(FT$5:FT$27,后果有效剂量!$K$5:$K$27)*后果有效剂量!$R15+SUMPRODUCT(FU$5:FU$27,后果有效剂量!$K$5:$K$27)*后果有效剂量!$S15+SUMPRODUCT(FV$5:FV$27,后果有效剂量!$K$5:$K$27)*后果有效剂量!$T15</f>
        <v>3.76943273964564e-6</v>
      </c>
      <c r="FT41" s="453">
        <f>SUMPRODUCT(FS$5:FS$27,后果甲状腺剂量!$I$5:$I$27)*后果甲状腺剂量!$Q15+SUMPRODUCT(FT$5:FT$27,后果甲状腺剂量!$I$5:$I$27)*后果甲状腺剂量!$R15+SUMPRODUCT(FU$5:FU$27,后果甲状腺剂量!$I$5:$I$27)*后果甲状腺剂量!$S15+SUMPRODUCT(FV$5:FV$27,后果甲状腺剂量!$I$5:$I$27)*后果甲状腺剂量!$T15+SUMPRODUCT(FS$5:FS$27,后果甲状腺剂量!$J$5:$J$27)*后果甲状腺剂量!$Q15*后果甲状腺剂量!$Q$3+SUMPRODUCT(FT$5:FT$27,后果甲状腺剂量!$J$5:$J$27)*后果甲状腺剂量!$R15*后果甲状腺剂量!$R$3+SUMPRODUCT(FU$5:FU$27,后果甲状腺剂量!$J$5:$J$27)*后果甲状腺剂量!$S15*后果甲状腺剂量!$S$3+SUMPRODUCT(FV$5:FV$27,后果甲状腺剂量!$J$5:$J$27)*后果甲状腺剂量!$T15*后果甲状腺剂量!$T$3+SUMPRODUCT(FS$5:FS$27,后果甲状腺剂量!$K$5:$K$27)*后果甲状腺剂量!$Q15+SUMPRODUCT(FT$5:FT$27,后果甲状腺剂量!$K$5:$K$27)*后果甲状腺剂量!$R15+SUMPRODUCT(FU$5:FU$27,后果甲状腺剂量!$K$5:$K$27)*后果甲状腺剂量!$S15+SUMPRODUCT(FV$5:FV$27,后果甲状腺剂量!$K$5:$K$27)*后果甲状腺剂量!$T15</f>
        <v>0.000171617689718182</v>
      </c>
      <c r="FU41" s="454">
        <f t="shared" si="257"/>
        <v>0.00376943273964564</v>
      </c>
      <c r="FV41" s="454">
        <f t="shared" si="258"/>
        <v>0.171617689718182</v>
      </c>
      <c r="FW41" s="436"/>
      <c r="FX41" s="436"/>
      <c r="GD41" s="440" t="str">
        <f>后果有效剂量!$P15</f>
        <v>25000m</v>
      </c>
      <c r="GE41" s="441">
        <f>SUMPRODUCT(GE$5:GE$27,后果有效剂量!$I$5:$I$27)*后果有效剂量!$Q15+SUMPRODUCT(GF$5:GF$27,后果有效剂量!$I$5:$I$27)*后果有效剂量!$R15+SUMPRODUCT(GG$5:GG$27,后果有效剂量!$I$5:$I$27)*后果有效剂量!$S15+(SUMPRODUCT(GH$5:GH$27,后果有效剂量!$I$5:$I$27)+SUMPRODUCT(GI$5:GI$27,后果有效剂量!$I$5:$I$27))*后果有效剂量!$T15+SUMPRODUCT(GJ$5:GJ$27,后果有效剂量!$I$5:$I$27)*后果有效剂量!$U15+SUMPRODUCT(GE$5:GE$27,后果有效剂量!$J$5:$J$27)*后果有效剂量!$Q15*后果有效剂量!$Q$3+SUMPRODUCT(GF$5:GF$27,后果有效剂量!$J$5:$J$27)*后果有效剂量!$R15*后果有效剂量!$R$3+SUMPRODUCT(GG$5:GG$27,后果有效剂量!$J$5:$J$27)*后果有效剂量!$S15*后果有效剂量!$S$3+(SUMPRODUCT(GH$5:GH$27,后果有效剂量!$J$5:$J$27)+SUMPRODUCT(GI$5:GI$27,后果有效剂量!$J$5:$J$27))*后果有效剂量!$T15*后果有效剂量!$T$3+SUMPRODUCT(GJ$5:GJ$27,后果有效剂量!$J$5:$J$27)*后果有效剂量!$U15*后果有效剂量!$U$3+SUMPRODUCT(GE$5:GE$27,后果有效剂量!$K$5:$K$27)*后果有效剂量!$Q15+SUMPRODUCT(GF$5:GF$27,后果有效剂量!$K$5:$K$27)*后果有效剂量!$R15+SUMPRODUCT(GG$5:GG$27,后果有效剂量!$K$5:$K$27)*后果有效剂量!$S15+(SUMPRODUCT(GH$5:GH$27,后果有效剂量!$K$5:$K$27)+SUMPRODUCT(GI$5:GI$27,后果有效剂量!$K$5:$K$27))*后果有效剂量!$T15+SUMPRODUCT(GJ$5:GJ$27,后果有效剂量!$K$5:$K$27)*后果有效剂量!$U15</f>
        <v>8.72148870971164e-7</v>
      </c>
      <c r="GF41" s="453">
        <f>SUMPRODUCT(GE$5:GE$27,后果甲状腺剂量!$I$5:$I$27)*后果甲状腺剂量!$Q15+SUMPRODUCT(GF$5:GF$27,后果甲状腺剂量!$I$5:$I$27)*后果甲状腺剂量!$R15+SUMPRODUCT(GG$5:GG$27,后果甲状腺剂量!$I$5:$I$27)*后果甲状腺剂量!$S15+(SUMPRODUCT(GH$5:GH$27,后果甲状腺剂量!$I$5:$I$27)+SUMPRODUCT(GI$5:GI$27,后果甲状腺剂量!$I$5:$I$27))*后果甲状腺剂量!$T15+SUMPRODUCT(GJ$5:GJ$27,后果甲状腺剂量!$I$5:$I$27)*后果甲状腺剂量!$U15+SUMPRODUCT(GE$5:GE$27,后果甲状腺剂量!$J$5:$J$27)*后果甲状腺剂量!$Q15*后果甲状腺剂量!$Q$3+SUMPRODUCT(GF$5:GF$27,后果甲状腺剂量!$J$5:$J$27)*后果甲状腺剂量!$R15*后果甲状腺剂量!$R$3+SUMPRODUCT(GG$5:GG$27,后果甲状腺剂量!$J$5:$J$27)*后果甲状腺剂量!$S15*后果甲状腺剂量!$S$3+(SUMPRODUCT(GH$5:GH$27,后果甲状腺剂量!$J$5:$J$27)+SUMPRODUCT(GI$5:GI$27,后果甲状腺剂量!$J$5:$J$27))*后果甲状腺剂量!$T15*后果甲状腺剂量!$T$3+SUMPRODUCT(GJ$5:GJ$27,后果甲状腺剂量!$J$5:$J$27)*后果甲状腺剂量!$U15*后果甲状腺剂量!$U$3+SUMPRODUCT(GE$5:GE$27,后果甲状腺剂量!$K$5:$K$27)*后果甲状腺剂量!$Q15+SUMPRODUCT(GF$5:GF$27,后果甲状腺剂量!$K$5:$K$27)*后果甲状腺剂量!$R15+SUMPRODUCT(GG$5:GG$27,后果甲状腺剂量!$K$5:$K$27)*后果甲状腺剂量!$S15+(SUMPRODUCT(GH$5:GH$27,后果甲状腺剂量!$K$5:$K$27)+SUMPRODUCT(GI$5:GI$27,后果甲状腺剂量!$K$5:$K$27))*后果甲状腺剂量!$T15+SUMPRODUCT(GJ$5:GJ$27,后果甲状腺剂量!$K$5:$K$27)*后果甲状腺剂量!$U15</f>
        <v>2.83339292015822e-5</v>
      </c>
      <c r="GG41" s="454">
        <f t="shared" si="259"/>
        <v>0.000872148870971164</v>
      </c>
      <c r="GH41" s="454">
        <f t="shared" si="260"/>
        <v>0.0283339292015822</v>
      </c>
      <c r="GI41" s="436"/>
      <c r="GJ41" s="436"/>
    </row>
    <row r="42" spans="7:192">
      <c r="G42" s="440" t="str">
        <f>后果有效剂量!$P16</f>
        <v>35000m</v>
      </c>
      <c r="H42" s="441">
        <f ca="1">SUMPRODUCT(H$5:H$27,后果有效剂量!$I$5:$I$27)*后果有效剂量!$Q16+SUMPRODUCT(I$5:I$27,后果有效剂量!$I$5:$I$27)*后果有效剂量!$Q16+SUMPRODUCT(J$5:J$27,后果有效剂量!$I$5:$I$27)*后果有效剂量!$R16+SUMPRODUCT(K$5:K$27,后果有效剂量!$I$5:$I$27)*后果有效剂量!$S16+SUMPRODUCT(L$5:L$27,后果有效剂量!$I$5:$I$27)*后果有效剂量!$T16+SUMPRODUCT(M$5:M$27,后果有效剂量!$I$5:$I$27)*后果有效剂量!$U16+SUMPRODUCT(H$5:H$27,后果有效剂量!$J$5:$J$27)*后果有效剂量!$Q16*后果有效剂量!$Q$3+SUMPRODUCT(I$5:I$27,后果有效剂量!$J$5:$J$27)*后果有效剂量!$Q16*后果有效剂量!$Q$3+SUMPRODUCT(J$5:J$27,后果有效剂量!$J$5:$J$27)*后果有效剂量!$R16*后果有效剂量!$R$3+SUMPRODUCT(K$5:K$27,后果有效剂量!$J$5:$J$27)*后果有效剂量!$S16*后果有效剂量!$S$3+SUMPRODUCT(L$5:L$27,后果有效剂量!$J$5:$J$27)*后果有效剂量!$T16*后果有效剂量!$T$3+SUMPRODUCT(M$5:M$27,后果有效剂量!$J$5:$J$27)*后果有效剂量!$U16*后果有效剂量!$U$3+SUMPRODUCT(H$5:H$27,后果有效剂量!$K$5:$K$27)*后果有效剂量!$Q16+SUMPRODUCT(I$5:I$27,后果有效剂量!$K$5:$K$27)*后果有效剂量!$Q16+SUMPRODUCT(J$5:J$27,后果有效剂量!$K$5:$K$27)*后果有效剂量!$R16+SUMPRODUCT(K$5:K$27,后果有效剂量!$K$5:$K$27)*后果有效剂量!$S16+SUMPRODUCT(L$5:L$27,后果有效剂量!$K$5:$K$27)*后果有效剂量!$T16+SUMPRODUCT(M$5:M$27,后果有效剂量!$K$5:$K$27)*后果有效剂量!$U16</f>
        <v>5.4473942869313e-5</v>
      </c>
      <c r="I42" s="453">
        <f ca="1">SUMPRODUCT(H$5:H$27,后果甲状腺剂量!$I$5:$I$27)*后果甲状腺剂量!$Q16+SUMPRODUCT(I$5:I$27,后果甲状腺剂量!$I$5:$I$27)*后果甲状腺剂量!$Q16+SUMPRODUCT(J$5:J$27,后果甲状腺剂量!$I$5:$I$27)*后果甲状腺剂量!$R16+SUMPRODUCT(K$5:K$27,后果甲状腺剂量!$I$5:$I$27)*后果甲状腺剂量!$S16+SUMPRODUCT(L$5:L$27,后果甲状腺剂量!$I$5:$I$27)*后果甲状腺剂量!$T16+SUMPRODUCT(M$5:M$27,后果甲状腺剂量!$I$5:$I$27)*后果甲状腺剂量!$U16+SUMPRODUCT(H$5:H$27,后果甲状腺剂量!$J$5:$J$27)*后果甲状腺剂量!$Q16*后果甲状腺剂量!$Q$3+SUMPRODUCT(I$5:I$27,后果甲状腺剂量!$J$5:$J$27)*后果甲状腺剂量!$Q16*后果甲状腺剂量!$Q$3+SUMPRODUCT(J$5:J$27,后果甲状腺剂量!$J$5:$J$27)*后果甲状腺剂量!$R16*后果甲状腺剂量!$R$3+SUMPRODUCT(K$5:K$27,后果甲状腺剂量!$J$5:$J$27)*后果甲状腺剂量!$S16*后果甲状腺剂量!$S$3+SUMPRODUCT(L$5:L$27,后果甲状腺剂量!$J$5:$J$27)*后果甲状腺剂量!$T16*后果甲状腺剂量!$T$3+SUMPRODUCT(M$5:M$27,后果甲状腺剂量!$J$5:$J$27)*后果甲状腺剂量!$U16*后果甲状腺剂量!$U$3+SUMPRODUCT(H$5:H$27,后果甲状腺剂量!$K$5:$K$27)*后果甲状腺剂量!$Q16+SUMPRODUCT(I$5:I$27,后果甲状腺剂量!$K$5:$K$27)*后果甲状腺剂量!$Q16+SUMPRODUCT(J$5:J$27,后果甲状腺剂量!$K$5:$K$27)*后果甲状腺剂量!$R16+SUMPRODUCT(K$5:K$27,后果甲状腺剂量!$K$5:$K$27)*后果甲状腺剂量!$S16+SUMPRODUCT(L$5:L$27,后果甲状腺剂量!$K$5:$K$27)*后果甲状腺剂量!$T16+SUMPRODUCT(M$5:M$27,后果甲状腺剂量!$K$5:$K$27)*后果甲状腺剂量!$U16</f>
        <v>0.00313539618520573</v>
      </c>
      <c r="J42" s="454">
        <f ca="1" t="shared" si="253"/>
        <v>0.054473942869313</v>
      </c>
      <c r="K42" s="454">
        <f ca="1" t="shared" si="254"/>
        <v>3.13539618520573</v>
      </c>
      <c r="L42" s="436"/>
      <c r="M42" s="436"/>
      <c r="N42" s="455"/>
      <c r="Q42" s="440" t="str">
        <f>后果有效剂量!$P16</f>
        <v>35000m</v>
      </c>
      <c r="R42" s="441">
        <f ca="1">SUMPRODUCT(R$5:R$27,后果有效剂量!$I$5:$I$27)*后果有效剂量!$Q16+SUMPRODUCT(S$5:S$27,后果有效剂量!$I$5:$I$27)*后果有效剂量!$Q16+SUMPRODUCT(T$5:T$27,后果有效剂量!$I$5:$I$27)*后果有效剂量!$R16+SUMPRODUCT(U$5:U$27,后果有效剂量!$I$5:$I$27)*后果有效剂量!$S16+SUMPRODUCT(V$5:V$27,后果有效剂量!$I$5:$I$27)*后果有效剂量!$T16+SUMPRODUCT(W$5:W$27,后果有效剂量!$I$5:$I$27)*后果有效剂量!$U16+SUMPRODUCT(R$5:R$27,后果有效剂量!$J$5:$J$27)*后果有效剂量!$Q16*后果有效剂量!$Q$3+SUMPRODUCT(S$5:S$27,后果有效剂量!$J$5:$J$27)*后果有效剂量!$Q16*后果有效剂量!$Q$3+SUMPRODUCT(T$5:T$27,后果有效剂量!$J$5:$J$27)*后果有效剂量!$R16*后果有效剂量!$R$3+SUMPRODUCT(U$5:U$27,后果有效剂量!$J$5:$J$27)*后果有效剂量!$S16*后果有效剂量!$S$3+SUMPRODUCT(V$5:V$27,后果有效剂量!$J$5:$J$27)*后果有效剂量!$T16*后果有效剂量!$T$3+SUMPRODUCT(W$5:W$27,后果有效剂量!$J$5:$J$27)*后果有效剂量!$U16*后果有效剂量!$U$3+SUMPRODUCT(R$5:R$27,后果有效剂量!$K$5:$K$27)*后果有效剂量!$Q16+SUMPRODUCT(S$5:S$27,后果有效剂量!$K$5:$K$27)*后果有效剂量!$Q16+SUMPRODUCT(T$5:T$27,后果有效剂量!$K$5:$K$27)*后果有效剂量!$R16+SUMPRODUCT(U$5:U$27,后果有效剂量!$K$5:$K$27)*后果有效剂量!$S16+SUMPRODUCT(V$5:V$27,后果有效剂量!$K$5:$K$27)*后果有效剂量!$T16+SUMPRODUCT(W$5:W$27,后果有效剂量!$K$5:$K$27)*后果有效剂量!$U16</f>
        <v>2.21005882646829e-6</v>
      </c>
      <c r="S42" s="453">
        <f ca="1">SUMPRODUCT(R$5:R$27,后果甲状腺剂量!$I$5:$I$27)*后果甲状腺剂量!$Q16+SUMPRODUCT(S$5:S$27,后果甲状腺剂量!$I$5:$I$27)*后果甲状腺剂量!$Q16+SUMPRODUCT(T$5:T$27,后果甲状腺剂量!$I$5:$I$27)*后果甲状腺剂量!$R16+SUMPRODUCT(U$5:U$27,后果甲状腺剂量!$I$5:$I$27)*后果甲状腺剂量!$S16+SUMPRODUCT(V$5:V$27,后果甲状腺剂量!$I$5:$I$27)*后果甲状腺剂量!$T16+SUMPRODUCT(W$5:W$27,后果甲状腺剂量!$I$5:$I$27)*后果甲状腺剂量!$U16+SUMPRODUCT(R$5:R$27,后果甲状腺剂量!$J$5:$J$27)*后果甲状腺剂量!$Q16*后果甲状腺剂量!$Q$3+SUMPRODUCT(S$5:S$27,后果甲状腺剂量!$J$5:$J$27)*后果甲状腺剂量!$Q16*后果甲状腺剂量!$Q$3+SUMPRODUCT(T$5:T$27,后果甲状腺剂量!$J$5:$J$27)*后果甲状腺剂量!$R16*后果甲状腺剂量!$R$3+SUMPRODUCT(U$5:U$27,后果甲状腺剂量!$J$5:$J$27)*后果甲状腺剂量!$S16*后果甲状腺剂量!$S$3+SUMPRODUCT(V$5:V$27,后果甲状腺剂量!$J$5:$J$27)*后果甲状腺剂量!$T16*后果甲状腺剂量!$T$3+SUMPRODUCT(W$5:W$27,后果甲状腺剂量!$J$5:$J$27)*后果甲状腺剂量!$U16*后果甲状腺剂量!$U$3+SUMPRODUCT(R$5:R$27,后果甲状腺剂量!$K$5:$K$27)*后果甲状腺剂量!$Q16+SUMPRODUCT(S$5:S$27,后果甲状腺剂量!$K$5:$K$27)*后果甲状腺剂量!$Q16+SUMPRODUCT(T$5:T$27,后果甲状腺剂量!$K$5:$K$27)*后果甲状腺剂量!$R16+SUMPRODUCT(U$5:U$27,后果甲状腺剂量!$K$5:$K$27)*后果甲状腺剂量!$S16+SUMPRODUCT(V$5:V$27,后果甲状腺剂量!$K$5:$K$27)*后果甲状腺剂量!$T16+SUMPRODUCT(W$5:W$27,后果甲状腺剂量!$K$5:$K$27)*后果甲状腺剂量!$U16</f>
        <v>0.000155802690617074</v>
      </c>
      <c r="T42" s="454">
        <f ca="1" t="shared" si="255"/>
        <v>0.00221005882646829</v>
      </c>
      <c r="U42" s="454">
        <f ca="1" t="shared" si="256"/>
        <v>0.155802690617074</v>
      </c>
      <c r="V42" s="436"/>
      <c r="W42" s="436"/>
      <c r="AN42" s="533"/>
      <c r="AS42" s="572"/>
      <c r="BO42" s="600"/>
      <c r="CJ42" s="600"/>
      <c r="DZ42" s="600"/>
      <c r="EU42" s="603"/>
      <c r="FP42" s="603"/>
      <c r="FS42" s="441">
        <f>SUMPRODUCT(FS$5:FS$27,后果有效剂量!$I$5:$I$27)*后果有效剂量!$Q16+SUMPRODUCT(FT$5:FT$27,后果有效剂量!$I$5:$I$27)*后果有效剂量!$R16+SUMPRODUCT(FU$5:FU$27,后果有效剂量!$I$5:$I$27)*后果有效剂量!$S16+SUMPRODUCT(FV$5:FV$27,后果有效剂量!$I$5:$I$27)*后果有效剂量!$T16+SUMPRODUCT(FS$5:FS$27,后果有效剂量!$J$5:$J$27)*后果有效剂量!$Q16*后果有效剂量!$Q$3+SUMPRODUCT(FT$5:FT$27,后果有效剂量!$J$5:$J$27)*后果有效剂量!$R16*后果有效剂量!$R$3+SUMPRODUCT(FU$5:FU$27,后果有效剂量!$J$5:$J$27)*后果有效剂量!$S16*后果有效剂量!$S$3+SUMPRODUCT(FV$5:FV$27,后果有效剂量!$J$5:$J$27)*后果有效剂量!$T16*后果有效剂量!$T$3+SUMPRODUCT(FS$5:FS$27,后果有效剂量!$K$5:$K$27)*后果有效剂量!$Q16+SUMPRODUCT(FT$5:FT$27,后果有效剂量!$K$5:$K$27)*后果有效剂量!$R16+SUMPRODUCT(FU$5:FU$27,后果有效剂量!$K$5:$K$27)*后果有效剂量!$S16+SUMPRODUCT(FV$5:FV$27,后果有效剂量!$K$5:$K$27)*后果有效剂量!$T16</f>
        <v>2.12917624572601e-6</v>
      </c>
      <c r="FT42" s="453">
        <f>SUMPRODUCT(FS$5:FS$27,后果甲状腺剂量!$I$5:$I$27)*后果甲状腺剂量!$Q16+SUMPRODUCT(FT$5:FT$27,后果甲状腺剂量!$I$5:$I$27)*后果甲状腺剂量!$R16+SUMPRODUCT(FU$5:FU$27,后果甲状腺剂量!$I$5:$I$27)*后果甲状腺剂量!$S16+SUMPRODUCT(FV$5:FV$27,后果甲状腺剂量!$I$5:$I$27)*后果甲状腺剂量!$T16+SUMPRODUCT(FS$5:FS$27,后果甲状腺剂量!$J$5:$J$27)*后果甲状腺剂量!$Q16*后果甲状腺剂量!$Q$3+SUMPRODUCT(FT$5:FT$27,后果甲状腺剂量!$J$5:$J$27)*后果甲状腺剂量!$R16*后果甲状腺剂量!$R$3+SUMPRODUCT(FU$5:FU$27,后果甲状腺剂量!$J$5:$J$27)*后果甲状腺剂量!$S16*后果甲状腺剂量!$S$3+SUMPRODUCT(FV$5:FV$27,后果甲状腺剂量!$J$5:$J$27)*后果甲状腺剂量!$T16*后果甲状腺剂量!$T$3+SUMPRODUCT(FS$5:FS$27,后果甲状腺剂量!$K$5:$K$27)*后果甲状腺剂量!$Q16+SUMPRODUCT(FT$5:FT$27,后果甲状腺剂量!$K$5:$K$27)*后果甲状腺剂量!$R16+SUMPRODUCT(FU$5:FU$27,后果甲状腺剂量!$K$5:$K$27)*后果甲状腺剂量!$S16+SUMPRODUCT(FV$5:FV$27,后果甲状腺剂量!$K$5:$K$27)*后果甲状腺剂量!$T16</f>
        <v>8.77501626392143e-5</v>
      </c>
      <c r="FU42" s="454">
        <f t="shared" si="257"/>
        <v>0.00212917624572601</v>
      </c>
      <c r="FV42" s="454">
        <f t="shared" si="258"/>
        <v>0.0877501626392143</v>
      </c>
      <c r="FW42" s="436"/>
      <c r="FX42" s="436"/>
      <c r="GD42" s="440" t="str">
        <f>后果有效剂量!$P16</f>
        <v>35000m</v>
      </c>
      <c r="GE42" s="441">
        <f>SUMPRODUCT(GE$5:GE$27,后果有效剂量!$I$5:$I$27)*后果有效剂量!$Q16+SUMPRODUCT(GF$5:GF$27,后果有效剂量!$I$5:$I$27)*后果有效剂量!$R16+SUMPRODUCT(GG$5:GG$27,后果有效剂量!$I$5:$I$27)*后果有效剂量!$S16+(SUMPRODUCT(GH$5:GH$27,后果有效剂量!$I$5:$I$27)+SUMPRODUCT(GI$5:GI$27,后果有效剂量!$I$5:$I$27))*后果有效剂量!$T16+SUMPRODUCT(GJ$5:GJ$27,后果有效剂量!$I$5:$I$27)*后果有效剂量!$U16+SUMPRODUCT(GE$5:GE$27,后果有效剂量!$J$5:$J$27)*后果有效剂量!$Q16*后果有效剂量!$Q$3+SUMPRODUCT(GF$5:GF$27,后果有效剂量!$J$5:$J$27)*后果有效剂量!$R16*后果有效剂量!$R$3+SUMPRODUCT(GG$5:GG$27,后果有效剂量!$J$5:$J$27)*后果有效剂量!$S16*后果有效剂量!$S$3+(SUMPRODUCT(GH$5:GH$27,后果有效剂量!$J$5:$J$27)+SUMPRODUCT(GI$5:GI$27,后果有效剂量!$J$5:$J$27))*后果有效剂量!$T16*后果有效剂量!$T$3+SUMPRODUCT(GJ$5:GJ$27,后果有效剂量!$J$5:$J$27)*后果有效剂量!$U16*后果有效剂量!$U$3+SUMPRODUCT(GE$5:GE$27,后果有效剂量!$K$5:$K$27)*后果有效剂量!$Q16+SUMPRODUCT(GF$5:GF$27,后果有效剂量!$K$5:$K$27)*后果有效剂量!$R16+SUMPRODUCT(GG$5:GG$27,后果有效剂量!$K$5:$K$27)*后果有效剂量!$S16+(SUMPRODUCT(GH$5:GH$27,后果有效剂量!$K$5:$K$27)+SUMPRODUCT(GI$5:GI$27,后果有效剂量!$K$5:$K$27))*后果有效剂量!$T16+SUMPRODUCT(GJ$5:GJ$27,后果有效剂量!$K$5:$K$27)*后果有效剂量!$U16</f>
        <v>4.96553112111478e-7</v>
      </c>
      <c r="GF42" s="453">
        <f>SUMPRODUCT(GE$5:GE$27,后果甲状腺剂量!$I$5:$I$27)*后果甲状腺剂量!$Q16+SUMPRODUCT(GF$5:GF$27,后果甲状腺剂量!$I$5:$I$27)*后果甲状腺剂量!$R16+SUMPRODUCT(GG$5:GG$27,后果甲状腺剂量!$I$5:$I$27)*后果甲状腺剂量!$S16+(SUMPRODUCT(GH$5:GH$27,后果甲状腺剂量!$I$5:$I$27)+SUMPRODUCT(GI$5:GI$27,后果甲状腺剂量!$I$5:$I$27))*后果甲状腺剂量!$T16+SUMPRODUCT(GJ$5:GJ$27,后果甲状腺剂量!$I$5:$I$27)*后果甲状腺剂量!$U16+SUMPRODUCT(GE$5:GE$27,后果甲状腺剂量!$J$5:$J$27)*后果甲状腺剂量!$Q16*后果甲状腺剂量!$Q$3+SUMPRODUCT(GF$5:GF$27,后果甲状腺剂量!$J$5:$J$27)*后果甲状腺剂量!$R16*后果甲状腺剂量!$R$3+SUMPRODUCT(GG$5:GG$27,后果甲状腺剂量!$J$5:$J$27)*后果甲状腺剂量!$S16*后果甲状腺剂量!$S$3+(SUMPRODUCT(GH$5:GH$27,后果甲状腺剂量!$J$5:$J$27)+SUMPRODUCT(GI$5:GI$27,后果甲状腺剂量!$J$5:$J$27))*后果甲状腺剂量!$T16*后果甲状腺剂量!$T$3+SUMPRODUCT(GJ$5:GJ$27,后果甲状腺剂量!$J$5:$J$27)*后果甲状腺剂量!$U16*后果甲状腺剂量!$U$3+SUMPRODUCT(GE$5:GE$27,后果甲状腺剂量!$K$5:$K$27)*后果甲状腺剂量!$Q16+SUMPRODUCT(GF$5:GF$27,后果甲状腺剂量!$K$5:$K$27)*后果甲状腺剂量!$R16+SUMPRODUCT(GG$5:GG$27,后果甲状腺剂量!$K$5:$K$27)*后果甲状腺剂量!$S16+(SUMPRODUCT(GH$5:GH$27,后果甲状腺剂量!$K$5:$K$27)+SUMPRODUCT(GI$5:GI$27,后果甲状腺剂量!$K$5:$K$27))*后果甲状腺剂量!$T16+SUMPRODUCT(GJ$5:GJ$27,后果甲状腺剂量!$K$5:$K$27)*后果甲状腺剂量!$U16</f>
        <v>1.4854301916215e-5</v>
      </c>
      <c r="GG42" s="454">
        <f t="shared" si="259"/>
        <v>0.000496553112111478</v>
      </c>
      <c r="GH42" s="454">
        <f t="shared" si="260"/>
        <v>0.014854301916215</v>
      </c>
      <c r="GI42" s="436"/>
      <c r="GJ42" s="436"/>
    </row>
    <row r="43" spans="7:192">
      <c r="G43" s="440" t="str">
        <f>后果有效剂量!$P17</f>
        <v>45000m</v>
      </c>
      <c r="H43" s="441">
        <f ca="1">SUMPRODUCT(H$5:H$27,后果有效剂量!$I$5:$I$27)*后果有效剂量!$Q17+SUMPRODUCT(I$5:I$27,后果有效剂量!$I$5:$I$27)*后果有效剂量!$Q17+SUMPRODUCT(J$5:J$27,后果有效剂量!$I$5:$I$27)*后果有效剂量!$R17+SUMPRODUCT(K$5:K$27,后果有效剂量!$I$5:$I$27)*后果有效剂量!$S17+SUMPRODUCT(L$5:L$27,后果有效剂量!$I$5:$I$27)*后果有效剂量!$T17+SUMPRODUCT(M$5:M$27,后果有效剂量!$I$5:$I$27)*后果有效剂量!$U17+SUMPRODUCT(H$5:H$27,后果有效剂量!$J$5:$J$27)*后果有效剂量!$Q17*后果有效剂量!$Q$3+SUMPRODUCT(I$5:I$27,后果有效剂量!$J$5:$J$27)*后果有效剂量!$Q17*后果有效剂量!$Q$3+SUMPRODUCT(J$5:J$27,后果有效剂量!$J$5:$J$27)*后果有效剂量!$R17*后果有效剂量!$R$3+SUMPRODUCT(K$5:K$27,后果有效剂量!$J$5:$J$27)*后果有效剂量!$S17*后果有效剂量!$S$3+SUMPRODUCT(L$5:L$27,后果有效剂量!$J$5:$J$27)*后果有效剂量!$T17*后果有效剂量!$T$3+SUMPRODUCT(M$5:M$27,后果有效剂量!$J$5:$J$27)*后果有效剂量!$U17*后果有效剂量!$U$3+SUMPRODUCT(H$5:H$27,后果有效剂量!$K$5:$K$27)*后果有效剂量!$Q17+SUMPRODUCT(I$5:I$27,后果有效剂量!$K$5:$K$27)*后果有效剂量!$Q17+SUMPRODUCT(J$5:J$27,后果有效剂量!$K$5:$K$27)*后果有效剂量!$R17+SUMPRODUCT(K$5:K$27,后果有效剂量!$K$5:$K$27)*后果有效剂量!$S17+SUMPRODUCT(L$5:L$27,后果有效剂量!$K$5:$K$27)*后果有效剂量!$T17+SUMPRODUCT(M$5:M$27,后果有效剂量!$K$5:$K$27)*后果有效剂量!$U17</f>
        <v>4.64155387307162e-5</v>
      </c>
      <c r="I43" s="453">
        <f ca="1">SUMPRODUCT(H$5:H$27,后果甲状腺剂量!$I$5:$I$27)*后果甲状腺剂量!$Q17+SUMPRODUCT(I$5:I$27,后果甲状腺剂量!$I$5:$I$27)*后果甲状腺剂量!$Q17+SUMPRODUCT(J$5:J$27,后果甲状腺剂量!$I$5:$I$27)*后果甲状腺剂量!$R17+SUMPRODUCT(K$5:K$27,后果甲状腺剂量!$I$5:$I$27)*后果甲状腺剂量!$S17+SUMPRODUCT(L$5:L$27,后果甲状腺剂量!$I$5:$I$27)*后果甲状腺剂量!$T17+SUMPRODUCT(M$5:M$27,后果甲状腺剂量!$I$5:$I$27)*后果甲状腺剂量!$U17+SUMPRODUCT(H$5:H$27,后果甲状腺剂量!$J$5:$J$27)*后果甲状腺剂量!$Q17*后果甲状腺剂量!$Q$3+SUMPRODUCT(I$5:I$27,后果甲状腺剂量!$J$5:$J$27)*后果甲状腺剂量!$Q17*后果甲状腺剂量!$Q$3+SUMPRODUCT(J$5:J$27,后果甲状腺剂量!$J$5:$J$27)*后果甲状腺剂量!$R17*后果甲状腺剂量!$R$3+SUMPRODUCT(K$5:K$27,后果甲状腺剂量!$J$5:$J$27)*后果甲状腺剂量!$S17*后果甲状腺剂量!$S$3+SUMPRODUCT(L$5:L$27,后果甲状腺剂量!$J$5:$J$27)*后果甲状腺剂量!$T17*后果甲状腺剂量!$T$3+SUMPRODUCT(M$5:M$27,后果甲状腺剂量!$J$5:$J$27)*后果甲状腺剂量!$U17*后果甲状腺剂量!$U$3+SUMPRODUCT(H$5:H$27,后果甲状腺剂量!$K$5:$K$27)*后果甲状腺剂量!$Q17+SUMPRODUCT(I$5:I$27,后果甲状腺剂量!$K$5:$K$27)*后果甲状腺剂量!$Q17+SUMPRODUCT(J$5:J$27,后果甲状腺剂量!$K$5:$K$27)*后果甲状腺剂量!$R17+SUMPRODUCT(K$5:K$27,后果甲状腺剂量!$K$5:$K$27)*后果甲状腺剂量!$S17+SUMPRODUCT(L$5:L$27,后果甲状腺剂量!$K$5:$K$27)*后果甲状腺剂量!$T17+SUMPRODUCT(M$5:M$27,后果甲状腺剂量!$K$5:$K$27)*后果甲状腺剂量!$U17</f>
        <v>0.00269220111402675</v>
      </c>
      <c r="J43" s="454">
        <f ca="1" t="shared" si="253"/>
        <v>0.0464155387307162</v>
      </c>
      <c r="K43" s="454">
        <f ca="1" t="shared" si="254"/>
        <v>2.69220111402675</v>
      </c>
      <c r="L43" s="436"/>
      <c r="M43" s="436"/>
      <c r="N43" s="455"/>
      <c r="Q43" s="440" t="str">
        <f>后果有效剂量!$P17</f>
        <v>45000m</v>
      </c>
      <c r="R43" s="441">
        <f ca="1">SUMPRODUCT(R$5:R$27,后果有效剂量!$I$5:$I$27)*后果有效剂量!$Q17+SUMPRODUCT(S$5:S$27,后果有效剂量!$I$5:$I$27)*后果有效剂量!$Q17+SUMPRODUCT(T$5:T$27,后果有效剂量!$I$5:$I$27)*后果有效剂量!$R17+SUMPRODUCT(U$5:U$27,后果有效剂量!$I$5:$I$27)*后果有效剂量!$S17+SUMPRODUCT(V$5:V$27,后果有效剂量!$I$5:$I$27)*后果有效剂量!$T17+SUMPRODUCT(W$5:W$27,后果有效剂量!$I$5:$I$27)*后果有效剂量!$U17+SUMPRODUCT(R$5:R$27,后果有效剂量!$J$5:$J$27)*后果有效剂量!$Q17*后果有效剂量!$Q$3+SUMPRODUCT(S$5:S$27,后果有效剂量!$J$5:$J$27)*后果有效剂量!$Q17*后果有效剂量!$Q$3+SUMPRODUCT(T$5:T$27,后果有效剂量!$J$5:$J$27)*后果有效剂量!$R17*后果有效剂量!$R$3+SUMPRODUCT(U$5:U$27,后果有效剂量!$J$5:$J$27)*后果有效剂量!$S17*后果有效剂量!$S$3+SUMPRODUCT(V$5:V$27,后果有效剂量!$J$5:$J$27)*后果有效剂量!$T17*后果有效剂量!$T$3+SUMPRODUCT(W$5:W$27,后果有效剂量!$J$5:$J$27)*后果有效剂量!$U17*后果有效剂量!$U$3+SUMPRODUCT(R$5:R$27,后果有效剂量!$K$5:$K$27)*后果有效剂量!$Q17+SUMPRODUCT(S$5:S$27,后果有效剂量!$K$5:$K$27)*后果有效剂量!$Q17+SUMPRODUCT(T$5:T$27,后果有效剂量!$K$5:$K$27)*后果有效剂量!$R17+SUMPRODUCT(U$5:U$27,后果有效剂量!$K$5:$K$27)*后果有效剂量!$S17+SUMPRODUCT(V$5:V$27,后果有效剂量!$K$5:$K$27)*后果有效剂量!$T17+SUMPRODUCT(W$5:W$27,后果有效剂量!$K$5:$K$27)*后果有效剂量!$U17</f>
        <v>1.8839495387285e-6</v>
      </c>
      <c r="S43" s="453">
        <f ca="1">SUMPRODUCT(R$5:R$27,后果甲状腺剂量!$I$5:$I$27)*后果甲状腺剂量!$Q17+SUMPRODUCT(S$5:S$27,后果甲状腺剂量!$I$5:$I$27)*后果甲状腺剂量!$Q17+SUMPRODUCT(T$5:T$27,后果甲状腺剂量!$I$5:$I$27)*后果甲状腺剂量!$R17+SUMPRODUCT(U$5:U$27,后果甲状腺剂量!$I$5:$I$27)*后果甲状腺剂量!$S17+SUMPRODUCT(V$5:V$27,后果甲状腺剂量!$I$5:$I$27)*后果甲状腺剂量!$T17+SUMPRODUCT(W$5:W$27,后果甲状腺剂量!$I$5:$I$27)*后果甲状腺剂量!$U17+SUMPRODUCT(R$5:R$27,后果甲状腺剂量!$J$5:$J$27)*后果甲状腺剂量!$Q17*后果甲状腺剂量!$Q$3+SUMPRODUCT(S$5:S$27,后果甲状腺剂量!$J$5:$J$27)*后果甲状腺剂量!$Q17*后果甲状腺剂量!$Q$3+SUMPRODUCT(T$5:T$27,后果甲状腺剂量!$J$5:$J$27)*后果甲状腺剂量!$R17*后果甲状腺剂量!$R$3+SUMPRODUCT(U$5:U$27,后果甲状腺剂量!$J$5:$J$27)*后果甲状腺剂量!$S17*后果甲状腺剂量!$S$3+SUMPRODUCT(V$5:V$27,后果甲状腺剂量!$J$5:$J$27)*后果甲状腺剂量!$T17*后果甲状腺剂量!$T$3+SUMPRODUCT(W$5:W$27,后果甲状腺剂量!$J$5:$J$27)*后果甲状腺剂量!$U17*后果甲状腺剂量!$U$3+SUMPRODUCT(R$5:R$27,后果甲状腺剂量!$K$5:$K$27)*后果甲状腺剂量!$Q17+SUMPRODUCT(S$5:S$27,后果甲状腺剂量!$K$5:$K$27)*后果甲状腺剂量!$Q17+SUMPRODUCT(T$5:T$27,后果甲状腺剂量!$K$5:$K$27)*后果甲状腺剂量!$R17+SUMPRODUCT(U$5:U$27,后果甲状腺剂量!$K$5:$K$27)*后果甲状腺剂量!$S17+SUMPRODUCT(V$5:V$27,后果甲状腺剂量!$K$5:$K$27)*后果甲状腺剂量!$T17+SUMPRODUCT(W$5:W$27,后果甲状腺剂量!$K$5:$K$27)*后果甲状腺剂量!$U17</f>
        <v>0.000133779894909214</v>
      </c>
      <c r="T43" s="454">
        <f ca="1" t="shared" si="255"/>
        <v>0.0018839495387285</v>
      </c>
      <c r="U43" s="454">
        <f ca="1" t="shared" si="256"/>
        <v>0.133779894909214</v>
      </c>
      <c r="V43" s="436"/>
      <c r="W43" s="436"/>
      <c r="AN43" s="533"/>
      <c r="AS43" s="572"/>
      <c r="BO43" s="600"/>
      <c r="CJ43" s="600"/>
      <c r="DZ43" s="600"/>
      <c r="EU43" s="603"/>
      <c r="FP43" s="603"/>
      <c r="FS43" s="441">
        <f>SUMPRODUCT(FS$5:FS$27,后果有效剂量!$I$5:$I$27)*后果有效剂量!$Q17+SUMPRODUCT(FT$5:FT$27,后果有效剂量!$I$5:$I$27)*后果有效剂量!$R17+SUMPRODUCT(FU$5:FU$27,后果有效剂量!$I$5:$I$27)*后果有效剂量!$S17+SUMPRODUCT(FV$5:FV$27,后果有效剂量!$I$5:$I$27)*后果有效剂量!$T17+SUMPRODUCT(FS$5:FS$27,后果有效剂量!$J$5:$J$27)*后果有效剂量!$Q17*后果有效剂量!$Q$3+SUMPRODUCT(FT$5:FT$27,后果有效剂量!$J$5:$J$27)*后果有效剂量!$R17*后果有效剂量!$R$3+SUMPRODUCT(FU$5:FU$27,后果有效剂量!$J$5:$J$27)*后果有效剂量!$S17*后果有效剂量!$S$3+SUMPRODUCT(FV$5:FV$27,后果有效剂量!$J$5:$J$27)*后果有效剂量!$T17*后果有效剂量!$T$3+SUMPRODUCT(FS$5:FS$27,后果有效剂量!$K$5:$K$27)*后果有效剂量!$Q17+SUMPRODUCT(FT$5:FT$27,后果有效剂量!$K$5:$K$27)*后果有效剂量!$R17+SUMPRODUCT(FU$5:FU$27,后果有效剂量!$K$5:$K$27)*后果有效剂量!$S17+SUMPRODUCT(FV$5:FV$27,后果有效剂量!$K$5:$K$27)*后果有效剂量!$T17</f>
        <v>1.74867432338742e-6</v>
      </c>
      <c r="FT43" s="453">
        <f>SUMPRODUCT(FS$5:FS$27,后果甲状腺剂量!$I$5:$I$27)*后果甲状腺剂量!$Q17+SUMPRODUCT(FT$5:FT$27,后果甲状腺剂量!$I$5:$I$27)*后果甲状腺剂量!$R17+SUMPRODUCT(FU$5:FU$27,后果甲状腺剂量!$I$5:$I$27)*后果甲状腺剂量!$S17+SUMPRODUCT(FV$5:FV$27,后果甲状腺剂量!$I$5:$I$27)*后果甲状腺剂量!$T17+SUMPRODUCT(FS$5:FS$27,后果甲状腺剂量!$J$5:$J$27)*后果甲状腺剂量!$Q17*后果甲状腺剂量!$Q$3+SUMPRODUCT(FT$5:FT$27,后果甲状腺剂量!$J$5:$J$27)*后果甲状腺剂量!$R17*后果甲状腺剂量!$R$3+SUMPRODUCT(FU$5:FU$27,后果甲状腺剂量!$J$5:$J$27)*后果甲状腺剂量!$S17*后果甲状腺剂量!$S$3+SUMPRODUCT(FV$5:FV$27,后果甲状腺剂量!$J$5:$J$27)*后果甲状腺剂量!$T17*后果甲状腺剂量!$T$3+SUMPRODUCT(FS$5:FS$27,后果甲状腺剂量!$K$5:$K$27)*后果甲状腺剂量!$Q17+SUMPRODUCT(FT$5:FT$27,后果甲状腺剂量!$K$5:$K$27)*后果甲状腺剂量!$R17+SUMPRODUCT(FU$5:FU$27,后果甲状腺剂量!$K$5:$K$27)*后果甲状腺剂量!$S17+SUMPRODUCT(FV$5:FV$27,后果甲状腺剂量!$K$5:$K$27)*后果甲状腺剂量!$T17</f>
        <v>7.24295071120302e-5</v>
      </c>
      <c r="FU43" s="454">
        <f t="shared" si="257"/>
        <v>0.00174867432338742</v>
      </c>
      <c r="FV43" s="454">
        <f t="shared" si="258"/>
        <v>0.0724295071120302</v>
      </c>
      <c r="FW43" s="436"/>
      <c r="FX43" s="436"/>
      <c r="GD43" s="440" t="str">
        <f>后果有效剂量!$P17</f>
        <v>45000m</v>
      </c>
      <c r="GE43" s="441">
        <f>SUMPRODUCT(GE$5:GE$27,后果有效剂量!$I$5:$I$27)*后果有效剂量!$Q17+SUMPRODUCT(GF$5:GF$27,后果有效剂量!$I$5:$I$27)*后果有效剂量!$R17+SUMPRODUCT(GG$5:GG$27,后果有效剂量!$I$5:$I$27)*后果有效剂量!$S17+(SUMPRODUCT(GH$5:GH$27,后果有效剂量!$I$5:$I$27)+SUMPRODUCT(GI$5:GI$27,后果有效剂量!$I$5:$I$27))*后果有效剂量!$T17+SUMPRODUCT(GJ$5:GJ$27,后果有效剂量!$I$5:$I$27)*后果有效剂量!$U17+SUMPRODUCT(GE$5:GE$27,后果有效剂量!$J$5:$J$27)*后果有效剂量!$Q17*后果有效剂量!$Q$3+SUMPRODUCT(GF$5:GF$27,后果有效剂量!$J$5:$J$27)*后果有效剂量!$R17*后果有效剂量!$R$3+SUMPRODUCT(GG$5:GG$27,后果有效剂量!$J$5:$J$27)*后果有效剂量!$S17*后果有效剂量!$S$3+(SUMPRODUCT(GH$5:GH$27,后果有效剂量!$J$5:$J$27)+SUMPRODUCT(GI$5:GI$27,后果有效剂量!$J$5:$J$27))*后果有效剂量!$T17*后果有效剂量!$T$3+SUMPRODUCT(GJ$5:GJ$27,后果有效剂量!$J$5:$J$27)*后果有效剂量!$U17*后果有效剂量!$U$3+SUMPRODUCT(GE$5:GE$27,后果有效剂量!$K$5:$K$27)*后果有效剂量!$Q17+SUMPRODUCT(GF$5:GF$27,后果有效剂量!$K$5:$K$27)*后果有效剂量!$R17+SUMPRODUCT(GG$5:GG$27,后果有效剂量!$K$5:$K$27)*后果有效剂量!$S17+(SUMPRODUCT(GH$5:GH$27,后果有效剂量!$K$5:$K$27)+SUMPRODUCT(GI$5:GI$27,后果有效剂量!$K$5:$K$27))*后果有效剂量!$T17+SUMPRODUCT(GJ$5:GJ$27,后果有效剂量!$K$5:$K$27)*后果有效剂量!$U17</f>
        <v>3.93766856413307e-7</v>
      </c>
      <c r="GF43" s="453">
        <f>SUMPRODUCT(GE$5:GE$27,后果甲状腺剂量!$I$5:$I$27)*后果甲状腺剂量!$Q17+SUMPRODUCT(GF$5:GF$27,后果甲状腺剂量!$I$5:$I$27)*后果甲状腺剂量!$R17+SUMPRODUCT(GG$5:GG$27,后果甲状腺剂量!$I$5:$I$27)*后果甲状腺剂量!$S17+(SUMPRODUCT(GH$5:GH$27,后果甲状腺剂量!$I$5:$I$27)+SUMPRODUCT(GI$5:GI$27,后果甲状腺剂量!$I$5:$I$27))*后果甲状腺剂量!$T17+SUMPRODUCT(GJ$5:GJ$27,后果甲状腺剂量!$I$5:$I$27)*后果甲状腺剂量!$U17+SUMPRODUCT(GE$5:GE$27,后果甲状腺剂量!$J$5:$J$27)*后果甲状腺剂量!$Q17*后果甲状腺剂量!$Q$3+SUMPRODUCT(GF$5:GF$27,后果甲状腺剂量!$J$5:$J$27)*后果甲状腺剂量!$R17*后果甲状腺剂量!$R$3+SUMPRODUCT(GG$5:GG$27,后果甲状腺剂量!$J$5:$J$27)*后果甲状腺剂量!$S17*后果甲状腺剂量!$S$3+(SUMPRODUCT(GH$5:GH$27,后果甲状腺剂量!$J$5:$J$27)+SUMPRODUCT(GI$5:GI$27,后果甲状腺剂量!$J$5:$J$27))*后果甲状腺剂量!$T17*后果甲状腺剂量!$T$3+SUMPRODUCT(GJ$5:GJ$27,后果甲状腺剂量!$J$5:$J$27)*后果甲状腺剂量!$U17*后果甲状腺剂量!$U$3+SUMPRODUCT(GE$5:GE$27,后果甲状腺剂量!$K$5:$K$27)*后果甲状腺剂量!$Q17+SUMPRODUCT(GF$5:GF$27,后果甲状腺剂量!$K$5:$K$27)*后果甲状腺剂量!$R17+SUMPRODUCT(GG$5:GG$27,后果甲状腺剂量!$K$5:$K$27)*后果甲状腺剂量!$S17+(SUMPRODUCT(GH$5:GH$27,后果甲状腺剂量!$K$5:$K$27)+SUMPRODUCT(GI$5:GI$27,后果甲状腺剂量!$K$5:$K$27))*后果甲状腺剂量!$T17+SUMPRODUCT(GJ$5:GJ$27,后果甲状腺剂量!$K$5:$K$27)*后果甲状腺剂量!$U17</f>
        <v>1.1660702699186e-5</v>
      </c>
      <c r="GG43" s="454">
        <f t="shared" si="259"/>
        <v>0.000393766856413307</v>
      </c>
      <c r="GH43" s="454">
        <f t="shared" si="260"/>
        <v>0.011660702699186</v>
      </c>
      <c r="GI43" s="436"/>
      <c r="GJ43" s="436"/>
    </row>
    <row r="44" spans="7:192">
      <c r="G44" s="440" t="str">
        <f>后果有效剂量!$P18</f>
        <v>55000m</v>
      </c>
      <c r="H44" s="441">
        <f ca="1">SUMPRODUCT(H$5:H$27,后果有效剂量!$I$5:$I$27)*后果有效剂量!$Q18+SUMPRODUCT(I$5:I$27,后果有效剂量!$I$5:$I$27)*后果有效剂量!$Q18+SUMPRODUCT(J$5:J$27,后果有效剂量!$I$5:$I$27)*后果有效剂量!$R18+SUMPRODUCT(K$5:K$27,后果有效剂量!$I$5:$I$27)*后果有效剂量!$S18+SUMPRODUCT(L$5:L$27,后果有效剂量!$I$5:$I$27)*后果有效剂量!$T18+SUMPRODUCT(M$5:M$27,后果有效剂量!$I$5:$I$27)*后果有效剂量!$U18+SUMPRODUCT(H$5:H$27,后果有效剂量!$J$5:$J$27)*后果有效剂量!$Q18*后果有效剂量!$Q$3+SUMPRODUCT(I$5:I$27,后果有效剂量!$J$5:$J$27)*后果有效剂量!$Q18*后果有效剂量!$Q$3+SUMPRODUCT(J$5:J$27,后果有效剂量!$J$5:$J$27)*后果有效剂量!$R18*后果有效剂量!$R$3+SUMPRODUCT(K$5:K$27,后果有效剂量!$J$5:$J$27)*后果有效剂量!$S18*后果有效剂量!$S$3+SUMPRODUCT(L$5:L$27,后果有效剂量!$J$5:$J$27)*后果有效剂量!$T18*后果有效剂量!$T$3+SUMPRODUCT(M$5:M$27,后果有效剂量!$J$5:$J$27)*后果有效剂量!$U18*后果有效剂量!$U$3+SUMPRODUCT(H$5:H$27,后果有效剂量!$K$5:$K$27)*后果有效剂量!$Q18+SUMPRODUCT(I$5:I$27,后果有效剂量!$K$5:$K$27)*后果有效剂量!$Q18+SUMPRODUCT(J$5:J$27,后果有效剂量!$K$5:$K$27)*后果有效剂量!$R18+SUMPRODUCT(K$5:K$27,后果有效剂量!$K$5:$K$27)*后果有效剂量!$S18+SUMPRODUCT(L$5:L$27,后果有效剂量!$K$5:$K$27)*后果有效剂量!$T18+SUMPRODUCT(M$5:M$27,后果有效剂量!$K$5:$K$27)*后果有效剂量!$U18</f>
        <v>0.000231811869714966</v>
      </c>
      <c r="I44" s="453">
        <f ca="1">SUMPRODUCT(H$5:H$27,后果甲状腺剂量!$I$5:$I$27)*后果甲状腺剂量!$Q18+SUMPRODUCT(I$5:I$27,后果甲状腺剂量!$I$5:$I$27)*后果甲状腺剂量!$Q18+SUMPRODUCT(J$5:J$27,后果甲状腺剂量!$I$5:$I$27)*后果甲状腺剂量!$R18+SUMPRODUCT(K$5:K$27,后果甲状腺剂量!$I$5:$I$27)*后果甲状腺剂量!$S18+SUMPRODUCT(L$5:L$27,后果甲状腺剂量!$I$5:$I$27)*后果甲状腺剂量!$T18+SUMPRODUCT(M$5:M$27,后果甲状腺剂量!$I$5:$I$27)*后果甲状腺剂量!$U18+SUMPRODUCT(H$5:H$27,后果甲状腺剂量!$J$5:$J$27)*后果甲状腺剂量!$Q18*后果甲状腺剂量!$Q$3+SUMPRODUCT(I$5:I$27,后果甲状腺剂量!$J$5:$J$27)*后果甲状腺剂量!$Q18*后果甲状腺剂量!$Q$3+SUMPRODUCT(J$5:J$27,后果甲状腺剂量!$J$5:$J$27)*后果甲状腺剂量!$R18*后果甲状腺剂量!$R$3+SUMPRODUCT(K$5:K$27,后果甲状腺剂量!$J$5:$J$27)*后果甲状腺剂量!$S18*后果甲状腺剂量!$S$3+SUMPRODUCT(L$5:L$27,后果甲状腺剂量!$J$5:$J$27)*后果甲状腺剂量!$T18*后果甲状腺剂量!$T$3+SUMPRODUCT(M$5:M$27,后果甲状腺剂量!$J$5:$J$27)*后果甲状腺剂量!$U18*后果甲状腺剂量!$U$3+SUMPRODUCT(H$5:H$27,后果甲状腺剂量!$K$5:$K$27)*后果甲状腺剂量!$Q18+SUMPRODUCT(I$5:I$27,后果甲状腺剂量!$K$5:$K$27)*后果甲状腺剂量!$Q18+SUMPRODUCT(J$5:J$27,后果甲状腺剂量!$K$5:$K$27)*后果甲状腺剂量!$R18+SUMPRODUCT(K$5:K$27,后果甲状腺剂量!$K$5:$K$27)*后果甲状腺剂量!$S18+SUMPRODUCT(L$5:L$27,后果甲状腺剂量!$K$5:$K$27)*后果甲状腺剂量!$T18+SUMPRODUCT(M$5:M$27,后果甲状腺剂量!$K$5:$K$27)*后果甲状腺剂量!$U18</f>
        <v>0.0023867718409626</v>
      </c>
      <c r="J44" s="454">
        <f ca="1" t="shared" si="253"/>
        <v>0.231811869714966</v>
      </c>
      <c r="K44" s="454">
        <f ca="1" t="shared" si="254"/>
        <v>2.3867718409626</v>
      </c>
      <c r="L44" s="436"/>
      <c r="M44" s="436"/>
      <c r="N44" s="455"/>
      <c r="Q44" s="440" t="str">
        <f>后果有效剂量!$P18</f>
        <v>55000m</v>
      </c>
      <c r="R44" s="441">
        <f ca="1">SUMPRODUCT(R$5:R$27,后果有效剂量!$I$5:$I$27)*后果有效剂量!$Q18+SUMPRODUCT(S$5:S$27,后果有效剂量!$I$5:$I$27)*后果有效剂量!$Q18+SUMPRODUCT(T$5:T$27,后果有效剂量!$I$5:$I$27)*后果有效剂量!$R18+SUMPRODUCT(U$5:U$27,后果有效剂量!$I$5:$I$27)*后果有效剂量!$S18+SUMPRODUCT(V$5:V$27,后果有效剂量!$I$5:$I$27)*后果有效剂量!$T18+SUMPRODUCT(W$5:W$27,后果有效剂量!$I$5:$I$27)*后果有效剂量!$U18+SUMPRODUCT(R$5:R$27,后果有效剂量!$J$5:$J$27)*后果有效剂量!$Q18*后果有效剂量!$Q$3+SUMPRODUCT(S$5:S$27,后果有效剂量!$J$5:$J$27)*后果有效剂量!$Q18*后果有效剂量!$Q$3+SUMPRODUCT(T$5:T$27,后果有效剂量!$J$5:$J$27)*后果有效剂量!$R18*后果有效剂量!$R$3+SUMPRODUCT(U$5:U$27,后果有效剂量!$J$5:$J$27)*后果有效剂量!$S18*后果有效剂量!$S$3+SUMPRODUCT(V$5:V$27,后果有效剂量!$J$5:$J$27)*后果有效剂量!$T18*后果有效剂量!$T$3+SUMPRODUCT(W$5:W$27,后果有效剂量!$J$5:$J$27)*后果有效剂量!$U18*后果有效剂量!$U$3+SUMPRODUCT(R$5:R$27,后果有效剂量!$K$5:$K$27)*后果有效剂量!$Q18+SUMPRODUCT(S$5:S$27,后果有效剂量!$K$5:$K$27)*后果有效剂量!$Q18+SUMPRODUCT(T$5:T$27,后果有效剂量!$K$5:$K$27)*后果有效剂量!$R18+SUMPRODUCT(U$5:U$27,后果有效剂量!$K$5:$K$27)*后果有效剂量!$S18+SUMPRODUCT(V$5:V$27,后果有效剂量!$K$5:$K$27)*后果有效剂量!$T18+SUMPRODUCT(W$5:W$27,后果有效剂量!$K$5:$K$27)*后果有效剂量!$U18</f>
        <v>9.41392996343032e-6</v>
      </c>
      <c r="S44" s="453">
        <f ca="1">SUMPRODUCT(R$5:R$27,后果甲状腺剂量!$I$5:$I$27)*后果甲状腺剂量!$Q18+SUMPRODUCT(S$5:S$27,后果甲状腺剂量!$I$5:$I$27)*后果甲状腺剂量!$Q18+SUMPRODUCT(T$5:T$27,后果甲状腺剂量!$I$5:$I$27)*后果甲状腺剂量!$R18+SUMPRODUCT(U$5:U$27,后果甲状腺剂量!$I$5:$I$27)*后果甲状腺剂量!$S18+SUMPRODUCT(V$5:V$27,后果甲状腺剂量!$I$5:$I$27)*后果甲状腺剂量!$T18+SUMPRODUCT(W$5:W$27,后果甲状腺剂量!$I$5:$I$27)*后果甲状腺剂量!$U18+SUMPRODUCT(R$5:R$27,后果甲状腺剂量!$J$5:$J$27)*后果甲状腺剂量!$Q18*后果甲状腺剂量!$Q$3+SUMPRODUCT(S$5:S$27,后果甲状腺剂量!$J$5:$J$27)*后果甲状腺剂量!$Q18*后果甲状腺剂量!$Q$3+SUMPRODUCT(T$5:T$27,后果甲状腺剂量!$J$5:$J$27)*后果甲状腺剂量!$R18*后果甲状腺剂量!$R$3+SUMPRODUCT(U$5:U$27,后果甲状腺剂量!$J$5:$J$27)*后果甲状腺剂量!$S18*后果甲状腺剂量!$S$3+SUMPRODUCT(V$5:V$27,后果甲状腺剂量!$J$5:$J$27)*后果甲状腺剂量!$T18*后果甲状腺剂量!$T$3+SUMPRODUCT(W$5:W$27,后果甲状腺剂量!$J$5:$J$27)*后果甲状腺剂量!$U18*后果甲状腺剂量!$U$3+SUMPRODUCT(R$5:R$27,后果甲状腺剂量!$K$5:$K$27)*后果甲状腺剂量!$Q18+SUMPRODUCT(S$5:S$27,后果甲状腺剂量!$K$5:$K$27)*后果甲状腺剂量!$Q18+SUMPRODUCT(T$5:T$27,后果甲状腺剂量!$K$5:$K$27)*后果甲状腺剂量!$R18+SUMPRODUCT(U$5:U$27,后果甲状腺剂量!$K$5:$K$27)*后果甲状腺剂量!$S18+SUMPRODUCT(V$5:V$27,后果甲状腺剂量!$K$5:$K$27)*后果甲状腺剂量!$T18+SUMPRODUCT(W$5:W$27,后果甲状腺剂量!$K$5:$K$27)*后果甲状腺剂量!$U18</f>
        <v>0.000118602764201621</v>
      </c>
      <c r="T44" s="454">
        <f ca="1" t="shared" si="255"/>
        <v>0.00941392996343032</v>
      </c>
      <c r="U44" s="454">
        <f ca="1" t="shared" si="256"/>
        <v>0.118602764201621</v>
      </c>
      <c r="V44" s="436"/>
      <c r="W44" s="436"/>
      <c r="AN44" s="533"/>
      <c r="AS44" s="572"/>
      <c r="BO44" s="600"/>
      <c r="CJ44" s="600"/>
      <c r="DZ44" s="600"/>
      <c r="EU44" s="603"/>
      <c r="FP44" s="603"/>
      <c r="FS44" s="441">
        <f>SUMPRODUCT(FS$5:FS$27,后果有效剂量!$I$5:$I$27)*后果有效剂量!$Q18+SUMPRODUCT(FT$5:FT$27,后果有效剂量!$I$5:$I$27)*后果有效剂量!$R18+SUMPRODUCT(FU$5:FU$27,后果有效剂量!$I$5:$I$27)*后果有效剂量!$S18+SUMPRODUCT(FV$5:FV$27,后果有效剂量!$I$5:$I$27)*后果有效剂量!$T18+SUMPRODUCT(FS$5:FS$27,后果有效剂量!$J$5:$J$27)*后果有效剂量!$Q18*后果有效剂量!$Q$3+SUMPRODUCT(FT$5:FT$27,后果有效剂量!$J$5:$J$27)*后果有效剂量!$R18*后果有效剂量!$R$3+SUMPRODUCT(FU$5:FU$27,后果有效剂量!$J$5:$J$27)*后果有效剂量!$S18*后果有效剂量!$S$3+SUMPRODUCT(FV$5:FV$27,后果有效剂量!$J$5:$J$27)*后果有效剂量!$T18*后果有效剂量!$T$3+SUMPRODUCT(FS$5:FS$27,后果有效剂量!$K$5:$K$27)*后果有效剂量!$Q18+SUMPRODUCT(FT$5:FT$27,后果有效剂量!$K$5:$K$27)*后果有效剂量!$R18+SUMPRODUCT(FU$5:FU$27,后果有效剂量!$K$5:$K$27)*后果有效剂量!$S18+SUMPRODUCT(FV$5:FV$27,后果有效剂量!$K$5:$K$27)*后果有效剂量!$T18</f>
        <v>8.5192424254057e-6</v>
      </c>
      <c r="FT44" s="453">
        <f>SUMPRODUCT(FS$5:FS$27,后果甲状腺剂量!$I$5:$I$27)*后果甲状腺剂量!$Q18+SUMPRODUCT(FT$5:FT$27,后果甲状腺剂量!$I$5:$I$27)*后果甲状腺剂量!$R18+SUMPRODUCT(FU$5:FU$27,后果甲状腺剂量!$I$5:$I$27)*后果甲状腺剂量!$S18+SUMPRODUCT(FV$5:FV$27,后果甲状腺剂量!$I$5:$I$27)*后果甲状腺剂量!$T18+SUMPRODUCT(FS$5:FS$27,后果甲状腺剂量!$J$5:$J$27)*后果甲状腺剂量!$Q18*后果甲状腺剂量!$Q$3+SUMPRODUCT(FT$5:FT$27,后果甲状腺剂量!$J$5:$J$27)*后果甲状腺剂量!$R18*后果甲状腺剂量!$R$3+SUMPRODUCT(FU$5:FU$27,后果甲状腺剂量!$J$5:$J$27)*后果甲状腺剂量!$S18*后果甲状腺剂量!$S$3+SUMPRODUCT(FV$5:FV$27,后果甲状腺剂量!$J$5:$J$27)*后果甲状腺剂量!$T18*后果甲状腺剂量!$T$3+SUMPRODUCT(FS$5:FS$27,后果甲状腺剂量!$K$5:$K$27)*后果甲状腺剂量!$Q18+SUMPRODUCT(FT$5:FT$27,后果甲状腺剂量!$K$5:$K$27)*后果甲状腺剂量!$R18+SUMPRODUCT(FU$5:FU$27,后果甲状腺剂量!$K$5:$K$27)*后果甲状腺剂量!$S18+SUMPRODUCT(FV$5:FV$27,后果甲状腺剂量!$K$5:$K$27)*后果甲状腺剂量!$T18</f>
        <v>6.22166730994561e-5</v>
      </c>
      <c r="FU44" s="454">
        <f t="shared" si="257"/>
        <v>0.0085192424254057</v>
      </c>
      <c r="FV44" s="454">
        <f t="shared" si="258"/>
        <v>0.0622166730994561</v>
      </c>
      <c r="FW44" s="436"/>
      <c r="FX44" s="436"/>
      <c r="GD44" s="440" t="str">
        <f>后果有效剂量!$P18</f>
        <v>55000m</v>
      </c>
      <c r="GE44" s="441">
        <f>SUMPRODUCT(GE$5:GE$27,后果有效剂量!$I$5:$I$27)*后果有效剂量!$Q18+SUMPRODUCT(GF$5:GF$27,后果有效剂量!$I$5:$I$27)*后果有效剂量!$R18+SUMPRODUCT(GG$5:GG$27,后果有效剂量!$I$5:$I$27)*后果有效剂量!$S18+(SUMPRODUCT(GH$5:GH$27,后果有效剂量!$I$5:$I$27)+SUMPRODUCT(GI$5:GI$27,后果有效剂量!$I$5:$I$27))*后果有效剂量!$T18+SUMPRODUCT(GJ$5:GJ$27,后果有效剂量!$I$5:$I$27)*后果有效剂量!$U18+SUMPRODUCT(GE$5:GE$27,后果有效剂量!$J$5:$J$27)*后果有效剂量!$Q18*后果有效剂量!$Q$3+SUMPRODUCT(GF$5:GF$27,后果有效剂量!$J$5:$J$27)*后果有效剂量!$R18*后果有效剂量!$R$3+SUMPRODUCT(GG$5:GG$27,后果有效剂量!$J$5:$J$27)*后果有效剂量!$S18*后果有效剂量!$S$3+(SUMPRODUCT(GH$5:GH$27,后果有效剂量!$J$5:$J$27)+SUMPRODUCT(GI$5:GI$27,后果有效剂量!$J$5:$J$27))*后果有效剂量!$T18*后果有效剂量!$T$3+SUMPRODUCT(GJ$5:GJ$27,后果有效剂量!$J$5:$J$27)*后果有效剂量!$U18*后果有效剂量!$U$3+SUMPRODUCT(GE$5:GE$27,后果有效剂量!$K$5:$K$27)*后果有效剂量!$Q18+SUMPRODUCT(GF$5:GF$27,后果有效剂量!$K$5:$K$27)*后果有效剂量!$R18+SUMPRODUCT(GG$5:GG$27,后果有效剂量!$K$5:$K$27)*后果有效剂量!$S18+(SUMPRODUCT(GH$5:GH$27,后果有效剂量!$K$5:$K$27)+SUMPRODUCT(GI$5:GI$27,后果有效剂量!$K$5:$K$27))*后果有效剂量!$T18+SUMPRODUCT(GJ$5:GJ$27,后果有效剂量!$K$5:$K$27)*后果有效剂量!$U18</f>
        <v>1.82108446416472e-6</v>
      </c>
      <c r="GF44" s="453">
        <f>SUMPRODUCT(GE$5:GE$27,后果甲状腺剂量!$I$5:$I$27)*后果甲状腺剂量!$Q18+SUMPRODUCT(GF$5:GF$27,后果甲状腺剂量!$I$5:$I$27)*后果甲状腺剂量!$R18+SUMPRODUCT(GG$5:GG$27,后果甲状腺剂量!$I$5:$I$27)*后果甲状腺剂量!$S18+(SUMPRODUCT(GH$5:GH$27,后果甲状腺剂量!$I$5:$I$27)+SUMPRODUCT(GI$5:GI$27,后果甲状腺剂量!$I$5:$I$27))*后果甲状腺剂量!$T18+SUMPRODUCT(GJ$5:GJ$27,后果甲状腺剂量!$I$5:$I$27)*后果甲状腺剂量!$U18+SUMPRODUCT(GE$5:GE$27,后果甲状腺剂量!$J$5:$J$27)*后果甲状腺剂量!$Q18*后果甲状腺剂量!$Q$3+SUMPRODUCT(GF$5:GF$27,后果甲状腺剂量!$J$5:$J$27)*后果甲状腺剂量!$R18*后果甲状腺剂量!$R$3+SUMPRODUCT(GG$5:GG$27,后果甲状腺剂量!$J$5:$J$27)*后果甲状腺剂量!$S18*后果甲状腺剂量!$S$3+(SUMPRODUCT(GH$5:GH$27,后果甲状腺剂量!$J$5:$J$27)+SUMPRODUCT(GI$5:GI$27,后果甲状腺剂量!$J$5:$J$27))*后果甲状腺剂量!$T18*后果甲状腺剂量!$T$3+SUMPRODUCT(GJ$5:GJ$27,后果甲状腺剂量!$J$5:$J$27)*后果甲状腺剂量!$U18*后果甲状腺剂量!$U$3+SUMPRODUCT(GE$5:GE$27,后果甲状腺剂量!$K$5:$K$27)*后果甲状腺剂量!$Q18+SUMPRODUCT(GF$5:GF$27,后果甲状腺剂量!$K$5:$K$27)*后果甲状腺剂量!$R18+SUMPRODUCT(GG$5:GG$27,后果甲状腺剂量!$K$5:$K$27)*后果甲状腺剂量!$S18+(SUMPRODUCT(GH$5:GH$27,后果甲状腺剂量!$K$5:$K$27)+SUMPRODUCT(GI$5:GI$27,后果甲状腺剂量!$K$5:$K$27))*后果甲状腺剂量!$T18+SUMPRODUCT(GJ$5:GJ$27,后果甲状腺剂量!$K$5:$K$27)*后果甲状腺剂量!$U18</f>
        <v>9.61449584292275e-6</v>
      </c>
      <c r="GG44" s="454">
        <f t="shared" si="259"/>
        <v>0.00182108446416472</v>
      </c>
      <c r="GH44" s="454">
        <f t="shared" si="260"/>
        <v>0.00961449584292275</v>
      </c>
      <c r="GI44" s="436"/>
      <c r="GJ44" s="436"/>
    </row>
    <row r="45" spans="7:192">
      <c r="G45" s="440" t="str">
        <f>后果有效剂量!$P19</f>
        <v>65000m</v>
      </c>
      <c r="H45" s="441">
        <f ca="1">SUMPRODUCT(H$5:H$27,后果有效剂量!$I$5:$I$27)*后果有效剂量!$Q19+SUMPRODUCT(I$5:I$27,后果有效剂量!$I$5:$I$27)*后果有效剂量!$Q19+SUMPRODUCT(J$5:J$27,后果有效剂量!$I$5:$I$27)*后果有效剂量!$R19+SUMPRODUCT(K$5:K$27,后果有效剂量!$I$5:$I$27)*后果有效剂量!$S19+SUMPRODUCT(L$5:L$27,后果有效剂量!$I$5:$I$27)*后果有效剂量!$T19+SUMPRODUCT(M$5:M$27,后果有效剂量!$I$5:$I$27)*后果有效剂量!$U19+SUMPRODUCT(H$5:H$27,后果有效剂量!$J$5:$J$27)*后果有效剂量!$Q19*后果有效剂量!$Q$3+SUMPRODUCT(I$5:I$27,后果有效剂量!$J$5:$J$27)*后果有效剂量!$Q19*后果有效剂量!$Q$3+SUMPRODUCT(J$5:J$27,后果有效剂量!$J$5:$J$27)*后果有效剂量!$R19*后果有效剂量!$R$3+SUMPRODUCT(K$5:K$27,后果有效剂量!$J$5:$J$27)*后果有效剂量!$S19*后果有效剂量!$S$3+SUMPRODUCT(L$5:L$27,后果有效剂量!$J$5:$J$27)*后果有效剂量!$T19*后果有效剂量!$T$3+SUMPRODUCT(M$5:M$27,后果有效剂量!$J$5:$J$27)*后果有效剂量!$U19*后果有效剂量!$U$3+SUMPRODUCT(H$5:H$27,后果有效剂量!$K$5:$K$27)*后果有效剂量!$Q19+SUMPRODUCT(I$5:I$27,后果有效剂量!$K$5:$K$27)*后果有效剂量!$Q19+SUMPRODUCT(J$5:J$27,后果有效剂量!$K$5:$K$27)*后果有效剂量!$R19+SUMPRODUCT(K$5:K$27,后果有效剂量!$K$5:$K$27)*后果有效剂量!$S19+SUMPRODUCT(L$5:L$27,后果有效剂量!$K$5:$K$27)*后果有效剂量!$T19+SUMPRODUCT(M$5:M$27,后果有效剂量!$K$5:$K$27)*后果有效剂量!$U19</f>
        <v>0.000209527208401495</v>
      </c>
      <c r="I45" s="453">
        <f ca="1">SUMPRODUCT(H$5:H$27,后果甲状腺剂量!$I$5:$I$27)*后果甲状腺剂量!$Q19+SUMPRODUCT(I$5:I$27,后果甲状腺剂量!$I$5:$I$27)*后果甲状腺剂量!$Q19+SUMPRODUCT(J$5:J$27,后果甲状腺剂量!$I$5:$I$27)*后果甲状腺剂量!$R19+SUMPRODUCT(K$5:K$27,后果甲状腺剂量!$I$5:$I$27)*后果甲状腺剂量!$S19+SUMPRODUCT(L$5:L$27,后果甲状腺剂量!$I$5:$I$27)*后果甲状腺剂量!$T19+SUMPRODUCT(M$5:M$27,后果甲状腺剂量!$I$5:$I$27)*后果甲状腺剂量!$U19+SUMPRODUCT(H$5:H$27,后果甲状腺剂量!$J$5:$J$27)*后果甲状腺剂量!$Q19*后果甲状腺剂量!$Q$3+SUMPRODUCT(I$5:I$27,后果甲状腺剂量!$J$5:$J$27)*后果甲状腺剂量!$Q19*后果甲状腺剂量!$Q$3+SUMPRODUCT(J$5:J$27,后果甲状腺剂量!$J$5:$J$27)*后果甲状腺剂量!$R19*后果甲状腺剂量!$R$3+SUMPRODUCT(K$5:K$27,后果甲状腺剂量!$J$5:$J$27)*后果甲状腺剂量!$S19*后果甲状腺剂量!$S$3+SUMPRODUCT(L$5:L$27,后果甲状腺剂量!$J$5:$J$27)*后果甲状腺剂量!$T19*后果甲状腺剂量!$T$3+SUMPRODUCT(M$5:M$27,后果甲状腺剂量!$J$5:$J$27)*后果甲状腺剂量!$U19*后果甲状腺剂量!$U$3+SUMPRODUCT(H$5:H$27,后果甲状腺剂量!$K$5:$K$27)*后果甲状腺剂量!$Q19+SUMPRODUCT(I$5:I$27,后果甲状腺剂量!$K$5:$K$27)*后果甲状腺剂量!$Q19+SUMPRODUCT(J$5:J$27,后果甲状腺剂量!$K$5:$K$27)*后果甲状腺剂量!$R19+SUMPRODUCT(K$5:K$27,后果甲状腺剂量!$K$5:$K$27)*后果甲状腺剂量!$S19+SUMPRODUCT(L$5:L$27,后果甲状腺剂量!$K$5:$K$27)*后果甲状腺剂量!$T19+SUMPRODUCT(M$5:M$27,后果甲状腺剂量!$K$5:$K$27)*后果甲状腺剂量!$U19</f>
        <v>0.00215787481283384</v>
      </c>
      <c r="J45" s="454">
        <f ca="1" t="shared" si="253"/>
        <v>0.209527208401495</v>
      </c>
      <c r="K45" s="454">
        <f ca="1" t="shared" si="254"/>
        <v>2.15787481283384</v>
      </c>
      <c r="L45" s="436"/>
      <c r="M45" s="436"/>
      <c r="N45" s="455"/>
      <c r="Q45" s="440" t="str">
        <f>后果有效剂量!$P19</f>
        <v>65000m</v>
      </c>
      <c r="R45" s="441">
        <f ca="1">SUMPRODUCT(R$5:R$27,后果有效剂量!$I$5:$I$27)*后果有效剂量!$Q19+SUMPRODUCT(S$5:S$27,后果有效剂量!$I$5:$I$27)*后果有效剂量!$Q19+SUMPRODUCT(T$5:T$27,后果有效剂量!$I$5:$I$27)*后果有效剂量!$R19+SUMPRODUCT(U$5:U$27,后果有效剂量!$I$5:$I$27)*后果有效剂量!$S19+SUMPRODUCT(V$5:V$27,后果有效剂量!$I$5:$I$27)*后果有效剂量!$T19+SUMPRODUCT(W$5:W$27,后果有效剂量!$I$5:$I$27)*后果有效剂量!$U19+SUMPRODUCT(R$5:R$27,后果有效剂量!$J$5:$J$27)*后果有效剂量!$Q19*后果有效剂量!$Q$3+SUMPRODUCT(S$5:S$27,后果有效剂量!$J$5:$J$27)*后果有效剂量!$Q19*后果有效剂量!$Q$3+SUMPRODUCT(T$5:T$27,后果有效剂量!$J$5:$J$27)*后果有效剂量!$R19*后果有效剂量!$R$3+SUMPRODUCT(U$5:U$27,后果有效剂量!$J$5:$J$27)*后果有效剂量!$S19*后果有效剂量!$S$3+SUMPRODUCT(V$5:V$27,后果有效剂量!$J$5:$J$27)*后果有效剂量!$T19*后果有效剂量!$T$3+SUMPRODUCT(W$5:W$27,后果有效剂量!$J$5:$J$27)*后果有效剂量!$U19*后果有效剂量!$U$3+SUMPRODUCT(R$5:R$27,后果有效剂量!$K$5:$K$27)*后果有效剂量!$Q19+SUMPRODUCT(S$5:S$27,后果有效剂量!$K$5:$K$27)*后果有效剂量!$Q19+SUMPRODUCT(T$5:T$27,后果有效剂量!$K$5:$K$27)*后果有效剂量!$R19+SUMPRODUCT(U$5:U$27,后果有效剂量!$K$5:$K$27)*后果有效剂量!$S19+SUMPRODUCT(V$5:V$27,后果有效剂量!$K$5:$K$27)*后果有效剂量!$T19+SUMPRODUCT(W$5:W$27,后果有效剂量!$K$5:$K$27)*后果有效剂量!$U19</f>
        <v>8.51042085353336e-6</v>
      </c>
      <c r="S45" s="453">
        <f ca="1">SUMPRODUCT(R$5:R$27,后果甲状腺剂量!$I$5:$I$27)*后果甲状腺剂量!$Q19+SUMPRODUCT(S$5:S$27,后果甲状腺剂量!$I$5:$I$27)*后果甲状腺剂量!$Q19+SUMPRODUCT(T$5:T$27,后果甲状腺剂量!$I$5:$I$27)*后果甲状腺剂量!$R19+SUMPRODUCT(U$5:U$27,后果甲状腺剂量!$I$5:$I$27)*后果甲状腺剂量!$S19+SUMPRODUCT(V$5:V$27,后果甲状腺剂量!$I$5:$I$27)*后果甲状腺剂量!$T19+SUMPRODUCT(W$5:W$27,后果甲状腺剂量!$I$5:$I$27)*后果甲状腺剂量!$U19+SUMPRODUCT(R$5:R$27,后果甲状腺剂量!$J$5:$J$27)*后果甲状腺剂量!$Q19*后果甲状腺剂量!$Q$3+SUMPRODUCT(S$5:S$27,后果甲状腺剂量!$J$5:$J$27)*后果甲状腺剂量!$Q19*后果甲状腺剂量!$Q$3+SUMPRODUCT(T$5:T$27,后果甲状腺剂量!$J$5:$J$27)*后果甲状腺剂量!$R19*后果甲状腺剂量!$R$3+SUMPRODUCT(U$5:U$27,后果甲状腺剂量!$J$5:$J$27)*后果甲状腺剂量!$S19*后果甲状腺剂量!$S$3+SUMPRODUCT(V$5:V$27,后果甲状腺剂量!$J$5:$J$27)*后果甲状腺剂量!$T19*后果甲状腺剂量!$T$3+SUMPRODUCT(W$5:W$27,后果甲状腺剂量!$J$5:$J$27)*后果甲状腺剂量!$U19*后果甲状腺剂量!$U$3+SUMPRODUCT(R$5:R$27,后果甲状腺剂量!$K$5:$K$27)*后果甲状腺剂量!$Q19+SUMPRODUCT(S$5:S$27,后果甲状腺剂量!$K$5:$K$27)*后果甲状腺剂量!$Q19+SUMPRODUCT(T$5:T$27,后果甲状腺剂量!$K$5:$K$27)*后果甲状腺剂量!$R19+SUMPRODUCT(U$5:U$27,后果甲状腺剂量!$K$5:$K$27)*后果甲状腺剂量!$S19+SUMPRODUCT(V$5:V$27,后果甲状腺剂量!$K$5:$K$27)*后果甲状腺剂量!$T19+SUMPRODUCT(W$5:W$27,后果甲状腺剂量!$K$5:$K$27)*后果甲状腺剂量!$U19</f>
        <v>0.0001072285772917</v>
      </c>
      <c r="T45" s="454">
        <f ca="1" t="shared" si="255"/>
        <v>0.00851042085353336</v>
      </c>
      <c r="U45" s="454">
        <f ca="1" t="shared" si="256"/>
        <v>0.1072285772917</v>
      </c>
      <c r="V45" s="436"/>
      <c r="W45" s="436"/>
      <c r="AN45" s="533"/>
      <c r="AS45" s="572"/>
      <c r="BO45" s="600"/>
      <c r="CJ45" s="600"/>
      <c r="DZ45" s="600"/>
      <c r="EU45" s="603"/>
      <c r="FP45" s="603"/>
      <c r="FS45" s="441">
        <f>SUMPRODUCT(FS$5:FS$27,后果有效剂量!$I$5:$I$27)*后果有效剂量!$Q19+SUMPRODUCT(FT$5:FT$27,后果有效剂量!$I$5:$I$27)*后果有效剂量!$R19+SUMPRODUCT(FU$5:FU$27,后果有效剂量!$I$5:$I$27)*后果有效剂量!$S19+SUMPRODUCT(FV$5:FV$27,后果有效剂量!$I$5:$I$27)*后果有效剂量!$T19+SUMPRODUCT(FS$5:FS$27,后果有效剂量!$J$5:$J$27)*后果有效剂量!$Q19*后果有效剂量!$Q$3+SUMPRODUCT(FT$5:FT$27,后果有效剂量!$J$5:$J$27)*后果有效剂量!$R19*后果有效剂量!$R$3+SUMPRODUCT(FU$5:FU$27,后果有效剂量!$J$5:$J$27)*后果有效剂量!$S19*后果有效剂量!$S$3+SUMPRODUCT(FV$5:FV$27,后果有效剂量!$J$5:$J$27)*后果有效剂量!$T19*后果有效剂量!$T$3+SUMPRODUCT(FS$5:FS$27,后果有效剂量!$K$5:$K$27)*后果有效剂量!$Q19+SUMPRODUCT(FT$5:FT$27,后果有效剂量!$K$5:$K$27)*后果有效剂量!$R19+SUMPRODUCT(FU$5:FU$27,后果有效剂量!$K$5:$K$27)*后果有效剂量!$S19+SUMPRODUCT(FV$5:FV$27,后果有效剂量!$K$5:$K$27)*后果有效剂量!$T19</f>
        <v>7.54848529694084e-6</v>
      </c>
      <c r="FT45" s="453">
        <f>SUMPRODUCT(FS$5:FS$27,后果甲状腺剂量!$I$5:$I$27)*后果甲状腺剂量!$Q19+SUMPRODUCT(FT$5:FT$27,后果甲状腺剂量!$I$5:$I$27)*后果甲状腺剂量!$R19+SUMPRODUCT(FU$5:FU$27,后果甲状腺剂量!$I$5:$I$27)*后果甲状腺剂量!$S19+SUMPRODUCT(FV$5:FV$27,后果甲状腺剂量!$I$5:$I$27)*后果甲状腺剂量!$T19+SUMPRODUCT(FS$5:FS$27,后果甲状腺剂量!$J$5:$J$27)*后果甲状腺剂量!$Q19*后果甲状腺剂量!$Q$3+SUMPRODUCT(FT$5:FT$27,后果甲状腺剂量!$J$5:$J$27)*后果甲状腺剂量!$R19*后果甲状腺剂量!$R$3+SUMPRODUCT(FU$5:FU$27,后果甲状腺剂量!$J$5:$J$27)*后果甲状腺剂量!$S19*后果甲状腺剂量!$S$3+SUMPRODUCT(FV$5:FV$27,后果甲状腺剂量!$J$5:$J$27)*后果甲状腺剂量!$T19*后果甲状腺剂量!$T$3+SUMPRODUCT(FS$5:FS$27,后果甲状腺剂量!$K$5:$K$27)*后果甲状腺剂量!$Q19+SUMPRODUCT(FT$5:FT$27,后果甲状腺剂量!$K$5:$K$27)*后果甲状腺剂量!$R19+SUMPRODUCT(FU$5:FU$27,后果甲状腺剂量!$K$5:$K$27)*后果甲状腺剂量!$S19+SUMPRODUCT(FV$5:FV$27,后果甲状腺剂量!$K$5:$K$27)*后果甲状腺剂量!$T19</f>
        <v>5.48446351036151e-5</v>
      </c>
      <c r="FU45" s="454">
        <f t="shared" si="257"/>
        <v>0.00754848529694084</v>
      </c>
      <c r="FV45" s="454">
        <f t="shared" si="258"/>
        <v>0.0548446351036151</v>
      </c>
      <c r="FW45" s="436"/>
      <c r="FX45" s="436"/>
      <c r="GD45" s="440" t="str">
        <f>后果有效剂量!$P19</f>
        <v>65000m</v>
      </c>
      <c r="GE45" s="441">
        <f>SUMPRODUCT(GE$5:GE$27,后果有效剂量!$I$5:$I$27)*后果有效剂量!$Q19+SUMPRODUCT(GF$5:GF$27,后果有效剂量!$I$5:$I$27)*后果有效剂量!$R19+SUMPRODUCT(GG$5:GG$27,后果有效剂量!$I$5:$I$27)*后果有效剂量!$S19+(SUMPRODUCT(GH$5:GH$27,后果有效剂量!$I$5:$I$27)+SUMPRODUCT(GI$5:GI$27,后果有效剂量!$I$5:$I$27))*后果有效剂量!$T19+SUMPRODUCT(GJ$5:GJ$27,后果有效剂量!$I$5:$I$27)*后果有效剂量!$U19+SUMPRODUCT(GE$5:GE$27,后果有效剂量!$J$5:$J$27)*后果有效剂量!$Q19*后果有效剂量!$Q$3+SUMPRODUCT(GF$5:GF$27,后果有效剂量!$J$5:$J$27)*后果有效剂量!$R19*后果有效剂量!$R$3+SUMPRODUCT(GG$5:GG$27,后果有效剂量!$J$5:$J$27)*后果有效剂量!$S19*后果有效剂量!$S$3+(SUMPRODUCT(GH$5:GH$27,后果有效剂量!$J$5:$J$27)+SUMPRODUCT(GI$5:GI$27,后果有效剂量!$J$5:$J$27))*后果有效剂量!$T19*后果有效剂量!$T$3+SUMPRODUCT(GJ$5:GJ$27,后果有效剂量!$J$5:$J$27)*后果有效剂量!$U19*后果有效剂量!$U$3+SUMPRODUCT(GE$5:GE$27,后果有效剂量!$K$5:$K$27)*后果有效剂量!$Q19+SUMPRODUCT(GF$5:GF$27,后果有效剂量!$K$5:$K$27)*后果有效剂量!$R19+SUMPRODUCT(GG$5:GG$27,后果有效剂量!$K$5:$K$27)*后果有效剂量!$S19+(SUMPRODUCT(GH$5:GH$27,后果有效剂量!$K$5:$K$27)+SUMPRODUCT(GI$5:GI$27,后果有效剂量!$K$5:$K$27))*后果有效剂量!$T19+SUMPRODUCT(GJ$5:GJ$27,后果有效剂量!$K$5:$K$27)*后果有效剂量!$U19</f>
        <v>1.58742003517474e-6</v>
      </c>
      <c r="GF45" s="453">
        <f>SUMPRODUCT(GE$5:GE$27,后果甲状腺剂量!$I$5:$I$27)*后果甲状腺剂量!$Q19+SUMPRODUCT(GF$5:GF$27,后果甲状腺剂量!$I$5:$I$27)*后果甲状腺剂量!$R19+SUMPRODUCT(GG$5:GG$27,后果甲状腺剂量!$I$5:$I$27)*后果甲状腺剂量!$S19+(SUMPRODUCT(GH$5:GH$27,后果甲状腺剂量!$I$5:$I$27)+SUMPRODUCT(GI$5:GI$27,后果甲状腺剂量!$I$5:$I$27))*后果甲状腺剂量!$T19+SUMPRODUCT(GJ$5:GJ$27,后果甲状腺剂量!$I$5:$I$27)*后果甲状腺剂量!$U19+SUMPRODUCT(GE$5:GE$27,后果甲状腺剂量!$J$5:$J$27)*后果甲状腺剂量!$Q19*后果甲状腺剂量!$Q$3+SUMPRODUCT(GF$5:GF$27,后果甲状腺剂量!$J$5:$J$27)*后果甲状腺剂量!$R19*后果甲状腺剂量!$R$3+SUMPRODUCT(GG$5:GG$27,后果甲状腺剂量!$J$5:$J$27)*后果甲状腺剂量!$S19*后果甲状腺剂量!$S$3+(SUMPRODUCT(GH$5:GH$27,后果甲状腺剂量!$J$5:$J$27)+SUMPRODUCT(GI$5:GI$27,后果甲状腺剂量!$J$5:$J$27))*后果甲状腺剂量!$T19*后果甲状腺剂量!$T$3+SUMPRODUCT(GJ$5:GJ$27,后果甲状腺剂量!$J$5:$J$27)*后果甲状腺剂量!$U19*后果甲状腺剂量!$U$3+SUMPRODUCT(GE$5:GE$27,后果甲状腺剂量!$K$5:$K$27)*后果甲状腺剂量!$Q19+SUMPRODUCT(GF$5:GF$27,后果甲状腺剂量!$K$5:$K$27)*后果甲状腺剂量!$R19+SUMPRODUCT(GG$5:GG$27,后果甲状腺剂量!$K$5:$K$27)*后果甲状腺剂量!$S19+(SUMPRODUCT(GH$5:GH$27,后果甲状腺剂量!$K$5:$K$27)+SUMPRODUCT(GI$5:GI$27,后果甲状腺剂量!$K$5:$K$27))*后果甲状腺剂量!$T19+SUMPRODUCT(GJ$5:GJ$27,后果甲状腺剂量!$K$5:$K$27)*后果甲状腺剂量!$U19</f>
        <v>8.19467203079159e-6</v>
      </c>
      <c r="GG45" s="454">
        <f t="shared" si="259"/>
        <v>0.00158742003517474</v>
      </c>
      <c r="GH45" s="454">
        <f t="shared" si="260"/>
        <v>0.00819467203079159</v>
      </c>
      <c r="GI45" s="436"/>
      <c r="GJ45" s="436"/>
    </row>
    <row r="46" spans="7:192">
      <c r="G46" s="440" t="str">
        <f>后果有效剂量!$P20</f>
        <v>75000m</v>
      </c>
      <c r="H46" s="441">
        <f ca="1">SUMPRODUCT(H$5:H$27,后果有效剂量!$I$5:$I$27)*后果有效剂量!$Q20+SUMPRODUCT(I$5:I$27,后果有效剂量!$I$5:$I$27)*后果有效剂量!$Q20+SUMPRODUCT(J$5:J$27,后果有效剂量!$I$5:$I$27)*后果有效剂量!$R20+SUMPRODUCT(K$5:K$27,后果有效剂量!$I$5:$I$27)*后果有效剂量!$S20+SUMPRODUCT(L$5:L$27,后果有效剂量!$I$5:$I$27)*后果有效剂量!$T20+SUMPRODUCT(M$5:M$27,后果有效剂量!$I$5:$I$27)*后果有效剂量!$U20+SUMPRODUCT(H$5:H$27,后果有效剂量!$J$5:$J$27)*后果有效剂量!$Q20*后果有效剂量!$Q$3+SUMPRODUCT(I$5:I$27,后果有效剂量!$J$5:$J$27)*后果有效剂量!$Q20*后果有效剂量!$Q$3+SUMPRODUCT(J$5:J$27,后果有效剂量!$J$5:$J$27)*后果有效剂量!$R20*后果有效剂量!$R$3+SUMPRODUCT(K$5:K$27,后果有效剂量!$J$5:$J$27)*后果有效剂量!$S20*后果有效剂量!$S$3+SUMPRODUCT(L$5:L$27,后果有效剂量!$J$5:$J$27)*后果有效剂量!$T20*后果有效剂量!$T$3+SUMPRODUCT(M$5:M$27,后果有效剂量!$J$5:$J$27)*后果有效剂量!$U20*后果有效剂量!$U$3+SUMPRODUCT(H$5:H$27,后果有效剂量!$K$5:$K$27)*后果有效剂量!$Q20+SUMPRODUCT(I$5:I$27,后果有效剂量!$K$5:$K$27)*后果有效剂量!$Q20+SUMPRODUCT(J$5:J$27,后果有效剂量!$K$5:$K$27)*后果有效剂量!$R20+SUMPRODUCT(K$5:K$27,后果有效剂量!$K$5:$K$27)*后果有效剂量!$S20+SUMPRODUCT(L$5:L$27,后果有效剂量!$K$5:$K$27)*后果有效剂量!$T20+SUMPRODUCT(M$5:M$27,后果有效剂量!$K$5:$K$27)*后果有效剂量!$U20</f>
        <v>0.000191729761340776</v>
      </c>
      <c r="I46" s="453">
        <f ca="1">SUMPRODUCT(H$5:H$27,后果甲状腺剂量!$I$5:$I$27)*后果甲状腺剂量!$Q20+SUMPRODUCT(I$5:I$27,后果甲状腺剂量!$I$5:$I$27)*后果甲状腺剂量!$Q20+SUMPRODUCT(J$5:J$27,后果甲状腺剂量!$I$5:$I$27)*后果甲状腺剂量!$R20+SUMPRODUCT(K$5:K$27,后果甲状腺剂量!$I$5:$I$27)*后果甲状腺剂量!$S20+SUMPRODUCT(L$5:L$27,后果甲状腺剂量!$I$5:$I$27)*后果甲状腺剂量!$T20+SUMPRODUCT(M$5:M$27,后果甲状腺剂量!$I$5:$I$27)*后果甲状腺剂量!$U20+SUMPRODUCT(H$5:H$27,后果甲状腺剂量!$J$5:$J$27)*后果甲状腺剂量!$Q20*后果甲状腺剂量!$Q$3+SUMPRODUCT(I$5:I$27,后果甲状腺剂量!$J$5:$J$27)*后果甲状腺剂量!$Q20*后果甲状腺剂量!$Q$3+SUMPRODUCT(J$5:J$27,后果甲状腺剂量!$J$5:$J$27)*后果甲状腺剂量!$R20*后果甲状腺剂量!$R$3+SUMPRODUCT(K$5:K$27,后果甲状腺剂量!$J$5:$J$27)*后果甲状腺剂量!$S20*后果甲状腺剂量!$S$3+SUMPRODUCT(L$5:L$27,后果甲状腺剂量!$J$5:$J$27)*后果甲状腺剂量!$T20*后果甲状腺剂量!$T$3+SUMPRODUCT(M$5:M$27,后果甲状腺剂量!$J$5:$J$27)*后果甲状腺剂量!$U20*后果甲状腺剂量!$U$3+SUMPRODUCT(H$5:H$27,后果甲状腺剂量!$K$5:$K$27)*后果甲状腺剂量!$Q20+SUMPRODUCT(I$5:I$27,后果甲状腺剂量!$K$5:$K$27)*后果甲状腺剂量!$Q20+SUMPRODUCT(J$5:J$27,后果甲状腺剂量!$K$5:$K$27)*后果甲状腺剂量!$R20+SUMPRODUCT(K$5:K$27,后果甲状腺剂量!$K$5:$K$27)*后果甲状腺剂量!$S20+SUMPRODUCT(L$5:L$27,后果甲状腺剂量!$K$5:$K$27)*后果甲状腺剂量!$T20+SUMPRODUCT(M$5:M$27,后果甲状腺剂量!$K$5:$K$27)*后果甲状腺剂量!$U20</f>
        <v>0.00197494501975455</v>
      </c>
      <c r="J46" s="454">
        <f ca="1" t="shared" si="253"/>
        <v>0.191729761340776</v>
      </c>
      <c r="K46" s="454">
        <f ca="1" t="shared" si="254"/>
        <v>1.97494501975455</v>
      </c>
      <c r="L46" s="436"/>
      <c r="M46" s="436"/>
      <c r="N46" s="455"/>
      <c r="Q46" s="440" t="str">
        <f>后果有效剂量!$P20</f>
        <v>75000m</v>
      </c>
      <c r="R46" s="441">
        <f ca="1">SUMPRODUCT(R$5:R$27,后果有效剂量!$I$5:$I$27)*后果有效剂量!$Q20+SUMPRODUCT(S$5:S$27,后果有效剂量!$I$5:$I$27)*后果有效剂量!$Q20+SUMPRODUCT(T$5:T$27,后果有效剂量!$I$5:$I$27)*后果有效剂量!$R20+SUMPRODUCT(U$5:U$27,后果有效剂量!$I$5:$I$27)*后果有效剂量!$S20+SUMPRODUCT(V$5:V$27,后果有效剂量!$I$5:$I$27)*后果有效剂量!$T20+SUMPRODUCT(W$5:W$27,后果有效剂量!$I$5:$I$27)*后果有效剂量!$U20+SUMPRODUCT(R$5:R$27,后果有效剂量!$J$5:$J$27)*后果有效剂量!$Q20*后果有效剂量!$Q$3+SUMPRODUCT(S$5:S$27,后果有效剂量!$J$5:$J$27)*后果有效剂量!$Q20*后果有效剂量!$Q$3+SUMPRODUCT(T$5:T$27,后果有效剂量!$J$5:$J$27)*后果有效剂量!$R20*后果有效剂量!$R$3+SUMPRODUCT(U$5:U$27,后果有效剂量!$J$5:$J$27)*后果有效剂量!$S20*后果有效剂量!$S$3+SUMPRODUCT(V$5:V$27,后果有效剂量!$J$5:$J$27)*后果有效剂量!$T20*后果有效剂量!$T$3+SUMPRODUCT(W$5:W$27,后果有效剂量!$J$5:$J$27)*后果有效剂量!$U20*后果有效剂量!$U$3+SUMPRODUCT(R$5:R$27,后果有效剂量!$K$5:$K$27)*后果有效剂量!$Q20+SUMPRODUCT(S$5:S$27,后果有效剂量!$K$5:$K$27)*后果有效剂量!$Q20+SUMPRODUCT(T$5:T$27,后果有效剂量!$K$5:$K$27)*后果有效剂量!$R20+SUMPRODUCT(U$5:U$27,后果有效剂量!$K$5:$K$27)*后果有效剂量!$S20+SUMPRODUCT(V$5:V$27,后果有效剂量!$K$5:$K$27)*后果有效剂量!$T20+SUMPRODUCT(W$5:W$27,后果有效剂量!$K$5:$K$27)*后果有效剂量!$U20</f>
        <v>7.78851626210341e-6</v>
      </c>
      <c r="S46" s="453">
        <f ca="1">SUMPRODUCT(R$5:R$27,后果甲状腺剂量!$I$5:$I$27)*后果甲状腺剂量!$Q20+SUMPRODUCT(S$5:S$27,后果甲状腺剂量!$I$5:$I$27)*后果甲状腺剂量!$Q20+SUMPRODUCT(T$5:T$27,后果甲状腺剂量!$I$5:$I$27)*后果甲状腺剂量!$R20+SUMPRODUCT(U$5:U$27,后果甲状腺剂量!$I$5:$I$27)*后果甲状腺剂量!$S20+SUMPRODUCT(V$5:V$27,后果甲状腺剂量!$I$5:$I$27)*后果甲状腺剂量!$T20+SUMPRODUCT(W$5:W$27,后果甲状腺剂量!$I$5:$I$27)*后果甲状腺剂量!$U20+SUMPRODUCT(R$5:R$27,后果甲状腺剂量!$J$5:$J$27)*后果甲状腺剂量!$Q20*后果甲状腺剂量!$Q$3+SUMPRODUCT(S$5:S$27,后果甲状腺剂量!$J$5:$J$27)*后果甲状腺剂量!$Q20*后果甲状腺剂量!$Q$3+SUMPRODUCT(T$5:T$27,后果甲状腺剂量!$J$5:$J$27)*后果甲状腺剂量!$R20*后果甲状腺剂量!$R$3+SUMPRODUCT(U$5:U$27,后果甲状腺剂量!$J$5:$J$27)*后果甲状腺剂量!$S20*后果甲状腺剂量!$S$3+SUMPRODUCT(V$5:V$27,后果甲状腺剂量!$J$5:$J$27)*后果甲状腺剂量!$T20*后果甲状腺剂量!$T$3+SUMPRODUCT(W$5:W$27,后果甲状腺剂量!$J$5:$J$27)*后果甲状腺剂量!$U20*后果甲状腺剂量!$U$3+SUMPRODUCT(R$5:R$27,后果甲状腺剂量!$K$5:$K$27)*后果甲状腺剂量!$Q20+SUMPRODUCT(S$5:S$27,后果甲状腺剂量!$K$5:$K$27)*后果甲状腺剂量!$Q20+SUMPRODUCT(T$5:T$27,后果甲状腺剂量!$K$5:$K$27)*后果甲状腺剂量!$R20+SUMPRODUCT(U$5:U$27,后果甲状腺剂量!$K$5:$K$27)*后果甲状腺剂量!$S20+SUMPRODUCT(V$5:V$27,后果甲状腺剂量!$K$5:$K$27)*后果甲状腺剂量!$T20+SUMPRODUCT(W$5:W$27,后果甲状腺剂量!$K$5:$K$27)*后果甲状腺剂量!$U20</f>
        <v>9.81385386126332e-5</v>
      </c>
      <c r="T46" s="454">
        <f ca="1" t="shared" si="255"/>
        <v>0.00778851626210341</v>
      </c>
      <c r="U46" s="454">
        <f ca="1" t="shared" si="256"/>
        <v>0.0981385386126332</v>
      </c>
      <c r="V46" s="436"/>
      <c r="W46" s="436"/>
      <c r="AN46" s="533"/>
      <c r="AS46" s="572"/>
      <c r="BO46" s="600"/>
      <c r="CJ46" s="600"/>
      <c r="DZ46" s="600"/>
      <c r="EU46" s="603"/>
      <c r="FP46" s="603"/>
      <c r="FS46" s="441">
        <f>SUMPRODUCT(FS$5:FS$27,后果有效剂量!$I$5:$I$27)*后果有效剂量!$Q20+SUMPRODUCT(FT$5:FT$27,后果有效剂量!$I$5:$I$27)*后果有效剂量!$R20+SUMPRODUCT(FU$5:FU$27,后果有效剂量!$I$5:$I$27)*后果有效剂量!$S20+SUMPRODUCT(FV$5:FV$27,后果有效剂量!$I$5:$I$27)*后果有效剂量!$T20+SUMPRODUCT(FS$5:FS$27,后果有效剂量!$J$5:$J$27)*后果有效剂量!$Q20*后果有效剂量!$Q$3+SUMPRODUCT(FT$5:FT$27,后果有效剂量!$J$5:$J$27)*后果有效剂量!$R20*后果有效剂量!$R$3+SUMPRODUCT(FU$5:FU$27,后果有效剂量!$J$5:$J$27)*后果有效剂量!$S20*后果有效剂量!$S$3+SUMPRODUCT(FV$5:FV$27,后果有效剂量!$J$5:$J$27)*后果有效剂量!$T20*后果有效剂量!$T$3+SUMPRODUCT(FS$5:FS$27,后果有效剂量!$K$5:$K$27)*后果有效剂量!$Q20+SUMPRODUCT(FT$5:FT$27,后果有效剂量!$K$5:$K$27)*后果有效剂量!$R20+SUMPRODUCT(FU$5:FU$27,后果有效剂量!$K$5:$K$27)*后果有效剂量!$S20+SUMPRODUCT(FV$5:FV$27,后果有效剂量!$K$5:$K$27)*后果有效剂量!$T20</f>
        <v>6.80535169215879e-6</v>
      </c>
      <c r="FT46" s="453">
        <f>SUMPRODUCT(FS$5:FS$27,后果甲状腺剂量!$I$5:$I$27)*后果甲状腺剂量!$Q20+SUMPRODUCT(FT$5:FT$27,后果甲状腺剂量!$I$5:$I$27)*后果甲状腺剂量!$R20+SUMPRODUCT(FU$5:FU$27,后果甲状腺剂量!$I$5:$I$27)*后果甲状腺剂量!$S20+SUMPRODUCT(FV$5:FV$27,后果甲状腺剂量!$I$5:$I$27)*后果甲状腺剂量!$T20+SUMPRODUCT(FS$5:FS$27,后果甲状腺剂量!$J$5:$J$27)*后果甲状腺剂量!$Q20*后果甲状腺剂量!$Q$3+SUMPRODUCT(FT$5:FT$27,后果甲状腺剂量!$J$5:$J$27)*后果甲状腺剂量!$R20*后果甲状腺剂量!$R$3+SUMPRODUCT(FU$5:FU$27,后果甲状腺剂量!$J$5:$J$27)*后果甲状腺剂量!$S20*后果甲状腺剂量!$S$3+SUMPRODUCT(FV$5:FV$27,后果甲状腺剂量!$J$5:$J$27)*后果甲状腺剂量!$T20*后果甲状腺剂量!$T$3+SUMPRODUCT(FS$5:FS$27,后果甲状腺剂量!$K$5:$K$27)*后果甲状腺剂量!$Q20+SUMPRODUCT(FT$5:FT$27,后果甲状腺剂量!$K$5:$K$27)*后果甲状腺剂量!$R20+SUMPRODUCT(FU$5:FU$27,后果甲状腺剂量!$K$5:$K$27)*后果甲状腺剂量!$S20+SUMPRODUCT(FV$5:FV$27,后果甲状腺剂量!$K$5:$K$27)*后果甲状腺剂量!$T20</f>
        <v>4.92490927057719e-5</v>
      </c>
      <c r="FU46" s="454">
        <f t="shared" si="257"/>
        <v>0.00680535169215879</v>
      </c>
      <c r="FV46" s="454">
        <f t="shared" si="258"/>
        <v>0.0492490927057719</v>
      </c>
      <c r="FW46" s="436"/>
      <c r="FX46" s="436"/>
      <c r="GD46" s="440" t="str">
        <f>后果有效剂量!$P20</f>
        <v>75000m</v>
      </c>
      <c r="GE46" s="441">
        <f>SUMPRODUCT(GE$5:GE$27,后果有效剂量!$I$5:$I$27)*后果有效剂量!$Q20+SUMPRODUCT(GF$5:GF$27,后果有效剂量!$I$5:$I$27)*后果有效剂量!$R20+SUMPRODUCT(GG$5:GG$27,后果有效剂量!$I$5:$I$27)*后果有效剂量!$S20+(SUMPRODUCT(GH$5:GH$27,后果有效剂量!$I$5:$I$27)+SUMPRODUCT(GI$5:GI$27,后果有效剂量!$I$5:$I$27))*后果有效剂量!$T20+SUMPRODUCT(GJ$5:GJ$27,后果有效剂量!$I$5:$I$27)*后果有效剂量!$U20+SUMPRODUCT(GE$5:GE$27,后果有效剂量!$J$5:$J$27)*后果有效剂量!$Q20*后果有效剂量!$Q$3+SUMPRODUCT(GF$5:GF$27,后果有效剂量!$J$5:$J$27)*后果有效剂量!$R20*后果有效剂量!$R$3+SUMPRODUCT(GG$5:GG$27,后果有效剂量!$J$5:$J$27)*后果有效剂量!$S20*后果有效剂量!$S$3+(SUMPRODUCT(GH$5:GH$27,后果有效剂量!$J$5:$J$27)+SUMPRODUCT(GI$5:GI$27,后果有效剂量!$J$5:$J$27))*后果有效剂量!$T20*后果有效剂量!$T$3+SUMPRODUCT(GJ$5:GJ$27,后果有效剂量!$J$5:$J$27)*后果有效剂量!$U20*后果有效剂量!$U$3+SUMPRODUCT(GE$5:GE$27,后果有效剂量!$K$5:$K$27)*后果有效剂量!$Q20+SUMPRODUCT(GF$5:GF$27,后果有效剂量!$K$5:$K$27)*后果有效剂量!$R20+SUMPRODUCT(GG$5:GG$27,后果有效剂量!$K$5:$K$27)*后果有效剂量!$S20+(SUMPRODUCT(GH$5:GH$27,后果有效剂量!$K$5:$K$27)+SUMPRODUCT(GI$5:GI$27,后果有效剂量!$K$5:$K$27))*后果有效剂量!$T20+SUMPRODUCT(GJ$5:GJ$27,后果有效剂量!$K$5:$K$27)*后果有效剂量!$U20</f>
        <v>1.41335291296165e-6</v>
      </c>
      <c r="GF46" s="453">
        <f>SUMPRODUCT(GE$5:GE$27,后果甲状腺剂量!$I$5:$I$27)*后果甲状腺剂量!$Q20+SUMPRODUCT(GF$5:GF$27,后果甲状腺剂量!$I$5:$I$27)*后果甲状腺剂量!$R20+SUMPRODUCT(GG$5:GG$27,后果甲状腺剂量!$I$5:$I$27)*后果甲状腺剂量!$S20+(SUMPRODUCT(GH$5:GH$27,后果甲状腺剂量!$I$5:$I$27)+SUMPRODUCT(GI$5:GI$27,后果甲状腺剂量!$I$5:$I$27))*后果甲状腺剂量!$T20+SUMPRODUCT(GJ$5:GJ$27,后果甲状腺剂量!$I$5:$I$27)*后果甲状腺剂量!$U20+SUMPRODUCT(GE$5:GE$27,后果甲状腺剂量!$J$5:$J$27)*后果甲状腺剂量!$Q20*后果甲状腺剂量!$Q$3+SUMPRODUCT(GF$5:GF$27,后果甲状腺剂量!$J$5:$J$27)*后果甲状腺剂量!$R20*后果甲状腺剂量!$R$3+SUMPRODUCT(GG$5:GG$27,后果甲状腺剂量!$J$5:$J$27)*后果甲状腺剂量!$S20*后果甲状腺剂量!$S$3+(SUMPRODUCT(GH$5:GH$27,后果甲状腺剂量!$J$5:$J$27)+SUMPRODUCT(GI$5:GI$27,后果甲状腺剂量!$J$5:$J$27))*后果甲状腺剂量!$T20*后果甲状腺剂量!$T$3+SUMPRODUCT(GJ$5:GJ$27,后果甲状腺剂量!$J$5:$J$27)*后果甲状腺剂量!$U20*后果甲状腺剂量!$U$3+SUMPRODUCT(GE$5:GE$27,后果甲状腺剂量!$K$5:$K$27)*后果甲状腺剂量!$Q20+SUMPRODUCT(GF$5:GF$27,后果甲状腺剂量!$K$5:$K$27)*后果甲状腺剂量!$R20+SUMPRODUCT(GG$5:GG$27,后果甲状腺剂量!$K$5:$K$27)*后果甲状腺剂量!$S20+(SUMPRODUCT(GH$5:GH$27,后果甲状腺剂量!$K$5:$K$27)+SUMPRODUCT(GI$5:GI$27,后果甲状腺剂量!$K$5:$K$27))*后果甲状腺剂量!$T20+SUMPRODUCT(GJ$5:GJ$27,后果甲状腺剂量!$K$5:$K$27)*后果甲状腺剂量!$U20</f>
        <v>7.16623588196207e-6</v>
      </c>
      <c r="GG46" s="454">
        <f t="shared" si="259"/>
        <v>0.00141335291296165</v>
      </c>
      <c r="GH46" s="454">
        <f t="shared" si="260"/>
        <v>0.00716623588196207</v>
      </c>
      <c r="GI46" s="436"/>
      <c r="GJ46" s="436"/>
    </row>
    <row r="47" spans="7:192">
      <c r="G47" s="440">
        <f>后果有效剂量!$P21</f>
        <v>0</v>
      </c>
      <c r="H47" s="441">
        <f ca="1">SUMPRODUCT(H$5:H$27,后果有效剂量!$I$5:$I$27)*后果有效剂量!$Q21+SUMPRODUCT(I$5:I$27,后果有效剂量!$I$5:$I$27)*后果有效剂量!$Q21+SUMPRODUCT(J$5:J$27,后果有效剂量!$I$5:$I$27)*后果有效剂量!$R21+SUMPRODUCT(K$5:K$27,后果有效剂量!$I$5:$I$27)*后果有效剂量!$S21+SUMPRODUCT(L$5:L$27,后果有效剂量!$I$5:$I$27)*后果有效剂量!$T21+SUMPRODUCT(M$5:M$27,后果有效剂量!$I$5:$I$27)*后果有效剂量!$U21+SUMPRODUCT(H$5:H$27,后果有效剂量!$J$5:$J$27)*后果有效剂量!$Q21*后果有效剂量!$Q$3+SUMPRODUCT(I$5:I$27,后果有效剂量!$J$5:$J$27)*后果有效剂量!$Q21*后果有效剂量!$Q$3+SUMPRODUCT(J$5:J$27,后果有效剂量!$J$5:$J$27)*后果有效剂量!$R21*后果有效剂量!$R$3+SUMPRODUCT(K$5:K$27,后果有效剂量!$J$5:$J$27)*后果有效剂量!$S21*后果有效剂量!$S$3+SUMPRODUCT(L$5:L$27,后果有效剂量!$J$5:$J$27)*后果有效剂量!$T21*后果有效剂量!$T$3+SUMPRODUCT(M$5:M$27,后果有效剂量!$J$5:$J$27)*后果有效剂量!$U21*后果有效剂量!$U$3+SUMPRODUCT(H$5:H$27,后果有效剂量!$K$5:$K$27)*后果有效剂量!$Q21+SUMPRODUCT(I$5:I$27,后果有效剂量!$K$5:$K$27)*后果有效剂量!$Q21+SUMPRODUCT(J$5:J$27,后果有效剂量!$K$5:$K$27)*后果有效剂量!$R21+SUMPRODUCT(K$5:K$27,后果有效剂量!$K$5:$K$27)*后果有效剂量!$S21+SUMPRODUCT(L$5:L$27,后果有效剂量!$K$5:$K$27)*后果有效剂量!$T21+SUMPRODUCT(M$5:M$27,后果有效剂量!$K$5:$K$27)*后果有效剂量!$U21</f>
        <v>0</v>
      </c>
      <c r="I47" s="453">
        <f ca="1">SUMPRODUCT(H$5:H$27,后果甲状腺剂量!$I$5:$I$27)*后果甲状腺剂量!$Q21+SUMPRODUCT(I$5:I$27,后果甲状腺剂量!$I$5:$I$27)*后果甲状腺剂量!$Q21+SUMPRODUCT(J$5:J$27,后果甲状腺剂量!$I$5:$I$27)*后果甲状腺剂量!$R21+SUMPRODUCT(K$5:K$27,后果甲状腺剂量!$I$5:$I$27)*后果甲状腺剂量!$S21+SUMPRODUCT(L$5:L$27,后果甲状腺剂量!$I$5:$I$27)*后果甲状腺剂量!$T21+SUMPRODUCT(M$5:M$27,后果甲状腺剂量!$I$5:$I$27)*后果甲状腺剂量!$U21+SUMPRODUCT(H$5:H$27,后果甲状腺剂量!$J$5:$J$27)*后果甲状腺剂量!$Q21*后果甲状腺剂量!$Q$3+SUMPRODUCT(I$5:I$27,后果甲状腺剂量!$J$5:$J$27)*后果甲状腺剂量!$Q21*后果甲状腺剂量!$Q$3+SUMPRODUCT(J$5:J$27,后果甲状腺剂量!$J$5:$J$27)*后果甲状腺剂量!$R21*后果甲状腺剂量!$R$3+SUMPRODUCT(K$5:K$27,后果甲状腺剂量!$J$5:$J$27)*后果甲状腺剂量!$S21*后果甲状腺剂量!$S$3+SUMPRODUCT(L$5:L$27,后果甲状腺剂量!$J$5:$J$27)*后果甲状腺剂量!$T21*后果甲状腺剂量!$T$3+SUMPRODUCT(M$5:M$27,后果甲状腺剂量!$J$5:$J$27)*后果甲状腺剂量!$U21*后果甲状腺剂量!$U$3+SUMPRODUCT(H$5:H$27,后果甲状腺剂量!$K$5:$K$27)*后果甲状腺剂量!$Q21+SUMPRODUCT(I$5:I$27,后果甲状腺剂量!$K$5:$K$27)*后果甲状腺剂量!$Q21+SUMPRODUCT(J$5:J$27,后果甲状腺剂量!$K$5:$K$27)*后果甲状腺剂量!$R21+SUMPRODUCT(K$5:K$27,后果甲状腺剂量!$K$5:$K$27)*后果甲状腺剂量!$S21+SUMPRODUCT(L$5:L$27,后果甲状腺剂量!$K$5:$K$27)*后果甲状腺剂量!$T21+SUMPRODUCT(M$5:M$27,后果甲状腺剂量!$K$5:$K$27)*后果甲状腺剂量!$U21</f>
        <v>0</v>
      </c>
      <c r="J47" s="454">
        <f ca="1" t="shared" si="253"/>
        <v>0</v>
      </c>
      <c r="K47" s="454">
        <f ca="1" t="shared" si="254"/>
        <v>0</v>
      </c>
      <c r="L47" s="436"/>
      <c r="M47" s="436"/>
      <c r="N47" s="455"/>
      <c r="Q47" s="440">
        <f>后果有效剂量!$P21</f>
        <v>0</v>
      </c>
      <c r="R47" s="441">
        <f ca="1">SUMPRODUCT(R$5:R$27,后果有效剂量!$I$5:$I$27)*后果有效剂量!$Q21+SUMPRODUCT(S$5:S$27,后果有效剂量!$I$5:$I$27)*后果有效剂量!$Q21+SUMPRODUCT(T$5:T$27,后果有效剂量!$I$5:$I$27)*后果有效剂量!$R21+SUMPRODUCT(U$5:U$27,后果有效剂量!$I$5:$I$27)*后果有效剂量!$S21+SUMPRODUCT(V$5:V$27,后果有效剂量!$I$5:$I$27)*后果有效剂量!$T21+SUMPRODUCT(W$5:W$27,后果有效剂量!$I$5:$I$27)*后果有效剂量!$U21+SUMPRODUCT(R$5:R$27,后果有效剂量!$J$5:$J$27)*后果有效剂量!$Q21*后果有效剂量!$Q$3+SUMPRODUCT(S$5:S$27,后果有效剂量!$J$5:$J$27)*后果有效剂量!$Q21*后果有效剂量!$Q$3+SUMPRODUCT(T$5:T$27,后果有效剂量!$J$5:$J$27)*后果有效剂量!$R21*后果有效剂量!$R$3+SUMPRODUCT(U$5:U$27,后果有效剂量!$J$5:$J$27)*后果有效剂量!$S21*后果有效剂量!$S$3+SUMPRODUCT(V$5:V$27,后果有效剂量!$J$5:$J$27)*后果有效剂量!$T21*后果有效剂量!$T$3+SUMPRODUCT(W$5:W$27,后果有效剂量!$J$5:$J$27)*后果有效剂量!$U21*后果有效剂量!$U$3+SUMPRODUCT(R$5:R$27,后果有效剂量!$K$5:$K$27)*后果有效剂量!$Q21+SUMPRODUCT(S$5:S$27,后果有效剂量!$K$5:$K$27)*后果有效剂量!$Q21+SUMPRODUCT(T$5:T$27,后果有效剂量!$K$5:$K$27)*后果有效剂量!$R21+SUMPRODUCT(U$5:U$27,后果有效剂量!$K$5:$K$27)*后果有效剂量!$S21+SUMPRODUCT(V$5:V$27,后果有效剂量!$K$5:$K$27)*后果有效剂量!$T21+SUMPRODUCT(W$5:W$27,后果有效剂量!$K$5:$K$27)*后果有效剂量!$U21</f>
        <v>0</v>
      </c>
      <c r="S47" s="453">
        <f ca="1">SUMPRODUCT(R$5:R$27,后果甲状腺剂量!$I$5:$I$27)*后果甲状腺剂量!$Q21+SUMPRODUCT(S$5:S$27,后果甲状腺剂量!$I$5:$I$27)*后果甲状腺剂量!$Q21+SUMPRODUCT(T$5:T$27,后果甲状腺剂量!$I$5:$I$27)*后果甲状腺剂量!$R21+SUMPRODUCT(U$5:U$27,后果甲状腺剂量!$I$5:$I$27)*后果甲状腺剂量!$S21+SUMPRODUCT(V$5:V$27,后果甲状腺剂量!$I$5:$I$27)*后果甲状腺剂量!$T21+SUMPRODUCT(W$5:W$27,后果甲状腺剂量!$I$5:$I$27)*后果甲状腺剂量!$U21+SUMPRODUCT(R$5:R$27,后果甲状腺剂量!$J$5:$J$27)*后果甲状腺剂量!$Q21*后果甲状腺剂量!$Q$3+SUMPRODUCT(S$5:S$27,后果甲状腺剂量!$J$5:$J$27)*后果甲状腺剂量!$Q21*后果甲状腺剂量!$Q$3+SUMPRODUCT(T$5:T$27,后果甲状腺剂量!$J$5:$J$27)*后果甲状腺剂量!$R21*后果甲状腺剂量!$R$3+SUMPRODUCT(U$5:U$27,后果甲状腺剂量!$J$5:$J$27)*后果甲状腺剂量!$S21*后果甲状腺剂量!$S$3+SUMPRODUCT(V$5:V$27,后果甲状腺剂量!$J$5:$J$27)*后果甲状腺剂量!$T21*后果甲状腺剂量!$T$3+SUMPRODUCT(W$5:W$27,后果甲状腺剂量!$J$5:$J$27)*后果甲状腺剂量!$U21*后果甲状腺剂量!$U$3+SUMPRODUCT(R$5:R$27,后果甲状腺剂量!$K$5:$K$27)*后果甲状腺剂量!$Q21+SUMPRODUCT(S$5:S$27,后果甲状腺剂量!$K$5:$K$27)*后果甲状腺剂量!$Q21+SUMPRODUCT(T$5:T$27,后果甲状腺剂量!$K$5:$K$27)*后果甲状腺剂量!$R21+SUMPRODUCT(U$5:U$27,后果甲状腺剂量!$K$5:$K$27)*后果甲状腺剂量!$S21+SUMPRODUCT(V$5:V$27,后果甲状腺剂量!$K$5:$K$27)*后果甲状腺剂量!$T21+SUMPRODUCT(W$5:W$27,后果甲状腺剂量!$K$5:$K$27)*后果甲状腺剂量!$U21</f>
        <v>0</v>
      </c>
      <c r="T47" s="454">
        <f ca="1" t="shared" si="255"/>
        <v>0</v>
      </c>
      <c r="U47" s="454">
        <f ca="1" t="shared" si="256"/>
        <v>0</v>
      </c>
      <c r="V47" s="436"/>
      <c r="W47" s="436"/>
      <c r="AN47" s="533"/>
      <c r="AS47" s="572"/>
      <c r="BO47" s="600"/>
      <c r="CJ47" s="600"/>
      <c r="DZ47" s="600"/>
      <c r="EU47" s="603"/>
      <c r="FP47" s="603"/>
      <c r="FS47" s="441">
        <f>SUMPRODUCT(FS$5:FS$27,后果有效剂量!$I$5:$I$27)*后果有效剂量!$Q21+SUMPRODUCT(FT$5:FT$27,后果有效剂量!$I$5:$I$27)*后果有效剂量!$R21+SUMPRODUCT(FU$5:FU$27,后果有效剂量!$I$5:$I$27)*后果有效剂量!$S21+SUMPRODUCT(FV$5:FV$27,后果有效剂量!$I$5:$I$27)*后果有效剂量!$T21+SUMPRODUCT(FS$5:FS$27,后果有效剂量!$J$5:$J$27)*后果有效剂量!$Q21*后果有效剂量!$Q$3+SUMPRODUCT(FT$5:FT$27,后果有效剂量!$J$5:$J$27)*后果有效剂量!$R21*后果有效剂量!$R$3+SUMPRODUCT(FU$5:FU$27,后果有效剂量!$J$5:$J$27)*后果有效剂量!$S21*后果有效剂量!$S$3+SUMPRODUCT(FV$5:FV$27,后果有效剂量!$J$5:$J$27)*后果有效剂量!$T21*后果有效剂量!$T$3+SUMPRODUCT(FS$5:FS$27,后果有效剂量!$K$5:$K$27)*后果有效剂量!$Q21+SUMPRODUCT(FT$5:FT$27,后果有效剂量!$K$5:$K$27)*后果有效剂量!$R21+SUMPRODUCT(FU$5:FU$27,后果有效剂量!$K$5:$K$27)*后果有效剂量!$S21+SUMPRODUCT(FV$5:FV$27,后果有效剂量!$K$5:$K$27)*后果有效剂量!$T21</f>
        <v>0</v>
      </c>
      <c r="FT47" s="453">
        <f>SUMPRODUCT(FS$5:FS$27,后果甲状腺剂量!$I$5:$I$27)*后果甲状腺剂量!$Q21+SUMPRODUCT(FT$5:FT$27,后果甲状腺剂量!$I$5:$I$27)*后果甲状腺剂量!$R21+SUMPRODUCT(FU$5:FU$27,后果甲状腺剂量!$I$5:$I$27)*后果甲状腺剂量!$S21+SUMPRODUCT(FV$5:FV$27,后果甲状腺剂量!$I$5:$I$27)*后果甲状腺剂量!$T21+SUMPRODUCT(FS$5:FS$27,后果甲状腺剂量!$J$5:$J$27)*后果甲状腺剂量!$Q21*后果甲状腺剂量!$Q$3+SUMPRODUCT(FT$5:FT$27,后果甲状腺剂量!$J$5:$J$27)*后果甲状腺剂量!$R21*后果甲状腺剂量!$R$3+SUMPRODUCT(FU$5:FU$27,后果甲状腺剂量!$J$5:$J$27)*后果甲状腺剂量!$S21*后果甲状腺剂量!$S$3+SUMPRODUCT(FV$5:FV$27,后果甲状腺剂量!$J$5:$J$27)*后果甲状腺剂量!$T21*后果甲状腺剂量!$T$3+SUMPRODUCT(FS$5:FS$27,后果甲状腺剂量!$K$5:$K$27)*后果甲状腺剂量!$Q21+SUMPRODUCT(FT$5:FT$27,后果甲状腺剂量!$K$5:$K$27)*后果甲状腺剂量!$R21+SUMPRODUCT(FU$5:FU$27,后果甲状腺剂量!$K$5:$K$27)*后果甲状腺剂量!$S21+SUMPRODUCT(FV$5:FV$27,后果甲状腺剂量!$K$5:$K$27)*后果甲状腺剂量!$T21</f>
        <v>0</v>
      </c>
      <c r="FU47" s="454">
        <f t="shared" si="257"/>
        <v>0</v>
      </c>
      <c r="FV47" s="454">
        <f t="shared" si="258"/>
        <v>0</v>
      </c>
      <c r="FW47" s="436"/>
      <c r="FX47" s="436"/>
      <c r="GD47" s="440">
        <f>后果有效剂量!$P21</f>
        <v>0</v>
      </c>
      <c r="GE47" s="441">
        <f>SUMPRODUCT(GE$5:GE$27,后果有效剂量!$I$5:$I$27)*后果有效剂量!$Q21+SUMPRODUCT(GF$5:GF$27,后果有效剂量!$I$5:$I$27)*后果有效剂量!$R21+SUMPRODUCT(GG$5:GG$27,后果有效剂量!$I$5:$I$27)*后果有效剂量!$S21+(SUMPRODUCT(GH$5:GH$27,后果有效剂量!$I$5:$I$27)+SUMPRODUCT(GI$5:GI$27,后果有效剂量!$I$5:$I$27))*后果有效剂量!$T21+SUMPRODUCT(GJ$5:GJ$27,后果有效剂量!$I$5:$I$27)*后果有效剂量!$U21+SUMPRODUCT(GE$5:GE$27,后果有效剂量!$J$5:$J$27)*后果有效剂量!$Q21*后果有效剂量!$Q$3+SUMPRODUCT(GF$5:GF$27,后果有效剂量!$J$5:$J$27)*后果有效剂量!$R21*后果有效剂量!$R$3+SUMPRODUCT(GG$5:GG$27,后果有效剂量!$J$5:$J$27)*后果有效剂量!$S21*后果有效剂量!$S$3+(SUMPRODUCT(GH$5:GH$27,后果有效剂量!$J$5:$J$27)+SUMPRODUCT(GI$5:GI$27,后果有效剂量!$J$5:$J$27))*后果有效剂量!$T21*后果有效剂量!$T$3+SUMPRODUCT(GJ$5:GJ$27,后果有效剂量!$J$5:$J$27)*后果有效剂量!$U21*后果有效剂量!$U$3+SUMPRODUCT(GE$5:GE$27,后果有效剂量!$K$5:$K$27)*后果有效剂量!$Q21+SUMPRODUCT(GF$5:GF$27,后果有效剂量!$K$5:$K$27)*后果有效剂量!$R21+SUMPRODUCT(GG$5:GG$27,后果有效剂量!$K$5:$K$27)*后果有效剂量!$S21+(SUMPRODUCT(GH$5:GH$27,后果有效剂量!$K$5:$K$27)+SUMPRODUCT(GI$5:GI$27,后果有效剂量!$K$5:$K$27))*后果有效剂量!$T21+SUMPRODUCT(GJ$5:GJ$27,后果有效剂量!$K$5:$K$27)*后果有效剂量!$U21</f>
        <v>0</v>
      </c>
      <c r="GF47" s="453">
        <f>SUMPRODUCT(GE$5:GE$27,后果甲状腺剂量!$I$5:$I$27)*后果甲状腺剂量!$Q21+SUMPRODUCT(GF$5:GF$27,后果甲状腺剂量!$I$5:$I$27)*后果甲状腺剂量!$R21+SUMPRODUCT(GG$5:GG$27,后果甲状腺剂量!$I$5:$I$27)*后果甲状腺剂量!$S21+(SUMPRODUCT(GH$5:GH$27,后果甲状腺剂量!$I$5:$I$27)+SUMPRODUCT(GI$5:GI$27,后果甲状腺剂量!$I$5:$I$27))*后果甲状腺剂量!$T21+SUMPRODUCT(GJ$5:GJ$27,后果甲状腺剂量!$I$5:$I$27)*后果甲状腺剂量!$U21+SUMPRODUCT(GE$5:GE$27,后果甲状腺剂量!$J$5:$J$27)*后果甲状腺剂量!$Q21*后果甲状腺剂量!$Q$3+SUMPRODUCT(GF$5:GF$27,后果甲状腺剂量!$J$5:$J$27)*后果甲状腺剂量!$R21*后果甲状腺剂量!$R$3+SUMPRODUCT(GG$5:GG$27,后果甲状腺剂量!$J$5:$J$27)*后果甲状腺剂量!$S21*后果甲状腺剂量!$S$3+(SUMPRODUCT(GH$5:GH$27,后果甲状腺剂量!$J$5:$J$27)+SUMPRODUCT(GI$5:GI$27,后果甲状腺剂量!$J$5:$J$27))*后果甲状腺剂量!$T21*后果甲状腺剂量!$T$3+SUMPRODUCT(GJ$5:GJ$27,后果甲状腺剂量!$J$5:$J$27)*后果甲状腺剂量!$U21*后果甲状腺剂量!$U$3+SUMPRODUCT(GE$5:GE$27,后果甲状腺剂量!$K$5:$K$27)*后果甲状腺剂量!$Q21+SUMPRODUCT(GF$5:GF$27,后果甲状腺剂量!$K$5:$K$27)*后果甲状腺剂量!$R21+SUMPRODUCT(GG$5:GG$27,后果甲状腺剂量!$K$5:$K$27)*后果甲状腺剂量!$S21+(SUMPRODUCT(GH$5:GH$27,后果甲状腺剂量!$K$5:$K$27)+SUMPRODUCT(GI$5:GI$27,后果甲状腺剂量!$K$5:$K$27))*后果甲状腺剂量!$T21+SUMPRODUCT(GJ$5:GJ$27,后果甲状腺剂量!$K$5:$K$27)*后果甲状腺剂量!$U21</f>
        <v>0</v>
      </c>
      <c r="GG47" s="454">
        <f t="shared" si="259"/>
        <v>0</v>
      </c>
      <c r="GH47" s="454">
        <f t="shared" si="260"/>
        <v>0</v>
      </c>
      <c r="GI47" s="436"/>
      <c r="GJ47" s="436"/>
    </row>
    <row r="48" spans="7:192">
      <c r="G48" s="440">
        <f>后果有效剂量!$P22</f>
        <v>0</v>
      </c>
      <c r="H48" s="441">
        <f ca="1">SUMPRODUCT(H$5:H$27,后果有效剂量!$I$5:$I$27)*后果有效剂量!$Q22+SUMPRODUCT(I$5:I$27,后果有效剂量!$I$5:$I$27)*后果有效剂量!$Q22+SUMPRODUCT(J$5:J$27,后果有效剂量!$I$5:$I$27)*后果有效剂量!$R22+SUMPRODUCT(K$5:K$27,后果有效剂量!$I$5:$I$27)*后果有效剂量!$S22+SUMPRODUCT(L$5:L$27,后果有效剂量!$I$5:$I$27)*后果有效剂量!$T22+SUMPRODUCT(M$5:M$27,后果有效剂量!$I$5:$I$27)*后果有效剂量!$U22+SUMPRODUCT(H$5:H$27,后果有效剂量!$J$5:$J$27)*后果有效剂量!$Q22*后果有效剂量!$Q$3+SUMPRODUCT(I$5:I$27,后果有效剂量!$J$5:$J$27)*后果有效剂量!$Q22*后果有效剂量!$Q$3+SUMPRODUCT(J$5:J$27,后果有效剂量!$J$5:$J$27)*后果有效剂量!$R22*后果有效剂量!$R$3+SUMPRODUCT(K$5:K$27,后果有效剂量!$J$5:$J$27)*后果有效剂量!$S22*后果有效剂量!$S$3+SUMPRODUCT(L$5:L$27,后果有效剂量!$J$5:$J$27)*后果有效剂量!$T22*后果有效剂量!$T$3+SUMPRODUCT(M$5:M$27,后果有效剂量!$J$5:$J$27)*后果有效剂量!$U22*后果有效剂量!$U$3+SUMPRODUCT(H$5:H$27,后果有效剂量!$K$5:$K$27)*后果有效剂量!$Q22+SUMPRODUCT(I$5:I$27,后果有效剂量!$K$5:$K$27)*后果有效剂量!$Q22+SUMPRODUCT(J$5:J$27,后果有效剂量!$K$5:$K$27)*后果有效剂量!$R22+SUMPRODUCT(K$5:K$27,后果有效剂量!$K$5:$K$27)*后果有效剂量!$S22+SUMPRODUCT(L$5:L$27,后果有效剂量!$K$5:$K$27)*后果有效剂量!$T22+SUMPRODUCT(M$5:M$27,后果有效剂量!$K$5:$K$27)*后果有效剂量!$U22</f>
        <v>0</v>
      </c>
      <c r="I48" s="453">
        <f ca="1">SUMPRODUCT(H$5:H$27,后果甲状腺剂量!$I$5:$I$27)*后果甲状腺剂量!$Q22+SUMPRODUCT(I$5:I$27,后果甲状腺剂量!$I$5:$I$27)*后果甲状腺剂量!$Q22+SUMPRODUCT(J$5:J$27,后果甲状腺剂量!$I$5:$I$27)*后果甲状腺剂量!$R22+SUMPRODUCT(K$5:K$27,后果甲状腺剂量!$I$5:$I$27)*后果甲状腺剂量!$S22+SUMPRODUCT(L$5:L$27,后果甲状腺剂量!$I$5:$I$27)*后果甲状腺剂量!$T22+SUMPRODUCT(M$5:M$27,后果甲状腺剂量!$I$5:$I$27)*后果甲状腺剂量!$U22+SUMPRODUCT(H$5:H$27,后果甲状腺剂量!$J$5:$J$27)*后果甲状腺剂量!$Q22*后果甲状腺剂量!$Q$3+SUMPRODUCT(I$5:I$27,后果甲状腺剂量!$J$5:$J$27)*后果甲状腺剂量!$Q22*后果甲状腺剂量!$Q$3+SUMPRODUCT(J$5:J$27,后果甲状腺剂量!$J$5:$J$27)*后果甲状腺剂量!$R22*后果甲状腺剂量!$R$3+SUMPRODUCT(K$5:K$27,后果甲状腺剂量!$J$5:$J$27)*后果甲状腺剂量!$S22*后果甲状腺剂量!$S$3+SUMPRODUCT(L$5:L$27,后果甲状腺剂量!$J$5:$J$27)*后果甲状腺剂量!$T22*后果甲状腺剂量!$T$3+SUMPRODUCT(M$5:M$27,后果甲状腺剂量!$J$5:$J$27)*后果甲状腺剂量!$U22*后果甲状腺剂量!$U$3+SUMPRODUCT(H$5:H$27,后果甲状腺剂量!$K$5:$K$27)*后果甲状腺剂量!$Q22+SUMPRODUCT(I$5:I$27,后果甲状腺剂量!$K$5:$K$27)*后果甲状腺剂量!$Q22+SUMPRODUCT(J$5:J$27,后果甲状腺剂量!$K$5:$K$27)*后果甲状腺剂量!$R22+SUMPRODUCT(K$5:K$27,后果甲状腺剂量!$K$5:$K$27)*后果甲状腺剂量!$S22+SUMPRODUCT(L$5:L$27,后果甲状腺剂量!$K$5:$K$27)*后果甲状腺剂量!$T22+SUMPRODUCT(M$5:M$27,后果甲状腺剂量!$K$5:$K$27)*后果甲状腺剂量!$U22</f>
        <v>0</v>
      </c>
      <c r="J48" s="454">
        <f ca="1" t="shared" si="253"/>
        <v>0</v>
      </c>
      <c r="K48" s="454">
        <f ca="1" t="shared" si="254"/>
        <v>0</v>
      </c>
      <c r="L48" s="436"/>
      <c r="M48" s="436"/>
      <c r="N48" s="455"/>
      <c r="Q48" s="440">
        <f>后果有效剂量!$P22</f>
        <v>0</v>
      </c>
      <c r="R48" s="441">
        <f ca="1">SUMPRODUCT(R$5:R$27,后果有效剂量!$I$5:$I$27)*后果有效剂量!$Q22+SUMPRODUCT(S$5:S$27,后果有效剂量!$I$5:$I$27)*后果有效剂量!$Q22+SUMPRODUCT(T$5:T$27,后果有效剂量!$I$5:$I$27)*后果有效剂量!$R22+SUMPRODUCT(U$5:U$27,后果有效剂量!$I$5:$I$27)*后果有效剂量!$S22+SUMPRODUCT(V$5:V$27,后果有效剂量!$I$5:$I$27)*后果有效剂量!$T22+SUMPRODUCT(W$5:W$27,后果有效剂量!$I$5:$I$27)*后果有效剂量!$U22+SUMPRODUCT(R$5:R$27,后果有效剂量!$J$5:$J$27)*后果有效剂量!$Q22*后果有效剂量!$Q$3+SUMPRODUCT(S$5:S$27,后果有效剂量!$J$5:$J$27)*后果有效剂量!$Q22*后果有效剂量!$Q$3+SUMPRODUCT(T$5:T$27,后果有效剂量!$J$5:$J$27)*后果有效剂量!$R22*后果有效剂量!$R$3+SUMPRODUCT(U$5:U$27,后果有效剂量!$J$5:$J$27)*后果有效剂量!$S22*后果有效剂量!$S$3+SUMPRODUCT(V$5:V$27,后果有效剂量!$J$5:$J$27)*后果有效剂量!$T22*后果有效剂量!$T$3+SUMPRODUCT(W$5:W$27,后果有效剂量!$J$5:$J$27)*后果有效剂量!$U22*后果有效剂量!$U$3+SUMPRODUCT(R$5:R$27,后果有效剂量!$K$5:$K$27)*后果有效剂量!$Q22+SUMPRODUCT(S$5:S$27,后果有效剂量!$K$5:$K$27)*后果有效剂量!$Q22+SUMPRODUCT(T$5:T$27,后果有效剂量!$K$5:$K$27)*后果有效剂量!$R22+SUMPRODUCT(U$5:U$27,后果有效剂量!$K$5:$K$27)*后果有效剂量!$S22+SUMPRODUCT(V$5:V$27,后果有效剂量!$K$5:$K$27)*后果有效剂量!$T22+SUMPRODUCT(W$5:W$27,后果有效剂量!$K$5:$K$27)*后果有效剂量!$U22</f>
        <v>0</v>
      </c>
      <c r="S48" s="453">
        <f ca="1">SUMPRODUCT(R$5:R$27,后果甲状腺剂量!$I$5:$I$27)*后果甲状腺剂量!$Q22+SUMPRODUCT(S$5:S$27,后果甲状腺剂量!$I$5:$I$27)*后果甲状腺剂量!$Q22+SUMPRODUCT(T$5:T$27,后果甲状腺剂量!$I$5:$I$27)*后果甲状腺剂量!$R22+SUMPRODUCT(U$5:U$27,后果甲状腺剂量!$I$5:$I$27)*后果甲状腺剂量!$S22+SUMPRODUCT(V$5:V$27,后果甲状腺剂量!$I$5:$I$27)*后果甲状腺剂量!$T22+SUMPRODUCT(W$5:W$27,后果甲状腺剂量!$I$5:$I$27)*后果甲状腺剂量!$U22+SUMPRODUCT(R$5:R$27,后果甲状腺剂量!$J$5:$J$27)*后果甲状腺剂量!$Q22*后果甲状腺剂量!$Q$3+SUMPRODUCT(S$5:S$27,后果甲状腺剂量!$J$5:$J$27)*后果甲状腺剂量!$Q22*后果甲状腺剂量!$Q$3+SUMPRODUCT(T$5:T$27,后果甲状腺剂量!$J$5:$J$27)*后果甲状腺剂量!$R22*后果甲状腺剂量!$R$3+SUMPRODUCT(U$5:U$27,后果甲状腺剂量!$J$5:$J$27)*后果甲状腺剂量!$S22*后果甲状腺剂量!$S$3+SUMPRODUCT(V$5:V$27,后果甲状腺剂量!$J$5:$J$27)*后果甲状腺剂量!$T22*后果甲状腺剂量!$T$3+SUMPRODUCT(W$5:W$27,后果甲状腺剂量!$J$5:$J$27)*后果甲状腺剂量!$U22*后果甲状腺剂量!$U$3+SUMPRODUCT(R$5:R$27,后果甲状腺剂量!$K$5:$K$27)*后果甲状腺剂量!$Q22+SUMPRODUCT(S$5:S$27,后果甲状腺剂量!$K$5:$K$27)*后果甲状腺剂量!$Q22+SUMPRODUCT(T$5:T$27,后果甲状腺剂量!$K$5:$K$27)*后果甲状腺剂量!$R22+SUMPRODUCT(U$5:U$27,后果甲状腺剂量!$K$5:$K$27)*后果甲状腺剂量!$S22+SUMPRODUCT(V$5:V$27,后果甲状腺剂量!$K$5:$K$27)*后果甲状腺剂量!$T22+SUMPRODUCT(W$5:W$27,后果甲状腺剂量!$K$5:$K$27)*后果甲状腺剂量!$U22</f>
        <v>0</v>
      </c>
      <c r="T48" s="454">
        <f ca="1" t="shared" si="255"/>
        <v>0</v>
      </c>
      <c r="U48" s="454">
        <f ca="1" t="shared" si="256"/>
        <v>0</v>
      </c>
      <c r="V48" s="436"/>
      <c r="W48" s="436"/>
      <c r="AN48" s="533"/>
      <c r="AS48" s="572"/>
      <c r="BO48" s="600"/>
      <c r="FS48" s="441">
        <f>SUMPRODUCT(FS$5:FS$27,后果有效剂量!$I$5:$I$27)*后果有效剂量!$Q22+SUMPRODUCT(FT$5:FT$27,后果有效剂量!$I$5:$I$27)*后果有效剂量!$R22+SUMPRODUCT(FU$5:FU$27,后果有效剂量!$I$5:$I$27)*后果有效剂量!$S22+SUMPRODUCT(FV$5:FV$27,后果有效剂量!$I$5:$I$27)*后果有效剂量!$T22+SUMPRODUCT(FS$5:FS$27,后果有效剂量!$J$5:$J$27)*后果有效剂量!$Q22*后果有效剂量!$Q$3+SUMPRODUCT(FT$5:FT$27,后果有效剂量!$J$5:$J$27)*后果有效剂量!$R22*后果有效剂量!$R$3+SUMPRODUCT(FU$5:FU$27,后果有效剂量!$J$5:$J$27)*后果有效剂量!$S22*后果有效剂量!$S$3+SUMPRODUCT(FV$5:FV$27,后果有效剂量!$J$5:$J$27)*后果有效剂量!$T22*后果有效剂量!$T$3+SUMPRODUCT(FS$5:FS$27,后果有效剂量!$K$5:$K$27)*后果有效剂量!$Q22+SUMPRODUCT(FT$5:FT$27,后果有效剂量!$K$5:$K$27)*后果有效剂量!$R22+SUMPRODUCT(FU$5:FU$27,后果有效剂量!$K$5:$K$27)*后果有效剂量!$S22+SUMPRODUCT(FV$5:FV$27,后果有效剂量!$K$5:$K$27)*后果有效剂量!$T22</f>
        <v>0</v>
      </c>
      <c r="FT48" s="453">
        <f>SUMPRODUCT(FS$5:FS$27,后果甲状腺剂量!$I$5:$I$27)*后果甲状腺剂量!$Q22+SUMPRODUCT(FT$5:FT$27,后果甲状腺剂量!$I$5:$I$27)*后果甲状腺剂量!$R22+SUMPRODUCT(FU$5:FU$27,后果甲状腺剂量!$I$5:$I$27)*后果甲状腺剂量!$S22+SUMPRODUCT(FV$5:FV$27,后果甲状腺剂量!$I$5:$I$27)*后果甲状腺剂量!$T22+SUMPRODUCT(FS$5:FS$27,后果甲状腺剂量!$J$5:$J$27)*后果甲状腺剂量!$Q22*后果甲状腺剂量!$Q$3+SUMPRODUCT(FT$5:FT$27,后果甲状腺剂量!$J$5:$J$27)*后果甲状腺剂量!$R22*后果甲状腺剂量!$R$3+SUMPRODUCT(FU$5:FU$27,后果甲状腺剂量!$J$5:$J$27)*后果甲状腺剂量!$S22*后果甲状腺剂量!$S$3+SUMPRODUCT(FV$5:FV$27,后果甲状腺剂量!$J$5:$J$27)*后果甲状腺剂量!$T22*后果甲状腺剂量!$T$3+SUMPRODUCT(FS$5:FS$27,后果甲状腺剂量!$K$5:$K$27)*后果甲状腺剂量!$Q22+SUMPRODUCT(FT$5:FT$27,后果甲状腺剂量!$K$5:$K$27)*后果甲状腺剂量!$R22+SUMPRODUCT(FU$5:FU$27,后果甲状腺剂量!$K$5:$K$27)*后果甲状腺剂量!$S22+SUMPRODUCT(FV$5:FV$27,后果甲状腺剂量!$K$5:$K$27)*后果甲状腺剂量!$T22</f>
        <v>0</v>
      </c>
      <c r="FU48" s="454">
        <f t="shared" si="257"/>
        <v>0</v>
      </c>
      <c r="FV48" s="454">
        <f t="shared" si="258"/>
        <v>0</v>
      </c>
      <c r="FW48" s="436"/>
      <c r="FX48" s="436"/>
      <c r="GD48" s="440">
        <f>后果有效剂量!$P22</f>
        <v>0</v>
      </c>
      <c r="GE48" s="441">
        <f>SUMPRODUCT(GE$5:GE$27,后果有效剂量!$I$5:$I$27)*后果有效剂量!$Q22+SUMPRODUCT(GF$5:GF$27,后果有效剂量!$I$5:$I$27)*后果有效剂量!$R22+SUMPRODUCT(GG$5:GG$27,后果有效剂量!$I$5:$I$27)*后果有效剂量!$S22+(SUMPRODUCT(GH$5:GH$27,后果有效剂量!$I$5:$I$27)+SUMPRODUCT(GI$5:GI$27,后果有效剂量!$I$5:$I$27))*后果有效剂量!$T22+SUMPRODUCT(GJ$5:GJ$27,后果有效剂量!$I$5:$I$27)*后果有效剂量!$U22+SUMPRODUCT(GE$5:GE$27,后果有效剂量!$J$5:$J$27)*后果有效剂量!$Q22*后果有效剂量!$Q$3+SUMPRODUCT(GF$5:GF$27,后果有效剂量!$J$5:$J$27)*后果有效剂量!$R22*后果有效剂量!$R$3+SUMPRODUCT(GG$5:GG$27,后果有效剂量!$J$5:$J$27)*后果有效剂量!$S22*后果有效剂量!$S$3+(SUMPRODUCT(GH$5:GH$27,后果有效剂量!$J$5:$J$27)+SUMPRODUCT(GI$5:GI$27,后果有效剂量!$J$5:$J$27))*后果有效剂量!$T22*后果有效剂量!$T$3+SUMPRODUCT(GJ$5:GJ$27,后果有效剂量!$J$5:$J$27)*后果有效剂量!$U22*后果有效剂量!$U$3+SUMPRODUCT(GE$5:GE$27,后果有效剂量!$K$5:$K$27)*后果有效剂量!$Q22+SUMPRODUCT(GF$5:GF$27,后果有效剂量!$K$5:$K$27)*后果有效剂量!$R22+SUMPRODUCT(GG$5:GG$27,后果有效剂量!$K$5:$K$27)*后果有效剂量!$S22+(SUMPRODUCT(GH$5:GH$27,后果有效剂量!$K$5:$K$27)+SUMPRODUCT(GI$5:GI$27,后果有效剂量!$K$5:$K$27))*后果有效剂量!$T22+SUMPRODUCT(GJ$5:GJ$27,后果有效剂量!$K$5:$K$27)*后果有效剂量!$U22</f>
        <v>0</v>
      </c>
      <c r="GF48" s="453">
        <f>SUMPRODUCT(GE$5:GE$27,后果甲状腺剂量!$I$5:$I$27)*后果甲状腺剂量!$Q22+SUMPRODUCT(GF$5:GF$27,后果甲状腺剂量!$I$5:$I$27)*后果甲状腺剂量!$R22+SUMPRODUCT(GG$5:GG$27,后果甲状腺剂量!$I$5:$I$27)*后果甲状腺剂量!$S22+(SUMPRODUCT(GH$5:GH$27,后果甲状腺剂量!$I$5:$I$27)+SUMPRODUCT(GI$5:GI$27,后果甲状腺剂量!$I$5:$I$27))*后果甲状腺剂量!$T22+SUMPRODUCT(GJ$5:GJ$27,后果甲状腺剂量!$I$5:$I$27)*后果甲状腺剂量!$U22+SUMPRODUCT(GE$5:GE$27,后果甲状腺剂量!$J$5:$J$27)*后果甲状腺剂量!$Q22*后果甲状腺剂量!$Q$3+SUMPRODUCT(GF$5:GF$27,后果甲状腺剂量!$J$5:$J$27)*后果甲状腺剂量!$R22*后果甲状腺剂量!$R$3+SUMPRODUCT(GG$5:GG$27,后果甲状腺剂量!$J$5:$J$27)*后果甲状腺剂量!$S22*后果甲状腺剂量!$S$3+(SUMPRODUCT(GH$5:GH$27,后果甲状腺剂量!$J$5:$J$27)+SUMPRODUCT(GI$5:GI$27,后果甲状腺剂量!$J$5:$J$27))*后果甲状腺剂量!$T22*后果甲状腺剂量!$T$3+SUMPRODUCT(GJ$5:GJ$27,后果甲状腺剂量!$J$5:$J$27)*后果甲状腺剂量!$U22*后果甲状腺剂量!$U$3+SUMPRODUCT(GE$5:GE$27,后果甲状腺剂量!$K$5:$K$27)*后果甲状腺剂量!$Q22+SUMPRODUCT(GF$5:GF$27,后果甲状腺剂量!$K$5:$K$27)*后果甲状腺剂量!$R22+SUMPRODUCT(GG$5:GG$27,后果甲状腺剂量!$K$5:$K$27)*后果甲状腺剂量!$S22+(SUMPRODUCT(GH$5:GH$27,后果甲状腺剂量!$K$5:$K$27)+SUMPRODUCT(GI$5:GI$27,后果甲状腺剂量!$K$5:$K$27))*后果甲状腺剂量!$T22+SUMPRODUCT(GJ$5:GJ$27,后果甲状腺剂量!$K$5:$K$27)*后果甲状腺剂量!$U22</f>
        <v>0</v>
      </c>
      <c r="GG48" s="454">
        <f t="shared" si="259"/>
        <v>0</v>
      </c>
      <c r="GH48" s="454">
        <f t="shared" si="260"/>
        <v>0</v>
      </c>
      <c r="GI48" s="436"/>
      <c r="GJ48" s="436"/>
    </row>
    <row r="49" spans="7:192">
      <c r="G49" s="440">
        <f>后果有效剂量!$P23</f>
        <v>0</v>
      </c>
      <c r="H49" s="441">
        <f ca="1">SUMPRODUCT(H$5:H$27,后果有效剂量!$I$5:$I$27)*后果有效剂量!$Q23+SUMPRODUCT(I$5:I$27,后果有效剂量!$I$5:$I$27)*后果有效剂量!$Q23+SUMPRODUCT(J$5:J$27,后果有效剂量!$I$5:$I$27)*后果有效剂量!$R23+SUMPRODUCT(K$5:K$27,后果有效剂量!$I$5:$I$27)*后果有效剂量!$S23+SUMPRODUCT(L$5:L$27,后果有效剂量!$I$5:$I$27)*后果有效剂量!$T23+SUMPRODUCT(M$5:M$27,后果有效剂量!$I$5:$I$27)*后果有效剂量!$U23+SUMPRODUCT(H$5:H$27,后果有效剂量!$J$5:$J$27)*后果有效剂量!$Q23*后果有效剂量!$Q$3+SUMPRODUCT(I$5:I$27,后果有效剂量!$J$5:$J$27)*后果有效剂量!$Q23*后果有效剂量!$Q$3+SUMPRODUCT(J$5:J$27,后果有效剂量!$J$5:$J$27)*后果有效剂量!$R23*后果有效剂量!$R$3+SUMPRODUCT(K$5:K$27,后果有效剂量!$J$5:$J$27)*后果有效剂量!$S23*后果有效剂量!$S$3+SUMPRODUCT(L$5:L$27,后果有效剂量!$J$5:$J$27)*后果有效剂量!$T23*后果有效剂量!$T$3+SUMPRODUCT(M$5:M$27,后果有效剂量!$J$5:$J$27)*后果有效剂量!$U23*后果有效剂量!$U$3+SUMPRODUCT(H$5:H$27,后果有效剂量!$K$5:$K$27)*后果有效剂量!$Q23+SUMPRODUCT(I$5:I$27,后果有效剂量!$K$5:$K$27)*后果有效剂量!$Q23+SUMPRODUCT(J$5:J$27,后果有效剂量!$K$5:$K$27)*后果有效剂量!$R23+SUMPRODUCT(K$5:K$27,后果有效剂量!$K$5:$K$27)*后果有效剂量!$S23+SUMPRODUCT(L$5:L$27,后果有效剂量!$K$5:$K$27)*后果有效剂量!$T23+SUMPRODUCT(M$5:M$27,后果有效剂量!$K$5:$K$27)*后果有效剂量!$U23</f>
        <v>0</v>
      </c>
      <c r="I49" s="453">
        <f ca="1">SUMPRODUCT(H$5:H$27,后果甲状腺剂量!$I$5:$I$27)*后果甲状腺剂量!$Q23+SUMPRODUCT(I$5:I$27,后果甲状腺剂量!$I$5:$I$27)*后果甲状腺剂量!$Q23+SUMPRODUCT(J$5:J$27,后果甲状腺剂量!$I$5:$I$27)*后果甲状腺剂量!$R23+SUMPRODUCT(K$5:K$27,后果甲状腺剂量!$I$5:$I$27)*后果甲状腺剂量!$S23+SUMPRODUCT(L$5:L$27,后果甲状腺剂量!$I$5:$I$27)*后果甲状腺剂量!$T23+SUMPRODUCT(M$5:M$27,后果甲状腺剂量!$I$5:$I$27)*后果甲状腺剂量!$U23+SUMPRODUCT(H$5:H$27,后果甲状腺剂量!$J$5:$J$27)*后果甲状腺剂量!$Q23*后果甲状腺剂量!$Q$3+SUMPRODUCT(I$5:I$27,后果甲状腺剂量!$J$5:$J$27)*后果甲状腺剂量!$Q23*后果甲状腺剂量!$Q$3+SUMPRODUCT(J$5:J$27,后果甲状腺剂量!$J$5:$J$27)*后果甲状腺剂量!$R23*后果甲状腺剂量!$R$3+SUMPRODUCT(K$5:K$27,后果甲状腺剂量!$J$5:$J$27)*后果甲状腺剂量!$S23*后果甲状腺剂量!$S$3+SUMPRODUCT(L$5:L$27,后果甲状腺剂量!$J$5:$J$27)*后果甲状腺剂量!$T23*后果甲状腺剂量!$T$3+SUMPRODUCT(M$5:M$27,后果甲状腺剂量!$J$5:$J$27)*后果甲状腺剂量!$U23*后果甲状腺剂量!$U$3+SUMPRODUCT(H$5:H$27,后果甲状腺剂量!$K$5:$K$27)*后果甲状腺剂量!$Q23+SUMPRODUCT(I$5:I$27,后果甲状腺剂量!$K$5:$K$27)*后果甲状腺剂量!$Q23+SUMPRODUCT(J$5:J$27,后果甲状腺剂量!$K$5:$K$27)*后果甲状腺剂量!$R23+SUMPRODUCT(K$5:K$27,后果甲状腺剂量!$K$5:$K$27)*后果甲状腺剂量!$S23+SUMPRODUCT(L$5:L$27,后果甲状腺剂量!$K$5:$K$27)*后果甲状腺剂量!$T23+SUMPRODUCT(M$5:M$27,后果甲状腺剂量!$K$5:$K$27)*后果甲状腺剂量!$U23</f>
        <v>0</v>
      </c>
      <c r="J49" s="454">
        <f ca="1" t="shared" si="253"/>
        <v>0</v>
      </c>
      <c r="K49" s="454">
        <f ca="1" t="shared" si="254"/>
        <v>0</v>
      </c>
      <c r="L49" s="436"/>
      <c r="M49" s="436"/>
      <c r="N49" s="455"/>
      <c r="Q49" s="440">
        <f>后果有效剂量!$P23</f>
        <v>0</v>
      </c>
      <c r="R49" s="441">
        <f ca="1">SUMPRODUCT(R$5:R$27,后果有效剂量!$I$5:$I$27)*后果有效剂量!$Q23+SUMPRODUCT(S$5:S$27,后果有效剂量!$I$5:$I$27)*后果有效剂量!$Q23+SUMPRODUCT(T$5:T$27,后果有效剂量!$I$5:$I$27)*后果有效剂量!$R23+SUMPRODUCT(U$5:U$27,后果有效剂量!$I$5:$I$27)*后果有效剂量!$S23+SUMPRODUCT(V$5:V$27,后果有效剂量!$I$5:$I$27)*后果有效剂量!$T23+SUMPRODUCT(W$5:W$27,后果有效剂量!$I$5:$I$27)*后果有效剂量!$U23+SUMPRODUCT(R$5:R$27,后果有效剂量!$J$5:$J$27)*后果有效剂量!$Q23*后果有效剂量!$Q$3+SUMPRODUCT(S$5:S$27,后果有效剂量!$J$5:$J$27)*后果有效剂量!$Q23*后果有效剂量!$Q$3+SUMPRODUCT(T$5:T$27,后果有效剂量!$J$5:$J$27)*后果有效剂量!$R23*后果有效剂量!$R$3+SUMPRODUCT(U$5:U$27,后果有效剂量!$J$5:$J$27)*后果有效剂量!$S23*后果有效剂量!$S$3+SUMPRODUCT(V$5:V$27,后果有效剂量!$J$5:$J$27)*后果有效剂量!$T23*后果有效剂量!$T$3+SUMPRODUCT(W$5:W$27,后果有效剂量!$J$5:$J$27)*后果有效剂量!$U23*后果有效剂量!$U$3+SUMPRODUCT(R$5:R$27,后果有效剂量!$K$5:$K$27)*后果有效剂量!$Q23+SUMPRODUCT(S$5:S$27,后果有效剂量!$K$5:$K$27)*后果有效剂量!$Q23+SUMPRODUCT(T$5:T$27,后果有效剂量!$K$5:$K$27)*后果有效剂量!$R23+SUMPRODUCT(U$5:U$27,后果有效剂量!$K$5:$K$27)*后果有效剂量!$S23+SUMPRODUCT(V$5:V$27,后果有效剂量!$K$5:$K$27)*后果有效剂量!$T23+SUMPRODUCT(W$5:W$27,后果有效剂量!$K$5:$K$27)*后果有效剂量!$U23</f>
        <v>0</v>
      </c>
      <c r="S49" s="453">
        <f ca="1">SUMPRODUCT(R$5:R$27,后果甲状腺剂量!$I$5:$I$27)*后果甲状腺剂量!$Q23+SUMPRODUCT(S$5:S$27,后果甲状腺剂量!$I$5:$I$27)*后果甲状腺剂量!$Q23+SUMPRODUCT(T$5:T$27,后果甲状腺剂量!$I$5:$I$27)*后果甲状腺剂量!$R23+SUMPRODUCT(U$5:U$27,后果甲状腺剂量!$I$5:$I$27)*后果甲状腺剂量!$S23+SUMPRODUCT(V$5:V$27,后果甲状腺剂量!$I$5:$I$27)*后果甲状腺剂量!$T23+SUMPRODUCT(W$5:W$27,后果甲状腺剂量!$I$5:$I$27)*后果甲状腺剂量!$U23+SUMPRODUCT(R$5:R$27,后果甲状腺剂量!$J$5:$J$27)*后果甲状腺剂量!$Q23*后果甲状腺剂量!$Q$3+SUMPRODUCT(S$5:S$27,后果甲状腺剂量!$J$5:$J$27)*后果甲状腺剂量!$Q23*后果甲状腺剂量!$Q$3+SUMPRODUCT(T$5:T$27,后果甲状腺剂量!$J$5:$J$27)*后果甲状腺剂量!$R23*后果甲状腺剂量!$R$3+SUMPRODUCT(U$5:U$27,后果甲状腺剂量!$J$5:$J$27)*后果甲状腺剂量!$S23*后果甲状腺剂量!$S$3+SUMPRODUCT(V$5:V$27,后果甲状腺剂量!$J$5:$J$27)*后果甲状腺剂量!$T23*后果甲状腺剂量!$T$3+SUMPRODUCT(W$5:W$27,后果甲状腺剂量!$J$5:$J$27)*后果甲状腺剂量!$U23*后果甲状腺剂量!$U$3+SUMPRODUCT(R$5:R$27,后果甲状腺剂量!$K$5:$K$27)*后果甲状腺剂量!$Q23+SUMPRODUCT(S$5:S$27,后果甲状腺剂量!$K$5:$K$27)*后果甲状腺剂量!$Q23+SUMPRODUCT(T$5:T$27,后果甲状腺剂量!$K$5:$K$27)*后果甲状腺剂量!$R23+SUMPRODUCT(U$5:U$27,后果甲状腺剂量!$K$5:$K$27)*后果甲状腺剂量!$S23+SUMPRODUCT(V$5:V$27,后果甲状腺剂量!$K$5:$K$27)*后果甲状腺剂量!$T23+SUMPRODUCT(W$5:W$27,后果甲状腺剂量!$K$5:$K$27)*后果甲状腺剂量!$U23</f>
        <v>0</v>
      </c>
      <c r="T49" s="454">
        <f ca="1" t="shared" si="255"/>
        <v>0</v>
      </c>
      <c r="U49" s="454">
        <f ca="1" t="shared" si="256"/>
        <v>0</v>
      </c>
      <c r="V49" s="436"/>
      <c r="W49" s="436"/>
      <c r="AN49" s="533"/>
      <c r="AS49" s="572"/>
      <c r="BO49" s="600"/>
      <c r="FS49" s="441">
        <f>SUMPRODUCT(FS$5:FS$27,后果有效剂量!$I$5:$I$27)*后果有效剂量!$Q23+SUMPRODUCT(FT$5:FT$27,后果有效剂量!$I$5:$I$27)*后果有效剂量!$R23+SUMPRODUCT(FU$5:FU$27,后果有效剂量!$I$5:$I$27)*后果有效剂量!$S23+SUMPRODUCT(FV$5:FV$27,后果有效剂量!$I$5:$I$27)*后果有效剂量!$T23+SUMPRODUCT(FS$5:FS$27,后果有效剂量!$J$5:$J$27)*后果有效剂量!$Q23*后果有效剂量!$Q$3+SUMPRODUCT(FT$5:FT$27,后果有效剂量!$J$5:$J$27)*后果有效剂量!$R23*后果有效剂量!$R$3+SUMPRODUCT(FU$5:FU$27,后果有效剂量!$J$5:$J$27)*后果有效剂量!$S23*后果有效剂量!$S$3+SUMPRODUCT(FV$5:FV$27,后果有效剂量!$J$5:$J$27)*后果有效剂量!$T23*后果有效剂量!$T$3+SUMPRODUCT(FS$5:FS$27,后果有效剂量!$K$5:$K$27)*后果有效剂量!$Q23+SUMPRODUCT(FT$5:FT$27,后果有效剂量!$K$5:$K$27)*后果有效剂量!$R23+SUMPRODUCT(FU$5:FU$27,后果有效剂量!$K$5:$K$27)*后果有效剂量!$S23+SUMPRODUCT(FV$5:FV$27,后果有效剂量!$K$5:$K$27)*后果有效剂量!$T23</f>
        <v>0</v>
      </c>
      <c r="FT49" s="453">
        <f>SUMPRODUCT(FS$5:FS$27,后果甲状腺剂量!$I$5:$I$27)*后果甲状腺剂量!$Q23+SUMPRODUCT(FT$5:FT$27,后果甲状腺剂量!$I$5:$I$27)*后果甲状腺剂量!$R23+SUMPRODUCT(FU$5:FU$27,后果甲状腺剂量!$I$5:$I$27)*后果甲状腺剂量!$S23+SUMPRODUCT(FV$5:FV$27,后果甲状腺剂量!$I$5:$I$27)*后果甲状腺剂量!$T23+SUMPRODUCT(FS$5:FS$27,后果甲状腺剂量!$J$5:$J$27)*后果甲状腺剂量!$Q23*后果甲状腺剂量!$Q$3+SUMPRODUCT(FT$5:FT$27,后果甲状腺剂量!$J$5:$J$27)*后果甲状腺剂量!$R23*后果甲状腺剂量!$R$3+SUMPRODUCT(FU$5:FU$27,后果甲状腺剂量!$J$5:$J$27)*后果甲状腺剂量!$S23*后果甲状腺剂量!$S$3+SUMPRODUCT(FV$5:FV$27,后果甲状腺剂量!$J$5:$J$27)*后果甲状腺剂量!$T23*后果甲状腺剂量!$T$3+SUMPRODUCT(FS$5:FS$27,后果甲状腺剂量!$K$5:$K$27)*后果甲状腺剂量!$Q23+SUMPRODUCT(FT$5:FT$27,后果甲状腺剂量!$K$5:$K$27)*后果甲状腺剂量!$R23+SUMPRODUCT(FU$5:FU$27,后果甲状腺剂量!$K$5:$K$27)*后果甲状腺剂量!$S23+SUMPRODUCT(FV$5:FV$27,后果甲状腺剂量!$K$5:$K$27)*后果甲状腺剂量!$T23</f>
        <v>0</v>
      </c>
      <c r="FU49" s="454">
        <f t="shared" si="257"/>
        <v>0</v>
      </c>
      <c r="FV49" s="454">
        <f t="shared" si="258"/>
        <v>0</v>
      </c>
      <c r="FW49" s="436"/>
      <c r="FX49" s="436"/>
      <c r="GD49" s="440">
        <f>后果有效剂量!$P23</f>
        <v>0</v>
      </c>
      <c r="GE49" s="441">
        <f>SUMPRODUCT(GE$5:GE$27,后果有效剂量!$I$5:$I$27)*后果有效剂量!$Q23+SUMPRODUCT(GF$5:GF$27,后果有效剂量!$I$5:$I$27)*后果有效剂量!$R23+SUMPRODUCT(GG$5:GG$27,后果有效剂量!$I$5:$I$27)*后果有效剂量!$S23+(SUMPRODUCT(GH$5:GH$27,后果有效剂量!$I$5:$I$27)+SUMPRODUCT(GI$5:GI$27,后果有效剂量!$I$5:$I$27))*后果有效剂量!$T23+SUMPRODUCT(GJ$5:GJ$27,后果有效剂量!$I$5:$I$27)*后果有效剂量!$U23+SUMPRODUCT(GE$5:GE$27,后果有效剂量!$J$5:$J$27)*后果有效剂量!$Q23*后果有效剂量!$Q$3+SUMPRODUCT(GF$5:GF$27,后果有效剂量!$J$5:$J$27)*后果有效剂量!$R23*后果有效剂量!$R$3+SUMPRODUCT(GG$5:GG$27,后果有效剂量!$J$5:$J$27)*后果有效剂量!$S23*后果有效剂量!$S$3+(SUMPRODUCT(GH$5:GH$27,后果有效剂量!$J$5:$J$27)+SUMPRODUCT(GI$5:GI$27,后果有效剂量!$J$5:$J$27))*后果有效剂量!$T23*后果有效剂量!$T$3+SUMPRODUCT(GJ$5:GJ$27,后果有效剂量!$J$5:$J$27)*后果有效剂量!$U23*后果有效剂量!$U$3+SUMPRODUCT(GE$5:GE$27,后果有效剂量!$K$5:$K$27)*后果有效剂量!$Q23+SUMPRODUCT(GF$5:GF$27,后果有效剂量!$K$5:$K$27)*后果有效剂量!$R23+SUMPRODUCT(GG$5:GG$27,后果有效剂量!$K$5:$K$27)*后果有效剂量!$S23+(SUMPRODUCT(GH$5:GH$27,后果有效剂量!$K$5:$K$27)+SUMPRODUCT(GI$5:GI$27,后果有效剂量!$K$5:$K$27))*后果有效剂量!$T23+SUMPRODUCT(GJ$5:GJ$27,后果有效剂量!$K$5:$K$27)*后果有效剂量!$U23</f>
        <v>0</v>
      </c>
      <c r="GF49" s="453">
        <f>SUMPRODUCT(GE$5:GE$27,后果甲状腺剂量!$I$5:$I$27)*后果甲状腺剂量!$Q23+SUMPRODUCT(GF$5:GF$27,后果甲状腺剂量!$I$5:$I$27)*后果甲状腺剂量!$R23+SUMPRODUCT(GG$5:GG$27,后果甲状腺剂量!$I$5:$I$27)*后果甲状腺剂量!$S23+(SUMPRODUCT(GH$5:GH$27,后果甲状腺剂量!$I$5:$I$27)+SUMPRODUCT(GI$5:GI$27,后果甲状腺剂量!$I$5:$I$27))*后果甲状腺剂量!$T23+SUMPRODUCT(GJ$5:GJ$27,后果甲状腺剂量!$I$5:$I$27)*后果甲状腺剂量!$U23+SUMPRODUCT(GE$5:GE$27,后果甲状腺剂量!$J$5:$J$27)*后果甲状腺剂量!$Q23*后果甲状腺剂量!$Q$3+SUMPRODUCT(GF$5:GF$27,后果甲状腺剂量!$J$5:$J$27)*后果甲状腺剂量!$R23*后果甲状腺剂量!$R$3+SUMPRODUCT(GG$5:GG$27,后果甲状腺剂量!$J$5:$J$27)*后果甲状腺剂量!$S23*后果甲状腺剂量!$S$3+(SUMPRODUCT(GH$5:GH$27,后果甲状腺剂量!$J$5:$J$27)+SUMPRODUCT(GI$5:GI$27,后果甲状腺剂量!$J$5:$J$27))*后果甲状腺剂量!$T23*后果甲状腺剂量!$T$3+SUMPRODUCT(GJ$5:GJ$27,后果甲状腺剂量!$J$5:$J$27)*后果甲状腺剂量!$U23*后果甲状腺剂量!$U$3+SUMPRODUCT(GE$5:GE$27,后果甲状腺剂量!$K$5:$K$27)*后果甲状腺剂量!$Q23+SUMPRODUCT(GF$5:GF$27,后果甲状腺剂量!$K$5:$K$27)*后果甲状腺剂量!$R23+SUMPRODUCT(GG$5:GG$27,后果甲状腺剂量!$K$5:$K$27)*后果甲状腺剂量!$S23+(SUMPRODUCT(GH$5:GH$27,后果甲状腺剂量!$K$5:$K$27)+SUMPRODUCT(GI$5:GI$27,后果甲状腺剂量!$K$5:$K$27))*后果甲状腺剂量!$T23+SUMPRODUCT(GJ$5:GJ$27,后果甲状腺剂量!$K$5:$K$27)*后果甲状腺剂量!$U23</f>
        <v>0</v>
      </c>
      <c r="GG49" s="454">
        <f t="shared" si="259"/>
        <v>0</v>
      </c>
      <c r="GH49" s="454">
        <f t="shared" si="260"/>
        <v>0</v>
      </c>
      <c r="GI49" s="436"/>
      <c r="GJ49" s="436"/>
    </row>
    <row r="50" spans="7:192">
      <c r="G50" s="440">
        <f>后果有效剂量!$P24</f>
        <v>0</v>
      </c>
      <c r="H50" s="441">
        <f ca="1">SUMPRODUCT(H$5:H$27,后果有效剂量!$I$5:$I$27)*后果有效剂量!$Q24+SUMPRODUCT(I$5:I$27,后果有效剂量!$I$5:$I$27)*后果有效剂量!$Q24+SUMPRODUCT(J$5:J$27,后果有效剂量!$I$5:$I$27)*后果有效剂量!$R24+SUMPRODUCT(K$5:K$27,后果有效剂量!$I$5:$I$27)*后果有效剂量!$S24+SUMPRODUCT(L$5:L$27,后果有效剂量!$I$5:$I$27)*后果有效剂量!$T24+SUMPRODUCT(M$5:M$27,后果有效剂量!$I$5:$I$27)*后果有效剂量!$U24+SUMPRODUCT(H$5:H$27,后果有效剂量!$J$5:$J$27)*后果有效剂量!$Q24*后果有效剂量!$Q$3+SUMPRODUCT(I$5:I$27,后果有效剂量!$J$5:$J$27)*后果有效剂量!$Q24*后果有效剂量!$Q$3+SUMPRODUCT(J$5:J$27,后果有效剂量!$J$5:$J$27)*后果有效剂量!$R24*后果有效剂量!$R$3+SUMPRODUCT(K$5:K$27,后果有效剂量!$J$5:$J$27)*后果有效剂量!$S24*后果有效剂量!$S$3+SUMPRODUCT(L$5:L$27,后果有效剂量!$J$5:$J$27)*后果有效剂量!$T24*后果有效剂量!$T$3+SUMPRODUCT(M$5:M$27,后果有效剂量!$J$5:$J$27)*后果有效剂量!$U24*后果有效剂量!$U$3+SUMPRODUCT(H$5:H$27,后果有效剂量!$K$5:$K$27)*后果有效剂量!$Q24+SUMPRODUCT(I$5:I$27,后果有效剂量!$K$5:$K$27)*后果有效剂量!$Q24+SUMPRODUCT(J$5:J$27,后果有效剂量!$K$5:$K$27)*后果有效剂量!$R24+SUMPRODUCT(K$5:K$27,后果有效剂量!$K$5:$K$27)*后果有效剂量!$S24+SUMPRODUCT(L$5:L$27,后果有效剂量!$K$5:$K$27)*后果有效剂量!$T24+SUMPRODUCT(M$5:M$27,后果有效剂量!$K$5:$K$27)*后果有效剂量!$U24</f>
        <v>0</v>
      </c>
      <c r="I50" s="453">
        <f ca="1">SUMPRODUCT(H$5:H$27,后果甲状腺剂量!$I$5:$I$27)*后果甲状腺剂量!$Q24+SUMPRODUCT(I$5:I$27,后果甲状腺剂量!$I$5:$I$27)*后果甲状腺剂量!$Q24+SUMPRODUCT(J$5:J$27,后果甲状腺剂量!$I$5:$I$27)*后果甲状腺剂量!$R24+SUMPRODUCT(K$5:K$27,后果甲状腺剂量!$I$5:$I$27)*后果甲状腺剂量!$S24+SUMPRODUCT(L$5:L$27,后果甲状腺剂量!$I$5:$I$27)*后果甲状腺剂量!$T24+SUMPRODUCT(M$5:M$27,后果甲状腺剂量!$I$5:$I$27)*后果甲状腺剂量!$U24+SUMPRODUCT(H$5:H$27,后果甲状腺剂量!$J$5:$J$27)*后果甲状腺剂量!$Q24*后果甲状腺剂量!$Q$3+SUMPRODUCT(I$5:I$27,后果甲状腺剂量!$J$5:$J$27)*后果甲状腺剂量!$Q24*后果甲状腺剂量!$Q$3+SUMPRODUCT(J$5:J$27,后果甲状腺剂量!$J$5:$J$27)*后果甲状腺剂量!$R24*后果甲状腺剂量!$R$3+SUMPRODUCT(K$5:K$27,后果甲状腺剂量!$J$5:$J$27)*后果甲状腺剂量!$S24*后果甲状腺剂量!$S$3+SUMPRODUCT(L$5:L$27,后果甲状腺剂量!$J$5:$J$27)*后果甲状腺剂量!$T24*后果甲状腺剂量!$T$3+SUMPRODUCT(M$5:M$27,后果甲状腺剂量!$J$5:$J$27)*后果甲状腺剂量!$U24*后果甲状腺剂量!$U$3+SUMPRODUCT(H$5:H$27,后果甲状腺剂量!$K$5:$K$27)*后果甲状腺剂量!$Q24+SUMPRODUCT(I$5:I$27,后果甲状腺剂量!$K$5:$K$27)*后果甲状腺剂量!$Q24+SUMPRODUCT(J$5:J$27,后果甲状腺剂量!$K$5:$K$27)*后果甲状腺剂量!$R24+SUMPRODUCT(K$5:K$27,后果甲状腺剂量!$K$5:$K$27)*后果甲状腺剂量!$S24+SUMPRODUCT(L$5:L$27,后果甲状腺剂量!$K$5:$K$27)*后果甲状腺剂量!$T24+SUMPRODUCT(M$5:M$27,后果甲状腺剂量!$K$5:$K$27)*后果甲状腺剂量!$U24</f>
        <v>0</v>
      </c>
      <c r="J50" s="454">
        <f ca="1" t="shared" si="253"/>
        <v>0</v>
      </c>
      <c r="K50" s="454">
        <f ca="1" t="shared" si="254"/>
        <v>0</v>
      </c>
      <c r="L50" s="436"/>
      <c r="M50" s="436"/>
      <c r="N50" s="455"/>
      <c r="Q50" s="440">
        <f>后果有效剂量!$P24</f>
        <v>0</v>
      </c>
      <c r="R50" s="441">
        <f ca="1">SUMPRODUCT(R$5:R$27,后果有效剂量!$I$5:$I$27)*后果有效剂量!$Q24+SUMPRODUCT(S$5:S$27,后果有效剂量!$I$5:$I$27)*后果有效剂量!$Q24+SUMPRODUCT(T$5:T$27,后果有效剂量!$I$5:$I$27)*后果有效剂量!$R24+SUMPRODUCT(U$5:U$27,后果有效剂量!$I$5:$I$27)*后果有效剂量!$S24+SUMPRODUCT(V$5:V$27,后果有效剂量!$I$5:$I$27)*后果有效剂量!$T24+SUMPRODUCT(W$5:W$27,后果有效剂量!$I$5:$I$27)*后果有效剂量!$U24+SUMPRODUCT(R$5:R$27,后果有效剂量!$J$5:$J$27)*后果有效剂量!$Q24*后果有效剂量!$Q$3+SUMPRODUCT(S$5:S$27,后果有效剂量!$J$5:$J$27)*后果有效剂量!$Q24*后果有效剂量!$Q$3+SUMPRODUCT(T$5:T$27,后果有效剂量!$J$5:$J$27)*后果有效剂量!$R24*后果有效剂量!$R$3+SUMPRODUCT(U$5:U$27,后果有效剂量!$J$5:$J$27)*后果有效剂量!$S24*后果有效剂量!$S$3+SUMPRODUCT(V$5:V$27,后果有效剂量!$J$5:$J$27)*后果有效剂量!$T24*后果有效剂量!$T$3+SUMPRODUCT(W$5:W$27,后果有效剂量!$J$5:$J$27)*后果有效剂量!$U24*后果有效剂量!$U$3+SUMPRODUCT(R$5:R$27,后果有效剂量!$K$5:$K$27)*后果有效剂量!$Q24+SUMPRODUCT(S$5:S$27,后果有效剂量!$K$5:$K$27)*后果有效剂量!$Q24+SUMPRODUCT(T$5:T$27,后果有效剂量!$K$5:$K$27)*后果有效剂量!$R24+SUMPRODUCT(U$5:U$27,后果有效剂量!$K$5:$K$27)*后果有效剂量!$S24+SUMPRODUCT(V$5:V$27,后果有效剂量!$K$5:$K$27)*后果有效剂量!$T24+SUMPRODUCT(W$5:W$27,后果有效剂量!$K$5:$K$27)*后果有效剂量!$U24</f>
        <v>0</v>
      </c>
      <c r="S50" s="453">
        <f ca="1">SUMPRODUCT(R$5:R$27,后果甲状腺剂量!$I$5:$I$27)*后果甲状腺剂量!$Q24+SUMPRODUCT(S$5:S$27,后果甲状腺剂量!$I$5:$I$27)*后果甲状腺剂量!$Q24+SUMPRODUCT(T$5:T$27,后果甲状腺剂量!$I$5:$I$27)*后果甲状腺剂量!$R24+SUMPRODUCT(U$5:U$27,后果甲状腺剂量!$I$5:$I$27)*后果甲状腺剂量!$S24+SUMPRODUCT(V$5:V$27,后果甲状腺剂量!$I$5:$I$27)*后果甲状腺剂量!$T24+SUMPRODUCT(W$5:W$27,后果甲状腺剂量!$I$5:$I$27)*后果甲状腺剂量!$U24+SUMPRODUCT(R$5:R$27,后果甲状腺剂量!$J$5:$J$27)*后果甲状腺剂量!$Q24*后果甲状腺剂量!$Q$3+SUMPRODUCT(S$5:S$27,后果甲状腺剂量!$J$5:$J$27)*后果甲状腺剂量!$Q24*后果甲状腺剂量!$Q$3+SUMPRODUCT(T$5:T$27,后果甲状腺剂量!$J$5:$J$27)*后果甲状腺剂量!$R24*后果甲状腺剂量!$R$3+SUMPRODUCT(U$5:U$27,后果甲状腺剂量!$J$5:$J$27)*后果甲状腺剂量!$S24*后果甲状腺剂量!$S$3+SUMPRODUCT(V$5:V$27,后果甲状腺剂量!$J$5:$J$27)*后果甲状腺剂量!$T24*后果甲状腺剂量!$T$3+SUMPRODUCT(W$5:W$27,后果甲状腺剂量!$J$5:$J$27)*后果甲状腺剂量!$U24*后果甲状腺剂量!$U$3+SUMPRODUCT(R$5:R$27,后果甲状腺剂量!$K$5:$K$27)*后果甲状腺剂量!$Q24+SUMPRODUCT(S$5:S$27,后果甲状腺剂量!$K$5:$K$27)*后果甲状腺剂量!$Q24+SUMPRODUCT(T$5:T$27,后果甲状腺剂量!$K$5:$K$27)*后果甲状腺剂量!$R24+SUMPRODUCT(U$5:U$27,后果甲状腺剂量!$K$5:$K$27)*后果甲状腺剂量!$S24+SUMPRODUCT(V$5:V$27,后果甲状腺剂量!$K$5:$K$27)*后果甲状腺剂量!$T24+SUMPRODUCT(W$5:W$27,后果甲状腺剂量!$K$5:$K$27)*后果甲状腺剂量!$U24</f>
        <v>0</v>
      </c>
      <c r="T50" s="454">
        <f ca="1" t="shared" si="255"/>
        <v>0</v>
      </c>
      <c r="U50" s="454">
        <f ca="1" t="shared" si="256"/>
        <v>0</v>
      </c>
      <c r="V50" s="436"/>
      <c r="W50" s="436"/>
      <c r="AN50" s="533"/>
      <c r="AS50" s="572"/>
      <c r="BO50" s="600"/>
      <c r="FS50" s="441">
        <f>SUMPRODUCT(FS$5:FS$27,后果有效剂量!$I$5:$I$27)*后果有效剂量!$Q24+SUMPRODUCT(FT$5:FT$27,后果有效剂量!$I$5:$I$27)*后果有效剂量!$R24+SUMPRODUCT(FU$5:FU$27,后果有效剂量!$I$5:$I$27)*后果有效剂量!$S24+SUMPRODUCT(FV$5:FV$27,后果有效剂量!$I$5:$I$27)*后果有效剂量!$T24+SUMPRODUCT(FS$5:FS$27,后果有效剂量!$J$5:$J$27)*后果有效剂量!$Q24*后果有效剂量!$Q$3+SUMPRODUCT(FT$5:FT$27,后果有效剂量!$J$5:$J$27)*后果有效剂量!$R24*后果有效剂量!$R$3+SUMPRODUCT(FU$5:FU$27,后果有效剂量!$J$5:$J$27)*后果有效剂量!$S24*后果有效剂量!$S$3+SUMPRODUCT(FV$5:FV$27,后果有效剂量!$J$5:$J$27)*后果有效剂量!$T24*后果有效剂量!$T$3+SUMPRODUCT(FS$5:FS$27,后果有效剂量!$K$5:$K$27)*后果有效剂量!$Q24+SUMPRODUCT(FT$5:FT$27,后果有效剂量!$K$5:$K$27)*后果有效剂量!$R24+SUMPRODUCT(FU$5:FU$27,后果有效剂量!$K$5:$K$27)*后果有效剂量!$S24+SUMPRODUCT(FV$5:FV$27,后果有效剂量!$K$5:$K$27)*后果有效剂量!$T24</f>
        <v>0</v>
      </c>
      <c r="FT50" s="453">
        <f>SUMPRODUCT(FS$5:FS$27,后果甲状腺剂量!$I$5:$I$27)*后果甲状腺剂量!$Q24+SUMPRODUCT(FT$5:FT$27,后果甲状腺剂量!$I$5:$I$27)*后果甲状腺剂量!$R24+SUMPRODUCT(FU$5:FU$27,后果甲状腺剂量!$I$5:$I$27)*后果甲状腺剂量!$S24+SUMPRODUCT(FV$5:FV$27,后果甲状腺剂量!$I$5:$I$27)*后果甲状腺剂量!$T24+SUMPRODUCT(FS$5:FS$27,后果甲状腺剂量!$J$5:$J$27)*后果甲状腺剂量!$Q24*后果甲状腺剂量!$Q$3+SUMPRODUCT(FT$5:FT$27,后果甲状腺剂量!$J$5:$J$27)*后果甲状腺剂量!$R24*后果甲状腺剂量!$R$3+SUMPRODUCT(FU$5:FU$27,后果甲状腺剂量!$J$5:$J$27)*后果甲状腺剂量!$S24*后果甲状腺剂量!$S$3+SUMPRODUCT(FV$5:FV$27,后果甲状腺剂量!$J$5:$J$27)*后果甲状腺剂量!$T24*后果甲状腺剂量!$T$3+SUMPRODUCT(FS$5:FS$27,后果甲状腺剂量!$K$5:$K$27)*后果甲状腺剂量!$Q24+SUMPRODUCT(FT$5:FT$27,后果甲状腺剂量!$K$5:$K$27)*后果甲状腺剂量!$R24+SUMPRODUCT(FU$5:FU$27,后果甲状腺剂量!$K$5:$K$27)*后果甲状腺剂量!$S24+SUMPRODUCT(FV$5:FV$27,后果甲状腺剂量!$K$5:$K$27)*后果甲状腺剂量!$T24</f>
        <v>0</v>
      </c>
      <c r="FU50" s="454">
        <f t="shared" si="257"/>
        <v>0</v>
      </c>
      <c r="FV50" s="454">
        <f t="shared" si="258"/>
        <v>0</v>
      </c>
      <c r="FW50" s="436"/>
      <c r="FX50" s="436"/>
      <c r="GD50" s="440">
        <f>后果有效剂量!$P24</f>
        <v>0</v>
      </c>
      <c r="GE50" s="441">
        <f>SUMPRODUCT(GE$5:GE$27,后果有效剂量!$I$5:$I$27)*后果有效剂量!$Q24+SUMPRODUCT(GF$5:GF$27,后果有效剂量!$I$5:$I$27)*后果有效剂量!$R24+SUMPRODUCT(GG$5:GG$27,后果有效剂量!$I$5:$I$27)*后果有效剂量!$S24+(SUMPRODUCT(GH$5:GH$27,后果有效剂量!$I$5:$I$27)+SUMPRODUCT(GI$5:GI$27,后果有效剂量!$I$5:$I$27))*后果有效剂量!$T24+SUMPRODUCT(GJ$5:GJ$27,后果有效剂量!$I$5:$I$27)*后果有效剂量!$U24+SUMPRODUCT(GE$5:GE$27,后果有效剂量!$J$5:$J$27)*后果有效剂量!$Q24*后果有效剂量!$Q$3+SUMPRODUCT(GF$5:GF$27,后果有效剂量!$J$5:$J$27)*后果有效剂量!$R24*后果有效剂量!$R$3+SUMPRODUCT(GG$5:GG$27,后果有效剂量!$J$5:$J$27)*后果有效剂量!$S24*后果有效剂量!$S$3+(SUMPRODUCT(GH$5:GH$27,后果有效剂量!$J$5:$J$27)+SUMPRODUCT(GI$5:GI$27,后果有效剂量!$J$5:$J$27))*后果有效剂量!$T24*后果有效剂量!$T$3+SUMPRODUCT(GJ$5:GJ$27,后果有效剂量!$J$5:$J$27)*后果有效剂量!$U24*后果有效剂量!$U$3+SUMPRODUCT(GE$5:GE$27,后果有效剂量!$K$5:$K$27)*后果有效剂量!$Q24+SUMPRODUCT(GF$5:GF$27,后果有效剂量!$K$5:$K$27)*后果有效剂量!$R24+SUMPRODUCT(GG$5:GG$27,后果有效剂量!$K$5:$K$27)*后果有效剂量!$S24+(SUMPRODUCT(GH$5:GH$27,后果有效剂量!$K$5:$K$27)+SUMPRODUCT(GI$5:GI$27,后果有效剂量!$K$5:$K$27))*后果有效剂量!$T24+SUMPRODUCT(GJ$5:GJ$27,后果有效剂量!$K$5:$K$27)*后果有效剂量!$U24</f>
        <v>0</v>
      </c>
      <c r="GF50" s="453">
        <f>SUMPRODUCT(GE$5:GE$27,后果甲状腺剂量!$I$5:$I$27)*后果甲状腺剂量!$Q24+SUMPRODUCT(GF$5:GF$27,后果甲状腺剂量!$I$5:$I$27)*后果甲状腺剂量!$R24+SUMPRODUCT(GG$5:GG$27,后果甲状腺剂量!$I$5:$I$27)*后果甲状腺剂量!$S24+(SUMPRODUCT(GH$5:GH$27,后果甲状腺剂量!$I$5:$I$27)+SUMPRODUCT(GI$5:GI$27,后果甲状腺剂量!$I$5:$I$27))*后果甲状腺剂量!$T24+SUMPRODUCT(GJ$5:GJ$27,后果甲状腺剂量!$I$5:$I$27)*后果甲状腺剂量!$U24+SUMPRODUCT(GE$5:GE$27,后果甲状腺剂量!$J$5:$J$27)*后果甲状腺剂量!$Q24*后果甲状腺剂量!$Q$3+SUMPRODUCT(GF$5:GF$27,后果甲状腺剂量!$J$5:$J$27)*后果甲状腺剂量!$R24*后果甲状腺剂量!$R$3+SUMPRODUCT(GG$5:GG$27,后果甲状腺剂量!$J$5:$J$27)*后果甲状腺剂量!$S24*后果甲状腺剂量!$S$3+(SUMPRODUCT(GH$5:GH$27,后果甲状腺剂量!$J$5:$J$27)+SUMPRODUCT(GI$5:GI$27,后果甲状腺剂量!$J$5:$J$27))*后果甲状腺剂量!$T24*后果甲状腺剂量!$T$3+SUMPRODUCT(GJ$5:GJ$27,后果甲状腺剂量!$J$5:$J$27)*后果甲状腺剂量!$U24*后果甲状腺剂量!$U$3+SUMPRODUCT(GE$5:GE$27,后果甲状腺剂量!$K$5:$K$27)*后果甲状腺剂量!$Q24+SUMPRODUCT(GF$5:GF$27,后果甲状腺剂量!$K$5:$K$27)*后果甲状腺剂量!$R24+SUMPRODUCT(GG$5:GG$27,后果甲状腺剂量!$K$5:$K$27)*后果甲状腺剂量!$S24+(SUMPRODUCT(GH$5:GH$27,后果甲状腺剂量!$K$5:$K$27)+SUMPRODUCT(GI$5:GI$27,后果甲状腺剂量!$K$5:$K$27))*后果甲状腺剂量!$T24+SUMPRODUCT(GJ$5:GJ$27,后果甲状腺剂量!$K$5:$K$27)*后果甲状腺剂量!$U24</f>
        <v>0</v>
      </c>
      <c r="GG50" s="454">
        <f t="shared" si="259"/>
        <v>0</v>
      </c>
      <c r="GH50" s="454">
        <f t="shared" si="260"/>
        <v>0</v>
      </c>
      <c r="GI50" s="436"/>
      <c r="GJ50" s="436"/>
    </row>
    <row r="51" spans="7:192">
      <c r="G51" s="440">
        <f>后果有效剂量!$P25</f>
        <v>0</v>
      </c>
      <c r="H51" s="441">
        <f ca="1">SUMPRODUCT(H$5:H$27,后果有效剂量!$I$5:$I$27)*后果有效剂量!$Q25+SUMPRODUCT(I$5:I$27,后果有效剂量!$I$5:$I$27)*后果有效剂量!$Q25+SUMPRODUCT(J$5:J$27,后果有效剂量!$I$5:$I$27)*后果有效剂量!$R25+SUMPRODUCT(K$5:K$27,后果有效剂量!$I$5:$I$27)*后果有效剂量!$S25+SUMPRODUCT(L$5:L$27,后果有效剂量!$I$5:$I$27)*后果有效剂量!$T25+SUMPRODUCT(M$5:M$27,后果有效剂量!$I$5:$I$27)*后果有效剂量!$U25+SUMPRODUCT(H$5:H$27,后果有效剂量!$J$5:$J$27)*后果有效剂量!$Q25*后果有效剂量!$Q$3+SUMPRODUCT(I$5:I$27,后果有效剂量!$J$5:$J$27)*后果有效剂量!$Q25*后果有效剂量!$Q$3+SUMPRODUCT(J$5:J$27,后果有效剂量!$J$5:$J$27)*后果有效剂量!$R25*后果有效剂量!$R$3+SUMPRODUCT(K$5:K$27,后果有效剂量!$J$5:$J$27)*后果有效剂量!$S25*后果有效剂量!$S$3+SUMPRODUCT(L$5:L$27,后果有效剂量!$J$5:$J$27)*后果有效剂量!$T25*后果有效剂量!$T$3+SUMPRODUCT(M$5:M$27,后果有效剂量!$J$5:$J$27)*后果有效剂量!$U25*后果有效剂量!$U$3+SUMPRODUCT(H$5:H$27,后果有效剂量!$K$5:$K$27)*后果有效剂量!$Q25+SUMPRODUCT(I$5:I$27,后果有效剂量!$K$5:$K$27)*后果有效剂量!$Q25+SUMPRODUCT(J$5:J$27,后果有效剂量!$K$5:$K$27)*后果有效剂量!$R25+SUMPRODUCT(K$5:K$27,后果有效剂量!$K$5:$K$27)*后果有效剂量!$S25+SUMPRODUCT(L$5:L$27,后果有效剂量!$K$5:$K$27)*后果有效剂量!$T25+SUMPRODUCT(M$5:M$27,后果有效剂量!$K$5:$K$27)*后果有效剂量!$U25</f>
        <v>0</v>
      </c>
      <c r="I51" s="453">
        <f ca="1">SUMPRODUCT(H$5:H$27,后果甲状腺剂量!$I$5:$I$27)*后果甲状腺剂量!$Q25+SUMPRODUCT(I$5:I$27,后果甲状腺剂量!$I$5:$I$27)*后果甲状腺剂量!$Q25+SUMPRODUCT(J$5:J$27,后果甲状腺剂量!$I$5:$I$27)*后果甲状腺剂量!$R25+SUMPRODUCT(K$5:K$27,后果甲状腺剂量!$I$5:$I$27)*后果甲状腺剂量!$S25+SUMPRODUCT(L$5:L$27,后果甲状腺剂量!$I$5:$I$27)*后果甲状腺剂量!$T25+SUMPRODUCT(M$5:M$27,后果甲状腺剂量!$I$5:$I$27)*后果甲状腺剂量!$U25+SUMPRODUCT(H$5:H$27,后果甲状腺剂量!$J$5:$J$27)*后果甲状腺剂量!$Q25*后果甲状腺剂量!$Q$3+SUMPRODUCT(I$5:I$27,后果甲状腺剂量!$J$5:$J$27)*后果甲状腺剂量!$Q25*后果甲状腺剂量!$Q$3+SUMPRODUCT(J$5:J$27,后果甲状腺剂量!$J$5:$J$27)*后果甲状腺剂量!$R25*后果甲状腺剂量!$R$3+SUMPRODUCT(K$5:K$27,后果甲状腺剂量!$J$5:$J$27)*后果甲状腺剂量!$S25*后果甲状腺剂量!$S$3+SUMPRODUCT(L$5:L$27,后果甲状腺剂量!$J$5:$J$27)*后果甲状腺剂量!$T25*后果甲状腺剂量!$T$3+SUMPRODUCT(M$5:M$27,后果甲状腺剂量!$J$5:$J$27)*后果甲状腺剂量!$U25*后果甲状腺剂量!$U$3+SUMPRODUCT(H$5:H$27,后果甲状腺剂量!$K$5:$K$27)*后果甲状腺剂量!$Q25+SUMPRODUCT(I$5:I$27,后果甲状腺剂量!$K$5:$K$27)*后果甲状腺剂量!$Q25+SUMPRODUCT(J$5:J$27,后果甲状腺剂量!$K$5:$K$27)*后果甲状腺剂量!$R25+SUMPRODUCT(K$5:K$27,后果甲状腺剂量!$K$5:$K$27)*后果甲状腺剂量!$S25+SUMPRODUCT(L$5:L$27,后果甲状腺剂量!$K$5:$K$27)*后果甲状腺剂量!$T25+SUMPRODUCT(M$5:M$27,后果甲状腺剂量!$K$5:$K$27)*后果甲状腺剂量!$U25</f>
        <v>0</v>
      </c>
      <c r="J51" s="454">
        <f ca="1" t="shared" si="253"/>
        <v>0</v>
      </c>
      <c r="K51" s="454">
        <f ca="1" t="shared" si="254"/>
        <v>0</v>
      </c>
      <c r="L51" s="459">
        <f ca="1" t="shared" ref="L51:L56" si="261">J51/10*100</f>
        <v>0</v>
      </c>
      <c r="M51" s="459">
        <f ca="1" t="shared" ref="M51:M56" si="262">K51/100*100</f>
        <v>0</v>
      </c>
      <c r="N51" s="455"/>
      <c r="Q51" s="440">
        <f>后果有效剂量!$P25</f>
        <v>0</v>
      </c>
      <c r="R51" s="441">
        <f ca="1">SUMPRODUCT(R$5:R$27,后果有效剂量!$I$5:$I$27)*后果有效剂量!$Q25+SUMPRODUCT(S$5:S$27,后果有效剂量!$I$5:$I$27)*后果有效剂量!$Q25+SUMPRODUCT(T$5:T$27,后果有效剂量!$I$5:$I$27)*后果有效剂量!$R25+SUMPRODUCT(U$5:U$27,后果有效剂量!$I$5:$I$27)*后果有效剂量!$S25+SUMPRODUCT(V$5:V$27,后果有效剂量!$I$5:$I$27)*后果有效剂量!$T25+SUMPRODUCT(W$5:W$27,后果有效剂量!$I$5:$I$27)*后果有效剂量!$U25+SUMPRODUCT(R$5:R$27,后果有效剂量!$J$5:$J$27)*后果有效剂量!$Q25*后果有效剂量!$Q$3+SUMPRODUCT(S$5:S$27,后果有效剂量!$J$5:$J$27)*后果有效剂量!$Q25*后果有效剂量!$Q$3+SUMPRODUCT(T$5:T$27,后果有效剂量!$J$5:$J$27)*后果有效剂量!$R25*后果有效剂量!$R$3+SUMPRODUCT(U$5:U$27,后果有效剂量!$J$5:$J$27)*后果有效剂量!$S25*后果有效剂量!$S$3+SUMPRODUCT(V$5:V$27,后果有效剂量!$J$5:$J$27)*后果有效剂量!$T25*后果有效剂量!$T$3+SUMPRODUCT(W$5:W$27,后果有效剂量!$J$5:$J$27)*后果有效剂量!$U25*后果有效剂量!$U$3+SUMPRODUCT(R$5:R$27,后果有效剂量!$K$5:$K$27)*后果有效剂量!$Q25+SUMPRODUCT(S$5:S$27,后果有效剂量!$K$5:$K$27)*后果有效剂量!$Q25+SUMPRODUCT(T$5:T$27,后果有效剂量!$K$5:$K$27)*后果有效剂量!$R25+SUMPRODUCT(U$5:U$27,后果有效剂量!$K$5:$K$27)*后果有效剂量!$S25+SUMPRODUCT(V$5:V$27,后果有效剂量!$K$5:$K$27)*后果有效剂量!$T25+SUMPRODUCT(W$5:W$27,后果有效剂量!$K$5:$K$27)*后果有效剂量!$U25</f>
        <v>0</v>
      </c>
      <c r="S51" s="453">
        <f ca="1">SUMPRODUCT(R$5:R$27,后果甲状腺剂量!$I$5:$I$27)*后果甲状腺剂量!$Q25+SUMPRODUCT(S$5:S$27,后果甲状腺剂量!$I$5:$I$27)*后果甲状腺剂量!$Q25+SUMPRODUCT(T$5:T$27,后果甲状腺剂量!$I$5:$I$27)*后果甲状腺剂量!$R25+SUMPRODUCT(U$5:U$27,后果甲状腺剂量!$I$5:$I$27)*后果甲状腺剂量!$S25+SUMPRODUCT(V$5:V$27,后果甲状腺剂量!$I$5:$I$27)*后果甲状腺剂量!$T25+SUMPRODUCT(W$5:W$27,后果甲状腺剂量!$I$5:$I$27)*后果甲状腺剂量!$U25+SUMPRODUCT(R$5:R$27,后果甲状腺剂量!$J$5:$J$27)*后果甲状腺剂量!$Q25*后果甲状腺剂量!$Q$3+SUMPRODUCT(S$5:S$27,后果甲状腺剂量!$J$5:$J$27)*后果甲状腺剂量!$Q25*后果甲状腺剂量!$Q$3+SUMPRODUCT(T$5:T$27,后果甲状腺剂量!$J$5:$J$27)*后果甲状腺剂量!$R25*后果甲状腺剂量!$R$3+SUMPRODUCT(U$5:U$27,后果甲状腺剂量!$J$5:$J$27)*后果甲状腺剂量!$S25*后果甲状腺剂量!$S$3+SUMPRODUCT(V$5:V$27,后果甲状腺剂量!$J$5:$J$27)*后果甲状腺剂量!$T25*后果甲状腺剂量!$T$3+SUMPRODUCT(W$5:W$27,后果甲状腺剂量!$J$5:$J$27)*后果甲状腺剂量!$U25*后果甲状腺剂量!$U$3+SUMPRODUCT(R$5:R$27,后果甲状腺剂量!$K$5:$K$27)*后果甲状腺剂量!$Q25+SUMPRODUCT(S$5:S$27,后果甲状腺剂量!$K$5:$K$27)*后果甲状腺剂量!$Q25+SUMPRODUCT(T$5:T$27,后果甲状腺剂量!$K$5:$K$27)*后果甲状腺剂量!$R25+SUMPRODUCT(U$5:U$27,后果甲状腺剂量!$K$5:$K$27)*后果甲状腺剂量!$S25+SUMPRODUCT(V$5:V$27,后果甲状腺剂量!$K$5:$K$27)*后果甲状腺剂量!$T25+SUMPRODUCT(W$5:W$27,后果甲状腺剂量!$K$5:$K$27)*后果甲状腺剂量!$U25</f>
        <v>0</v>
      </c>
      <c r="T51" s="454">
        <f ca="1" t="shared" si="255"/>
        <v>0</v>
      </c>
      <c r="U51" s="454">
        <f ca="1" t="shared" si="256"/>
        <v>0</v>
      </c>
      <c r="V51" s="459">
        <f ca="1" t="shared" ref="V51:V56" si="263">T51/10*100</f>
        <v>0</v>
      </c>
      <c r="W51" s="459">
        <f ca="1" t="shared" ref="W51:W56" si="264">U51/100*100</f>
        <v>0</v>
      </c>
      <c r="AS51" s="572"/>
      <c r="FS51" s="441">
        <f>SUMPRODUCT(FS$5:FS$27,后果有效剂量!$I$5:$I$27)*后果有效剂量!$Q25+SUMPRODUCT(FT$5:FT$27,后果有效剂量!$I$5:$I$27)*后果有效剂量!$R25+SUMPRODUCT(FU$5:FU$27,后果有效剂量!$I$5:$I$27)*后果有效剂量!$S25+SUMPRODUCT(FV$5:FV$27,后果有效剂量!$I$5:$I$27)*后果有效剂量!$T25+SUMPRODUCT(FS$5:FS$27,后果有效剂量!$J$5:$J$27)*后果有效剂量!$Q25*后果有效剂量!$Q$3+SUMPRODUCT(FT$5:FT$27,后果有效剂量!$J$5:$J$27)*后果有效剂量!$R25*后果有效剂量!$R$3+SUMPRODUCT(FU$5:FU$27,后果有效剂量!$J$5:$J$27)*后果有效剂量!$S25*后果有效剂量!$S$3+SUMPRODUCT(FV$5:FV$27,后果有效剂量!$J$5:$J$27)*后果有效剂量!$T25*后果有效剂量!$T$3+SUMPRODUCT(FS$5:FS$27,后果有效剂量!$K$5:$K$27)*后果有效剂量!$Q25+SUMPRODUCT(FT$5:FT$27,后果有效剂量!$K$5:$K$27)*后果有效剂量!$R25+SUMPRODUCT(FU$5:FU$27,后果有效剂量!$K$5:$K$27)*后果有效剂量!$S25+SUMPRODUCT(FV$5:FV$27,后果有效剂量!$K$5:$K$27)*后果有效剂量!$T25</f>
        <v>0</v>
      </c>
      <c r="FT51" s="453">
        <f>SUMPRODUCT(FS$5:FS$27,后果甲状腺剂量!$I$5:$I$27)*后果甲状腺剂量!$Q25+SUMPRODUCT(FT$5:FT$27,后果甲状腺剂量!$I$5:$I$27)*后果甲状腺剂量!$R25+SUMPRODUCT(FU$5:FU$27,后果甲状腺剂量!$I$5:$I$27)*后果甲状腺剂量!$S25+SUMPRODUCT(FV$5:FV$27,后果甲状腺剂量!$I$5:$I$27)*后果甲状腺剂量!$T25+SUMPRODUCT(FS$5:FS$27,后果甲状腺剂量!$J$5:$J$27)*后果甲状腺剂量!$Q25*后果甲状腺剂量!$Q$3+SUMPRODUCT(FT$5:FT$27,后果甲状腺剂量!$J$5:$J$27)*后果甲状腺剂量!$R25*后果甲状腺剂量!$R$3+SUMPRODUCT(FU$5:FU$27,后果甲状腺剂量!$J$5:$J$27)*后果甲状腺剂量!$S25*后果甲状腺剂量!$S$3+SUMPRODUCT(FV$5:FV$27,后果甲状腺剂量!$J$5:$J$27)*后果甲状腺剂量!$T25*后果甲状腺剂量!$T$3+SUMPRODUCT(FS$5:FS$27,后果甲状腺剂量!$K$5:$K$27)*后果甲状腺剂量!$Q25+SUMPRODUCT(FT$5:FT$27,后果甲状腺剂量!$K$5:$K$27)*后果甲状腺剂量!$R25+SUMPRODUCT(FU$5:FU$27,后果甲状腺剂量!$K$5:$K$27)*后果甲状腺剂量!$S25+SUMPRODUCT(FV$5:FV$27,后果甲状腺剂量!$K$5:$K$27)*后果甲状腺剂量!$T25</f>
        <v>0</v>
      </c>
      <c r="FU51" s="454">
        <f t="shared" si="257"/>
        <v>0</v>
      </c>
      <c r="FV51" s="454">
        <f t="shared" si="258"/>
        <v>0</v>
      </c>
      <c r="FW51" s="459">
        <f t="shared" ref="FW51:FW56" si="265">FU51/10*100</f>
        <v>0</v>
      </c>
      <c r="FX51" s="459">
        <f t="shared" ref="FX51:FX56" si="266">FV51/100*100</f>
        <v>0</v>
      </c>
      <c r="GD51" s="440">
        <f>后果有效剂量!$P25</f>
        <v>0</v>
      </c>
      <c r="GE51" s="441">
        <f>SUMPRODUCT(GE$5:GE$27,后果有效剂量!$I$5:$I$27)*后果有效剂量!$Q25+SUMPRODUCT(GF$5:GF$27,后果有效剂量!$I$5:$I$27)*后果有效剂量!$R25+SUMPRODUCT(GG$5:GG$27,后果有效剂量!$I$5:$I$27)*后果有效剂量!$S25+(SUMPRODUCT(GH$5:GH$27,后果有效剂量!$I$5:$I$27)+SUMPRODUCT(GI$5:GI$27,后果有效剂量!$I$5:$I$27))*后果有效剂量!$T25+SUMPRODUCT(GJ$5:GJ$27,后果有效剂量!$I$5:$I$27)*后果有效剂量!$U25+SUMPRODUCT(GE$5:GE$27,后果有效剂量!$J$5:$J$27)*后果有效剂量!$Q25*后果有效剂量!$Q$3+SUMPRODUCT(GF$5:GF$27,后果有效剂量!$J$5:$J$27)*后果有效剂量!$R25*后果有效剂量!$R$3+SUMPRODUCT(GG$5:GG$27,后果有效剂量!$J$5:$J$27)*后果有效剂量!$S25*后果有效剂量!$S$3+(SUMPRODUCT(GH$5:GH$27,后果有效剂量!$J$5:$J$27)+SUMPRODUCT(GI$5:GI$27,后果有效剂量!$J$5:$J$27))*后果有效剂量!$T25*后果有效剂量!$T$3+SUMPRODUCT(GJ$5:GJ$27,后果有效剂量!$J$5:$J$27)*后果有效剂量!$U25*后果有效剂量!$U$3+SUMPRODUCT(GE$5:GE$27,后果有效剂量!$K$5:$K$27)*后果有效剂量!$Q25+SUMPRODUCT(GF$5:GF$27,后果有效剂量!$K$5:$K$27)*后果有效剂量!$R25+SUMPRODUCT(GG$5:GG$27,后果有效剂量!$K$5:$K$27)*后果有效剂量!$S25+(SUMPRODUCT(GH$5:GH$27,后果有效剂量!$K$5:$K$27)+SUMPRODUCT(GI$5:GI$27,后果有效剂量!$K$5:$K$27))*后果有效剂量!$T25+SUMPRODUCT(GJ$5:GJ$27,后果有效剂量!$K$5:$K$27)*后果有效剂量!$U25</f>
        <v>0</v>
      </c>
      <c r="GF51" s="453">
        <f>SUMPRODUCT(GE$5:GE$27,后果甲状腺剂量!$I$5:$I$27)*后果甲状腺剂量!$Q25+SUMPRODUCT(GF$5:GF$27,后果甲状腺剂量!$I$5:$I$27)*后果甲状腺剂量!$R25+SUMPRODUCT(GG$5:GG$27,后果甲状腺剂量!$I$5:$I$27)*后果甲状腺剂量!$S25+(SUMPRODUCT(GH$5:GH$27,后果甲状腺剂量!$I$5:$I$27)+SUMPRODUCT(GI$5:GI$27,后果甲状腺剂量!$I$5:$I$27))*后果甲状腺剂量!$T25+SUMPRODUCT(GJ$5:GJ$27,后果甲状腺剂量!$I$5:$I$27)*后果甲状腺剂量!$U25+SUMPRODUCT(GE$5:GE$27,后果甲状腺剂量!$J$5:$J$27)*后果甲状腺剂量!$Q25*后果甲状腺剂量!$Q$3+SUMPRODUCT(GF$5:GF$27,后果甲状腺剂量!$J$5:$J$27)*后果甲状腺剂量!$R25*后果甲状腺剂量!$R$3+SUMPRODUCT(GG$5:GG$27,后果甲状腺剂量!$J$5:$J$27)*后果甲状腺剂量!$S25*后果甲状腺剂量!$S$3+(SUMPRODUCT(GH$5:GH$27,后果甲状腺剂量!$J$5:$J$27)+SUMPRODUCT(GI$5:GI$27,后果甲状腺剂量!$J$5:$J$27))*后果甲状腺剂量!$T25*后果甲状腺剂量!$T$3+SUMPRODUCT(GJ$5:GJ$27,后果甲状腺剂量!$J$5:$J$27)*后果甲状腺剂量!$U25*后果甲状腺剂量!$U$3+SUMPRODUCT(GE$5:GE$27,后果甲状腺剂量!$K$5:$K$27)*后果甲状腺剂量!$Q25+SUMPRODUCT(GF$5:GF$27,后果甲状腺剂量!$K$5:$K$27)*后果甲状腺剂量!$R25+SUMPRODUCT(GG$5:GG$27,后果甲状腺剂量!$K$5:$K$27)*后果甲状腺剂量!$S25+(SUMPRODUCT(GH$5:GH$27,后果甲状腺剂量!$K$5:$K$27)+SUMPRODUCT(GI$5:GI$27,后果甲状腺剂量!$K$5:$K$27))*后果甲状腺剂量!$T25+SUMPRODUCT(GJ$5:GJ$27,后果甲状腺剂量!$K$5:$K$27)*后果甲状腺剂量!$U25</f>
        <v>0</v>
      </c>
      <c r="GG51" s="454">
        <f t="shared" si="259"/>
        <v>0</v>
      </c>
      <c r="GH51" s="454">
        <f t="shared" si="260"/>
        <v>0</v>
      </c>
      <c r="GI51" s="459">
        <f t="shared" ref="GI51:GI56" si="267">GG51/10*100</f>
        <v>0</v>
      </c>
      <c r="GJ51" s="459">
        <f t="shared" ref="GJ51:GJ56" si="268">GH51/100*100</f>
        <v>0</v>
      </c>
    </row>
    <row r="52" spans="7:192">
      <c r="G52" s="440">
        <f>后果有效剂量!$P26</f>
        <v>0</v>
      </c>
      <c r="H52" s="441">
        <f ca="1">SUMPRODUCT(H$5:H$27,后果有效剂量!$I$5:$I$27)*后果有效剂量!$Q26+SUMPRODUCT(I$5:I$27,后果有效剂量!$I$5:$I$27)*后果有效剂量!$Q26+SUMPRODUCT(J$5:J$27,后果有效剂量!$I$5:$I$27)*后果有效剂量!$R26+SUMPRODUCT(K$5:K$27,后果有效剂量!$I$5:$I$27)*后果有效剂量!$S26+SUMPRODUCT(L$5:L$27,后果有效剂量!$I$5:$I$27)*后果有效剂量!$T26+SUMPRODUCT(M$5:M$27,后果有效剂量!$I$5:$I$27)*后果有效剂量!$U26+SUMPRODUCT(H$5:H$27,后果有效剂量!$J$5:$J$27)*后果有效剂量!$Q26*后果有效剂量!$Q$3+SUMPRODUCT(I$5:I$27,后果有效剂量!$J$5:$J$27)*后果有效剂量!$Q26*后果有效剂量!$Q$3+SUMPRODUCT(J$5:J$27,后果有效剂量!$J$5:$J$27)*后果有效剂量!$R26*后果有效剂量!$R$3+SUMPRODUCT(K$5:K$27,后果有效剂量!$J$5:$J$27)*后果有效剂量!$S26*后果有效剂量!$S$3+SUMPRODUCT(L$5:L$27,后果有效剂量!$J$5:$J$27)*后果有效剂量!$T26*后果有效剂量!$T$3+SUMPRODUCT(M$5:M$27,后果有效剂量!$J$5:$J$27)*后果有效剂量!$U26*后果有效剂量!$U$3+SUMPRODUCT(H$5:H$27,后果有效剂量!$K$5:$K$27)*后果有效剂量!$Q26+SUMPRODUCT(I$5:I$27,后果有效剂量!$K$5:$K$27)*后果有效剂量!$Q26+SUMPRODUCT(J$5:J$27,后果有效剂量!$K$5:$K$27)*后果有效剂量!$R26+SUMPRODUCT(K$5:K$27,后果有效剂量!$K$5:$K$27)*后果有效剂量!$S26+SUMPRODUCT(L$5:L$27,后果有效剂量!$K$5:$K$27)*后果有效剂量!$T26+SUMPRODUCT(M$5:M$27,后果有效剂量!$K$5:$K$27)*后果有效剂量!$U26</f>
        <v>0</v>
      </c>
      <c r="I52" s="453">
        <f ca="1">SUMPRODUCT(H$5:H$27,后果甲状腺剂量!$I$5:$I$27)*后果甲状腺剂量!$Q26+SUMPRODUCT(I$5:I$27,后果甲状腺剂量!$I$5:$I$27)*后果甲状腺剂量!$Q26+SUMPRODUCT(J$5:J$27,后果甲状腺剂量!$I$5:$I$27)*后果甲状腺剂量!$R26+SUMPRODUCT(K$5:K$27,后果甲状腺剂量!$I$5:$I$27)*后果甲状腺剂量!$S26+SUMPRODUCT(L$5:L$27,后果甲状腺剂量!$I$5:$I$27)*后果甲状腺剂量!$T26+SUMPRODUCT(M$5:M$27,后果甲状腺剂量!$I$5:$I$27)*后果甲状腺剂量!$U26+SUMPRODUCT(H$5:H$27,后果甲状腺剂量!$J$5:$J$27)*后果甲状腺剂量!$Q26*后果甲状腺剂量!$Q$3+SUMPRODUCT(I$5:I$27,后果甲状腺剂量!$J$5:$J$27)*后果甲状腺剂量!$Q26*后果甲状腺剂量!$Q$3+SUMPRODUCT(J$5:J$27,后果甲状腺剂量!$J$5:$J$27)*后果甲状腺剂量!$R26*后果甲状腺剂量!$R$3+SUMPRODUCT(K$5:K$27,后果甲状腺剂量!$J$5:$J$27)*后果甲状腺剂量!$S26*后果甲状腺剂量!$S$3+SUMPRODUCT(L$5:L$27,后果甲状腺剂量!$J$5:$J$27)*后果甲状腺剂量!$T26*后果甲状腺剂量!$T$3+SUMPRODUCT(M$5:M$27,后果甲状腺剂量!$J$5:$J$27)*后果甲状腺剂量!$U26*后果甲状腺剂量!$U$3+SUMPRODUCT(H$5:H$27,后果甲状腺剂量!$K$5:$K$27)*后果甲状腺剂量!$Q26+SUMPRODUCT(I$5:I$27,后果甲状腺剂量!$K$5:$K$27)*后果甲状腺剂量!$Q26+SUMPRODUCT(J$5:J$27,后果甲状腺剂量!$K$5:$K$27)*后果甲状腺剂量!$R26+SUMPRODUCT(K$5:K$27,后果甲状腺剂量!$K$5:$K$27)*后果甲状腺剂量!$S26+SUMPRODUCT(L$5:L$27,后果甲状腺剂量!$K$5:$K$27)*后果甲状腺剂量!$T26+SUMPRODUCT(M$5:M$27,后果甲状腺剂量!$K$5:$K$27)*后果甲状腺剂量!$U26</f>
        <v>0</v>
      </c>
      <c r="J52" s="454">
        <f ca="1" t="shared" si="253"/>
        <v>0</v>
      </c>
      <c r="K52" s="454">
        <f ca="1" t="shared" si="254"/>
        <v>0</v>
      </c>
      <c r="L52" s="459">
        <f ca="1" t="shared" si="261"/>
        <v>0</v>
      </c>
      <c r="M52" s="459">
        <f ca="1" t="shared" si="262"/>
        <v>0</v>
      </c>
      <c r="N52" s="455"/>
      <c r="Q52" s="440">
        <f>后果有效剂量!$P26</f>
        <v>0</v>
      </c>
      <c r="R52" s="441">
        <f ca="1">SUMPRODUCT(R$5:R$27,后果有效剂量!$I$5:$I$27)*后果有效剂量!$Q26+SUMPRODUCT(S$5:S$27,后果有效剂量!$I$5:$I$27)*后果有效剂量!$Q26+SUMPRODUCT(T$5:T$27,后果有效剂量!$I$5:$I$27)*后果有效剂量!$R26+SUMPRODUCT(U$5:U$27,后果有效剂量!$I$5:$I$27)*后果有效剂量!$S26+SUMPRODUCT(V$5:V$27,后果有效剂量!$I$5:$I$27)*后果有效剂量!$T26+SUMPRODUCT(W$5:W$27,后果有效剂量!$I$5:$I$27)*后果有效剂量!$U26+SUMPRODUCT(R$5:R$27,后果有效剂量!$J$5:$J$27)*后果有效剂量!$Q26*后果有效剂量!$Q$3+SUMPRODUCT(S$5:S$27,后果有效剂量!$J$5:$J$27)*后果有效剂量!$Q26*后果有效剂量!$Q$3+SUMPRODUCT(T$5:T$27,后果有效剂量!$J$5:$J$27)*后果有效剂量!$R26*后果有效剂量!$R$3+SUMPRODUCT(U$5:U$27,后果有效剂量!$J$5:$J$27)*后果有效剂量!$S26*后果有效剂量!$S$3+SUMPRODUCT(V$5:V$27,后果有效剂量!$J$5:$J$27)*后果有效剂量!$T26*后果有效剂量!$T$3+SUMPRODUCT(W$5:W$27,后果有效剂量!$J$5:$J$27)*后果有效剂量!$U26*后果有效剂量!$U$3+SUMPRODUCT(R$5:R$27,后果有效剂量!$K$5:$K$27)*后果有效剂量!$Q26+SUMPRODUCT(S$5:S$27,后果有效剂量!$K$5:$K$27)*后果有效剂量!$Q26+SUMPRODUCT(T$5:T$27,后果有效剂量!$K$5:$K$27)*后果有效剂量!$R26+SUMPRODUCT(U$5:U$27,后果有效剂量!$K$5:$K$27)*后果有效剂量!$S26+SUMPRODUCT(V$5:V$27,后果有效剂量!$K$5:$K$27)*后果有效剂量!$T26+SUMPRODUCT(W$5:W$27,后果有效剂量!$K$5:$K$27)*后果有效剂量!$U26</f>
        <v>0</v>
      </c>
      <c r="S52" s="453">
        <f ca="1">SUMPRODUCT(R$5:R$27,后果甲状腺剂量!$I$5:$I$27)*后果甲状腺剂量!$Q26+SUMPRODUCT(S$5:S$27,后果甲状腺剂量!$I$5:$I$27)*后果甲状腺剂量!$Q26+SUMPRODUCT(T$5:T$27,后果甲状腺剂量!$I$5:$I$27)*后果甲状腺剂量!$R26+SUMPRODUCT(U$5:U$27,后果甲状腺剂量!$I$5:$I$27)*后果甲状腺剂量!$S26+SUMPRODUCT(V$5:V$27,后果甲状腺剂量!$I$5:$I$27)*后果甲状腺剂量!$T26+SUMPRODUCT(W$5:W$27,后果甲状腺剂量!$I$5:$I$27)*后果甲状腺剂量!$U26+SUMPRODUCT(R$5:R$27,后果甲状腺剂量!$J$5:$J$27)*后果甲状腺剂量!$Q26*后果甲状腺剂量!$Q$3+SUMPRODUCT(S$5:S$27,后果甲状腺剂量!$J$5:$J$27)*后果甲状腺剂量!$Q26*后果甲状腺剂量!$Q$3+SUMPRODUCT(T$5:T$27,后果甲状腺剂量!$J$5:$J$27)*后果甲状腺剂量!$R26*后果甲状腺剂量!$R$3+SUMPRODUCT(U$5:U$27,后果甲状腺剂量!$J$5:$J$27)*后果甲状腺剂量!$S26*后果甲状腺剂量!$S$3+SUMPRODUCT(V$5:V$27,后果甲状腺剂量!$J$5:$J$27)*后果甲状腺剂量!$T26*后果甲状腺剂量!$T$3+SUMPRODUCT(W$5:W$27,后果甲状腺剂量!$J$5:$J$27)*后果甲状腺剂量!$U26*后果甲状腺剂量!$U$3+SUMPRODUCT(R$5:R$27,后果甲状腺剂量!$K$5:$K$27)*后果甲状腺剂量!$Q26+SUMPRODUCT(S$5:S$27,后果甲状腺剂量!$K$5:$K$27)*后果甲状腺剂量!$Q26+SUMPRODUCT(T$5:T$27,后果甲状腺剂量!$K$5:$K$27)*后果甲状腺剂量!$R26+SUMPRODUCT(U$5:U$27,后果甲状腺剂量!$K$5:$K$27)*后果甲状腺剂量!$S26+SUMPRODUCT(V$5:V$27,后果甲状腺剂量!$K$5:$K$27)*后果甲状腺剂量!$T26+SUMPRODUCT(W$5:W$27,后果甲状腺剂量!$K$5:$K$27)*后果甲状腺剂量!$U26</f>
        <v>0</v>
      </c>
      <c r="T52" s="454">
        <f ca="1" t="shared" si="255"/>
        <v>0</v>
      </c>
      <c r="U52" s="454">
        <f ca="1" t="shared" si="256"/>
        <v>0</v>
      </c>
      <c r="V52" s="459">
        <f ca="1" t="shared" si="263"/>
        <v>0</v>
      </c>
      <c r="W52" s="459">
        <f ca="1" t="shared" si="264"/>
        <v>0</v>
      </c>
      <c r="AS52" s="572"/>
      <c r="FS52" s="441">
        <f>SUMPRODUCT(FS$5:FS$27,后果有效剂量!$I$5:$I$27)*后果有效剂量!$Q26+SUMPRODUCT(FT$5:FT$27,后果有效剂量!$I$5:$I$27)*后果有效剂量!$R26+SUMPRODUCT(FU$5:FU$27,后果有效剂量!$I$5:$I$27)*后果有效剂量!$S26+SUMPRODUCT(FV$5:FV$27,后果有效剂量!$I$5:$I$27)*后果有效剂量!$T26+SUMPRODUCT(FS$5:FS$27,后果有效剂量!$J$5:$J$27)*后果有效剂量!$Q26*后果有效剂量!$Q$3+SUMPRODUCT(FT$5:FT$27,后果有效剂量!$J$5:$J$27)*后果有效剂量!$R26*后果有效剂量!$R$3+SUMPRODUCT(FU$5:FU$27,后果有效剂量!$J$5:$J$27)*后果有效剂量!$S26*后果有效剂量!$S$3+SUMPRODUCT(FV$5:FV$27,后果有效剂量!$J$5:$J$27)*后果有效剂量!$T26*后果有效剂量!$T$3+SUMPRODUCT(FS$5:FS$27,后果有效剂量!$K$5:$K$27)*后果有效剂量!$Q26+SUMPRODUCT(FT$5:FT$27,后果有效剂量!$K$5:$K$27)*后果有效剂量!$R26+SUMPRODUCT(FU$5:FU$27,后果有效剂量!$K$5:$K$27)*后果有效剂量!$S26+SUMPRODUCT(FV$5:FV$27,后果有效剂量!$K$5:$K$27)*后果有效剂量!$T26</f>
        <v>0</v>
      </c>
      <c r="FT52" s="453">
        <f>SUMPRODUCT(FS$5:FS$27,后果甲状腺剂量!$I$5:$I$27)*后果甲状腺剂量!$Q26+SUMPRODUCT(FT$5:FT$27,后果甲状腺剂量!$I$5:$I$27)*后果甲状腺剂量!$R26+SUMPRODUCT(FU$5:FU$27,后果甲状腺剂量!$I$5:$I$27)*后果甲状腺剂量!$S26+SUMPRODUCT(FV$5:FV$27,后果甲状腺剂量!$I$5:$I$27)*后果甲状腺剂量!$T26+SUMPRODUCT(FS$5:FS$27,后果甲状腺剂量!$J$5:$J$27)*后果甲状腺剂量!$Q26*后果甲状腺剂量!$Q$3+SUMPRODUCT(FT$5:FT$27,后果甲状腺剂量!$J$5:$J$27)*后果甲状腺剂量!$R26*后果甲状腺剂量!$R$3+SUMPRODUCT(FU$5:FU$27,后果甲状腺剂量!$J$5:$J$27)*后果甲状腺剂量!$S26*后果甲状腺剂量!$S$3+SUMPRODUCT(FV$5:FV$27,后果甲状腺剂量!$J$5:$J$27)*后果甲状腺剂量!$T26*后果甲状腺剂量!$T$3+SUMPRODUCT(FS$5:FS$27,后果甲状腺剂量!$K$5:$K$27)*后果甲状腺剂量!$Q26+SUMPRODUCT(FT$5:FT$27,后果甲状腺剂量!$K$5:$K$27)*后果甲状腺剂量!$R26+SUMPRODUCT(FU$5:FU$27,后果甲状腺剂量!$K$5:$K$27)*后果甲状腺剂量!$S26+SUMPRODUCT(FV$5:FV$27,后果甲状腺剂量!$K$5:$K$27)*后果甲状腺剂量!$T26</f>
        <v>0</v>
      </c>
      <c r="FU52" s="454">
        <f t="shared" si="257"/>
        <v>0</v>
      </c>
      <c r="FV52" s="454">
        <f t="shared" si="258"/>
        <v>0</v>
      </c>
      <c r="FW52" s="459">
        <f t="shared" si="265"/>
        <v>0</v>
      </c>
      <c r="FX52" s="459">
        <f t="shared" si="266"/>
        <v>0</v>
      </c>
      <c r="GD52" s="440">
        <f>后果有效剂量!$P26</f>
        <v>0</v>
      </c>
      <c r="GE52" s="441">
        <f>SUMPRODUCT(GE$5:GE$27,后果有效剂量!$I$5:$I$27)*后果有效剂量!$Q26+SUMPRODUCT(GF$5:GF$27,后果有效剂量!$I$5:$I$27)*后果有效剂量!$R26+SUMPRODUCT(GG$5:GG$27,后果有效剂量!$I$5:$I$27)*后果有效剂量!$S26+(SUMPRODUCT(GH$5:GH$27,后果有效剂量!$I$5:$I$27)+SUMPRODUCT(GI$5:GI$27,后果有效剂量!$I$5:$I$27))*后果有效剂量!$T26+SUMPRODUCT(GJ$5:GJ$27,后果有效剂量!$I$5:$I$27)*后果有效剂量!$U26+SUMPRODUCT(GE$5:GE$27,后果有效剂量!$J$5:$J$27)*后果有效剂量!$Q26*后果有效剂量!$Q$3+SUMPRODUCT(GF$5:GF$27,后果有效剂量!$J$5:$J$27)*后果有效剂量!$R26*后果有效剂量!$R$3+SUMPRODUCT(GG$5:GG$27,后果有效剂量!$J$5:$J$27)*后果有效剂量!$S26*后果有效剂量!$S$3+(SUMPRODUCT(GH$5:GH$27,后果有效剂量!$J$5:$J$27)+SUMPRODUCT(GI$5:GI$27,后果有效剂量!$J$5:$J$27))*后果有效剂量!$T26*后果有效剂量!$T$3+SUMPRODUCT(GJ$5:GJ$27,后果有效剂量!$J$5:$J$27)*后果有效剂量!$U26*后果有效剂量!$U$3+SUMPRODUCT(GE$5:GE$27,后果有效剂量!$K$5:$K$27)*后果有效剂量!$Q26+SUMPRODUCT(GF$5:GF$27,后果有效剂量!$K$5:$K$27)*后果有效剂量!$R26+SUMPRODUCT(GG$5:GG$27,后果有效剂量!$K$5:$K$27)*后果有效剂量!$S26+(SUMPRODUCT(GH$5:GH$27,后果有效剂量!$K$5:$K$27)+SUMPRODUCT(GI$5:GI$27,后果有效剂量!$K$5:$K$27))*后果有效剂量!$T26+SUMPRODUCT(GJ$5:GJ$27,后果有效剂量!$K$5:$K$27)*后果有效剂量!$U26</f>
        <v>0</v>
      </c>
      <c r="GF52" s="453">
        <f>SUMPRODUCT(GE$5:GE$27,后果甲状腺剂量!$I$5:$I$27)*后果甲状腺剂量!$Q26+SUMPRODUCT(GF$5:GF$27,后果甲状腺剂量!$I$5:$I$27)*后果甲状腺剂量!$R26+SUMPRODUCT(GG$5:GG$27,后果甲状腺剂量!$I$5:$I$27)*后果甲状腺剂量!$S26+(SUMPRODUCT(GH$5:GH$27,后果甲状腺剂量!$I$5:$I$27)+SUMPRODUCT(GI$5:GI$27,后果甲状腺剂量!$I$5:$I$27))*后果甲状腺剂量!$T26+SUMPRODUCT(GJ$5:GJ$27,后果甲状腺剂量!$I$5:$I$27)*后果甲状腺剂量!$U26+SUMPRODUCT(GE$5:GE$27,后果甲状腺剂量!$J$5:$J$27)*后果甲状腺剂量!$Q26*后果甲状腺剂量!$Q$3+SUMPRODUCT(GF$5:GF$27,后果甲状腺剂量!$J$5:$J$27)*后果甲状腺剂量!$R26*后果甲状腺剂量!$R$3+SUMPRODUCT(GG$5:GG$27,后果甲状腺剂量!$J$5:$J$27)*后果甲状腺剂量!$S26*后果甲状腺剂量!$S$3+(SUMPRODUCT(GH$5:GH$27,后果甲状腺剂量!$J$5:$J$27)+SUMPRODUCT(GI$5:GI$27,后果甲状腺剂量!$J$5:$J$27))*后果甲状腺剂量!$T26*后果甲状腺剂量!$T$3+SUMPRODUCT(GJ$5:GJ$27,后果甲状腺剂量!$J$5:$J$27)*后果甲状腺剂量!$U26*后果甲状腺剂量!$U$3+SUMPRODUCT(GE$5:GE$27,后果甲状腺剂量!$K$5:$K$27)*后果甲状腺剂量!$Q26+SUMPRODUCT(GF$5:GF$27,后果甲状腺剂量!$K$5:$K$27)*后果甲状腺剂量!$R26+SUMPRODUCT(GG$5:GG$27,后果甲状腺剂量!$K$5:$K$27)*后果甲状腺剂量!$S26+(SUMPRODUCT(GH$5:GH$27,后果甲状腺剂量!$K$5:$K$27)+SUMPRODUCT(GI$5:GI$27,后果甲状腺剂量!$K$5:$K$27))*后果甲状腺剂量!$T26+SUMPRODUCT(GJ$5:GJ$27,后果甲状腺剂量!$K$5:$K$27)*后果甲状腺剂量!$U26</f>
        <v>0</v>
      </c>
      <c r="GG52" s="454">
        <f t="shared" si="259"/>
        <v>0</v>
      </c>
      <c r="GH52" s="454">
        <f t="shared" si="260"/>
        <v>0</v>
      </c>
      <c r="GI52" s="459">
        <f t="shared" si="267"/>
        <v>0</v>
      </c>
      <c r="GJ52" s="459">
        <f t="shared" si="268"/>
        <v>0</v>
      </c>
    </row>
    <row r="53" spans="7:192">
      <c r="G53" s="440">
        <f>后果有效剂量!$P27</f>
        <v>0</v>
      </c>
      <c r="H53" s="441">
        <f ca="1">SUMPRODUCT(H$5:H$27,后果有效剂量!$I$5:$I$27)*后果有效剂量!$Q27+SUMPRODUCT(I$5:I$27,后果有效剂量!$I$5:$I$27)*后果有效剂量!$Q27+SUMPRODUCT(J$5:J$27,后果有效剂量!$I$5:$I$27)*后果有效剂量!$R27+SUMPRODUCT(K$5:K$27,后果有效剂量!$I$5:$I$27)*后果有效剂量!$S27+SUMPRODUCT(L$5:L$27,后果有效剂量!$I$5:$I$27)*后果有效剂量!$T27+SUMPRODUCT(M$5:M$27,后果有效剂量!$I$5:$I$27)*后果有效剂量!$U27+SUMPRODUCT(H$5:H$27,后果有效剂量!$J$5:$J$27)*后果有效剂量!$Q27*后果有效剂量!$Q$3+SUMPRODUCT(I$5:I$27,后果有效剂量!$J$5:$J$27)*后果有效剂量!$Q27*后果有效剂量!$Q$3+SUMPRODUCT(J$5:J$27,后果有效剂量!$J$5:$J$27)*后果有效剂量!$R27*后果有效剂量!$R$3+SUMPRODUCT(K$5:K$27,后果有效剂量!$J$5:$J$27)*后果有效剂量!$S27*后果有效剂量!$S$3+SUMPRODUCT(L$5:L$27,后果有效剂量!$J$5:$J$27)*后果有效剂量!$T27*后果有效剂量!$T$3+SUMPRODUCT(M$5:M$27,后果有效剂量!$J$5:$J$27)*后果有效剂量!$U27*后果有效剂量!$U$3+SUMPRODUCT(H$5:H$27,后果有效剂量!$K$5:$K$27)*后果有效剂量!$Q27+SUMPRODUCT(I$5:I$27,后果有效剂量!$K$5:$K$27)*后果有效剂量!$Q27+SUMPRODUCT(J$5:J$27,后果有效剂量!$K$5:$K$27)*后果有效剂量!$R27+SUMPRODUCT(K$5:K$27,后果有效剂量!$K$5:$K$27)*后果有效剂量!$S27+SUMPRODUCT(L$5:L$27,后果有效剂量!$K$5:$K$27)*后果有效剂量!$T27+SUMPRODUCT(M$5:M$27,后果有效剂量!$K$5:$K$27)*后果有效剂量!$U27</f>
        <v>0</v>
      </c>
      <c r="I53" s="453">
        <f ca="1">SUMPRODUCT(H$5:H$27,后果甲状腺剂量!$I$5:$I$27)*后果甲状腺剂量!$Q27+SUMPRODUCT(I$5:I$27,后果甲状腺剂量!$I$5:$I$27)*后果甲状腺剂量!$Q27+SUMPRODUCT(J$5:J$27,后果甲状腺剂量!$I$5:$I$27)*后果甲状腺剂量!$R27+SUMPRODUCT(K$5:K$27,后果甲状腺剂量!$I$5:$I$27)*后果甲状腺剂量!$S27+SUMPRODUCT(L$5:L$27,后果甲状腺剂量!$I$5:$I$27)*后果甲状腺剂量!$T27+SUMPRODUCT(M$5:M$27,后果甲状腺剂量!$I$5:$I$27)*后果甲状腺剂量!$U27+SUMPRODUCT(H$5:H$27,后果甲状腺剂量!$J$5:$J$27)*后果甲状腺剂量!$Q27*后果甲状腺剂量!$Q$3+SUMPRODUCT(I$5:I$27,后果甲状腺剂量!$J$5:$J$27)*后果甲状腺剂量!$Q27*后果甲状腺剂量!$Q$3+SUMPRODUCT(J$5:J$27,后果甲状腺剂量!$J$5:$J$27)*后果甲状腺剂量!$R27*后果甲状腺剂量!$R$3+SUMPRODUCT(K$5:K$27,后果甲状腺剂量!$J$5:$J$27)*后果甲状腺剂量!$S27*后果甲状腺剂量!$S$3+SUMPRODUCT(L$5:L$27,后果甲状腺剂量!$J$5:$J$27)*后果甲状腺剂量!$T27*后果甲状腺剂量!$T$3+SUMPRODUCT(M$5:M$27,后果甲状腺剂量!$J$5:$J$27)*后果甲状腺剂量!$U27*后果甲状腺剂量!$U$3+SUMPRODUCT(H$5:H$27,后果甲状腺剂量!$K$5:$K$27)*后果甲状腺剂量!$Q27+SUMPRODUCT(I$5:I$27,后果甲状腺剂量!$K$5:$K$27)*后果甲状腺剂量!$Q27+SUMPRODUCT(J$5:J$27,后果甲状腺剂量!$K$5:$K$27)*后果甲状腺剂量!$R27+SUMPRODUCT(K$5:K$27,后果甲状腺剂量!$K$5:$K$27)*后果甲状腺剂量!$S27+SUMPRODUCT(L$5:L$27,后果甲状腺剂量!$K$5:$K$27)*后果甲状腺剂量!$T27+SUMPRODUCT(M$5:M$27,后果甲状腺剂量!$K$5:$K$27)*后果甲状腺剂量!$U27</f>
        <v>0</v>
      </c>
      <c r="J53" s="454">
        <f ca="1" t="shared" si="253"/>
        <v>0</v>
      </c>
      <c r="K53" s="454">
        <f ca="1" t="shared" si="254"/>
        <v>0</v>
      </c>
      <c r="L53" s="459">
        <f ca="1" t="shared" si="261"/>
        <v>0</v>
      </c>
      <c r="M53" s="459">
        <f ca="1" t="shared" si="262"/>
        <v>0</v>
      </c>
      <c r="Q53" s="440">
        <f>后果有效剂量!$P27</f>
        <v>0</v>
      </c>
      <c r="R53" s="441">
        <f ca="1">SUMPRODUCT(R$5:R$27,后果有效剂量!$I$5:$I$27)*后果有效剂量!$Q27+SUMPRODUCT(S$5:S$27,后果有效剂量!$I$5:$I$27)*后果有效剂量!$Q27+SUMPRODUCT(T$5:T$27,后果有效剂量!$I$5:$I$27)*后果有效剂量!$R27+SUMPRODUCT(U$5:U$27,后果有效剂量!$I$5:$I$27)*后果有效剂量!$S27+SUMPRODUCT(V$5:V$27,后果有效剂量!$I$5:$I$27)*后果有效剂量!$T27+SUMPRODUCT(W$5:W$27,后果有效剂量!$I$5:$I$27)*后果有效剂量!$U27+SUMPRODUCT(R$5:R$27,后果有效剂量!$J$5:$J$27)*后果有效剂量!$Q27*后果有效剂量!$Q$3+SUMPRODUCT(S$5:S$27,后果有效剂量!$J$5:$J$27)*后果有效剂量!$Q27*后果有效剂量!$Q$3+SUMPRODUCT(T$5:T$27,后果有效剂量!$J$5:$J$27)*后果有效剂量!$R27*后果有效剂量!$R$3+SUMPRODUCT(U$5:U$27,后果有效剂量!$J$5:$J$27)*后果有效剂量!$S27*后果有效剂量!$S$3+SUMPRODUCT(V$5:V$27,后果有效剂量!$J$5:$J$27)*后果有效剂量!$T27*后果有效剂量!$T$3+SUMPRODUCT(W$5:W$27,后果有效剂量!$J$5:$J$27)*后果有效剂量!$U27*后果有效剂量!$U$3+SUMPRODUCT(R$5:R$27,后果有效剂量!$K$5:$K$27)*后果有效剂量!$Q27+SUMPRODUCT(S$5:S$27,后果有效剂量!$K$5:$K$27)*后果有效剂量!$Q27+SUMPRODUCT(T$5:T$27,后果有效剂量!$K$5:$K$27)*后果有效剂量!$R27+SUMPRODUCT(U$5:U$27,后果有效剂量!$K$5:$K$27)*后果有效剂量!$S27+SUMPRODUCT(V$5:V$27,后果有效剂量!$K$5:$K$27)*后果有效剂量!$T27+SUMPRODUCT(W$5:W$27,后果有效剂量!$K$5:$K$27)*后果有效剂量!$U27</f>
        <v>0</v>
      </c>
      <c r="S53" s="453">
        <f ca="1">SUMPRODUCT(R$5:R$27,后果甲状腺剂量!$I$5:$I$27)*后果甲状腺剂量!$Q27+SUMPRODUCT(S$5:S$27,后果甲状腺剂量!$I$5:$I$27)*后果甲状腺剂量!$Q27+SUMPRODUCT(T$5:T$27,后果甲状腺剂量!$I$5:$I$27)*后果甲状腺剂量!$R27+SUMPRODUCT(U$5:U$27,后果甲状腺剂量!$I$5:$I$27)*后果甲状腺剂量!$S27+SUMPRODUCT(V$5:V$27,后果甲状腺剂量!$I$5:$I$27)*后果甲状腺剂量!$T27+SUMPRODUCT(W$5:W$27,后果甲状腺剂量!$I$5:$I$27)*后果甲状腺剂量!$U27+SUMPRODUCT(R$5:R$27,后果甲状腺剂量!$J$5:$J$27)*后果甲状腺剂量!$Q27*后果甲状腺剂量!$Q$3+SUMPRODUCT(S$5:S$27,后果甲状腺剂量!$J$5:$J$27)*后果甲状腺剂量!$Q27*后果甲状腺剂量!$Q$3+SUMPRODUCT(T$5:T$27,后果甲状腺剂量!$J$5:$J$27)*后果甲状腺剂量!$R27*后果甲状腺剂量!$R$3+SUMPRODUCT(U$5:U$27,后果甲状腺剂量!$J$5:$J$27)*后果甲状腺剂量!$S27*后果甲状腺剂量!$S$3+SUMPRODUCT(V$5:V$27,后果甲状腺剂量!$J$5:$J$27)*后果甲状腺剂量!$T27*后果甲状腺剂量!$T$3+SUMPRODUCT(W$5:W$27,后果甲状腺剂量!$J$5:$J$27)*后果甲状腺剂量!$U27*后果甲状腺剂量!$U$3+SUMPRODUCT(R$5:R$27,后果甲状腺剂量!$K$5:$K$27)*后果甲状腺剂量!$Q27+SUMPRODUCT(S$5:S$27,后果甲状腺剂量!$K$5:$K$27)*后果甲状腺剂量!$Q27+SUMPRODUCT(T$5:T$27,后果甲状腺剂量!$K$5:$K$27)*后果甲状腺剂量!$R27+SUMPRODUCT(U$5:U$27,后果甲状腺剂量!$K$5:$K$27)*后果甲状腺剂量!$S27+SUMPRODUCT(V$5:V$27,后果甲状腺剂量!$K$5:$K$27)*后果甲状腺剂量!$T27+SUMPRODUCT(W$5:W$27,后果甲状腺剂量!$K$5:$K$27)*后果甲状腺剂量!$U27</f>
        <v>0</v>
      </c>
      <c r="T53" s="454">
        <f ca="1" t="shared" si="255"/>
        <v>0</v>
      </c>
      <c r="U53" s="454">
        <f ca="1" t="shared" si="256"/>
        <v>0</v>
      </c>
      <c r="V53" s="459">
        <f ca="1" t="shared" si="263"/>
        <v>0</v>
      </c>
      <c r="W53" s="459">
        <f ca="1" t="shared" si="264"/>
        <v>0</v>
      </c>
      <c r="FS53" s="441">
        <f>SUMPRODUCT(FS$5:FS$27,后果有效剂量!$I$5:$I$27)*后果有效剂量!$Q27+SUMPRODUCT(FT$5:FT$27,后果有效剂量!$I$5:$I$27)*后果有效剂量!$R27+SUMPRODUCT(FU$5:FU$27,后果有效剂量!$I$5:$I$27)*后果有效剂量!$S27+SUMPRODUCT(FV$5:FV$27,后果有效剂量!$I$5:$I$27)*后果有效剂量!$T27+SUMPRODUCT(FS$5:FS$27,后果有效剂量!$J$5:$J$27)*后果有效剂量!$Q27*后果有效剂量!$Q$3+SUMPRODUCT(FT$5:FT$27,后果有效剂量!$J$5:$J$27)*后果有效剂量!$R27*后果有效剂量!$R$3+SUMPRODUCT(FU$5:FU$27,后果有效剂量!$J$5:$J$27)*后果有效剂量!$S27*后果有效剂量!$S$3+SUMPRODUCT(FV$5:FV$27,后果有效剂量!$J$5:$J$27)*后果有效剂量!$T27*后果有效剂量!$T$3+SUMPRODUCT(FS$5:FS$27,后果有效剂量!$K$5:$K$27)*后果有效剂量!$Q27+SUMPRODUCT(FT$5:FT$27,后果有效剂量!$K$5:$K$27)*后果有效剂量!$R27+SUMPRODUCT(FU$5:FU$27,后果有效剂量!$K$5:$K$27)*后果有效剂量!$S27+SUMPRODUCT(FV$5:FV$27,后果有效剂量!$K$5:$K$27)*后果有效剂量!$T27</f>
        <v>0</v>
      </c>
      <c r="FT53" s="453">
        <f>SUMPRODUCT(FS$5:FS$27,后果甲状腺剂量!$I$5:$I$27)*后果甲状腺剂量!$Q27+SUMPRODUCT(FT$5:FT$27,后果甲状腺剂量!$I$5:$I$27)*后果甲状腺剂量!$R27+SUMPRODUCT(FU$5:FU$27,后果甲状腺剂量!$I$5:$I$27)*后果甲状腺剂量!$S27+SUMPRODUCT(FV$5:FV$27,后果甲状腺剂量!$I$5:$I$27)*后果甲状腺剂量!$T27+SUMPRODUCT(FS$5:FS$27,后果甲状腺剂量!$J$5:$J$27)*后果甲状腺剂量!$Q27*后果甲状腺剂量!$Q$3+SUMPRODUCT(FT$5:FT$27,后果甲状腺剂量!$J$5:$J$27)*后果甲状腺剂量!$R27*后果甲状腺剂量!$R$3+SUMPRODUCT(FU$5:FU$27,后果甲状腺剂量!$J$5:$J$27)*后果甲状腺剂量!$S27*后果甲状腺剂量!$S$3+SUMPRODUCT(FV$5:FV$27,后果甲状腺剂量!$J$5:$J$27)*后果甲状腺剂量!$T27*后果甲状腺剂量!$T$3+SUMPRODUCT(FS$5:FS$27,后果甲状腺剂量!$K$5:$K$27)*后果甲状腺剂量!$Q27+SUMPRODUCT(FT$5:FT$27,后果甲状腺剂量!$K$5:$K$27)*后果甲状腺剂量!$R27+SUMPRODUCT(FU$5:FU$27,后果甲状腺剂量!$K$5:$K$27)*后果甲状腺剂量!$S27+SUMPRODUCT(FV$5:FV$27,后果甲状腺剂量!$K$5:$K$27)*后果甲状腺剂量!$T27</f>
        <v>0</v>
      </c>
      <c r="FU53" s="454">
        <f t="shared" si="257"/>
        <v>0</v>
      </c>
      <c r="FV53" s="454">
        <f t="shared" si="258"/>
        <v>0</v>
      </c>
      <c r="FW53" s="459">
        <f t="shared" si="265"/>
        <v>0</v>
      </c>
      <c r="FX53" s="459">
        <f t="shared" si="266"/>
        <v>0</v>
      </c>
      <c r="GD53" s="440">
        <f>后果有效剂量!$P27</f>
        <v>0</v>
      </c>
      <c r="GE53" s="441">
        <f>SUMPRODUCT(GE$5:GE$27,后果有效剂量!$I$5:$I$27)*后果有效剂量!$Q27+SUMPRODUCT(GF$5:GF$27,后果有效剂量!$I$5:$I$27)*后果有效剂量!$R27+SUMPRODUCT(GG$5:GG$27,后果有效剂量!$I$5:$I$27)*后果有效剂量!$S27+(SUMPRODUCT(GH$5:GH$27,后果有效剂量!$I$5:$I$27)+SUMPRODUCT(GI$5:GI$27,后果有效剂量!$I$5:$I$27))*后果有效剂量!$T27+SUMPRODUCT(GJ$5:GJ$27,后果有效剂量!$I$5:$I$27)*后果有效剂量!$U27+SUMPRODUCT(GE$5:GE$27,后果有效剂量!$J$5:$J$27)*后果有效剂量!$Q27*后果有效剂量!$Q$3+SUMPRODUCT(GF$5:GF$27,后果有效剂量!$J$5:$J$27)*后果有效剂量!$R27*后果有效剂量!$R$3+SUMPRODUCT(GG$5:GG$27,后果有效剂量!$J$5:$J$27)*后果有效剂量!$S27*后果有效剂量!$S$3+(SUMPRODUCT(GH$5:GH$27,后果有效剂量!$J$5:$J$27)+SUMPRODUCT(GI$5:GI$27,后果有效剂量!$J$5:$J$27))*后果有效剂量!$T27*后果有效剂量!$T$3+SUMPRODUCT(GJ$5:GJ$27,后果有效剂量!$J$5:$J$27)*后果有效剂量!$U27*后果有效剂量!$U$3+SUMPRODUCT(GE$5:GE$27,后果有效剂量!$K$5:$K$27)*后果有效剂量!$Q27+SUMPRODUCT(GF$5:GF$27,后果有效剂量!$K$5:$K$27)*后果有效剂量!$R27+SUMPRODUCT(GG$5:GG$27,后果有效剂量!$K$5:$K$27)*后果有效剂量!$S27+(SUMPRODUCT(GH$5:GH$27,后果有效剂量!$K$5:$K$27)+SUMPRODUCT(GI$5:GI$27,后果有效剂量!$K$5:$K$27))*后果有效剂量!$T27+SUMPRODUCT(GJ$5:GJ$27,后果有效剂量!$K$5:$K$27)*后果有效剂量!$U27</f>
        <v>0</v>
      </c>
      <c r="GF53" s="453">
        <f>SUMPRODUCT(GE$5:GE$27,后果甲状腺剂量!$I$5:$I$27)*后果甲状腺剂量!$Q27+SUMPRODUCT(GF$5:GF$27,后果甲状腺剂量!$I$5:$I$27)*后果甲状腺剂量!$R27+SUMPRODUCT(GG$5:GG$27,后果甲状腺剂量!$I$5:$I$27)*后果甲状腺剂量!$S27+(SUMPRODUCT(GH$5:GH$27,后果甲状腺剂量!$I$5:$I$27)+SUMPRODUCT(GI$5:GI$27,后果甲状腺剂量!$I$5:$I$27))*后果甲状腺剂量!$T27+SUMPRODUCT(GJ$5:GJ$27,后果甲状腺剂量!$I$5:$I$27)*后果甲状腺剂量!$U27+SUMPRODUCT(GE$5:GE$27,后果甲状腺剂量!$J$5:$J$27)*后果甲状腺剂量!$Q27*后果甲状腺剂量!$Q$3+SUMPRODUCT(GF$5:GF$27,后果甲状腺剂量!$J$5:$J$27)*后果甲状腺剂量!$R27*后果甲状腺剂量!$R$3+SUMPRODUCT(GG$5:GG$27,后果甲状腺剂量!$J$5:$J$27)*后果甲状腺剂量!$S27*后果甲状腺剂量!$S$3+(SUMPRODUCT(GH$5:GH$27,后果甲状腺剂量!$J$5:$J$27)+SUMPRODUCT(GI$5:GI$27,后果甲状腺剂量!$J$5:$J$27))*后果甲状腺剂量!$T27*后果甲状腺剂量!$T$3+SUMPRODUCT(GJ$5:GJ$27,后果甲状腺剂量!$J$5:$J$27)*后果甲状腺剂量!$U27*后果甲状腺剂量!$U$3+SUMPRODUCT(GE$5:GE$27,后果甲状腺剂量!$K$5:$K$27)*后果甲状腺剂量!$Q27+SUMPRODUCT(GF$5:GF$27,后果甲状腺剂量!$K$5:$K$27)*后果甲状腺剂量!$R27+SUMPRODUCT(GG$5:GG$27,后果甲状腺剂量!$K$5:$K$27)*后果甲状腺剂量!$S27+(SUMPRODUCT(GH$5:GH$27,后果甲状腺剂量!$K$5:$K$27)+SUMPRODUCT(GI$5:GI$27,后果甲状腺剂量!$K$5:$K$27))*后果甲状腺剂量!$T27+SUMPRODUCT(GJ$5:GJ$27,后果甲状腺剂量!$K$5:$K$27)*后果甲状腺剂量!$U27</f>
        <v>0</v>
      </c>
      <c r="GG53" s="454">
        <f t="shared" si="259"/>
        <v>0</v>
      </c>
      <c r="GH53" s="454">
        <f t="shared" si="260"/>
        <v>0</v>
      </c>
      <c r="GI53" s="459">
        <f t="shared" si="267"/>
        <v>0</v>
      </c>
      <c r="GJ53" s="459">
        <f t="shared" si="268"/>
        <v>0</v>
      </c>
    </row>
    <row r="54" spans="7:192">
      <c r="G54" s="440">
        <f>后果有效剂量!$P28</f>
        <v>0</v>
      </c>
      <c r="H54" s="441">
        <f ca="1">SUMPRODUCT(H$5:H$27,后果有效剂量!$I$5:$I$27)*后果有效剂量!$Q28+SUMPRODUCT(I$5:I$27,后果有效剂量!$I$5:$I$27)*后果有效剂量!$Q28+SUMPRODUCT(J$5:J$27,后果有效剂量!$I$5:$I$27)*后果有效剂量!$R28+SUMPRODUCT(K$5:K$27,后果有效剂量!$I$5:$I$27)*后果有效剂量!$S28+SUMPRODUCT(L$5:L$27,后果有效剂量!$I$5:$I$27)*后果有效剂量!$T28+SUMPRODUCT(M$5:M$27,后果有效剂量!$I$5:$I$27)*后果有效剂量!$U28+SUMPRODUCT(H$5:H$27,后果有效剂量!$J$5:$J$27)*后果有效剂量!$Q28*后果有效剂量!$Q$3+SUMPRODUCT(I$5:I$27,后果有效剂量!$J$5:$J$27)*后果有效剂量!$Q28*后果有效剂量!$Q$3+SUMPRODUCT(J$5:J$27,后果有效剂量!$J$5:$J$27)*后果有效剂量!$R28*后果有效剂量!$R$3+SUMPRODUCT(K$5:K$27,后果有效剂量!$J$5:$J$27)*后果有效剂量!$S28*后果有效剂量!$S$3+SUMPRODUCT(L$5:L$27,后果有效剂量!$J$5:$J$27)*后果有效剂量!$T28*后果有效剂量!$T$3+SUMPRODUCT(M$5:M$27,后果有效剂量!$J$5:$J$27)*后果有效剂量!$U28*后果有效剂量!$U$3+SUMPRODUCT(H$5:H$27,后果有效剂量!$K$5:$K$27)*后果有效剂量!$Q28+SUMPRODUCT(I$5:I$27,后果有效剂量!$K$5:$K$27)*后果有效剂量!$Q28+SUMPRODUCT(J$5:J$27,后果有效剂量!$K$5:$K$27)*后果有效剂量!$R28+SUMPRODUCT(K$5:K$27,后果有效剂量!$K$5:$K$27)*后果有效剂量!$S28+SUMPRODUCT(L$5:L$27,后果有效剂量!$K$5:$K$27)*后果有效剂量!$T28+SUMPRODUCT(M$5:M$27,后果有效剂量!$K$5:$K$27)*后果有效剂量!$U28</f>
        <v>0</v>
      </c>
      <c r="I54" s="453">
        <f ca="1">SUMPRODUCT(H$5:H$27,后果甲状腺剂量!$I$5:$I$27)*后果甲状腺剂量!$Q28+SUMPRODUCT(I$5:I$27,后果甲状腺剂量!$I$5:$I$27)*后果甲状腺剂量!$Q28+SUMPRODUCT(J$5:J$27,后果甲状腺剂量!$I$5:$I$27)*后果甲状腺剂量!$R28+SUMPRODUCT(K$5:K$27,后果甲状腺剂量!$I$5:$I$27)*后果甲状腺剂量!$S28+SUMPRODUCT(L$5:L$27,后果甲状腺剂量!$I$5:$I$27)*后果甲状腺剂量!$T28+SUMPRODUCT(M$5:M$27,后果甲状腺剂量!$I$5:$I$27)*后果甲状腺剂量!$U28+SUMPRODUCT(H$5:H$27,后果甲状腺剂量!$J$5:$J$27)*后果甲状腺剂量!$Q28*后果甲状腺剂量!$Q$3+SUMPRODUCT(I$5:I$27,后果甲状腺剂量!$J$5:$J$27)*后果甲状腺剂量!$Q28*后果甲状腺剂量!$Q$3+SUMPRODUCT(J$5:J$27,后果甲状腺剂量!$J$5:$J$27)*后果甲状腺剂量!$R28*后果甲状腺剂量!$R$3+SUMPRODUCT(K$5:K$27,后果甲状腺剂量!$J$5:$J$27)*后果甲状腺剂量!$S28*后果甲状腺剂量!$S$3+SUMPRODUCT(L$5:L$27,后果甲状腺剂量!$J$5:$J$27)*后果甲状腺剂量!$T28*后果甲状腺剂量!$T$3+SUMPRODUCT(M$5:M$27,后果甲状腺剂量!$J$5:$J$27)*后果甲状腺剂量!$U28*后果甲状腺剂量!$U$3+SUMPRODUCT(H$5:H$27,后果甲状腺剂量!$K$5:$K$27)*后果甲状腺剂量!$Q28+SUMPRODUCT(I$5:I$27,后果甲状腺剂量!$K$5:$K$27)*后果甲状腺剂量!$Q28+SUMPRODUCT(J$5:J$27,后果甲状腺剂量!$K$5:$K$27)*后果甲状腺剂量!$R28+SUMPRODUCT(K$5:K$27,后果甲状腺剂量!$K$5:$K$27)*后果甲状腺剂量!$S28+SUMPRODUCT(L$5:L$27,后果甲状腺剂量!$K$5:$K$27)*后果甲状腺剂量!$T28+SUMPRODUCT(M$5:M$27,后果甲状腺剂量!$K$5:$K$27)*后果甲状腺剂量!$U28</f>
        <v>0</v>
      </c>
      <c r="J54" s="454">
        <f ca="1" t="shared" si="253"/>
        <v>0</v>
      </c>
      <c r="K54" s="454">
        <f ca="1" t="shared" si="254"/>
        <v>0</v>
      </c>
      <c r="L54" s="459">
        <f ca="1" t="shared" si="261"/>
        <v>0</v>
      </c>
      <c r="M54" s="459">
        <f ca="1" t="shared" si="262"/>
        <v>0</v>
      </c>
      <c r="Q54" s="440">
        <f>后果有效剂量!$P28</f>
        <v>0</v>
      </c>
      <c r="R54" s="441">
        <f ca="1">SUMPRODUCT(R$5:R$27,后果有效剂量!$I$5:$I$27)*后果有效剂量!$Q28+SUMPRODUCT(S$5:S$27,后果有效剂量!$I$5:$I$27)*后果有效剂量!$Q28+SUMPRODUCT(T$5:T$27,后果有效剂量!$I$5:$I$27)*后果有效剂量!$R28+SUMPRODUCT(U$5:U$27,后果有效剂量!$I$5:$I$27)*后果有效剂量!$S28+SUMPRODUCT(V$5:V$27,后果有效剂量!$I$5:$I$27)*后果有效剂量!$T28+SUMPRODUCT(W$5:W$27,后果有效剂量!$I$5:$I$27)*后果有效剂量!$U28+SUMPRODUCT(R$5:R$27,后果有效剂量!$J$5:$J$27)*后果有效剂量!$Q28*后果有效剂量!$Q$3+SUMPRODUCT(S$5:S$27,后果有效剂量!$J$5:$J$27)*后果有效剂量!$Q28*后果有效剂量!$Q$3+SUMPRODUCT(T$5:T$27,后果有效剂量!$J$5:$J$27)*后果有效剂量!$R28*后果有效剂量!$R$3+SUMPRODUCT(U$5:U$27,后果有效剂量!$J$5:$J$27)*后果有效剂量!$S28*后果有效剂量!$S$3+SUMPRODUCT(V$5:V$27,后果有效剂量!$J$5:$J$27)*后果有效剂量!$T28*后果有效剂量!$T$3+SUMPRODUCT(W$5:W$27,后果有效剂量!$J$5:$J$27)*后果有效剂量!$U28*后果有效剂量!$U$3+SUMPRODUCT(R$5:R$27,后果有效剂量!$K$5:$K$27)*后果有效剂量!$Q28+SUMPRODUCT(S$5:S$27,后果有效剂量!$K$5:$K$27)*后果有效剂量!$Q28+SUMPRODUCT(T$5:T$27,后果有效剂量!$K$5:$K$27)*后果有效剂量!$R28+SUMPRODUCT(U$5:U$27,后果有效剂量!$K$5:$K$27)*后果有效剂量!$S28+SUMPRODUCT(V$5:V$27,后果有效剂量!$K$5:$K$27)*后果有效剂量!$T28+SUMPRODUCT(W$5:W$27,后果有效剂量!$K$5:$K$27)*后果有效剂量!$U28</f>
        <v>0</v>
      </c>
      <c r="S54" s="453">
        <f ca="1">SUMPRODUCT(R$5:R$27,后果甲状腺剂量!$I$5:$I$27)*后果甲状腺剂量!$Q28+SUMPRODUCT(S$5:S$27,后果甲状腺剂量!$I$5:$I$27)*后果甲状腺剂量!$Q28+SUMPRODUCT(T$5:T$27,后果甲状腺剂量!$I$5:$I$27)*后果甲状腺剂量!$R28+SUMPRODUCT(U$5:U$27,后果甲状腺剂量!$I$5:$I$27)*后果甲状腺剂量!$S28+SUMPRODUCT(V$5:V$27,后果甲状腺剂量!$I$5:$I$27)*后果甲状腺剂量!$T28+SUMPRODUCT(W$5:W$27,后果甲状腺剂量!$I$5:$I$27)*后果甲状腺剂量!$U28+SUMPRODUCT(R$5:R$27,后果甲状腺剂量!$J$5:$J$27)*后果甲状腺剂量!$Q28*后果甲状腺剂量!$Q$3+SUMPRODUCT(S$5:S$27,后果甲状腺剂量!$J$5:$J$27)*后果甲状腺剂量!$Q28*后果甲状腺剂量!$Q$3+SUMPRODUCT(T$5:T$27,后果甲状腺剂量!$J$5:$J$27)*后果甲状腺剂量!$R28*后果甲状腺剂量!$R$3+SUMPRODUCT(U$5:U$27,后果甲状腺剂量!$J$5:$J$27)*后果甲状腺剂量!$S28*后果甲状腺剂量!$S$3+SUMPRODUCT(V$5:V$27,后果甲状腺剂量!$J$5:$J$27)*后果甲状腺剂量!$T28*后果甲状腺剂量!$T$3+SUMPRODUCT(W$5:W$27,后果甲状腺剂量!$J$5:$J$27)*后果甲状腺剂量!$U28*后果甲状腺剂量!$U$3+SUMPRODUCT(R$5:R$27,后果甲状腺剂量!$K$5:$K$27)*后果甲状腺剂量!$Q28+SUMPRODUCT(S$5:S$27,后果甲状腺剂量!$K$5:$K$27)*后果甲状腺剂量!$Q28+SUMPRODUCT(T$5:T$27,后果甲状腺剂量!$K$5:$K$27)*后果甲状腺剂量!$R28+SUMPRODUCT(U$5:U$27,后果甲状腺剂量!$K$5:$K$27)*后果甲状腺剂量!$S28+SUMPRODUCT(V$5:V$27,后果甲状腺剂量!$K$5:$K$27)*后果甲状腺剂量!$T28+SUMPRODUCT(W$5:W$27,后果甲状腺剂量!$K$5:$K$27)*后果甲状腺剂量!$U28</f>
        <v>0</v>
      </c>
      <c r="T54" s="454">
        <f ca="1" t="shared" si="255"/>
        <v>0</v>
      </c>
      <c r="U54" s="454">
        <f ca="1" t="shared" si="256"/>
        <v>0</v>
      </c>
      <c r="V54" s="459">
        <f ca="1" t="shared" si="263"/>
        <v>0</v>
      </c>
      <c r="W54" s="459">
        <f ca="1" t="shared" si="264"/>
        <v>0</v>
      </c>
      <c r="FS54" s="441">
        <f>SUMPRODUCT(FS$5:FS$27,后果有效剂量!$I$5:$I$27)*后果有效剂量!$Q28+SUMPRODUCT(FT$5:FT$27,后果有效剂量!$I$5:$I$27)*后果有效剂量!$R28+SUMPRODUCT(FU$5:FU$27,后果有效剂量!$I$5:$I$27)*后果有效剂量!$S28+SUMPRODUCT(FV$5:FV$27,后果有效剂量!$I$5:$I$27)*后果有效剂量!$T28+SUMPRODUCT(FS$5:FS$27,后果有效剂量!$J$5:$J$27)*后果有效剂量!$Q28*后果有效剂量!$Q$3+SUMPRODUCT(FT$5:FT$27,后果有效剂量!$J$5:$J$27)*后果有效剂量!$R28*后果有效剂量!$R$3+SUMPRODUCT(FU$5:FU$27,后果有效剂量!$J$5:$J$27)*后果有效剂量!$S28*后果有效剂量!$S$3+SUMPRODUCT(FV$5:FV$27,后果有效剂量!$J$5:$J$27)*后果有效剂量!$T28*后果有效剂量!$T$3+SUMPRODUCT(FS$5:FS$27,后果有效剂量!$K$5:$K$27)*后果有效剂量!$Q28+SUMPRODUCT(FT$5:FT$27,后果有效剂量!$K$5:$K$27)*后果有效剂量!$R28+SUMPRODUCT(FU$5:FU$27,后果有效剂量!$K$5:$K$27)*后果有效剂量!$S28+SUMPRODUCT(FV$5:FV$27,后果有效剂量!$K$5:$K$27)*后果有效剂量!$T28</f>
        <v>0</v>
      </c>
      <c r="FT54" s="453">
        <f>SUMPRODUCT(FS$5:FS$27,后果甲状腺剂量!$I$5:$I$27)*后果甲状腺剂量!$Q28+SUMPRODUCT(FT$5:FT$27,后果甲状腺剂量!$I$5:$I$27)*后果甲状腺剂量!$R28+SUMPRODUCT(FU$5:FU$27,后果甲状腺剂量!$I$5:$I$27)*后果甲状腺剂量!$S28+SUMPRODUCT(FV$5:FV$27,后果甲状腺剂量!$I$5:$I$27)*后果甲状腺剂量!$T28+SUMPRODUCT(FS$5:FS$27,后果甲状腺剂量!$J$5:$J$27)*后果甲状腺剂量!$Q28*后果甲状腺剂量!$Q$3+SUMPRODUCT(FT$5:FT$27,后果甲状腺剂量!$J$5:$J$27)*后果甲状腺剂量!$R28*后果甲状腺剂量!$R$3+SUMPRODUCT(FU$5:FU$27,后果甲状腺剂量!$J$5:$J$27)*后果甲状腺剂量!$S28*后果甲状腺剂量!$S$3+SUMPRODUCT(FV$5:FV$27,后果甲状腺剂量!$J$5:$J$27)*后果甲状腺剂量!$T28*后果甲状腺剂量!$T$3+SUMPRODUCT(FS$5:FS$27,后果甲状腺剂量!$K$5:$K$27)*后果甲状腺剂量!$Q28+SUMPRODUCT(FT$5:FT$27,后果甲状腺剂量!$K$5:$K$27)*后果甲状腺剂量!$R28+SUMPRODUCT(FU$5:FU$27,后果甲状腺剂量!$K$5:$K$27)*后果甲状腺剂量!$S28+SUMPRODUCT(FV$5:FV$27,后果甲状腺剂量!$K$5:$K$27)*后果甲状腺剂量!$T28</f>
        <v>0</v>
      </c>
      <c r="FU54" s="454">
        <f t="shared" si="257"/>
        <v>0</v>
      </c>
      <c r="FV54" s="454">
        <f t="shared" si="258"/>
        <v>0</v>
      </c>
      <c r="FW54" s="459">
        <f t="shared" si="265"/>
        <v>0</v>
      </c>
      <c r="FX54" s="459">
        <f t="shared" si="266"/>
        <v>0</v>
      </c>
      <c r="GD54" s="440">
        <f>后果有效剂量!$P28</f>
        <v>0</v>
      </c>
      <c r="GE54" s="441">
        <f>SUMPRODUCT(GE$5:GE$27,后果有效剂量!$I$5:$I$27)*后果有效剂量!$Q28+SUMPRODUCT(GF$5:GF$27,后果有效剂量!$I$5:$I$27)*后果有效剂量!$R28+SUMPRODUCT(GG$5:GG$27,后果有效剂量!$I$5:$I$27)*后果有效剂量!$S28+(SUMPRODUCT(GH$5:GH$27,后果有效剂量!$I$5:$I$27)+SUMPRODUCT(GI$5:GI$27,后果有效剂量!$I$5:$I$27))*后果有效剂量!$T28+SUMPRODUCT(GJ$5:GJ$27,后果有效剂量!$I$5:$I$27)*后果有效剂量!$U28+SUMPRODUCT(GE$5:GE$27,后果有效剂量!$J$5:$J$27)*后果有效剂量!$Q28*后果有效剂量!$Q$3+SUMPRODUCT(GF$5:GF$27,后果有效剂量!$J$5:$J$27)*后果有效剂量!$R28*后果有效剂量!$R$3+SUMPRODUCT(GG$5:GG$27,后果有效剂量!$J$5:$J$27)*后果有效剂量!$S28*后果有效剂量!$S$3+(SUMPRODUCT(GH$5:GH$27,后果有效剂量!$J$5:$J$27)+SUMPRODUCT(GI$5:GI$27,后果有效剂量!$J$5:$J$27))*后果有效剂量!$T28*后果有效剂量!$T$3+SUMPRODUCT(GJ$5:GJ$27,后果有效剂量!$J$5:$J$27)*后果有效剂量!$U28*后果有效剂量!$U$3+SUMPRODUCT(GE$5:GE$27,后果有效剂量!$K$5:$K$27)*后果有效剂量!$Q28+SUMPRODUCT(GF$5:GF$27,后果有效剂量!$K$5:$K$27)*后果有效剂量!$R28+SUMPRODUCT(GG$5:GG$27,后果有效剂量!$K$5:$K$27)*后果有效剂量!$S28+(SUMPRODUCT(GH$5:GH$27,后果有效剂量!$K$5:$K$27)+SUMPRODUCT(GI$5:GI$27,后果有效剂量!$K$5:$K$27))*后果有效剂量!$T28+SUMPRODUCT(GJ$5:GJ$27,后果有效剂量!$K$5:$K$27)*后果有效剂量!$U28</f>
        <v>0</v>
      </c>
      <c r="GF54" s="453">
        <f>SUMPRODUCT(GE$5:GE$27,后果甲状腺剂量!$I$5:$I$27)*后果甲状腺剂量!$Q28+SUMPRODUCT(GF$5:GF$27,后果甲状腺剂量!$I$5:$I$27)*后果甲状腺剂量!$R28+SUMPRODUCT(GG$5:GG$27,后果甲状腺剂量!$I$5:$I$27)*后果甲状腺剂量!$S28+(SUMPRODUCT(GH$5:GH$27,后果甲状腺剂量!$I$5:$I$27)+SUMPRODUCT(GI$5:GI$27,后果甲状腺剂量!$I$5:$I$27))*后果甲状腺剂量!$T28+SUMPRODUCT(GJ$5:GJ$27,后果甲状腺剂量!$I$5:$I$27)*后果甲状腺剂量!$U28+SUMPRODUCT(GE$5:GE$27,后果甲状腺剂量!$J$5:$J$27)*后果甲状腺剂量!$Q28*后果甲状腺剂量!$Q$3+SUMPRODUCT(GF$5:GF$27,后果甲状腺剂量!$J$5:$J$27)*后果甲状腺剂量!$R28*后果甲状腺剂量!$R$3+SUMPRODUCT(GG$5:GG$27,后果甲状腺剂量!$J$5:$J$27)*后果甲状腺剂量!$S28*后果甲状腺剂量!$S$3+(SUMPRODUCT(GH$5:GH$27,后果甲状腺剂量!$J$5:$J$27)+SUMPRODUCT(GI$5:GI$27,后果甲状腺剂量!$J$5:$J$27))*后果甲状腺剂量!$T28*后果甲状腺剂量!$T$3+SUMPRODUCT(GJ$5:GJ$27,后果甲状腺剂量!$J$5:$J$27)*后果甲状腺剂量!$U28*后果甲状腺剂量!$U$3+SUMPRODUCT(GE$5:GE$27,后果甲状腺剂量!$K$5:$K$27)*后果甲状腺剂量!$Q28+SUMPRODUCT(GF$5:GF$27,后果甲状腺剂量!$K$5:$K$27)*后果甲状腺剂量!$R28+SUMPRODUCT(GG$5:GG$27,后果甲状腺剂量!$K$5:$K$27)*后果甲状腺剂量!$S28+(SUMPRODUCT(GH$5:GH$27,后果甲状腺剂量!$K$5:$K$27)+SUMPRODUCT(GI$5:GI$27,后果甲状腺剂量!$K$5:$K$27))*后果甲状腺剂量!$T28+SUMPRODUCT(GJ$5:GJ$27,后果甲状腺剂量!$K$5:$K$27)*后果甲状腺剂量!$U28</f>
        <v>0</v>
      </c>
      <c r="GG54" s="454">
        <f t="shared" si="259"/>
        <v>0</v>
      </c>
      <c r="GH54" s="454">
        <f t="shared" si="260"/>
        <v>0</v>
      </c>
      <c r="GI54" s="459">
        <f t="shared" si="267"/>
        <v>0</v>
      </c>
      <c r="GJ54" s="459">
        <f t="shared" si="268"/>
        <v>0</v>
      </c>
    </row>
    <row r="55" spans="7:192">
      <c r="G55" s="440">
        <f>后果有效剂量!$P29</f>
        <v>0</v>
      </c>
      <c r="H55" s="441">
        <f ca="1">SUMPRODUCT(H$5:H$27,后果有效剂量!$I$5:$I$27)*后果有效剂量!$Q29+SUMPRODUCT(I$5:I$27,后果有效剂量!$I$5:$I$27)*后果有效剂量!$Q29+SUMPRODUCT(J$5:J$27,后果有效剂量!$I$5:$I$27)*后果有效剂量!$R29+SUMPRODUCT(K$5:K$27,后果有效剂量!$I$5:$I$27)*后果有效剂量!$S29+SUMPRODUCT(L$5:L$27,后果有效剂量!$I$5:$I$27)*后果有效剂量!$T29+SUMPRODUCT(M$5:M$27,后果有效剂量!$I$5:$I$27)*后果有效剂量!$U29+SUMPRODUCT(H$5:H$27,后果有效剂量!$J$5:$J$27)*后果有效剂量!$Q29*后果有效剂量!$Q$3+SUMPRODUCT(I$5:I$27,后果有效剂量!$J$5:$J$27)*后果有效剂量!$Q29*后果有效剂量!$Q$3+SUMPRODUCT(J$5:J$27,后果有效剂量!$J$5:$J$27)*后果有效剂量!$R29*后果有效剂量!$R$3+SUMPRODUCT(K$5:K$27,后果有效剂量!$J$5:$J$27)*后果有效剂量!$S29*后果有效剂量!$S$3+SUMPRODUCT(L$5:L$27,后果有效剂量!$J$5:$J$27)*后果有效剂量!$T29*后果有效剂量!$T$3+SUMPRODUCT(M$5:M$27,后果有效剂量!$J$5:$J$27)*后果有效剂量!$U29*后果有效剂量!$U$3+SUMPRODUCT(H$5:H$27,后果有效剂量!$K$5:$K$27)*后果有效剂量!$Q29+SUMPRODUCT(I$5:I$27,后果有效剂量!$K$5:$K$27)*后果有效剂量!$Q29+SUMPRODUCT(J$5:J$27,后果有效剂量!$K$5:$K$27)*后果有效剂量!$R29+SUMPRODUCT(K$5:K$27,后果有效剂量!$K$5:$K$27)*后果有效剂量!$S29+SUMPRODUCT(L$5:L$27,后果有效剂量!$K$5:$K$27)*后果有效剂量!$T29+SUMPRODUCT(M$5:M$27,后果有效剂量!$K$5:$K$27)*后果有效剂量!$U29</f>
        <v>0</v>
      </c>
      <c r="I55" s="453">
        <f ca="1">SUMPRODUCT(H$5:H$27,后果甲状腺剂量!$I$5:$I$27)*后果甲状腺剂量!$Q29+SUMPRODUCT(I$5:I$27,后果甲状腺剂量!$I$5:$I$27)*后果甲状腺剂量!$Q29+SUMPRODUCT(J$5:J$27,后果甲状腺剂量!$I$5:$I$27)*后果甲状腺剂量!$R29+SUMPRODUCT(K$5:K$27,后果甲状腺剂量!$I$5:$I$27)*后果甲状腺剂量!$S29+SUMPRODUCT(L$5:L$27,后果甲状腺剂量!$I$5:$I$27)*后果甲状腺剂量!$T29+SUMPRODUCT(M$5:M$27,后果甲状腺剂量!$I$5:$I$27)*后果甲状腺剂量!$U29+SUMPRODUCT(H$5:H$27,后果甲状腺剂量!$J$5:$J$27)*后果甲状腺剂量!$Q29*后果甲状腺剂量!$Q$3+SUMPRODUCT(I$5:I$27,后果甲状腺剂量!$J$5:$J$27)*后果甲状腺剂量!$Q29*后果甲状腺剂量!$Q$3+SUMPRODUCT(J$5:J$27,后果甲状腺剂量!$J$5:$J$27)*后果甲状腺剂量!$R29*后果甲状腺剂量!$R$3+SUMPRODUCT(K$5:K$27,后果甲状腺剂量!$J$5:$J$27)*后果甲状腺剂量!$S29*后果甲状腺剂量!$S$3+SUMPRODUCT(L$5:L$27,后果甲状腺剂量!$J$5:$J$27)*后果甲状腺剂量!$T29*后果甲状腺剂量!$T$3+SUMPRODUCT(M$5:M$27,后果甲状腺剂量!$J$5:$J$27)*后果甲状腺剂量!$U29*后果甲状腺剂量!$U$3+SUMPRODUCT(H$5:H$27,后果甲状腺剂量!$K$5:$K$27)*后果甲状腺剂量!$Q29+SUMPRODUCT(I$5:I$27,后果甲状腺剂量!$K$5:$K$27)*后果甲状腺剂量!$Q29+SUMPRODUCT(J$5:J$27,后果甲状腺剂量!$K$5:$K$27)*后果甲状腺剂量!$R29+SUMPRODUCT(K$5:K$27,后果甲状腺剂量!$K$5:$K$27)*后果甲状腺剂量!$S29+SUMPRODUCT(L$5:L$27,后果甲状腺剂量!$K$5:$K$27)*后果甲状腺剂量!$T29+SUMPRODUCT(M$5:M$27,后果甲状腺剂量!$K$5:$K$27)*后果甲状腺剂量!$U29</f>
        <v>0</v>
      </c>
      <c r="J55" s="454">
        <f ca="1" t="shared" si="253"/>
        <v>0</v>
      </c>
      <c r="K55" s="454">
        <f ca="1" t="shared" si="254"/>
        <v>0</v>
      </c>
      <c r="L55" s="459">
        <f ca="1" t="shared" si="261"/>
        <v>0</v>
      </c>
      <c r="M55" s="459">
        <f ca="1" t="shared" si="262"/>
        <v>0</v>
      </c>
      <c r="Q55" s="440">
        <f>后果有效剂量!$P29</f>
        <v>0</v>
      </c>
      <c r="R55" s="441">
        <f ca="1">SUMPRODUCT(R$5:R$27,后果有效剂量!$I$5:$I$27)*后果有效剂量!$Q29+SUMPRODUCT(S$5:S$27,后果有效剂量!$I$5:$I$27)*后果有效剂量!$Q29+SUMPRODUCT(T$5:T$27,后果有效剂量!$I$5:$I$27)*后果有效剂量!$R29+SUMPRODUCT(U$5:U$27,后果有效剂量!$I$5:$I$27)*后果有效剂量!$S29+SUMPRODUCT(V$5:V$27,后果有效剂量!$I$5:$I$27)*后果有效剂量!$T29+SUMPRODUCT(W$5:W$27,后果有效剂量!$I$5:$I$27)*后果有效剂量!$U29+SUMPRODUCT(R$5:R$27,后果有效剂量!$J$5:$J$27)*后果有效剂量!$Q29*后果有效剂量!$Q$3+SUMPRODUCT(S$5:S$27,后果有效剂量!$J$5:$J$27)*后果有效剂量!$Q29*后果有效剂量!$Q$3+SUMPRODUCT(T$5:T$27,后果有效剂量!$J$5:$J$27)*后果有效剂量!$R29*后果有效剂量!$R$3+SUMPRODUCT(U$5:U$27,后果有效剂量!$J$5:$J$27)*后果有效剂量!$S29*后果有效剂量!$S$3+SUMPRODUCT(V$5:V$27,后果有效剂量!$J$5:$J$27)*后果有效剂量!$T29*后果有效剂量!$T$3+SUMPRODUCT(W$5:W$27,后果有效剂量!$J$5:$J$27)*后果有效剂量!$U29*后果有效剂量!$U$3+SUMPRODUCT(R$5:R$27,后果有效剂量!$K$5:$K$27)*后果有效剂量!$Q29+SUMPRODUCT(S$5:S$27,后果有效剂量!$K$5:$K$27)*后果有效剂量!$Q29+SUMPRODUCT(T$5:T$27,后果有效剂量!$K$5:$K$27)*后果有效剂量!$R29+SUMPRODUCT(U$5:U$27,后果有效剂量!$K$5:$K$27)*后果有效剂量!$S29+SUMPRODUCT(V$5:V$27,后果有效剂量!$K$5:$K$27)*后果有效剂量!$T29+SUMPRODUCT(W$5:W$27,后果有效剂量!$K$5:$K$27)*后果有效剂量!$U29</f>
        <v>0</v>
      </c>
      <c r="S55" s="453">
        <f ca="1">SUMPRODUCT(R$5:R$27,后果甲状腺剂量!$I$5:$I$27)*后果甲状腺剂量!$Q29+SUMPRODUCT(S$5:S$27,后果甲状腺剂量!$I$5:$I$27)*后果甲状腺剂量!$Q29+SUMPRODUCT(T$5:T$27,后果甲状腺剂量!$I$5:$I$27)*后果甲状腺剂量!$R29+SUMPRODUCT(U$5:U$27,后果甲状腺剂量!$I$5:$I$27)*后果甲状腺剂量!$S29+SUMPRODUCT(V$5:V$27,后果甲状腺剂量!$I$5:$I$27)*后果甲状腺剂量!$T29+SUMPRODUCT(W$5:W$27,后果甲状腺剂量!$I$5:$I$27)*后果甲状腺剂量!$U29+SUMPRODUCT(R$5:R$27,后果甲状腺剂量!$J$5:$J$27)*后果甲状腺剂量!$Q29*后果甲状腺剂量!$Q$3+SUMPRODUCT(S$5:S$27,后果甲状腺剂量!$J$5:$J$27)*后果甲状腺剂量!$Q29*后果甲状腺剂量!$Q$3+SUMPRODUCT(T$5:T$27,后果甲状腺剂量!$J$5:$J$27)*后果甲状腺剂量!$R29*后果甲状腺剂量!$R$3+SUMPRODUCT(U$5:U$27,后果甲状腺剂量!$J$5:$J$27)*后果甲状腺剂量!$S29*后果甲状腺剂量!$S$3+SUMPRODUCT(V$5:V$27,后果甲状腺剂量!$J$5:$J$27)*后果甲状腺剂量!$T29*后果甲状腺剂量!$T$3+SUMPRODUCT(W$5:W$27,后果甲状腺剂量!$J$5:$J$27)*后果甲状腺剂量!$U29*后果甲状腺剂量!$U$3+SUMPRODUCT(R$5:R$27,后果甲状腺剂量!$K$5:$K$27)*后果甲状腺剂量!$Q29+SUMPRODUCT(S$5:S$27,后果甲状腺剂量!$K$5:$K$27)*后果甲状腺剂量!$Q29+SUMPRODUCT(T$5:T$27,后果甲状腺剂量!$K$5:$K$27)*后果甲状腺剂量!$R29+SUMPRODUCT(U$5:U$27,后果甲状腺剂量!$K$5:$K$27)*后果甲状腺剂量!$S29+SUMPRODUCT(V$5:V$27,后果甲状腺剂量!$K$5:$K$27)*后果甲状腺剂量!$T29+SUMPRODUCT(W$5:W$27,后果甲状腺剂量!$K$5:$K$27)*后果甲状腺剂量!$U29</f>
        <v>0</v>
      </c>
      <c r="T55" s="454">
        <f ca="1" t="shared" si="255"/>
        <v>0</v>
      </c>
      <c r="U55" s="454">
        <f ca="1" t="shared" si="256"/>
        <v>0</v>
      </c>
      <c r="V55" s="459">
        <f ca="1" t="shared" si="263"/>
        <v>0</v>
      </c>
      <c r="W55" s="459">
        <f ca="1" t="shared" si="264"/>
        <v>0</v>
      </c>
      <c r="FS55" s="441">
        <f>SUMPRODUCT(FS$5:FS$27,后果有效剂量!$I$5:$I$27)*后果有效剂量!$Q29+SUMPRODUCT(FT$5:FT$27,后果有效剂量!$I$5:$I$27)*后果有效剂量!$R29+SUMPRODUCT(FU$5:FU$27,后果有效剂量!$I$5:$I$27)*后果有效剂量!$S29+SUMPRODUCT(FV$5:FV$27,后果有效剂量!$I$5:$I$27)*后果有效剂量!$T29+SUMPRODUCT(FS$5:FS$27,后果有效剂量!$J$5:$J$27)*后果有效剂量!$Q29*后果有效剂量!$Q$3+SUMPRODUCT(FT$5:FT$27,后果有效剂量!$J$5:$J$27)*后果有效剂量!$R29*后果有效剂量!$R$3+SUMPRODUCT(FU$5:FU$27,后果有效剂量!$J$5:$J$27)*后果有效剂量!$S29*后果有效剂量!$S$3+SUMPRODUCT(FV$5:FV$27,后果有效剂量!$J$5:$J$27)*后果有效剂量!$T29*后果有效剂量!$T$3+SUMPRODUCT(FS$5:FS$27,后果有效剂量!$K$5:$K$27)*后果有效剂量!$Q29+SUMPRODUCT(FT$5:FT$27,后果有效剂量!$K$5:$K$27)*后果有效剂量!$R29+SUMPRODUCT(FU$5:FU$27,后果有效剂量!$K$5:$K$27)*后果有效剂量!$S29+SUMPRODUCT(FV$5:FV$27,后果有效剂量!$K$5:$K$27)*后果有效剂量!$T29</f>
        <v>0</v>
      </c>
      <c r="FT55" s="453">
        <f>SUMPRODUCT(FS$5:FS$27,后果甲状腺剂量!$I$5:$I$27)*后果甲状腺剂量!$Q29+SUMPRODUCT(FT$5:FT$27,后果甲状腺剂量!$I$5:$I$27)*后果甲状腺剂量!$R29+SUMPRODUCT(FU$5:FU$27,后果甲状腺剂量!$I$5:$I$27)*后果甲状腺剂量!$S29+SUMPRODUCT(FV$5:FV$27,后果甲状腺剂量!$I$5:$I$27)*后果甲状腺剂量!$T29+SUMPRODUCT(FS$5:FS$27,后果甲状腺剂量!$J$5:$J$27)*后果甲状腺剂量!$Q29*后果甲状腺剂量!$Q$3+SUMPRODUCT(FT$5:FT$27,后果甲状腺剂量!$J$5:$J$27)*后果甲状腺剂量!$R29*后果甲状腺剂量!$R$3+SUMPRODUCT(FU$5:FU$27,后果甲状腺剂量!$J$5:$J$27)*后果甲状腺剂量!$S29*后果甲状腺剂量!$S$3+SUMPRODUCT(FV$5:FV$27,后果甲状腺剂量!$J$5:$J$27)*后果甲状腺剂量!$T29*后果甲状腺剂量!$T$3+SUMPRODUCT(FS$5:FS$27,后果甲状腺剂量!$K$5:$K$27)*后果甲状腺剂量!$Q29+SUMPRODUCT(FT$5:FT$27,后果甲状腺剂量!$K$5:$K$27)*后果甲状腺剂量!$R29+SUMPRODUCT(FU$5:FU$27,后果甲状腺剂量!$K$5:$K$27)*后果甲状腺剂量!$S29+SUMPRODUCT(FV$5:FV$27,后果甲状腺剂量!$K$5:$K$27)*后果甲状腺剂量!$T29</f>
        <v>0</v>
      </c>
      <c r="FU55" s="454">
        <f t="shared" si="257"/>
        <v>0</v>
      </c>
      <c r="FV55" s="454">
        <f t="shared" si="258"/>
        <v>0</v>
      </c>
      <c r="FW55" s="459">
        <f t="shared" si="265"/>
        <v>0</v>
      </c>
      <c r="FX55" s="459">
        <f t="shared" si="266"/>
        <v>0</v>
      </c>
      <c r="GD55" s="440">
        <f>后果有效剂量!$P29</f>
        <v>0</v>
      </c>
      <c r="GE55" s="441">
        <f>SUMPRODUCT(GE$5:GE$27,后果有效剂量!$I$5:$I$27)*后果有效剂量!$Q29+SUMPRODUCT(GF$5:GF$27,后果有效剂量!$I$5:$I$27)*后果有效剂量!$R29+SUMPRODUCT(GG$5:GG$27,后果有效剂量!$I$5:$I$27)*后果有效剂量!$S29+(SUMPRODUCT(GH$5:GH$27,后果有效剂量!$I$5:$I$27)+SUMPRODUCT(GI$5:GI$27,后果有效剂量!$I$5:$I$27))*后果有效剂量!$T29+SUMPRODUCT(GJ$5:GJ$27,后果有效剂量!$I$5:$I$27)*后果有效剂量!$U29+SUMPRODUCT(GE$5:GE$27,后果有效剂量!$J$5:$J$27)*后果有效剂量!$Q29*后果有效剂量!$Q$3+SUMPRODUCT(GF$5:GF$27,后果有效剂量!$J$5:$J$27)*后果有效剂量!$R29*后果有效剂量!$R$3+SUMPRODUCT(GG$5:GG$27,后果有效剂量!$J$5:$J$27)*后果有效剂量!$S29*后果有效剂量!$S$3+(SUMPRODUCT(GH$5:GH$27,后果有效剂量!$J$5:$J$27)+SUMPRODUCT(GI$5:GI$27,后果有效剂量!$J$5:$J$27))*后果有效剂量!$T29*后果有效剂量!$T$3+SUMPRODUCT(GJ$5:GJ$27,后果有效剂量!$J$5:$J$27)*后果有效剂量!$U29*后果有效剂量!$U$3+SUMPRODUCT(GE$5:GE$27,后果有效剂量!$K$5:$K$27)*后果有效剂量!$Q29+SUMPRODUCT(GF$5:GF$27,后果有效剂量!$K$5:$K$27)*后果有效剂量!$R29+SUMPRODUCT(GG$5:GG$27,后果有效剂量!$K$5:$K$27)*后果有效剂量!$S29+(SUMPRODUCT(GH$5:GH$27,后果有效剂量!$K$5:$K$27)+SUMPRODUCT(GI$5:GI$27,后果有效剂量!$K$5:$K$27))*后果有效剂量!$T29+SUMPRODUCT(GJ$5:GJ$27,后果有效剂量!$K$5:$K$27)*后果有效剂量!$U29</f>
        <v>0</v>
      </c>
      <c r="GF55" s="453">
        <f>SUMPRODUCT(GE$5:GE$27,后果甲状腺剂量!$I$5:$I$27)*后果甲状腺剂量!$Q29+SUMPRODUCT(GF$5:GF$27,后果甲状腺剂量!$I$5:$I$27)*后果甲状腺剂量!$R29+SUMPRODUCT(GG$5:GG$27,后果甲状腺剂量!$I$5:$I$27)*后果甲状腺剂量!$S29+(SUMPRODUCT(GH$5:GH$27,后果甲状腺剂量!$I$5:$I$27)+SUMPRODUCT(GI$5:GI$27,后果甲状腺剂量!$I$5:$I$27))*后果甲状腺剂量!$T29+SUMPRODUCT(GJ$5:GJ$27,后果甲状腺剂量!$I$5:$I$27)*后果甲状腺剂量!$U29+SUMPRODUCT(GE$5:GE$27,后果甲状腺剂量!$J$5:$J$27)*后果甲状腺剂量!$Q29*后果甲状腺剂量!$Q$3+SUMPRODUCT(GF$5:GF$27,后果甲状腺剂量!$J$5:$J$27)*后果甲状腺剂量!$R29*后果甲状腺剂量!$R$3+SUMPRODUCT(GG$5:GG$27,后果甲状腺剂量!$J$5:$J$27)*后果甲状腺剂量!$S29*后果甲状腺剂量!$S$3+(SUMPRODUCT(GH$5:GH$27,后果甲状腺剂量!$J$5:$J$27)+SUMPRODUCT(GI$5:GI$27,后果甲状腺剂量!$J$5:$J$27))*后果甲状腺剂量!$T29*后果甲状腺剂量!$T$3+SUMPRODUCT(GJ$5:GJ$27,后果甲状腺剂量!$J$5:$J$27)*后果甲状腺剂量!$U29*后果甲状腺剂量!$U$3+SUMPRODUCT(GE$5:GE$27,后果甲状腺剂量!$K$5:$K$27)*后果甲状腺剂量!$Q29+SUMPRODUCT(GF$5:GF$27,后果甲状腺剂量!$K$5:$K$27)*后果甲状腺剂量!$R29+SUMPRODUCT(GG$5:GG$27,后果甲状腺剂量!$K$5:$K$27)*后果甲状腺剂量!$S29+(SUMPRODUCT(GH$5:GH$27,后果甲状腺剂量!$K$5:$K$27)+SUMPRODUCT(GI$5:GI$27,后果甲状腺剂量!$K$5:$K$27))*后果甲状腺剂量!$T29+SUMPRODUCT(GJ$5:GJ$27,后果甲状腺剂量!$K$5:$K$27)*后果甲状腺剂量!$U29</f>
        <v>0</v>
      </c>
      <c r="GG55" s="454">
        <f t="shared" si="259"/>
        <v>0</v>
      </c>
      <c r="GH55" s="454">
        <f t="shared" si="260"/>
        <v>0</v>
      </c>
      <c r="GI55" s="459">
        <f t="shared" si="267"/>
        <v>0</v>
      </c>
      <c r="GJ55" s="459">
        <f t="shared" si="268"/>
        <v>0</v>
      </c>
    </row>
    <row r="56" spans="7:192">
      <c r="G56" s="440">
        <f>后果有效剂量!$P30</f>
        <v>0</v>
      </c>
      <c r="H56" s="441">
        <f ca="1">SUMPRODUCT(H$5:H$27,后果有效剂量!$I$5:$I$27)*后果有效剂量!$Q30+SUMPRODUCT(I$5:I$27,后果有效剂量!$I$5:$I$27)*后果有效剂量!$Q30+SUMPRODUCT(J$5:J$27,后果有效剂量!$I$5:$I$27)*后果有效剂量!$R30+SUMPRODUCT(K$5:K$27,后果有效剂量!$I$5:$I$27)*后果有效剂量!$S30+SUMPRODUCT(L$5:L$27,后果有效剂量!$I$5:$I$27)*后果有效剂量!$T30+SUMPRODUCT(M$5:M$27,后果有效剂量!$I$5:$I$27)*后果有效剂量!$U30+SUMPRODUCT(H$5:H$27,后果有效剂量!$J$5:$J$27)*后果有效剂量!$Q30*后果有效剂量!$Q$3+SUMPRODUCT(I$5:I$27,后果有效剂量!$J$5:$J$27)*后果有效剂量!$Q30*后果有效剂量!$Q$3+SUMPRODUCT(J$5:J$27,后果有效剂量!$J$5:$J$27)*后果有效剂量!$R30*后果有效剂量!$R$3+SUMPRODUCT(K$5:K$27,后果有效剂量!$J$5:$J$27)*后果有效剂量!$S30*后果有效剂量!$S$3+SUMPRODUCT(L$5:L$27,后果有效剂量!$J$5:$J$27)*后果有效剂量!$T30*后果有效剂量!$T$3+SUMPRODUCT(M$5:M$27,后果有效剂量!$J$5:$J$27)*后果有效剂量!$U30*后果有效剂量!$U$3+SUMPRODUCT(H$5:H$27,后果有效剂量!$K$5:$K$27)*后果有效剂量!$Q30+SUMPRODUCT(I$5:I$27,后果有效剂量!$K$5:$K$27)*后果有效剂量!$Q30+SUMPRODUCT(J$5:J$27,后果有效剂量!$K$5:$K$27)*后果有效剂量!$R30+SUMPRODUCT(K$5:K$27,后果有效剂量!$K$5:$K$27)*后果有效剂量!$S30+SUMPRODUCT(L$5:L$27,后果有效剂量!$K$5:$K$27)*后果有效剂量!$T30+SUMPRODUCT(M$5:M$27,后果有效剂量!$K$5:$K$27)*后果有效剂量!$U30</f>
        <v>0</v>
      </c>
      <c r="I56" s="453">
        <f ca="1">SUMPRODUCT(H$5:H$27,后果甲状腺剂量!$I$5:$I$27)*后果甲状腺剂量!$Q30+SUMPRODUCT(I$5:I$27,后果甲状腺剂量!$I$5:$I$27)*后果甲状腺剂量!$Q30+SUMPRODUCT(J$5:J$27,后果甲状腺剂量!$I$5:$I$27)*后果甲状腺剂量!$R30+SUMPRODUCT(K$5:K$27,后果甲状腺剂量!$I$5:$I$27)*后果甲状腺剂量!$S30+SUMPRODUCT(L$5:L$27,后果甲状腺剂量!$I$5:$I$27)*后果甲状腺剂量!$T30+SUMPRODUCT(M$5:M$27,后果甲状腺剂量!$I$5:$I$27)*后果甲状腺剂量!$U30+SUMPRODUCT(H$5:H$27,后果甲状腺剂量!$J$5:$J$27)*后果甲状腺剂量!$Q30*后果甲状腺剂量!$Q$3+SUMPRODUCT(I$5:I$27,后果甲状腺剂量!$J$5:$J$27)*后果甲状腺剂量!$Q30*后果甲状腺剂量!$Q$3+SUMPRODUCT(J$5:J$27,后果甲状腺剂量!$J$5:$J$27)*后果甲状腺剂量!$R30*后果甲状腺剂量!$R$3+SUMPRODUCT(K$5:K$27,后果甲状腺剂量!$J$5:$J$27)*后果甲状腺剂量!$S30*后果甲状腺剂量!$S$3+SUMPRODUCT(L$5:L$27,后果甲状腺剂量!$J$5:$J$27)*后果甲状腺剂量!$T30*后果甲状腺剂量!$T$3+SUMPRODUCT(M$5:M$27,后果甲状腺剂量!$J$5:$J$27)*后果甲状腺剂量!$U30*后果甲状腺剂量!$U$3+SUMPRODUCT(H$5:H$27,后果甲状腺剂量!$K$5:$K$27)*后果甲状腺剂量!$Q30+SUMPRODUCT(I$5:I$27,后果甲状腺剂量!$K$5:$K$27)*后果甲状腺剂量!$Q30+SUMPRODUCT(J$5:J$27,后果甲状腺剂量!$K$5:$K$27)*后果甲状腺剂量!$R30+SUMPRODUCT(K$5:K$27,后果甲状腺剂量!$K$5:$K$27)*后果甲状腺剂量!$S30+SUMPRODUCT(L$5:L$27,后果甲状腺剂量!$K$5:$K$27)*后果甲状腺剂量!$T30+SUMPRODUCT(M$5:M$27,后果甲状腺剂量!$K$5:$K$27)*后果甲状腺剂量!$U30</f>
        <v>0</v>
      </c>
      <c r="J56" s="454">
        <f ca="1" t="shared" si="253"/>
        <v>0</v>
      </c>
      <c r="K56" s="454">
        <f ca="1" t="shared" si="254"/>
        <v>0</v>
      </c>
      <c r="L56" s="459">
        <f ca="1" t="shared" si="261"/>
        <v>0</v>
      </c>
      <c r="M56" s="459">
        <f ca="1" t="shared" si="262"/>
        <v>0</v>
      </c>
      <c r="Q56" s="440">
        <f>后果有效剂量!$P30</f>
        <v>0</v>
      </c>
      <c r="R56" s="441">
        <f ca="1">SUMPRODUCT(R$5:R$27,后果有效剂量!$I$5:$I$27)*后果有效剂量!$Q30+SUMPRODUCT(S$5:S$27,后果有效剂量!$I$5:$I$27)*后果有效剂量!$Q30+SUMPRODUCT(T$5:T$27,后果有效剂量!$I$5:$I$27)*后果有效剂量!$R30+SUMPRODUCT(U$5:U$27,后果有效剂量!$I$5:$I$27)*后果有效剂量!$S30+SUMPRODUCT(V$5:V$27,后果有效剂量!$I$5:$I$27)*后果有效剂量!$T30+SUMPRODUCT(W$5:W$27,后果有效剂量!$I$5:$I$27)*后果有效剂量!$U30+SUMPRODUCT(R$5:R$27,后果有效剂量!$J$5:$J$27)*后果有效剂量!$Q30*后果有效剂量!$Q$3+SUMPRODUCT(S$5:S$27,后果有效剂量!$J$5:$J$27)*后果有效剂量!$Q30*后果有效剂量!$Q$3+SUMPRODUCT(T$5:T$27,后果有效剂量!$J$5:$J$27)*后果有效剂量!$R30*后果有效剂量!$R$3+SUMPRODUCT(U$5:U$27,后果有效剂量!$J$5:$J$27)*后果有效剂量!$S30*后果有效剂量!$S$3+SUMPRODUCT(V$5:V$27,后果有效剂量!$J$5:$J$27)*后果有效剂量!$T30*后果有效剂量!$T$3+SUMPRODUCT(W$5:W$27,后果有效剂量!$J$5:$J$27)*后果有效剂量!$U30*后果有效剂量!$U$3+SUMPRODUCT(R$5:R$27,后果有效剂量!$K$5:$K$27)*后果有效剂量!$Q30+SUMPRODUCT(S$5:S$27,后果有效剂量!$K$5:$K$27)*后果有效剂量!$Q30+SUMPRODUCT(T$5:T$27,后果有效剂量!$K$5:$K$27)*后果有效剂量!$R30+SUMPRODUCT(U$5:U$27,后果有效剂量!$K$5:$K$27)*后果有效剂量!$S30+SUMPRODUCT(V$5:V$27,后果有效剂量!$K$5:$K$27)*后果有效剂量!$T30+SUMPRODUCT(W$5:W$27,后果有效剂量!$K$5:$K$27)*后果有效剂量!$U30</f>
        <v>0</v>
      </c>
      <c r="S56" s="453">
        <f ca="1">SUMPRODUCT(R$5:R$27,后果甲状腺剂量!$I$5:$I$27)*后果甲状腺剂量!$Q30+SUMPRODUCT(S$5:S$27,后果甲状腺剂量!$I$5:$I$27)*后果甲状腺剂量!$Q30+SUMPRODUCT(T$5:T$27,后果甲状腺剂量!$I$5:$I$27)*后果甲状腺剂量!$R30+SUMPRODUCT(U$5:U$27,后果甲状腺剂量!$I$5:$I$27)*后果甲状腺剂量!$S30+SUMPRODUCT(V$5:V$27,后果甲状腺剂量!$I$5:$I$27)*后果甲状腺剂量!$T30+SUMPRODUCT(W$5:W$27,后果甲状腺剂量!$I$5:$I$27)*后果甲状腺剂量!$U30+SUMPRODUCT(R$5:R$27,后果甲状腺剂量!$J$5:$J$27)*后果甲状腺剂量!$Q30*后果甲状腺剂量!$Q$3+SUMPRODUCT(S$5:S$27,后果甲状腺剂量!$J$5:$J$27)*后果甲状腺剂量!$Q30*后果甲状腺剂量!$Q$3+SUMPRODUCT(T$5:T$27,后果甲状腺剂量!$J$5:$J$27)*后果甲状腺剂量!$R30*后果甲状腺剂量!$R$3+SUMPRODUCT(U$5:U$27,后果甲状腺剂量!$J$5:$J$27)*后果甲状腺剂量!$S30*后果甲状腺剂量!$S$3+SUMPRODUCT(V$5:V$27,后果甲状腺剂量!$J$5:$J$27)*后果甲状腺剂量!$T30*后果甲状腺剂量!$T$3+SUMPRODUCT(W$5:W$27,后果甲状腺剂量!$J$5:$J$27)*后果甲状腺剂量!$U30*后果甲状腺剂量!$U$3+SUMPRODUCT(R$5:R$27,后果甲状腺剂量!$K$5:$K$27)*后果甲状腺剂量!$Q30+SUMPRODUCT(S$5:S$27,后果甲状腺剂量!$K$5:$K$27)*后果甲状腺剂量!$Q30+SUMPRODUCT(T$5:T$27,后果甲状腺剂量!$K$5:$K$27)*后果甲状腺剂量!$R30+SUMPRODUCT(U$5:U$27,后果甲状腺剂量!$K$5:$K$27)*后果甲状腺剂量!$S30+SUMPRODUCT(V$5:V$27,后果甲状腺剂量!$K$5:$K$27)*后果甲状腺剂量!$T30+SUMPRODUCT(W$5:W$27,后果甲状腺剂量!$K$5:$K$27)*后果甲状腺剂量!$U30</f>
        <v>0</v>
      </c>
      <c r="T56" s="454">
        <f ca="1" t="shared" si="255"/>
        <v>0</v>
      </c>
      <c r="U56" s="454">
        <f ca="1" t="shared" si="256"/>
        <v>0</v>
      </c>
      <c r="V56" s="459">
        <f ca="1" t="shared" si="263"/>
        <v>0</v>
      </c>
      <c r="W56" s="459">
        <f ca="1" t="shared" si="264"/>
        <v>0</v>
      </c>
      <c r="FS56" s="441">
        <f>SUMPRODUCT(FS$5:FS$27,后果有效剂量!$I$5:$I$27)*后果有效剂量!$Q30+SUMPRODUCT(FT$5:FT$27,后果有效剂量!$I$5:$I$27)*后果有效剂量!$R30+SUMPRODUCT(FU$5:FU$27,后果有效剂量!$I$5:$I$27)*后果有效剂量!$S30+SUMPRODUCT(FV$5:FV$27,后果有效剂量!$I$5:$I$27)*后果有效剂量!$T30+SUMPRODUCT(FS$5:FS$27,后果有效剂量!$J$5:$J$27)*后果有效剂量!$Q30*后果有效剂量!$Q$3+SUMPRODUCT(FT$5:FT$27,后果有效剂量!$J$5:$J$27)*后果有效剂量!$R30*后果有效剂量!$R$3+SUMPRODUCT(FU$5:FU$27,后果有效剂量!$J$5:$J$27)*后果有效剂量!$S30*后果有效剂量!$S$3+SUMPRODUCT(FV$5:FV$27,后果有效剂量!$J$5:$J$27)*后果有效剂量!$T30*后果有效剂量!$T$3+SUMPRODUCT(FS$5:FS$27,后果有效剂量!$K$5:$K$27)*后果有效剂量!$Q30+SUMPRODUCT(FT$5:FT$27,后果有效剂量!$K$5:$K$27)*后果有效剂量!$R30+SUMPRODUCT(FU$5:FU$27,后果有效剂量!$K$5:$K$27)*后果有效剂量!$S30+SUMPRODUCT(FV$5:FV$27,后果有效剂量!$K$5:$K$27)*后果有效剂量!$T30</f>
        <v>0</v>
      </c>
      <c r="FT56" s="453">
        <f>SUMPRODUCT(FS$5:FS$27,后果甲状腺剂量!$I$5:$I$27)*后果甲状腺剂量!$Q30+SUMPRODUCT(FT$5:FT$27,后果甲状腺剂量!$I$5:$I$27)*后果甲状腺剂量!$R30+SUMPRODUCT(FU$5:FU$27,后果甲状腺剂量!$I$5:$I$27)*后果甲状腺剂量!$S30+SUMPRODUCT(FV$5:FV$27,后果甲状腺剂量!$I$5:$I$27)*后果甲状腺剂量!$T30+SUMPRODUCT(FS$5:FS$27,后果甲状腺剂量!$J$5:$J$27)*后果甲状腺剂量!$Q30*后果甲状腺剂量!$Q$3+SUMPRODUCT(FT$5:FT$27,后果甲状腺剂量!$J$5:$J$27)*后果甲状腺剂量!$R30*后果甲状腺剂量!$R$3+SUMPRODUCT(FU$5:FU$27,后果甲状腺剂量!$J$5:$J$27)*后果甲状腺剂量!$S30*后果甲状腺剂量!$S$3+SUMPRODUCT(FV$5:FV$27,后果甲状腺剂量!$J$5:$J$27)*后果甲状腺剂量!$T30*后果甲状腺剂量!$T$3+SUMPRODUCT(FS$5:FS$27,后果甲状腺剂量!$K$5:$K$27)*后果甲状腺剂量!$Q30+SUMPRODUCT(FT$5:FT$27,后果甲状腺剂量!$K$5:$K$27)*后果甲状腺剂量!$R30+SUMPRODUCT(FU$5:FU$27,后果甲状腺剂量!$K$5:$K$27)*后果甲状腺剂量!$S30+SUMPRODUCT(FV$5:FV$27,后果甲状腺剂量!$K$5:$K$27)*后果甲状腺剂量!$T30</f>
        <v>0</v>
      </c>
      <c r="FU56" s="454">
        <f t="shared" si="257"/>
        <v>0</v>
      </c>
      <c r="FV56" s="454">
        <f t="shared" si="258"/>
        <v>0</v>
      </c>
      <c r="FW56" s="459">
        <f t="shared" si="265"/>
        <v>0</v>
      </c>
      <c r="FX56" s="459">
        <f t="shared" si="266"/>
        <v>0</v>
      </c>
      <c r="GD56" s="440">
        <f>后果有效剂量!$P30</f>
        <v>0</v>
      </c>
      <c r="GE56" s="441">
        <f>SUMPRODUCT(GE$5:GE$27,后果有效剂量!$I$5:$I$27)*后果有效剂量!$Q30+SUMPRODUCT(GF$5:GF$27,后果有效剂量!$I$5:$I$27)*后果有效剂量!$R30+SUMPRODUCT(GG$5:GG$27,后果有效剂量!$I$5:$I$27)*后果有效剂量!$S30+(SUMPRODUCT(GH$5:GH$27,后果有效剂量!$I$5:$I$27)+SUMPRODUCT(GI$5:GI$27,后果有效剂量!$I$5:$I$27))*后果有效剂量!$T30+SUMPRODUCT(GJ$5:GJ$27,后果有效剂量!$I$5:$I$27)*后果有效剂量!$U30+SUMPRODUCT(GE$5:GE$27,后果有效剂量!$J$5:$J$27)*后果有效剂量!$Q30*后果有效剂量!$Q$3+SUMPRODUCT(GF$5:GF$27,后果有效剂量!$J$5:$J$27)*后果有效剂量!$R30*后果有效剂量!$R$3+SUMPRODUCT(GG$5:GG$27,后果有效剂量!$J$5:$J$27)*后果有效剂量!$S30*后果有效剂量!$S$3+(SUMPRODUCT(GH$5:GH$27,后果有效剂量!$J$5:$J$27)+SUMPRODUCT(GI$5:GI$27,后果有效剂量!$J$5:$J$27))*后果有效剂量!$T30*后果有效剂量!$T$3+SUMPRODUCT(GJ$5:GJ$27,后果有效剂量!$J$5:$J$27)*后果有效剂量!$U30*后果有效剂量!$U$3+SUMPRODUCT(GE$5:GE$27,后果有效剂量!$K$5:$K$27)*后果有效剂量!$Q30+SUMPRODUCT(GF$5:GF$27,后果有效剂量!$K$5:$K$27)*后果有效剂量!$R30+SUMPRODUCT(GG$5:GG$27,后果有效剂量!$K$5:$K$27)*后果有效剂量!$S30+(SUMPRODUCT(GH$5:GH$27,后果有效剂量!$K$5:$K$27)+SUMPRODUCT(GI$5:GI$27,后果有效剂量!$K$5:$K$27))*后果有效剂量!$T30+SUMPRODUCT(GJ$5:GJ$27,后果有效剂量!$K$5:$K$27)*后果有效剂量!$U30</f>
        <v>0</v>
      </c>
      <c r="GF56" s="453">
        <f>SUMPRODUCT(GE$5:GE$27,后果甲状腺剂量!$I$5:$I$27)*后果甲状腺剂量!$Q30+SUMPRODUCT(GF$5:GF$27,后果甲状腺剂量!$I$5:$I$27)*后果甲状腺剂量!$R30+SUMPRODUCT(GG$5:GG$27,后果甲状腺剂量!$I$5:$I$27)*后果甲状腺剂量!$S30+(SUMPRODUCT(GH$5:GH$27,后果甲状腺剂量!$I$5:$I$27)+SUMPRODUCT(GI$5:GI$27,后果甲状腺剂量!$I$5:$I$27))*后果甲状腺剂量!$T30+SUMPRODUCT(GJ$5:GJ$27,后果甲状腺剂量!$I$5:$I$27)*后果甲状腺剂量!$U30+SUMPRODUCT(GE$5:GE$27,后果甲状腺剂量!$J$5:$J$27)*后果甲状腺剂量!$Q30*后果甲状腺剂量!$Q$3+SUMPRODUCT(GF$5:GF$27,后果甲状腺剂量!$J$5:$J$27)*后果甲状腺剂量!$R30*后果甲状腺剂量!$R$3+SUMPRODUCT(GG$5:GG$27,后果甲状腺剂量!$J$5:$J$27)*后果甲状腺剂量!$S30*后果甲状腺剂量!$S$3+(SUMPRODUCT(GH$5:GH$27,后果甲状腺剂量!$J$5:$J$27)+SUMPRODUCT(GI$5:GI$27,后果甲状腺剂量!$J$5:$J$27))*后果甲状腺剂量!$T30*后果甲状腺剂量!$T$3+SUMPRODUCT(GJ$5:GJ$27,后果甲状腺剂量!$J$5:$J$27)*后果甲状腺剂量!$U30*后果甲状腺剂量!$U$3+SUMPRODUCT(GE$5:GE$27,后果甲状腺剂量!$K$5:$K$27)*后果甲状腺剂量!$Q30+SUMPRODUCT(GF$5:GF$27,后果甲状腺剂量!$K$5:$K$27)*后果甲状腺剂量!$R30+SUMPRODUCT(GG$5:GG$27,后果甲状腺剂量!$K$5:$K$27)*后果甲状腺剂量!$S30+(SUMPRODUCT(GH$5:GH$27,后果甲状腺剂量!$K$5:$K$27)+SUMPRODUCT(GI$5:GI$27,后果甲状腺剂量!$K$5:$K$27))*后果甲状腺剂量!$T30+SUMPRODUCT(GJ$5:GJ$27,后果甲状腺剂量!$K$5:$K$27)*后果甲状腺剂量!$U30</f>
        <v>0</v>
      </c>
      <c r="GG56" s="454">
        <f t="shared" si="259"/>
        <v>0</v>
      </c>
      <c r="GH56" s="454">
        <f t="shared" si="260"/>
        <v>0</v>
      </c>
      <c r="GI56" s="459">
        <f t="shared" si="267"/>
        <v>0</v>
      </c>
      <c r="GJ56" s="459">
        <f t="shared" si="268"/>
        <v>0</v>
      </c>
    </row>
    <row r="57" ht="13.5" spans="8:21">
      <c r="H57" s="447"/>
      <c r="I57" s="460"/>
      <c r="J57" s="461"/>
      <c r="K57" s="461"/>
      <c r="R57" s="447"/>
      <c r="S57" s="460"/>
      <c r="T57" s="461"/>
      <c r="U57" s="461"/>
    </row>
    <row r="58" ht="13.5" spans="9:25">
      <c r="I58" s="462" t="s">
        <v>296</v>
      </c>
      <c r="J58" s="462"/>
      <c r="K58" s="462" t="s">
        <v>297</v>
      </c>
      <c r="L58" s="462"/>
      <c r="M58" s="463" t="s">
        <v>298</v>
      </c>
      <c r="N58" s="464"/>
      <c r="O58" s="463" t="s">
        <v>299</v>
      </c>
      <c r="P58" s="464"/>
      <c r="S58" s="462" t="s">
        <v>296</v>
      </c>
      <c r="T58" s="462"/>
      <c r="U58" s="462" t="s">
        <v>297</v>
      </c>
      <c r="V58" s="462"/>
      <c r="W58" s="463" t="s">
        <v>298</v>
      </c>
      <c r="X58" s="464"/>
      <c r="Y58" s="505"/>
    </row>
    <row r="59" ht="36.75" spans="9:25">
      <c r="I59" s="465" t="s">
        <v>300</v>
      </c>
      <c r="J59" s="466" t="s">
        <v>301</v>
      </c>
      <c r="K59" s="465" t="s">
        <v>300</v>
      </c>
      <c r="L59" s="466" t="s">
        <v>301</v>
      </c>
      <c r="M59" s="466" t="s">
        <v>300</v>
      </c>
      <c r="N59" s="467" t="s">
        <v>301</v>
      </c>
      <c r="O59" s="466" t="s">
        <v>300</v>
      </c>
      <c r="P59" s="467" t="s">
        <v>301</v>
      </c>
      <c r="S59" s="465" t="s">
        <v>300</v>
      </c>
      <c r="T59" s="466" t="s">
        <v>301</v>
      </c>
      <c r="U59" s="465" t="s">
        <v>300</v>
      </c>
      <c r="V59" s="466" t="s">
        <v>301</v>
      </c>
      <c r="W59" s="466" t="s">
        <v>300</v>
      </c>
      <c r="X59" s="467" t="s">
        <v>301</v>
      </c>
      <c r="Y59" s="505"/>
    </row>
    <row r="60" ht="13.5" spans="9:25">
      <c r="I60" s="468">
        <f ca="1">J56</f>
        <v>0</v>
      </c>
      <c r="J60" s="468">
        <f ca="1">K56</f>
        <v>0</v>
      </c>
      <c r="K60" s="468">
        <f ca="1">J33</f>
        <v>0</v>
      </c>
      <c r="L60" s="468">
        <f ca="1">K33</f>
        <v>0</v>
      </c>
      <c r="M60" s="468">
        <f ca="1">J34</f>
        <v>6.74774760000758</v>
      </c>
      <c r="N60" s="468">
        <f ca="1">K34</f>
        <v>470.766985889268</v>
      </c>
      <c r="O60" s="468">
        <f ca="1">J35</f>
        <v>2.23508327389485</v>
      </c>
      <c r="P60" s="468">
        <f ca="1">K35</f>
        <v>171.95221999068</v>
      </c>
      <c r="S60" s="468">
        <f ca="1">T56</f>
        <v>0</v>
      </c>
      <c r="T60" s="468">
        <f ca="1">U56</f>
        <v>0</v>
      </c>
      <c r="U60" s="468">
        <f ca="1">T33</f>
        <v>0</v>
      </c>
      <c r="V60" s="468">
        <f ca="1">U33</f>
        <v>0</v>
      </c>
      <c r="W60" s="468">
        <f ca="1">T34</f>
        <v>0.269682458122765</v>
      </c>
      <c r="X60" s="468">
        <f ca="1">U34</f>
        <v>23.3907502569744</v>
      </c>
      <c r="Y60" s="506"/>
    </row>
    <row r="61" ht="13.5" spans="9:24">
      <c r="I61" s="469"/>
      <c r="J61" s="470"/>
      <c r="K61" s="470"/>
      <c r="L61" s="470"/>
      <c r="M61" s="470"/>
      <c r="N61" s="470"/>
      <c r="O61" s="470"/>
      <c r="P61" s="471"/>
      <c r="S61" s="469"/>
      <c r="T61" s="470"/>
      <c r="U61" s="470"/>
      <c r="V61" s="470"/>
      <c r="W61" s="470"/>
      <c r="X61" s="470"/>
    </row>
    <row r="62" ht="13.5" spans="9:25">
      <c r="I62" s="472" t="s">
        <v>300</v>
      </c>
      <c r="J62" s="473"/>
      <c r="K62" s="473"/>
      <c r="L62" s="474"/>
      <c r="M62" s="472" t="s">
        <v>301</v>
      </c>
      <c r="N62" s="473"/>
      <c r="O62" s="473"/>
      <c r="P62" s="474"/>
      <c r="S62" s="472" t="s">
        <v>300</v>
      </c>
      <c r="T62" s="473"/>
      <c r="U62" s="473"/>
      <c r="V62" s="474"/>
      <c r="W62" s="472" t="s">
        <v>301</v>
      </c>
      <c r="X62" s="473"/>
      <c r="Y62" s="506"/>
    </row>
    <row r="63" ht="64.5" spans="9:25">
      <c r="I63" s="475" t="s">
        <v>296</v>
      </c>
      <c r="J63" s="475" t="s">
        <v>297</v>
      </c>
      <c r="K63" s="475" t="s">
        <v>298</v>
      </c>
      <c r="L63" s="475" t="s">
        <v>299</v>
      </c>
      <c r="M63" s="475" t="s">
        <v>296</v>
      </c>
      <c r="N63" s="475" t="s">
        <v>297</v>
      </c>
      <c r="O63" s="475" t="s">
        <v>298</v>
      </c>
      <c r="P63" s="475" t="s">
        <v>299</v>
      </c>
      <c r="S63" s="475" t="s">
        <v>296</v>
      </c>
      <c r="T63" s="475" t="s">
        <v>297</v>
      </c>
      <c r="U63" s="475" t="s">
        <v>298</v>
      </c>
      <c r="V63" s="475" t="s">
        <v>299</v>
      </c>
      <c r="W63" s="475" t="s">
        <v>296</v>
      </c>
      <c r="X63" s="475" t="s">
        <v>297</v>
      </c>
      <c r="Y63" s="506"/>
    </row>
    <row r="64" ht="13.5" spans="9:25">
      <c r="I64" s="475">
        <f ca="1">I60</f>
        <v>0</v>
      </c>
      <c r="J64" s="475">
        <f ca="1">K60</f>
        <v>0</v>
      </c>
      <c r="K64" s="475">
        <f ca="1">M60</f>
        <v>6.74774760000758</v>
      </c>
      <c r="L64" s="475">
        <f ca="1">O60</f>
        <v>2.23508327389485</v>
      </c>
      <c r="M64" s="475">
        <f ca="1">J60</f>
        <v>0</v>
      </c>
      <c r="N64" s="475">
        <f ca="1">L60</f>
        <v>0</v>
      </c>
      <c r="O64" s="475">
        <f ca="1">N60</f>
        <v>470.766985889268</v>
      </c>
      <c r="P64" s="475">
        <f ca="1">P60</f>
        <v>171.95221999068</v>
      </c>
      <c r="S64" s="475">
        <f ca="1">S60</f>
        <v>0</v>
      </c>
      <c r="T64" s="475">
        <f ca="1">U60</f>
        <v>0</v>
      </c>
      <c r="U64" s="475">
        <f ca="1">W60</f>
        <v>0.269682458122765</v>
      </c>
      <c r="V64" s="475">
        <f>FS60</f>
        <v>0</v>
      </c>
      <c r="W64" s="475">
        <f ca="1">T60</f>
        <v>0</v>
      </c>
      <c r="X64" s="475">
        <f ca="1">V60</f>
        <v>0</v>
      </c>
      <c r="Y64" s="506"/>
    </row>
    <row r="65" ht="13.5" spans="7:17">
      <c r="G65" s="390"/>
      <c r="Q65" s="390"/>
    </row>
    <row r="66" ht="13.5" spans="7:25">
      <c r="G66" s="390"/>
      <c r="H66" s="618"/>
      <c r="I66" s="462" t="s">
        <v>296</v>
      </c>
      <c r="J66" s="462"/>
      <c r="K66" s="462" t="s">
        <v>297</v>
      </c>
      <c r="L66" s="462"/>
      <c r="M66" s="463" t="s">
        <v>298</v>
      </c>
      <c r="N66" s="464"/>
      <c r="O66" s="463" t="s">
        <v>299</v>
      </c>
      <c r="P66" s="464"/>
      <c r="Q66" s="390"/>
      <c r="R66" s="618"/>
      <c r="S66" s="462" t="s">
        <v>296</v>
      </c>
      <c r="T66" s="462"/>
      <c r="U66" s="462" t="s">
        <v>297</v>
      </c>
      <c r="V66" s="462"/>
      <c r="W66" s="463" t="s">
        <v>298</v>
      </c>
      <c r="X66" s="464"/>
      <c r="Y66" s="505"/>
    </row>
    <row r="67" ht="36.75" spans="7:25">
      <c r="G67" s="611" t="s">
        <v>173</v>
      </c>
      <c r="H67" s="619" t="s">
        <v>276</v>
      </c>
      <c r="I67" s="465" t="s">
        <v>300</v>
      </c>
      <c r="J67" s="466" t="s">
        <v>301</v>
      </c>
      <c r="K67" s="465" t="s">
        <v>300</v>
      </c>
      <c r="L67" s="466" t="s">
        <v>301</v>
      </c>
      <c r="M67" s="466" t="s">
        <v>300</v>
      </c>
      <c r="N67" s="467" t="s">
        <v>301</v>
      </c>
      <c r="O67" s="466" t="s">
        <v>300</v>
      </c>
      <c r="P67" s="467" t="s">
        <v>301</v>
      </c>
      <c r="Q67" s="611" t="s">
        <v>173</v>
      </c>
      <c r="R67" s="619" t="s">
        <v>276</v>
      </c>
      <c r="S67" s="465" t="s">
        <v>300</v>
      </c>
      <c r="T67" s="466" t="s">
        <v>301</v>
      </c>
      <c r="U67" s="465" t="s">
        <v>300</v>
      </c>
      <c r="V67" s="466" t="s">
        <v>301</v>
      </c>
      <c r="W67" s="466" t="s">
        <v>300</v>
      </c>
      <c r="X67" s="467" t="s">
        <v>301</v>
      </c>
      <c r="Y67" s="505"/>
    </row>
    <row r="68" ht="13.5" spans="7:174">
      <c r="G68" s="390" t="s">
        <v>302</v>
      </c>
      <c r="H68" s="620">
        <v>0.1</v>
      </c>
      <c r="I68" s="621"/>
      <c r="J68" s="622"/>
      <c r="K68" s="621"/>
      <c r="L68" s="622"/>
      <c r="M68" s="622"/>
      <c r="N68" s="622"/>
      <c r="O68" s="623"/>
      <c r="P68" s="622"/>
      <c r="Q68" s="390" t="s">
        <v>302</v>
      </c>
      <c r="R68" s="620">
        <v>0.1</v>
      </c>
      <c r="S68" s="621"/>
      <c r="T68" s="622"/>
      <c r="U68" s="621"/>
      <c r="V68" s="622"/>
      <c r="W68" s="622"/>
      <c r="X68" s="622"/>
      <c r="Y68" s="628"/>
      <c r="EV68" s="631"/>
      <c r="FQ68" s="631"/>
      <c r="FR68" s="632"/>
    </row>
    <row r="69" ht="13.5" spans="7:174">
      <c r="G69" s="390" t="s">
        <v>302</v>
      </c>
      <c r="H69" s="620">
        <v>0.1</v>
      </c>
      <c r="I69" s="621"/>
      <c r="J69" s="622"/>
      <c r="K69" s="621"/>
      <c r="L69" s="622"/>
      <c r="M69" s="622"/>
      <c r="N69" s="622"/>
      <c r="O69" s="623"/>
      <c r="P69" s="622"/>
      <c r="Q69" s="390" t="s">
        <v>302</v>
      </c>
      <c r="R69" s="620">
        <v>0.1</v>
      </c>
      <c r="S69" s="621"/>
      <c r="T69" s="622"/>
      <c r="U69" s="621"/>
      <c r="V69" s="622"/>
      <c r="W69" s="622"/>
      <c r="X69" s="622"/>
      <c r="Y69" s="628"/>
      <c r="EV69" s="631"/>
      <c r="FQ69" s="631"/>
      <c r="FR69" s="632"/>
    </row>
    <row r="70" s="390" customFormat="1" ht="13.5" spans="1:174">
      <c r="A70" s="391"/>
      <c r="G70" s="390" t="s">
        <v>302</v>
      </c>
      <c r="H70" s="620">
        <v>0.1</v>
      </c>
      <c r="I70" s="621"/>
      <c r="J70" s="622"/>
      <c r="K70" s="621"/>
      <c r="L70" s="622"/>
      <c r="M70" s="624"/>
      <c r="N70" s="624"/>
      <c r="O70" s="623"/>
      <c r="P70" s="622"/>
      <c r="Q70" s="390" t="s">
        <v>302</v>
      </c>
      <c r="R70" s="620">
        <v>0.1</v>
      </c>
      <c r="S70" s="621"/>
      <c r="T70" s="622"/>
      <c r="U70" s="621"/>
      <c r="V70" s="622"/>
      <c r="W70" s="624"/>
      <c r="X70" s="624"/>
      <c r="Y70" s="629"/>
      <c r="Z70" s="394"/>
      <c r="AV70" s="394"/>
      <c r="AW70" s="394"/>
      <c r="AX70" s="394"/>
      <c r="AY70" s="394"/>
      <c r="AZ70" s="394"/>
      <c r="BA70" s="394"/>
      <c r="BB70" s="394"/>
      <c r="BC70" s="394"/>
      <c r="BD70" s="394"/>
      <c r="BE70" s="394"/>
      <c r="BF70" s="394"/>
      <c r="BG70" s="394"/>
      <c r="BH70" s="394"/>
      <c r="BI70" s="394"/>
      <c r="BJ70" s="394"/>
      <c r="BK70" s="394"/>
      <c r="BL70" s="394"/>
      <c r="BM70" s="394"/>
      <c r="BN70" s="394"/>
      <c r="BO70" s="394"/>
      <c r="BP70" s="394"/>
      <c r="BQ70" s="394"/>
      <c r="BR70" s="394"/>
      <c r="BS70" s="394"/>
      <c r="BT70" s="394"/>
      <c r="BU70" s="394"/>
      <c r="BV70" s="394"/>
      <c r="BW70" s="394"/>
      <c r="BX70" s="394"/>
      <c r="BY70" s="394"/>
      <c r="BZ70" s="394"/>
      <c r="CA70" s="394"/>
      <c r="CB70" s="394"/>
      <c r="CC70" s="394"/>
      <c r="CD70" s="394"/>
      <c r="CE70" s="394"/>
      <c r="CF70" s="394"/>
      <c r="CG70" s="394"/>
      <c r="CH70" s="394"/>
      <c r="CI70" s="394"/>
      <c r="CJ70" s="394"/>
      <c r="CK70" s="394"/>
      <c r="CL70" s="394"/>
      <c r="CM70" s="394"/>
      <c r="CN70" s="394"/>
      <c r="CO70" s="394"/>
      <c r="CP70" s="394"/>
      <c r="CQ70" s="394"/>
      <c r="CR70" s="394"/>
      <c r="CS70" s="394"/>
      <c r="CT70" s="394"/>
      <c r="CU70" s="394"/>
      <c r="CV70" s="394"/>
      <c r="CW70" s="394"/>
      <c r="CX70" s="394"/>
      <c r="CY70" s="394"/>
      <c r="CZ70" s="394"/>
      <c r="DA70" s="394"/>
      <c r="DB70" s="394"/>
      <c r="DC70" s="394"/>
      <c r="DD70" s="394"/>
      <c r="DE70" s="394"/>
      <c r="DF70" s="394"/>
      <c r="DG70" s="394"/>
      <c r="DH70" s="394"/>
      <c r="DI70" s="394"/>
      <c r="DJ70" s="394"/>
      <c r="DK70" s="394"/>
      <c r="DL70" s="394"/>
      <c r="DM70" s="394"/>
      <c r="DN70" s="394"/>
      <c r="DO70" s="394"/>
      <c r="DP70" s="394"/>
      <c r="DQ70" s="394"/>
      <c r="DR70" s="394"/>
      <c r="DS70" s="394"/>
      <c r="DT70" s="394"/>
      <c r="DU70" s="394"/>
      <c r="DV70" s="394"/>
      <c r="DW70" s="394"/>
      <c r="DX70" s="394"/>
      <c r="DY70" s="394"/>
      <c r="DZ70" s="394"/>
      <c r="EA70" s="394"/>
      <c r="EB70" s="394"/>
      <c r="EC70" s="394"/>
      <c r="ED70" s="394"/>
      <c r="EE70" s="394"/>
      <c r="EF70" s="394"/>
      <c r="EG70" s="394"/>
      <c r="EH70" s="394"/>
      <c r="EI70" s="394"/>
      <c r="EJ70" s="394"/>
      <c r="EK70" s="394"/>
      <c r="EL70" s="394"/>
      <c r="EM70" s="394"/>
      <c r="EN70" s="394"/>
      <c r="EO70" s="394"/>
      <c r="EP70" s="394"/>
      <c r="EQ70" s="394"/>
      <c r="ER70" s="394"/>
      <c r="ES70" s="394"/>
      <c r="ET70" s="394"/>
      <c r="EU70" s="394"/>
      <c r="EV70" s="631"/>
      <c r="EW70" s="394"/>
      <c r="EX70" s="394"/>
      <c r="EY70" s="394"/>
      <c r="EZ70" s="394"/>
      <c r="FA70" s="394"/>
      <c r="FB70" s="394"/>
      <c r="FC70" s="394"/>
      <c r="FD70" s="394"/>
      <c r="FE70" s="394"/>
      <c r="FF70" s="394"/>
      <c r="FG70" s="394"/>
      <c r="FH70" s="394"/>
      <c r="FI70" s="394"/>
      <c r="FJ70" s="394"/>
      <c r="FK70" s="394"/>
      <c r="FL70" s="394"/>
      <c r="FM70" s="394"/>
      <c r="FN70" s="394"/>
      <c r="FO70" s="394"/>
      <c r="FP70" s="394"/>
      <c r="FQ70" s="631"/>
      <c r="FR70" s="632"/>
    </row>
    <row r="71" ht="13.5" spans="7:174">
      <c r="G71" s="390" t="s">
        <v>302</v>
      </c>
      <c r="H71" s="620">
        <v>0.1</v>
      </c>
      <c r="I71" s="621"/>
      <c r="J71" s="622"/>
      <c r="K71" s="621"/>
      <c r="L71" s="622"/>
      <c r="M71" s="624"/>
      <c r="N71" s="624"/>
      <c r="O71" s="623"/>
      <c r="P71" s="622"/>
      <c r="Q71" s="390" t="s">
        <v>302</v>
      </c>
      <c r="R71" s="620">
        <v>0.1</v>
      </c>
      <c r="S71" s="621"/>
      <c r="T71" s="622"/>
      <c r="U71" s="621"/>
      <c r="V71" s="622"/>
      <c r="W71" s="624"/>
      <c r="X71" s="624"/>
      <c r="Y71" s="629"/>
      <c r="EV71" s="631"/>
      <c r="FQ71" s="631"/>
      <c r="FR71" s="632"/>
    </row>
    <row r="72" ht="13.5" spans="7:174">
      <c r="G72" s="390" t="s">
        <v>303</v>
      </c>
      <c r="H72" s="620">
        <v>0.1</v>
      </c>
      <c r="I72" s="621"/>
      <c r="J72" s="622"/>
      <c r="K72" s="621"/>
      <c r="L72" s="622"/>
      <c r="M72" s="624"/>
      <c r="N72" s="624"/>
      <c r="O72" s="623"/>
      <c r="P72" s="622"/>
      <c r="Q72" s="390" t="s">
        <v>303</v>
      </c>
      <c r="R72" s="620">
        <v>0.1</v>
      </c>
      <c r="S72" s="621"/>
      <c r="T72" s="622"/>
      <c r="U72" s="621"/>
      <c r="V72" s="622"/>
      <c r="W72" s="624"/>
      <c r="X72" s="624"/>
      <c r="Y72" s="629"/>
      <c r="EV72" s="631"/>
      <c r="FQ72" s="631"/>
      <c r="FR72" s="632"/>
    </row>
    <row r="73" ht="13.5" spans="7:174">
      <c r="G73" s="390" t="s">
        <v>303</v>
      </c>
      <c r="H73" s="620">
        <v>0.1</v>
      </c>
      <c r="I73" s="621"/>
      <c r="J73" s="622"/>
      <c r="K73" s="621"/>
      <c r="L73" s="622"/>
      <c r="M73" s="624"/>
      <c r="N73" s="624"/>
      <c r="O73" s="623"/>
      <c r="P73" s="622"/>
      <c r="Q73" s="390" t="s">
        <v>303</v>
      </c>
      <c r="R73" s="620">
        <v>0.1</v>
      </c>
      <c r="S73" s="621"/>
      <c r="T73" s="622"/>
      <c r="U73" s="621"/>
      <c r="V73" s="622"/>
      <c r="W73" s="624"/>
      <c r="X73" s="624"/>
      <c r="Y73" s="629"/>
      <c r="EV73" s="631"/>
      <c r="FQ73" s="631"/>
      <c r="FR73" s="632"/>
    </row>
    <row r="74" ht="13.5" spans="7:174">
      <c r="G74" s="390" t="s">
        <v>303</v>
      </c>
      <c r="H74" s="620">
        <v>0.1</v>
      </c>
      <c r="I74" s="621"/>
      <c r="J74" s="622"/>
      <c r="K74" s="621"/>
      <c r="L74" s="622"/>
      <c r="M74" s="622"/>
      <c r="N74" s="622"/>
      <c r="O74" s="623"/>
      <c r="P74" s="622"/>
      <c r="Q74" s="390" t="s">
        <v>303</v>
      </c>
      <c r="R74" s="620">
        <v>0.1</v>
      </c>
      <c r="S74" s="621"/>
      <c r="T74" s="622"/>
      <c r="U74" s="621"/>
      <c r="V74" s="622"/>
      <c r="W74" s="622"/>
      <c r="X74" s="622"/>
      <c r="Y74" s="628"/>
      <c r="EV74" s="631"/>
      <c r="FQ74" s="631"/>
      <c r="FR74" s="632"/>
    </row>
    <row r="75" ht="13.5" spans="7:174">
      <c r="G75" s="390"/>
      <c r="H75" s="620"/>
      <c r="I75" s="625"/>
      <c r="J75" s="626"/>
      <c r="K75" s="626"/>
      <c r="L75" s="626"/>
      <c r="M75" s="627"/>
      <c r="N75" s="626"/>
      <c r="O75" s="623"/>
      <c r="P75" s="622"/>
      <c r="Q75" s="390"/>
      <c r="R75" s="620"/>
      <c r="S75" s="625"/>
      <c r="T75" s="626"/>
      <c r="U75" s="626"/>
      <c r="V75" s="626"/>
      <c r="W75" s="627"/>
      <c r="X75" s="626"/>
      <c r="Y75" s="630"/>
      <c r="EV75" s="631"/>
      <c r="FQ75" s="631"/>
      <c r="FR75" s="632"/>
    </row>
    <row r="76" ht="13.5" spans="7:174">
      <c r="G76" s="390"/>
      <c r="H76" s="620"/>
      <c r="I76" s="625"/>
      <c r="J76" s="626"/>
      <c r="K76" s="626"/>
      <c r="L76" s="626"/>
      <c r="M76" s="627"/>
      <c r="N76" s="626"/>
      <c r="O76" s="623"/>
      <c r="P76" s="622"/>
      <c r="Q76" s="390"/>
      <c r="R76" s="620"/>
      <c r="S76" s="625"/>
      <c r="T76" s="626"/>
      <c r="U76" s="626"/>
      <c r="V76" s="626"/>
      <c r="W76" s="627"/>
      <c r="X76" s="626"/>
      <c r="Y76" s="630"/>
      <c r="EV76" s="631"/>
      <c r="FQ76" s="631"/>
      <c r="FR76" s="632"/>
    </row>
    <row r="77" ht="13.5" spans="7:174">
      <c r="G77" s="390"/>
      <c r="H77" s="620"/>
      <c r="I77" s="625"/>
      <c r="J77" s="626"/>
      <c r="K77" s="626"/>
      <c r="L77" s="626"/>
      <c r="M77" s="627"/>
      <c r="N77" s="625"/>
      <c r="O77" s="623"/>
      <c r="P77" s="622"/>
      <c r="Q77" s="390"/>
      <c r="R77" s="620"/>
      <c r="S77" s="625"/>
      <c r="T77" s="626"/>
      <c r="U77" s="626"/>
      <c r="V77" s="626"/>
      <c r="W77" s="627"/>
      <c r="X77" s="625"/>
      <c r="Y77" s="630"/>
      <c r="EV77" s="631"/>
      <c r="FQ77" s="631"/>
      <c r="FR77" s="632"/>
    </row>
  </sheetData>
  <mergeCells count="17">
    <mergeCell ref="I58:J58"/>
    <mergeCell ref="K58:L58"/>
    <mergeCell ref="M58:N58"/>
    <mergeCell ref="O58:P58"/>
    <mergeCell ref="S58:T58"/>
    <mergeCell ref="U58:V58"/>
    <mergeCell ref="W58:X58"/>
    <mergeCell ref="I62:L62"/>
    <mergeCell ref="M62:P62"/>
    <mergeCell ref="S62:V62"/>
    <mergeCell ref="I66:J66"/>
    <mergeCell ref="K66:L66"/>
    <mergeCell ref="M66:N66"/>
    <mergeCell ref="O66:P66"/>
    <mergeCell ref="S66:T66"/>
    <mergeCell ref="U66:V66"/>
    <mergeCell ref="W66:X66"/>
  </mergeCells>
  <conditionalFormatting sqref="GP5:GP27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Q5:GQ27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R5:GR27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1200" verticalDpi="12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S77"/>
  <sheetViews>
    <sheetView zoomScale="115" zoomScaleNormal="115" workbookViewId="0">
      <selection activeCell="M30" sqref="M30"/>
    </sheetView>
  </sheetViews>
  <sheetFormatPr defaultColWidth="9" defaultRowHeight="12.75"/>
  <cols>
    <col min="1" max="1" width="9.025" style="391" customWidth="1"/>
    <col min="2" max="2" width="19.0166666666667" style="390" customWidth="1"/>
    <col min="3" max="3" width="7.825" style="390" customWidth="1"/>
    <col min="4" max="4" width="5.65" style="390" customWidth="1"/>
    <col min="5" max="5" width="6.625" style="390" customWidth="1"/>
    <col min="6" max="6" width="3.58333333333333" style="390" customWidth="1"/>
    <col min="7" max="7" width="9.00833333333333" style="392" customWidth="1"/>
    <col min="8" max="12" width="9.00833333333333" style="390" customWidth="1"/>
    <col min="13" max="13" width="9.55833333333333" style="390" customWidth="1"/>
    <col min="14" max="14" width="9.00833333333333" style="390" customWidth="1"/>
    <col min="15" max="15" width="9.00833333333333" style="390" hidden="1" customWidth="1"/>
    <col min="16" max="16" width="1.84166666666667" style="390" customWidth="1"/>
    <col min="17" max="17" width="9.00833333333333" style="392" hidden="1" customWidth="1"/>
    <col min="18" max="22" width="9.00833333333333" style="390" customWidth="1"/>
    <col min="23" max="23" width="9.55833333333333" style="390" customWidth="1"/>
    <col min="24" max="24" width="9.00833333333333" style="390" customWidth="1"/>
    <col min="25" max="25" width="3.475" style="393" customWidth="1"/>
    <col min="26" max="26" width="7.5" style="394" customWidth="1"/>
    <col min="27" max="35" width="8.81666666666667" style="390" customWidth="1"/>
    <col min="36" max="36" width="7.93333333333333" style="390" customWidth="1"/>
    <col min="37" max="37" width="7.39166666666667" style="390" customWidth="1"/>
    <col min="38" max="39" width="8.81666666666667" style="390" customWidth="1"/>
    <col min="40" max="40" width="7.60833333333333" style="390" customWidth="1"/>
    <col min="41" max="42" width="8.81666666666667" style="390" customWidth="1"/>
    <col min="43" max="46" width="9.35" style="390" customWidth="1"/>
    <col min="47" max="47" width="7.93333333333333" style="390" customWidth="1"/>
    <col min="48" max="54" width="8.15833333333333" style="394" customWidth="1"/>
    <col min="55" max="55" width="9.11666666666667" style="394" customWidth="1"/>
    <col min="56" max="173" width="8.15833333333333" style="394" customWidth="1"/>
    <col min="174" max="174" width="8.15833333333333" style="393" customWidth="1"/>
    <col min="175" max="176" width="10.375" style="390"/>
    <col min="177" max="179" width="9.375" style="390"/>
    <col min="180" max="184" width="9" style="390"/>
    <col min="185" max="185" width="11.125" style="390"/>
    <col min="186" max="186" width="9" style="390"/>
    <col min="187" max="188" width="10.375" style="390"/>
    <col min="189" max="193" width="9.375" style="390"/>
    <col min="194" max="194" width="8.125" style="390" customWidth="1"/>
    <col min="195" max="196" width="5.625" style="390" customWidth="1"/>
    <col min="197" max="197" width="4.875" style="390" customWidth="1"/>
    <col min="198" max="198" width="5.75" style="390" customWidth="1"/>
    <col min="199" max="199" width="8.125" style="390" customWidth="1"/>
    <col min="200" max="200" width="11.125" style="390"/>
    <col min="201" max="201" width="12.625" style="390"/>
    <col min="202" max="16384" width="9" style="390"/>
  </cols>
  <sheetData>
    <row r="1" ht="13.5" spans="1:194">
      <c r="A1" s="395" t="s">
        <v>154</v>
      </c>
      <c r="B1" s="396" t="s">
        <v>257</v>
      </c>
      <c r="G1" s="397"/>
      <c r="H1" s="398" t="s">
        <v>156</v>
      </c>
      <c r="I1" s="398" t="s">
        <v>157</v>
      </c>
      <c r="J1" s="388"/>
      <c r="K1" s="388"/>
      <c r="L1" s="388"/>
      <c r="M1" s="388"/>
      <c r="N1" s="388"/>
      <c r="O1" s="388"/>
      <c r="Q1" s="397"/>
      <c r="R1" s="398" t="s">
        <v>158</v>
      </c>
      <c r="S1" s="388"/>
      <c r="T1" s="388"/>
      <c r="U1" s="388"/>
      <c r="V1" s="388"/>
      <c r="W1" s="388"/>
      <c r="X1" s="388"/>
      <c r="Y1" s="478"/>
      <c r="AA1" s="479" t="s">
        <v>159</v>
      </c>
      <c r="AB1" s="480"/>
      <c r="AC1" s="480"/>
      <c r="AD1" s="480"/>
      <c r="AE1" s="480"/>
      <c r="AF1" s="481" t="s">
        <v>156</v>
      </c>
      <c r="AG1" s="480"/>
      <c r="AH1" s="507"/>
      <c r="AI1" s="508"/>
      <c r="AJ1" s="480"/>
      <c r="AK1" s="508"/>
      <c r="AL1" s="508"/>
      <c r="AM1" s="508"/>
      <c r="AN1" s="508"/>
      <c r="AO1" s="508"/>
      <c r="AP1" s="534" t="s">
        <v>160</v>
      </c>
      <c r="AQ1" s="535"/>
      <c r="AR1" s="536"/>
      <c r="AS1" s="537"/>
      <c r="AT1" s="538"/>
      <c r="AU1" s="539"/>
      <c r="AV1" s="536" t="s">
        <v>161</v>
      </c>
      <c r="AW1" s="538"/>
      <c r="AX1" s="538"/>
      <c r="AY1" s="538"/>
      <c r="AZ1" s="538"/>
      <c r="BA1" s="538"/>
      <c r="BB1" s="538"/>
      <c r="BC1" s="538"/>
      <c r="BD1" s="538"/>
      <c r="BE1" s="538"/>
      <c r="BF1" s="538"/>
      <c r="BG1" s="538"/>
      <c r="BH1" s="538"/>
      <c r="BI1" s="538"/>
      <c r="BJ1" s="538"/>
      <c r="BK1" s="538"/>
      <c r="BL1" s="538"/>
      <c r="BM1" s="538"/>
      <c r="BN1" s="538"/>
      <c r="BO1" s="538"/>
      <c r="BP1" s="538"/>
      <c r="BQ1" s="538"/>
      <c r="BR1" s="538"/>
      <c r="BS1" s="538"/>
      <c r="BT1" s="538"/>
      <c r="BU1" s="538"/>
      <c r="BV1" s="538"/>
      <c r="BW1" s="538"/>
      <c r="BX1" s="538"/>
      <c r="BY1" s="538"/>
      <c r="BZ1" s="538"/>
      <c r="CA1" s="538"/>
      <c r="CB1" s="538"/>
      <c r="CC1" s="538"/>
      <c r="CD1" s="538"/>
      <c r="CE1" s="538"/>
      <c r="CF1" s="538"/>
      <c r="CG1" s="538"/>
      <c r="CH1" s="538"/>
      <c r="CI1" s="538"/>
      <c r="CJ1" s="538"/>
      <c r="CK1" s="538"/>
      <c r="CL1" s="538"/>
      <c r="CM1" s="538"/>
      <c r="CN1" s="538"/>
      <c r="CO1" s="538"/>
      <c r="CP1" s="538"/>
      <c r="CQ1" s="538"/>
      <c r="CR1" s="538"/>
      <c r="CS1" s="538"/>
      <c r="CT1" s="538"/>
      <c r="CU1" s="538"/>
      <c r="CV1" s="538"/>
      <c r="CW1" s="538"/>
      <c r="CX1" s="538"/>
      <c r="CY1" s="538"/>
      <c r="CZ1" s="538"/>
      <c r="DA1" s="538"/>
      <c r="DB1" s="538"/>
      <c r="DC1" s="538"/>
      <c r="DD1" s="538"/>
      <c r="DE1" s="538"/>
      <c r="DF1" s="538"/>
      <c r="DG1" s="538"/>
      <c r="DH1" s="538"/>
      <c r="DI1" s="538"/>
      <c r="DJ1" s="538"/>
      <c r="DK1" s="538"/>
      <c r="DL1" s="538"/>
      <c r="DM1" s="538"/>
      <c r="DN1" s="538"/>
      <c r="DO1" s="538"/>
      <c r="DP1" s="538"/>
      <c r="DQ1" s="538"/>
      <c r="DR1" s="538"/>
      <c r="DS1" s="538"/>
      <c r="DT1" s="538"/>
      <c r="DU1" s="538"/>
      <c r="DV1" s="538"/>
      <c r="DW1" s="538"/>
      <c r="DX1" s="538"/>
      <c r="DY1" s="538"/>
      <c r="DZ1" s="538"/>
      <c r="EA1" s="538"/>
      <c r="EB1" s="538"/>
      <c r="EC1" s="538"/>
      <c r="ED1" s="538"/>
      <c r="EE1" s="538"/>
      <c r="EF1" s="538"/>
      <c r="EG1" s="538"/>
      <c r="EH1" s="538"/>
      <c r="EI1" s="538"/>
      <c r="EJ1" s="538"/>
      <c r="EK1" s="538"/>
      <c r="EL1" s="538"/>
      <c r="EM1" s="538"/>
      <c r="EN1" s="538"/>
      <c r="EO1" s="538"/>
      <c r="EP1" s="538"/>
      <c r="EQ1" s="538"/>
      <c r="ER1" s="538"/>
      <c r="ES1" s="538"/>
      <c r="ET1" s="538"/>
      <c r="EU1" s="538"/>
      <c r="EV1" s="538"/>
      <c r="EW1" s="538"/>
      <c r="EX1" s="538"/>
      <c r="EY1" s="538"/>
      <c r="EZ1" s="538"/>
      <c r="FA1" s="538"/>
      <c r="FB1" s="538"/>
      <c r="FC1" s="538"/>
      <c r="FD1" s="538"/>
      <c r="FE1" s="538"/>
      <c r="FF1" s="538"/>
      <c r="FG1" s="538"/>
      <c r="FH1" s="538"/>
      <c r="FI1" s="538"/>
      <c r="FJ1" s="538"/>
      <c r="FK1" s="538"/>
      <c r="FL1" s="538"/>
      <c r="FM1" s="538"/>
      <c r="FN1" s="538"/>
      <c r="FO1" s="538"/>
      <c r="FP1" s="538"/>
      <c r="FQ1" s="538"/>
      <c r="FR1" s="604"/>
      <c r="FS1" s="390" t="s">
        <v>162</v>
      </c>
      <c r="FX1" s="611" t="s">
        <v>163</v>
      </c>
      <c r="GE1" s="390" t="s">
        <v>164</v>
      </c>
      <c r="GL1" s="611" t="s">
        <v>163</v>
      </c>
    </row>
    <row r="2" spans="1:174">
      <c r="A2" s="399" t="s">
        <v>165</v>
      </c>
      <c r="B2" s="400" t="s">
        <v>166</v>
      </c>
      <c r="G2" s="401"/>
      <c r="H2" s="388"/>
      <c r="I2" s="388"/>
      <c r="J2" s="388"/>
      <c r="K2" s="388"/>
      <c r="L2" s="388"/>
      <c r="M2" s="388"/>
      <c r="N2" s="388"/>
      <c r="O2" s="388"/>
      <c r="Q2" s="401"/>
      <c r="R2" s="388"/>
      <c r="S2" s="388"/>
      <c r="T2" s="388"/>
      <c r="U2" s="388"/>
      <c r="V2" s="388"/>
      <c r="W2" s="388"/>
      <c r="X2" s="388"/>
      <c r="Y2" s="478"/>
      <c r="AA2" s="482"/>
      <c r="AB2" s="388"/>
      <c r="AC2" s="388"/>
      <c r="AD2" s="388"/>
      <c r="AE2" s="483"/>
      <c r="AF2" s="484"/>
      <c r="AG2" s="388"/>
      <c r="AH2" s="509"/>
      <c r="AJ2" s="388"/>
      <c r="AO2" s="540"/>
      <c r="AP2" s="541"/>
      <c r="AQ2" s="542"/>
      <c r="AR2" s="543" t="s">
        <v>167</v>
      </c>
      <c r="AS2" s="544"/>
      <c r="AT2" s="545" t="s">
        <v>168</v>
      </c>
      <c r="AU2" s="546"/>
      <c r="AV2" s="547" t="s">
        <v>169</v>
      </c>
      <c r="AW2" s="573" t="s">
        <v>170</v>
      </c>
      <c r="AX2" s="573" t="s">
        <v>171</v>
      </c>
      <c r="AY2" s="538"/>
      <c r="AZ2" s="538"/>
      <c r="BA2" s="574" t="s">
        <v>172</v>
      </c>
      <c r="BB2" s="574" t="s">
        <v>173</v>
      </c>
      <c r="BC2" s="574" t="s">
        <v>174</v>
      </c>
      <c r="BD2" s="538"/>
      <c r="BE2" s="538"/>
      <c r="BF2" s="538"/>
      <c r="BG2" s="538"/>
      <c r="BH2" s="538"/>
      <c r="BI2" s="538"/>
      <c r="BJ2" s="538"/>
      <c r="BK2" s="538"/>
      <c r="BL2" s="538"/>
      <c r="BM2" s="538"/>
      <c r="BN2" s="538"/>
      <c r="BO2" s="538"/>
      <c r="BP2" s="588"/>
      <c r="BQ2" s="589" t="s">
        <v>175</v>
      </c>
      <c r="BR2" s="573" t="s">
        <v>170</v>
      </c>
      <c r="BS2" s="573" t="s">
        <v>171</v>
      </c>
      <c r="BT2" s="573"/>
      <c r="BU2" s="538"/>
      <c r="BV2" s="574" t="s">
        <v>172</v>
      </c>
      <c r="BW2" s="574" t="s">
        <v>173</v>
      </c>
      <c r="BX2" s="574" t="s">
        <v>174</v>
      </c>
      <c r="BY2" s="538"/>
      <c r="BZ2" s="538"/>
      <c r="CA2" s="538"/>
      <c r="CB2" s="538"/>
      <c r="CC2" s="538"/>
      <c r="CD2" s="538"/>
      <c r="CE2" s="538"/>
      <c r="CF2" s="538"/>
      <c r="CG2" s="538"/>
      <c r="CH2" s="538"/>
      <c r="CI2" s="538"/>
      <c r="CJ2" s="538"/>
      <c r="CK2" s="588"/>
      <c r="CL2" s="589" t="s">
        <v>176</v>
      </c>
      <c r="CM2" s="573" t="s">
        <v>170</v>
      </c>
      <c r="CN2" s="573" t="s">
        <v>171</v>
      </c>
      <c r="CO2" s="538"/>
      <c r="CP2" s="538"/>
      <c r="CQ2" s="574" t="s">
        <v>172</v>
      </c>
      <c r="CR2" s="574" t="s">
        <v>173</v>
      </c>
      <c r="CS2" s="574" t="s">
        <v>174</v>
      </c>
      <c r="CT2" s="538"/>
      <c r="CU2" s="538"/>
      <c r="CV2" s="538"/>
      <c r="CW2" s="538"/>
      <c r="CX2" s="538"/>
      <c r="CY2" s="538"/>
      <c r="CZ2" s="538"/>
      <c r="DA2" s="538"/>
      <c r="DB2" s="538"/>
      <c r="DC2" s="538"/>
      <c r="DD2" s="538"/>
      <c r="DE2" s="538"/>
      <c r="DF2" s="588"/>
      <c r="DG2" s="589" t="s">
        <v>177</v>
      </c>
      <c r="DH2" s="573" t="s">
        <v>170</v>
      </c>
      <c r="DI2" s="573" t="s">
        <v>171</v>
      </c>
      <c r="DJ2" s="538"/>
      <c r="DK2" s="538"/>
      <c r="DL2" s="574" t="s">
        <v>172</v>
      </c>
      <c r="DM2" s="574" t="s">
        <v>173</v>
      </c>
      <c r="DN2" s="574" t="s">
        <v>174</v>
      </c>
      <c r="DO2" s="538"/>
      <c r="DP2" s="538"/>
      <c r="DQ2" s="538"/>
      <c r="DR2" s="538"/>
      <c r="DS2" s="538"/>
      <c r="DT2" s="538"/>
      <c r="DU2" s="538"/>
      <c r="DV2" s="538"/>
      <c r="DW2" s="538"/>
      <c r="DX2" s="538"/>
      <c r="DY2" s="538"/>
      <c r="DZ2" s="538"/>
      <c r="EA2" s="588"/>
      <c r="EB2" s="589" t="s">
        <v>178</v>
      </c>
      <c r="EC2" s="573" t="s">
        <v>170</v>
      </c>
      <c r="ED2" s="573" t="s">
        <v>171</v>
      </c>
      <c r="EE2" s="538"/>
      <c r="EF2" s="538"/>
      <c r="EG2" s="574" t="s">
        <v>172</v>
      </c>
      <c r="EH2" s="574" t="s">
        <v>173</v>
      </c>
      <c r="EI2" s="574" t="s">
        <v>174</v>
      </c>
      <c r="EJ2" s="538"/>
      <c r="EK2" s="538"/>
      <c r="EL2" s="538"/>
      <c r="EM2" s="538"/>
      <c r="EN2" s="538"/>
      <c r="EO2" s="538"/>
      <c r="EP2" s="538"/>
      <c r="EQ2" s="538"/>
      <c r="ER2" s="538"/>
      <c r="ES2" s="538"/>
      <c r="ET2" s="538"/>
      <c r="EU2" s="538"/>
      <c r="EV2" s="588"/>
      <c r="EW2" s="589" t="s">
        <v>179</v>
      </c>
      <c r="EX2" s="573" t="s">
        <v>170</v>
      </c>
      <c r="EY2" s="573" t="s">
        <v>171</v>
      </c>
      <c r="EZ2" s="538"/>
      <c r="FA2" s="538"/>
      <c r="FB2" s="574" t="s">
        <v>172</v>
      </c>
      <c r="FC2" s="574" t="s">
        <v>173</v>
      </c>
      <c r="FD2" s="574" t="s">
        <v>174</v>
      </c>
      <c r="FE2" s="538"/>
      <c r="FF2" s="538"/>
      <c r="FG2" s="538"/>
      <c r="FH2" s="538"/>
      <c r="FI2" s="538"/>
      <c r="FJ2" s="538"/>
      <c r="FK2" s="538"/>
      <c r="FL2" s="538"/>
      <c r="FM2" s="538"/>
      <c r="FN2" s="538"/>
      <c r="FO2" s="538"/>
      <c r="FP2" s="538"/>
      <c r="FQ2" s="588"/>
      <c r="FR2" s="604"/>
    </row>
    <row r="3" spans="7:174">
      <c r="G3" s="401"/>
      <c r="H3" s="388"/>
      <c r="I3" s="388"/>
      <c r="J3" s="388"/>
      <c r="K3" s="388"/>
      <c r="L3" s="388"/>
      <c r="M3" s="388"/>
      <c r="N3" s="388"/>
      <c r="O3" s="388"/>
      <c r="Q3" s="401"/>
      <c r="R3" s="388"/>
      <c r="S3" s="388"/>
      <c r="T3" s="388"/>
      <c r="U3" s="388"/>
      <c r="V3" s="388"/>
      <c r="W3" s="388"/>
      <c r="X3" s="388"/>
      <c r="Y3" s="478"/>
      <c r="Z3" s="485"/>
      <c r="AA3" s="486"/>
      <c r="AB3" s="388"/>
      <c r="AC3" s="388"/>
      <c r="AD3" s="388"/>
      <c r="AE3" s="483"/>
      <c r="AF3" s="487" t="s">
        <v>180</v>
      </c>
      <c r="AG3" s="510"/>
      <c r="AH3" s="511" t="s">
        <v>181</v>
      </c>
      <c r="AI3" s="512"/>
      <c r="AJ3" s="513"/>
      <c r="AK3" s="512"/>
      <c r="AL3" s="512"/>
      <c r="AM3" s="512"/>
      <c r="AN3" s="512"/>
      <c r="AO3" s="548"/>
      <c r="AP3" s="549"/>
      <c r="AQ3" s="510"/>
      <c r="AR3" s="550">
        <f>C14</f>
        <v>0.178571428571429</v>
      </c>
      <c r="AS3" s="513"/>
      <c r="AT3" s="551">
        <f>C15</f>
        <v>1</v>
      </c>
      <c r="AU3" s="552"/>
      <c r="AV3" s="553">
        <f>AX3-AW3</f>
        <v>2</v>
      </c>
      <c r="AW3" s="553">
        <v>0</v>
      </c>
      <c r="AX3" s="553">
        <v>2</v>
      </c>
      <c r="AY3" s="575"/>
      <c r="AZ3" s="575"/>
      <c r="BA3" s="553">
        <f>$C$17</f>
        <v>0</v>
      </c>
      <c r="BB3" s="576">
        <f>$C$18</f>
        <v>1e-15</v>
      </c>
      <c r="BC3" s="577">
        <f>$C$19</f>
        <v>1e+20</v>
      </c>
      <c r="BD3" s="578"/>
      <c r="BE3" s="578"/>
      <c r="BF3" s="578"/>
      <c r="BG3" s="578"/>
      <c r="BH3" s="578"/>
      <c r="BI3" s="578"/>
      <c r="BJ3" s="578"/>
      <c r="BK3" s="578"/>
      <c r="BL3" s="578"/>
      <c r="BM3" s="578"/>
      <c r="BN3" s="575"/>
      <c r="BO3" s="575"/>
      <c r="BP3" s="590"/>
      <c r="BQ3" s="591">
        <f>BS3-BR3</f>
        <v>6</v>
      </c>
      <c r="BR3" s="553">
        <v>2</v>
      </c>
      <c r="BS3" s="553">
        <v>8</v>
      </c>
      <c r="BT3" s="553"/>
      <c r="BU3" s="575"/>
      <c r="BV3" s="553">
        <f>$C$20</f>
        <v>0</v>
      </c>
      <c r="BW3" s="576">
        <f ca="1">$C$21</f>
        <v>1e-15</v>
      </c>
      <c r="BX3" s="577">
        <f>$C$22</f>
        <v>1e+20</v>
      </c>
      <c r="BY3" s="578"/>
      <c r="BZ3" s="578"/>
      <c r="CA3" s="578"/>
      <c r="CB3" s="578"/>
      <c r="CC3" s="578"/>
      <c r="CD3" s="578"/>
      <c r="CE3" s="578"/>
      <c r="CF3" s="578"/>
      <c r="CG3" s="578"/>
      <c r="CH3" s="578"/>
      <c r="CI3" s="575"/>
      <c r="CJ3" s="575"/>
      <c r="CK3" s="590"/>
      <c r="CL3" s="591">
        <f>CN3-CM3</f>
        <v>16</v>
      </c>
      <c r="CM3" s="553">
        <v>8</v>
      </c>
      <c r="CN3" s="553">
        <v>24</v>
      </c>
      <c r="CO3" s="575"/>
      <c r="CP3" s="575"/>
      <c r="CQ3" s="553">
        <f>$C$23</f>
        <v>0</v>
      </c>
      <c r="CR3" s="576">
        <f ca="1">$C$24</f>
        <v>1e-15</v>
      </c>
      <c r="CS3" s="577">
        <f>$C$25</f>
        <v>1e+20</v>
      </c>
      <c r="CT3" s="578"/>
      <c r="CU3" s="578"/>
      <c r="CV3" s="578"/>
      <c r="CW3" s="578"/>
      <c r="CX3" s="578"/>
      <c r="CY3" s="578"/>
      <c r="CZ3" s="578"/>
      <c r="DA3" s="578"/>
      <c r="DB3" s="578"/>
      <c r="DC3" s="578"/>
      <c r="DD3" s="575"/>
      <c r="DE3" s="575"/>
      <c r="DF3" s="590"/>
      <c r="DG3" s="591">
        <f>DI3-DH3</f>
        <v>24</v>
      </c>
      <c r="DH3" s="553">
        <v>24</v>
      </c>
      <c r="DI3" s="553">
        <v>48</v>
      </c>
      <c r="DJ3" s="575"/>
      <c r="DK3" s="575"/>
      <c r="DL3" s="553">
        <f>$C$26</f>
        <v>0</v>
      </c>
      <c r="DM3" s="576">
        <f ca="1">$C$27</f>
        <v>1e-15</v>
      </c>
      <c r="DN3" s="577">
        <f>$C$28</f>
        <v>1e+20</v>
      </c>
      <c r="DO3" s="578"/>
      <c r="DP3" s="578"/>
      <c r="DQ3" s="578"/>
      <c r="DR3" s="578"/>
      <c r="DS3" s="578"/>
      <c r="DT3" s="578"/>
      <c r="DU3" s="578"/>
      <c r="DV3" s="578"/>
      <c r="DW3" s="578"/>
      <c r="DX3" s="578"/>
      <c r="DY3" s="575"/>
      <c r="DZ3" s="575"/>
      <c r="EA3" s="590"/>
      <c r="EB3" s="591">
        <f>ED3-EC3</f>
        <v>48</v>
      </c>
      <c r="EC3" s="553">
        <v>48</v>
      </c>
      <c r="ED3" s="553">
        <v>96</v>
      </c>
      <c r="EE3" s="575"/>
      <c r="EF3" s="575"/>
      <c r="EG3" s="553">
        <f>$C$29</f>
        <v>0</v>
      </c>
      <c r="EH3" s="576">
        <f ca="1">$C$30</f>
        <v>1e-15</v>
      </c>
      <c r="EI3" s="577">
        <f>$C$31</f>
        <v>1e+20</v>
      </c>
      <c r="EJ3" s="578"/>
      <c r="EK3" s="578"/>
      <c r="EL3" s="578"/>
      <c r="EM3" s="578"/>
      <c r="EN3" s="578"/>
      <c r="EO3" s="578"/>
      <c r="EP3" s="578"/>
      <c r="EQ3" s="578"/>
      <c r="ER3" s="578"/>
      <c r="ES3" s="578"/>
      <c r="ET3" s="575"/>
      <c r="EU3" s="575"/>
      <c r="EV3" s="590"/>
      <c r="EW3" s="591">
        <f>EY3-EX3</f>
        <v>624</v>
      </c>
      <c r="EX3" s="553">
        <v>96</v>
      </c>
      <c r="EY3" s="553">
        <f>30*24</f>
        <v>720</v>
      </c>
      <c r="EZ3" s="575"/>
      <c r="FA3" s="575"/>
      <c r="FB3" s="553">
        <f>$C$32</f>
        <v>0</v>
      </c>
      <c r="FC3" s="576">
        <f ca="1">$C$33</f>
        <v>1e-15</v>
      </c>
      <c r="FD3" s="577">
        <f>$C$34</f>
        <v>1e+20</v>
      </c>
      <c r="FE3" s="578"/>
      <c r="FF3" s="578"/>
      <c r="FG3" s="578"/>
      <c r="FH3" s="578"/>
      <c r="FI3" s="578"/>
      <c r="FJ3" s="578"/>
      <c r="FK3" s="578"/>
      <c r="FL3" s="578"/>
      <c r="FM3" s="578"/>
      <c r="FN3" s="578"/>
      <c r="FO3" s="575"/>
      <c r="FP3" s="575"/>
      <c r="FQ3" s="590"/>
      <c r="FR3" s="604"/>
    </row>
    <row r="4" s="387" customFormat="1" ht="60" spans="1:201">
      <c r="A4" s="402" t="s">
        <v>182</v>
      </c>
      <c r="B4" s="403" t="s">
        <v>183</v>
      </c>
      <c r="C4" s="403" t="s">
        <v>184</v>
      </c>
      <c r="D4" s="403" t="s">
        <v>185</v>
      </c>
      <c r="E4" s="403" t="s">
        <v>186</v>
      </c>
      <c r="G4" s="404" t="s">
        <v>35</v>
      </c>
      <c r="H4" s="405" t="s">
        <v>160</v>
      </c>
      <c r="I4" s="448" t="s">
        <v>187</v>
      </c>
      <c r="J4" s="448" t="s">
        <v>188</v>
      </c>
      <c r="K4" s="448" t="s">
        <v>189</v>
      </c>
      <c r="L4" s="448" t="s">
        <v>190</v>
      </c>
      <c r="M4" s="448" t="s">
        <v>191</v>
      </c>
      <c r="N4" s="405" t="s">
        <v>192</v>
      </c>
      <c r="O4" s="449" t="s">
        <v>193</v>
      </c>
      <c r="Q4" s="476" t="str">
        <f t="shared" ref="Q4:Q27" si="0">G4</f>
        <v>核素</v>
      </c>
      <c r="R4" s="405" t="s">
        <v>160</v>
      </c>
      <c r="S4" s="448" t="s">
        <v>187</v>
      </c>
      <c r="T4" s="448" t="s">
        <v>188</v>
      </c>
      <c r="U4" s="448" t="s">
        <v>189</v>
      </c>
      <c r="V4" s="448" t="s">
        <v>190</v>
      </c>
      <c r="W4" s="448" t="s">
        <v>191</v>
      </c>
      <c r="X4" s="405" t="s">
        <v>192</v>
      </c>
      <c r="Y4" s="488"/>
      <c r="Z4" s="489" t="s">
        <v>194</v>
      </c>
      <c r="AA4" s="490" t="s">
        <v>195</v>
      </c>
      <c r="AB4" s="491" t="s">
        <v>40</v>
      </c>
      <c r="AC4" s="491" t="s">
        <v>196</v>
      </c>
      <c r="AD4" s="491" t="s">
        <v>42</v>
      </c>
      <c r="AE4" s="491" t="s">
        <v>43</v>
      </c>
      <c r="AF4" s="492" t="s">
        <v>197</v>
      </c>
      <c r="AG4" s="514" t="s">
        <v>198</v>
      </c>
      <c r="AH4" s="515" t="s">
        <v>199</v>
      </c>
      <c r="AI4" s="514" t="s">
        <v>200</v>
      </c>
      <c r="AJ4" s="516" t="s">
        <v>201</v>
      </c>
      <c r="AK4" s="514" t="s">
        <v>202</v>
      </c>
      <c r="AL4" s="514" t="s">
        <v>203</v>
      </c>
      <c r="AM4" s="517" t="s">
        <v>204</v>
      </c>
      <c r="AN4" s="514" t="s">
        <v>205</v>
      </c>
      <c r="AO4" s="514" t="s">
        <v>206</v>
      </c>
      <c r="AP4" s="554" t="s">
        <v>207</v>
      </c>
      <c r="AQ4" s="555" t="s">
        <v>208</v>
      </c>
      <c r="AR4" s="556" t="s">
        <v>209</v>
      </c>
      <c r="AS4" s="557" t="s">
        <v>210</v>
      </c>
      <c r="AT4" s="556" t="s">
        <v>211</v>
      </c>
      <c r="AU4" s="558" t="s">
        <v>212</v>
      </c>
      <c r="AV4" s="559" t="s">
        <v>213</v>
      </c>
      <c r="AW4" s="559" t="s">
        <v>214</v>
      </c>
      <c r="AX4" s="559" t="s">
        <v>215</v>
      </c>
      <c r="AY4" s="579" t="s">
        <v>216</v>
      </c>
      <c r="AZ4" s="559" t="s">
        <v>217</v>
      </c>
      <c r="BA4" s="559" t="s">
        <v>218</v>
      </c>
      <c r="BB4" s="559" t="s">
        <v>219</v>
      </c>
      <c r="BC4" s="559" t="s">
        <v>220</v>
      </c>
      <c r="BD4" s="559" t="s">
        <v>221</v>
      </c>
      <c r="BE4" s="559" t="s">
        <v>222</v>
      </c>
      <c r="BF4" s="559" t="s">
        <v>223</v>
      </c>
      <c r="BG4" s="559" t="s">
        <v>224</v>
      </c>
      <c r="BH4" s="559" t="s">
        <v>225</v>
      </c>
      <c r="BI4" s="559" t="s">
        <v>226</v>
      </c>
      <c r="BJ4" s="559" t="s">
        <v>227</v>
      </c>
      <c r="BK4" s="559" t="s">
        <v>228</v>
      </c>
      <c r="BL4" s="579" t="s">
        <v>229</v>
      </c>
      <c r="BM4" s="559" t="s">
        <v>230</v>
      </c>
      <c r="BN4" s="559" t="s">
        <v>231</v>
      </c>
      <c r="BO4" s="559" t="s">
        <v>232</v>
      </c>
      <c r="BP4" s="592" t="s">
        <v>233</v>
      </c>
      <c r="BQ4" s="593" t="s">
        <v>213</v>
      </c>
      <c r="BR4" s="559" t="s">
        <v>214</v>
      </c>
      <c r="BS4" s="559" t="s">
        <v>215</v>
      </c>
      <c r="BT4" s="579" t="s">
        <v>216</v>
      </c>
      <c r="BU4" s="559" t="s">
        <v>217</v>
      </c>
      <c r="BV4" s="559" t="s">
        <v>218</v>
      </c>
      <c r="BW4" s="559" t="s">
        <v>219</v>
      </c>
      <c r="BX4" s="559" t="s">
        <v>220</v>
      </c>
      <c r="BY4" s="559" t="s">
        <v>221</v>
      </c>
      <c r="BZ4" s="559" t="s">
        <v>222</v>
      </c>
      <c r="CA4" s="559" t="s">
        <v>223</v>
      </c>
      <c r="CB4" s="559" t="s">
        <v>224</v>
      </c>
      <c r="CC4" s="559" t="s">
        <v>225</v>
      </c>
      <c r="CD4" s="559" t="s">
        <v>226</v>
      </c>
      <c r="CE4" s="559" t="s">
        <v>227</v>
      </c>
      <c r="CF4" s="559" t="s">
        <v>228</v>
      </c>
      <c r="CG4" s="579" t="s">
        <v>229</v>
      </c>
      <c r="CH4" s="559" t="s">
        <v>230</v>
      </c>
      <c r="CI4" s="559" t="s">
        <v>231</v>
      </c>
      <c r="CJ4" s="559" t="s">
        <v>232</v>
      </c>
      <c r="CK4" s="592" t="s">
        <v>233</v>
      </c>
      <c r="CL4" s="593" t="s">
        <v>213</v>
      </c>
      <c r="CM4" s="559" t="s">
        <v>214</v>
      </c>
      <c r="CN4" s="559" t="s">
        <v>215</v>
      </c>
      <c r="CO4" s="579" t="s">
        <v>216</v>
      </c>
      <c r="CP4" s="559" t="s">
        <v>217</v>
      </c>
      <c r="CQ4" s="559" t="s">
        <v>218</v>
      </c>
      <c r="CR4" s="559" t="s">
        <v>219</v>
      </c>
      <c r="CS4" s="559" t="s">
        <v>220</v>
      </c>
      <c r="CT4" s="559" t="s">
        <v>221</v>
      </c>
      <c r="CU4" s="559" t="s">
        <v>222</v>
      </c>
      <c r="CV4" s="559" t="s">
        <v>223</v>
      </c>
      <c r="CW4" s="559" t="s">
        <v>224</v>
      </c>
      <c r="CX4" s="559" t="s">
        <v>225</v>
      </c>
      <c r="CY4" s="559" t="s">
        <v>226</v>
      </c>
      <c r="CZ4" s="559" t="s">
        <v>227</v>
      </c>
      <c r="DA4" s="559" t="s">
        <v>228</v>
      </c>
      <c r="DB4" s="579" t="s">
        <v>229</v>
      </c>
      <c r="DC4" s="559" t="s">
        <v>230</v>
      </c>
      <c r="DD4" s="559" t="s">
        <v>231</v>
      </c>
      <c r="DE4" s="559" t="s">
        <v>232</v>
      </c>
      <c r="DF4" s="592" t="s">
        <v>233</v>
      </c>
      <c r="DG4" s="593" t="s">
        <v>213</v>
      </c>
      <c r="DH4" s="559" t="s">
        <v>214</v>
      </c>
      <c r="DI4" s="559" t="s">
        <v>215</v>
      </c>
      <c r="DJ4" s="579" t="s">
        <v>216</v>
      </c>
      <c r="DK4" s="559" t="s">
        <v>217</v>
      </c>
      <c r="DL4" s="559" t="s">
        <v>218</v>
      </c>
      <c r="DM4" s="559" t="s">
        <v>219</v>
      </c>
      <c r="DN4" s="559" t="s">
        <v>220</v>
      </c>
      <c r="DO4" s="559" t="s">
        <v>221</v>
      </c>
      <c r="DP4" s="559" t="s">
        <v>222</v>
      </c>
      <c r="DQ4" s="559" t="s">
        <v>223</v>
      </c>
      <c r="DR4" s="559" t="s">
        <v>224</v>
      </c>
      <c r="DS4" s="559" t="s">
        <v>225</v>
      </c>
      <c r="DT4" s="559" t="s">
        <v>226</v>
      </c>
      <c r="DU4" s="559" t="s">
        <v>227</v>
      </c>
      <c r="DV4" s="559" t="s">
        <v>228</v>
      </c>
      <c r="DW4" s="579" t="s">
        <v>229</v>
      </c>
      <c r="DX4" s="559" t="s">
        <v>230</v>
      </c>
      <c r="DY4" s="559" t="s">
        <v>231</v>
      </c>
      <c r="DZ4" s="559" t="s">
        <v>232</v>
      </c>
      <c r="EA4" s="592" t="s">
        <v>233</v>
      </c>
      <c r="EB4" s="593" t="s">
        <v>213</v>
      </c>
      <c r="EC4" s="559" t="s">
        <v>214</v>
      </c>
      <c r="ED4" s="559" t="s">
        <v>215</v>
      </c>
      <c r="EE4" s="579" t="s">
        <v>216</v>
      </c>
      <c r="EF4" s="559" t="s">
        <v>217</v>
      </c>
      <c r="EG4" s="559" t="s">
        <v>218</v>
      </c>
      <c r="EH4" s="559" t="s">
        <v>219</v>
      </c>
      <c r="EI4" s="559" t="s">
        <v>220</v>
      </c>
      <c r="EJ4" s="559" t="s">
        <v>221</v>
      </c>
      <c r="EK4" s="559" t="s">
        <v>222</v>
      </c>
      <c r="EL4" s="559" t="s">
        <v>223</v>
      </c>
      <c r="EM4" s="559" t="s">
        <v>224</v>
      </c>
      <c r="EN4" s="559" t="s">
        <v>225</v>
      </c>
      <c r="EO4" s="559" t="s">
        <v>226</v>
      </c>
      <c r="EP4" s="559" t="s">
        <v>227</v>
      </c>
      <c r="EQ4" s="559" t="s">
        <v>228</v>
      </c>
      <c r="ER4" s="579" t="s">
        <v>229</v>
      </c>
      <c r="ES4" s="559" t="s">
        <v>230</v>
      </c>
      <c r="ET4" s="559" t="s">
        <v>231</v>
      </c>
      <c r="EU4" s="559" t="s">
        <v>232</v>
      </c>
      <c r="EV4" s="592" t="s">
        <v>233</v>
      </c>
      <c r="EW4" s="593" t="s">
        <v>213</v>
      </c>
      <c r="EX4" s="559" t="s">
        <v>214</v>
      </c>
      <c r="EY4" s="559" t="s">
        <v>215</v>
      </c>
      <c r="EZ4" s="579" t="s">
        <v>216</v>
      </c>
      <c r="FA4" s="559" t="s">
        <v>217</v>
      </c>
      <c r="FB4" s="559" t="s">
        <v>218</v>
      </c>
      <c r="FC4" s="559" t="s">
        <v>219</v>
      </c>
      <c r="FD4" s="559" t="s">
        <v>220</v>
      </c>
      <c r="FE4" s="559" t="s">
        <v>221</v>
      </c>
      <c r="FF4" s="559" t="s">
        <v>222</v>
      </c>
      <c r="FG4" s="559" t="s">
        <v>223</v>
      </c>
      <c r="FH4" s="559" t="s">
        <v>224</v>
      </c>
      <c r="FI4" s="559" t="s">
        <v>225</v>
      </c>
      <c r="FJ4" s="559" t="s">
        <v>226</v>
      </c>
      <c r="FK4" s="559" t="s">
        <v>227</v>
      </c>
      <c r="FL4" s="559" t="s">
        <v>228</v>
      </c>
      <c r="FM4" s="579" t="s">
        <v>229</v>
      </c>
      <c r="FN4" s="559" t="s">
        <v>230</v>
      </c>
      <c r="FO4" s="559" t="s">
        <v>231</v>
      </c>
      <c r="FP4" s="559" t="s">
        <v>232</v>
      </c>
      <c r="FQ4" s="592" t="s">
        <v>233</v>
      </c>
      <c r="FR4" s="605"/>
      <c r="FS4" s="606" t="s">
        <v>160</v>
      </c>
      <c r="FT4" s="607" t="s">
        <v>234</v>
      </c>
      <c r="FU4" s="607" t="s">
        <v>235</v>
      </c>
      <c r="FV4" s="607" t="s">
        <v>236</v>
      </c>
      <c r="FW4" s="612" t="s">
        <v>237</v>
      </c>
      <c r="FX4" s="606" t="s">
        <v>160</v>
      </c>
      <c r="FY4" s="607" t="s">
        <v>234</v>
      </c>
      <c r="FZ4" s="607" t="s">
        <v>235</v>
      </c>
      <c r="GA4" s="607" t="s">
        <v>236</v>
      </c>
      <c r="GB4" s="613" t="s">
        <v>238</v>
      </c>
      <c r="GC4" s="616" t="s">
        <v>192</v>
      </c>
      <c r="GE4" s="606" t="s">
        <v>239</v>
      </c>
      <c r="GF4" s="607" t="s">
        <v>234</v>
      </c>
      <c r="GG4" s="607" t="s">
        <v>235</v>
      </c>
      <c r="GH4" s="607" t="s">
        <v>240</v>
      </c>
      <c r="GI4" s="607" t="s">
        <v>241</v>
      </c>
      <c r="GJ4" s="607" t="s">
        <v>242</v>
      </c>
      <c r="GK4" s="612" t="s">
        <v>243</v>
      </c>
      <c r="GL4" s="606" t="s">
        <v>239</v>
      </c>
      <c r="GM4" s="607" t="s">
        <v>234</v>
      </c>
      <c r="GN4" s="607" t="s">
        <v>235</v>
      </c>
      <c r="GO4" s="607" t="s">
        <v>244</v>
      </c>
      <c r="GP4" s="607" t="s">
        <v>242</v>
      </c>
      <c r="GQ4" s="612" t="s">
        <v>243</v>
      </c>
      <c r="GR4" s="387" t="s">
        <v>245</v>
      </c>
      <c r="GS4" s="387" t="s">
        <v>246</v>
      </c>
    </row>
    <row r="5" spans="1:201">
      <c r="A5" s="406" t="s">
        <v>247</v>
      </c>
      <c r="B5" s="407" t="s">
        <v>248</v>
      </c>
      <c r="C5" s="408">
        <v>1</v>
      </c>
      <c r="D5" s="409" t="s">
        <v>249</v>
      </c>
      <c r="E5" s="410"/>
      <c r="G5" s="411" t="s">
        <v>46</v>
      </c>
      <c r="H5" s="412">
        <f ca="1" t="shared" ref="H5:H27" si="1">AU5</f>
        <v>797273885.413686</v>
      </c>
      <c r="I5" s="412">
        <f ca="1" t="shared" ref="I5:I27" si="2">BP5</f>
        <v>6.6572170789919e-6</v>
      </c>
      <c r="J5" s="412">
        <f ca="1" t="shared" ref="J5:J27" si="3">CK5</f>
        <v>8.38844632953005e-6</v>
      </c>
      <c r="K5" s="412">
        <f ca="1" t="shared" ref="K5:K27" si="4">DF5</f>
        <v>1.34327676831601e-6</v>
      </c>
      <c r="L5" s="412">
        <f ca="1" t="shared" ref="L5:L27" si="5">EA5+EV5</f>
        <v>8.14154281746754e-9</v>
      </c>
      <c r="M5" s="412">
        <f ca="1" t="shared" ref="M5:M27" si="6">FQ5</f>
        <v>3.26833801972827e-21</v>
      </c>
      <c r="N5" s="412">
        <f ca="1" t="shared" ref="N5:N27" si="7">SUM(H5:M5)</f>
        <v>797273885.413703</v>
      </c>
      <c r="O5" s="450">
        <f ca="1" t="shared" ref="O5:O27" si="8">AS5</f>
        <v>797273885.413686</v>
      </c>
      <c r="P5" s="451"/>
      <c r="Q5" s="477" t="str">
        <f t="shared" si="0"/>
        <v>Kr-83m</v>
      </c>
      <c r="R5" s="412">
        <f ca="1" t="shared" ref="R5:R27" si="9">H5</f>
        <v>797273885.413686</v>
      </c>
      <c r="S5" s="412">
        <f ca="1">I5*(1-过滤效率!$B2)</f>
        <v>6.6572170789919e-6</v>
      </c>
      <c r="T5" s="412">
        <f ca="1">J5*(1-过滤效率!$B2)</f>
        <v>8.38844632953005e-6</v>
      </c>
      <c r="U5" s="412">
        <f ca="1">K5*(1-过滤效率!$B2)</f>
        <v>1.34327676831601e-6</v>
      </c>
      <c r="V5" s="412">
        <f ca="1">L5*(1-过滤效率!$B2)</f>
        <v>8.14154281746754e-9</v>
      </c>
      <c r="W5" s="412">
        <f ca="1">M5*(1-过滤效率!$B2)</f>
        <v>3.26833801972827e-21</v>
      </c>
      <c r="X5" s="412">
        <f ca="1" t="shared" ref="X5:X27" si="10">SUM(R5:W5)</f>
        <v>797273885.413703</v>
      </c>
      <c r="Y5" s="493"/>
      <c r="Z5" s="494">
        <f>VLOOKUP(G5,衰变常数!$A$1:$H$3800,7,FALSE)</f>
        <v>0.000105213597534903</v>
      </c>
      <c r="AA5" s="495">
        <f>正常源项!C2</f>
        <v>2.35e+16</v>
      </c>
      <c r="AB5" s="496">
        <f>正常源项!F2</f>
        <v>0</v>
      </c>
      <c r="AC5" s="496">
        <f>正常源项!I2</f>
        <v>4250000000</v>
      </c>
      <c r="AD5" s="496">
        <f>正常源项!L2</f>
        <v>179000000</v>
      </c>
      <c r="AE5" s="497"/>
      <c r="AF5" s="498"/>
      <c r="AG5" s="483"/>
      <c r="AH5" s="518"/>
      <c r="AI5" s="483"/>
      <c r="AK5" s="519"/>
      <c r="AL5" s="519">
        <f t="shared" ref="AL5:AL18" si="11">AA5*0.0000007*0.000209</f>
        <v>3438050</v>
      </c>
      <c r="AM5" s="520">
        <f t="shared" ref="AM5:AM18" si="12">(0.00016*2%+0.00026*2%)/2*AA5</f>
        <v>98700000000</v>
      </c>
      <c r="AN5" s="519">
        <f ca="1">MAX(INDIRECT("'"&amp;$B$2&amp;"-事故进程'!Y"&amp;(ROW()+22)),INDIRECT("'"&amp;$B$2&amp;"-事故进程'!Z"&amp;(ROW()+22)),INDIRECT("'"&amp;$B$2&amp;"-事故进程'!AA"&amp;(ROW()+22)))</f>
        <v>1.72058450478074e-10</v>
      </c>
      <c r="AO5" s="519">
        <f ca="1" t="shared" ref="AO5:AO23" si="13">AA5*(EXP(-Z5*$C$12*3600)-EXP(-(Z5+AN5)*$C$12*3600))</f>
        <v>40391217.9813837</v>
      </c>
      <c r="AP5" s="560">
        <f t="shared" ref="AP5:AP27" si="14">AA5*EXP(-Z5*$C$12*3600)</f>
        <v>2.34752878071525e+16</v>
      </c>
      <c r="AQ5" s="561">
        <f ca="1">(AC5*$C$5+AD5*$C$8+AF5+AG5+AI5+(AL5+AM5)*$C$10)*EXP(-Z5*$C$12*3600)+AO5*$C$11</f>
        <v>4464733758.31664</v>
      </c>
      <c r="AR5" s="562">
        <f ca="1">AQ5*(1-AR$3)</f>
        <v>3667459872.90296</v>
      </c>
      <c r="AS5" s="563">
        <f ca="1" t="shared" ref="AS5:AS27" si="15">(AQ5-AR5)+AB5*EXP(-Z5*$C$12*3600)</f>
        <v>797273885.413686</v>
      </c>
      <c r="AT5" s="562">
        <f ca="1">AS5*(1-AT$3)</f>
        <v>0</v>
      </c>
      <c r="AU5" s="564">
        <f ca="1" t="shared" ref="AU5:AU27" si="16">AS5-AT5</f>
        <v>797273885.413686</v>
      </c>
      <c r="AV5" s="565">
        <f>AV$3*3600</f>
        <v>7200</v>
      </c>
      <c r="AW5" s="580">
        <f>AP5*EXP(-Z5*AW$3*3600)</f>
        <v>2.34752878071525e+16</v>
      </c>
      <c r="AX5" s="580">
        <f ca="1" t="shared" ref="AX5:AX27" si="17">AR5</f>
        <v>3667459872.90296</v>
      </c>
      <c r="AY5" s="581">
        <f ca="1" t="shared" ref="AY5:AY27" si="18">AT5</f>
        <v>0</v>
      </c>
      <c r="AZ5" s="580">
        <v>0</v>
      </c>
      <c r="BA5" s="580">
        <f ca="1">MAX(INDIRECT("'"&amp;$B$2&amp;"-事故进程'!Y"&amp;(ROW()+22)),INDIRECT("'"&amp;$B$2&amp;"-事故进程'!Z"&amp;(ROW()+22)))</f>
        <v>7.89035175982642e-11</v>
      </c>
      <c r="BB5" s="580">
        <f>SUM(BA$3,-LN(1-BB$3)/AV5)</f>
        <v>1.38777878078145e-19</v>
      </c>
      <c r="BC5" s="580">
        <f>BC$3/24/3600</f>
        <v>1157407407407410</v>
      </c>
      <c r="BD5" s="582">
        <f ca="1" t="shared" ref="BD5:BD27" si="19">EXP(-AV5*($Z5+BA5))</f>
        <v>0.468819019771853</v>
      </c>
      <c r="BE5" s="582">
        <f t="shared" ref="BE5:BE27" si="20">EXP(-AV5*($Z5+BB5))</f>
        <v>0.468819286110511</v>
      </c>
      <c r="BF5" s="582">
        <f t="shared" ref="BF5:BF27" si="21">EXP(-AV5*($Z5+BC5))</f>
        <v>0</v>
      </c>
      <c r="BG5" s="582">
        <f ca="1" t="shared" ref="BG5:BG27" si="22">AW5*BA5+AX5*(BA5-BB5)</f>
        <v>1852283.07399146</v>
      </c>
      <c r="BH5" s="582">
        <f ca="1" t="shared" ref="BH5:BH27" si="23">(AW5*BB5*BA5/(BA5-BC5)+AX5*BB5)/(BB5-BC5)+AY5</f>
        <v>-4.39743426420857e-25</v>
      </c>
      <c r="BI5" s="582">
        <f ca="1" t="shared" ref="BI5:BI27" si="24">IF(BB5=0,0,BB5/(BB5-BA5))</f>
        <v>-1.75883005658653e-9</v>
      </c>
      <c r="BJ5" s="580">
        <f ca="1" t="shared" ref="BJ5:BJ27" si="25">AW5*BD5</f>
        <v>1.10056614186114e+16</v>
      </c>
      <c r="BK5" s="580">
        <f ca="1" t="shared" ref="BK5:BK27" si="26">BA5/(BB5-BA5)*BJ5+(AX5-AW5*BA5/(BB5-BA5))*BE5</f>
        <v>7971752572</v>
      </c>
      <c r="BL5" s="586">
        <f ca="1" t="shared" ref="BL5:BL27" si="27">BF5*BH5+BI5*(BE5*BG5/(BB5-BC5)-BJ5*BA5/(BA5-BC5))</f>
        <v>9.55845711401878e-25</v>
      </c>
      <c r="BM5" s="594">
        <f ca="1" t="shared" ref="BM5:BM27" si="28">(AW5+AX5+AY5+AZ5)*EXP(-$Z5*AV5)-BJ5-BK5-BL5</f>
        <v>-9.55845711401878e-25</v>
      </c>
      <c r="BN5" s="580">
        <f ca="1" t="shared" ref="BN5:BN27" si="29">AW5*BA5/($Z5+BA5)*(1-BD5)</f>
        <v>9351421017.66485</v>
      </c>
      <c r="BO5" s="580">
        <f ca="1" t="shared" ref="BO5:BO27" si="30">BI5*(BN5-(1-BE5)*BG5/($Z5+BB5))</f>
        <v>6.65721707949604e-6</v>
      </c>
      <c r="BP5" s="595">
        <f ca="1" t="shared" ref="BP5:BP27" si="31">BC5*(1-BF5)*BH5/($Z5+BC5)+BC5*BI5*((1-BE5)*BG5/($Z5+BB5)/(BB5-BC5)-BN5/(BA5-BC5))</f>
        <v>6.6572170789919e-6</v>
      </c>
      <c r="BQ5" s="596">
        <f>BQ$3*3600</f>
        <v>21600</v>
      </c>
      <c r="BR5" s="580">
        <f ca="1" t="shared" ref="BR5:BU5" si="32">BJ5</f>
        <v>1.10056614186114e+16</v>
      </c>
      <c r="BS5" s="580">
        <f ca="1" t="shared" si="32"/>
        <v>7971752572</v>
      </c>
      <c r="BT5" s="581">
        <f ca="1" t="shared" si="32"/>
        <v>9.55845711401878e-25</v>
      </c>
      <c r="BU5" s="580">
        <f ca="1" t="shared" si="32"/>
        <v>-9.55845711401878e-25</v>
      </c>
      <c r="BV5" s="580">
        <f ca="1">MAX(INDIRECT("'"&amp;$B$2&amp;"-事故进程'!Z"&amp;(ROW()+22)),INDIRECT("'"&amp;$B$2&amp;"-事故进程'!AA"&amp;(ROW()+22)))</f>
        <v>1.72058450478074e-10</v>
      </c>
      <c r="BW5" s="580">
        <f ca="1">SUM(BV$3,-LN(1-BW$3)/BQ5)</f>
        <v>4.62592926927149e-20</v>
      </c>
      <c r="BX5" s="580">
        <f>BX$3/24/3600</f>
        <v>1157407407407410</v>
      </c>
      <c r="BY5" s="582">
        <f ca="1" t="shared" ref="BY5:BY27" si="33">EXP(-BQ5*($Z5+BV5))</f>
        <v>0.10304212196678</v>
      </c>
      <c r="BZ5" s="582">
        <f ca="1" t="shared" ref="BZ5:BZ27" si="34">EXP(-BQ5*($Z5+BW5))</f>
        <v>0.103042504919677</v>
      </c>
      <c r="CA5" s="582">
        <f t="shared" ref="CA5:CA27" si="35">EXP(-BQ5*($Z5+BX5))</f>
        <v>0</v>
      </c>
      <c r="CB5" s="582">
        <f ca="1" t="shared" ref="CB5:CB27" si="36">BR5*BV5+BS5*(BV5-BW5)</f>
        <v>1893618.42178</v>
      </c>
      <c r="CC5" s="582">
        <f ca="1" t="shared" ref="CC5:CC27" si="37">(BR5*BW5*BV5/(BV5-BX5)+BS5*BW5)/(BW5-BX5)+BT5</f>
        <v>6.37230474328107e-25</v>
      </c>
      <c r="CD5" s="582">
        <f ca="1" t="shared" ref="CD5:CD27" si="38">IF(BW5=0,0,BW5/(BW5-BV5))</f>
        <v>-2.68858010615683e-10</v>
      </c>
      <c r="CE5" s="580">
        <f ca="1" t="shared" ref="CE5:CE27" si="39">BR5*BY5</f>
        <v>1134046706221640</v>
      </c>
      <c r="CF5" s="580">
        <f ca="1" t="shared" ref="CF5:CF27" si="40">BV5/(BW5-BV5)*CE5+(BS5-BR5*BV5/(BW5-BV5))*BZ5</f>
        <v>5036079277.25</v>
      </c>
      <c r="CG5" s="586">
        <f ca="1" t="shared" ref="CG5:CG27" si="41">CA5*CC5+CD5*(BZ5*CB5/(BW5-BX5)-CE5*BV5/(BV5-BX5))</f>
        <v>2.01282162023362e-25</v>
      </c>
      <c r="CH5" s="594">
        <f ca="1" t="shared" ref="CH5:CH27" si="42">(BR5+BS5+BT5+BU5)*EXP(-$Z5*BQ5)-CE5-CF5-CG5</f>
        <v>-0.75</v>
      </c>
      <c r="CI5" s="580">
        <f ca="1" t="shared" ref="CI5:CI27" si="43">BR5*BV5/($Z5+BV5)*(1-BY5)</f>
        <v>16143274190.2029</v>
      </c>
      <c r="CJ5" s="580">
        <f ca="1" t="shared" ref="CJ5:CJ27" si="44">CD5*(CI5-(1-BZ5)*CB5/($Z5+BW5))</f>
        <v>8.38844632955388e-6</v>
      </c>
      <c r="CK5" s="595">
        <f ca="1" t="shared" ref="CK5:CK27" si="45">BX5*(1-CA5)*CC5/($Z5+BX5)+BX5*CD5*((1-BZ5)*CB5/($Z5+BW5)/(BW5-BX5)-CI5/(BV5-BX5))</f>
        <v>8.38844632953005e-6</v>
      </c>
      <c r="CL5" s="596">
        <f>CL$3*3600</f>
        <v>57600</v>
      </c>
      <c r="CM5" s="580">
        <f ca="1" t="shared" ref="CM5:CP5" si="46">CE5</f>
        <v>1134046706221640</v>
      </c>
      <c r="CN5" s="580">
        <f ca="1" t="shared" si="46"/>
        <v>5036079277.25</v>
      </c>
      <c r="CO5" s="581">
        <f ca="1" t="shared" si="46"/>
        <v>2.01282162023362e-25</v>
      </c>
      <c r="CP5" s="580">
        <f ca="1" t="shared" si="46"/>
        <v>-0.75</v>
      </c>
      <c r="CQ5" s="580">
        <f ca="1">MAX(INDIRECT("'"&amp;$B$2&amp;"-事故进程'!AA"&amp;(ROW()+22)),INDIRECT("'"&amp;$B$2&amp;"-事故进程'!AB"&amp;(ROW()+22)))</f>
        <v>2.94583541033059e-10</v>
      </c>
      <c r="CR5" s="580">
        <f ca="1">SUM(CQ$3,-LN(1-CR$3)/CL5)</f>
        <v>1.73472347597681e-20</v>
      </c>
      <c r="CS5" s="580">
        <f>CS$3/24/3600</f>
        <v>1157407407407410</v>
      </c>
      <c r="CT5" s="582">
        <f ca="1" t="shared" ref="CT5:CT27" si="47">EXP(-CL5*($Z5+CQ5))</f>
        <v>0.00233365356464188</v>
      </c>
      <c r="CU5" s="582">
        <f ca="1" t="shared" ref="CU5:CU27" si="48">EXP(-CL5*($Z5+CR5))</f>
        <v>0.00233369316243943</v>
      </c>
      <c r="CV5" s="582">
        <f t="shared" ref="CV5:CV27" si="49">EXP(-CL5*($Z5+CS5))</f>
        <v>0</v>
      </c>
      <c r="CW5" s="582">
        <f ca="1" t="shared" ref="CW5:CW27" si="50">CM5*CQ5+CN5*(CQ5-CR5)</f>
        <v>334072.977961715</v>
      </c>
      <c r="CX5" s="582">
        <f ca="1" t="shared" ref="CX5:CX27" si="51">(CM5*CR5*CQ5/(CQ5-CS5)+CN5*CR5)/(CR5-CS5)+CO5</f>
        <v>1.25801351262915e-25</v>
      </c>
      <c r="CY5" s="582">
        <f ca="1" t="shared" ref="CY5:CY27" si="52">IF(CR5=0,0,CR5/(CR5-CQ5))</f>
        <v>-5.88873183476427e-11</v>
      </c>
      <c r="CZ5" s="580">
        <f ca="1" t="shared" ref="CZ5:CZ27" si="53">CM5*CT5</f>
        <v>2646472138444.53</v>
      </c>
      <c r="DA5" s="580">
        <f ca="1" t="shared" ref="DA5:DA27" si="54">CQ5/(CR5-CQ5)*CZ5+(CN5-CM5*CQ5/(CR5-CQ5))*CU5</f>
        <v>56658415.6606445</v>
      </c>
      <c r="DB5" s="586">
        <f ca="1" t="shared" ref="DB5:DB27" si="55">CV5*CX5+CY5*(CU5*CW5/(CR5-CS5)-CZ5*CQ5/(CQ5-CS5))</f>
        <v>8.49196947678283e-28</v>
      </c>
      <c r="DC5" s="594">
        <f ca="1" t="shared" ref="DC5:DC27" si="56">(CM5+CN5+CO5+CP5)*EXP(-$Z5*CL5)-CZ5-DA5-DB5</f>
        <v>-0.001953125</v>
      </c>
      <c r="DD5" s="580">
        <f ca="1" t="shared" ref="DD5:DD27" si="57">CM5*CQ5/($Z5+CQ5)*(1-CT5)</f>
        <v>3167755517.55712</v>
      </c>
      <c r="DE5" s="580">
        <f ca="1" t="shared" ref="DE5:DE27" si="58">CY5*(DD5-(1-CU5)*CW5/($Z5+CR5))</f>
        <v>1.34327676829414e-6</v>
      </c>
      <c r="DF5" s="595">
        <f ca="1" t="shared" ref="DF5:DF27" si="59">CS5*(1-CV5)*CX5/($Z5+CS5)+CS5*CY5*((1-CU5)*CW5/($Z5+CR5)/(CR5-CS5)-DD5/(CQ5-CS5))</f>
        <v>1.34327676831601e-6</v>
      </c>
      <c r="DG5" s="596">
        <f>DG$3*3600</f>
        <v>86400</v>
      </c>
      <c r="DH5" s="580">
        <f ca="1" t="shared" ref="DH5:DK5" si="60">CZ5</f>
        <v>2646472138444.53</v>
      </c>
      <c r="DI5" s="580">
        <f ca="1" t="shared" si="60"/>
        <v>56658415.6606445</v>
      </c>
      <c r="DJ5" s="581">
        <f ca="1" t="shared" si="60"/>
        <v>8.49196947678283e-28</v>
      </c>
      <c r="DK5" s="580">
        <f ca="1" t="shared" si="60"/>
        <v>-0.001953125</v>
      </c>
      <c r="DL5" s="580">
        <f ca="1">MAX(INDIRECT("'"&amp;$B$2&amp;"-事故进程'!AB"&amp;(ROW()+22)),INDIRECT("'"&amp;$B$2&amp;"-事故进程'!AC"&amp;(ROW()+22)))</f>
        <v>6.92724732300375e-10</v>
      </c>
      <c r="DM5" s="580">
        <f ca="1">SUM(DL$3,-LN(1-DM$3)/DG5)</f>
        <v>1.15648231731787e-20</v>
      </c>
      <c r="DN5" s="580">
        <f>DN$3/24/3600</f>
        <v>1157407407407410</v>
      </c>
      <c r="DO5" s="582">
        <f ca="1" t="shared" ref="DO5:DO27" si="61">EXP(-DG5*($Z5+DL5))</f>
        <v>0.000112730033872591</v>
      </c>
      <c r="DP5" s="582">
        <f ca="1" t="shared" ref="DP5:DP27" si="62">EXP(-DG5*($Z5+DM5))</f>
        <v>0.000112736781126756</v>
      </c>
      <c r="DQ5" s="582">
        <f t="shared" ref="DQ5:DQ27" si="63">EXP(-DG5*($Z5+DN5))</f>
        <v>0</v>
      </c>
      <c r="DR5" s="582">
        <f ca="1" t="shared" ref="DR5:DR27" si="64">DH5*DL5+DI5*(DL5-DM5)</f>
        <v>1833.3159523302</v>
      </c>
      <c r="DS5" s="582">
        <f ca="1" t="shared" ref="DS5:DS27" si="65">(DH5*DM5*DL5/(DL5-DN5)+DI5*DM5)/(DM5-DN5)+DJ5</f>
        <v>2.83065649231212e-28</v>
      </c>
      <c r="DT5" s="582">
        <f ca="1" t="shared" ref="DT5:DT27" si="66">IF(DM5=0,0,DM5/(DM5-DL5))</f>
        <v>-1.66946878523707e-11</v>
      </c>
      <c r="DU5" s="580">
        <f ca="1" t="shared" ref="DU5:DU27" si="67">DH5*DO5</f>
        <v>298336893.809719</v>
      </c>
      <c r="DV5" s="580">
        <f ca="1" t="shared" ref="DV5:DV27" si="68">DL5/(DM5-DL5)*DU5+(DI5-DH5*DL5/(DM5-DL5))*DP5</f>
        <v>24243.9075653553</v>
      </c>
      <c r="DW5" s="586">
        <f ca="1" t="shared" ref="DW5:DW27" si="69">DQ5*DS5+DT5*(DP5*DR5/(DM5-DN5)-DU5*DL5/(DL5-DN5))</f>
        <v>2.42245299473412e-31</v>
      </c>
      <c r="DX5" s="594">
        <f ca="1" t="shared" ref="DX5:DX27" si="70">(DH5+DI5+DJ5+DK5)*EXP(-$Z5*DG5)-DU5-DV5-DW5</f>
        <v>-5.36441802978516e-7</v>
      </c>
      <c r="DY5" s="580">
        <f ca="1" t="shared" ref="DY5:DY27" si="71">DH5*DL5/($Z5+DL5)*(1-DO5)</f>
        <v>17422253.5149555</v>
      </c>
      <c r="DZ5" s="580">
        <f ca="1" t="shared" ref="DZ5:DZ27" si="72">DT5*(DY5-(1-DP5)*DR5/($Z5+DM5))</f>
        <v>8.14010244995236e-9</v>
      </c>
      <c r="EA5" s="595">
        <f ca="1" t="shared" ref="EA5:EA27" si="73">DN5*(1-DQ5)*DS5/($Z5+DN5)+DN5*DT5*((1-DP5)*DR5/($Z5+DM5)/(DM5-DN5)-DY5/(DL5-DN5))</f>
        <v>8.14010244994201e-9</v>
      </c>
      <c r="EB5" s="596">
        <f>EB$3*3600</f>
        <v>172800</v>
      </c>
      <c r="EC5" s="580">
        <f ca="1" t="shared" ref="EC5:EF5" si="74">DU5</f>
        <v>298336893.809719</v>
      </c>
      <c r="ED5" s="580">
        <f ca="1" t="shared" si="74"/>
        <v>24243.9075653553</v>
      </c>
      <c r="EE5" s="581">
        <f ca="1" t="shared" si="74"/>
        <v>2.42245299473412e-31</v>
      </c>
      <c r="EF5" s="580">
        <f ca="1" t="shared" si="74"/>
        <v>-5.36441802978516e-7</v>
      </c>
      <c r="EG5" s="580">
        <f ca="1">MAX(INDIRECT("'"&amp;$B$2&amp;"-事故进程'!AC"&amp;(ROW()+22)),INDIRECT("'"&amp;$B$2&amp;"-事故进程'!AD"&amp;(ROW()+22)),INDIRECT("'"&amp;$B$2&amp;"-事故进程'!AE"&amp;(ROW()+22)))</f>
        <v>6.92724732300375e-10</v>
      </c>
      <c r="EH5" s="580">
        <f ca="1">SUM(EG$3,-LN(1-EH$3)/EB5)</f>
        <v>5.78241158658936e-21</v>
      </c>
      <c r="EI5" s="580">
        <f>EI$3/24/3600</f>
        <v>1157407407407410</v>
      </c>
      <c r="EJ5" s="582">
        <f ca="1" t="shared" ref="EJ5:EJ27" si="75">EXP(-EB5*($Z5+EG5))</f>
        <v>1.27080605369154e-8</v>
      </c>
      <c r="EK5" s="582">
        <f ca="1" t="shared" ref="EK5:EK27" si="76">EXP(-EB5*($Z5+EH5))</f>
        <v>1.27095818188221e-8</v>
      </c>
      <c r="EL5" s="582">
        <f t="shared" ref="EL5:EL27" si="77">EXP(-EB5*($Z5+EI5))</f>
        <v>0</v>
      </c>
      <c r="EM5" s="582">
        <f ca="1" t="shared" ref="EM5:EM27" si="78">EC5*EG5+ED5*(EG5-EH5)</f>
        <v>0.206682139254041</v>
      </c>
      <c r="EN5" s="582">
        <f ca="1" t="shared" ref="EN5:EN27" si="79">(EC5*EH5*EG5/(EG5-EI5)+ED5*EH5)/(EH5-EI5)+EE5</f>
        <v>1.21122649736675e-31</v>
      </c>
      <c r="EO5" s="582">
        <f ca="1" t="shared" ref="EO5:EO27" si="80">IF(EH5=0,0,EH5/(EH5-EG5))</f>
        <v>-8.34734392611566e-12</v>
      </c>
      <c r="EP5" s="580">
        <f ca="1" t="shared" ref="EP5:EP27" si="81">EC5*EJ5</f>
        <v>3.79128330692922</v>
      </c>
      <c r="EQ5" s="580">
        <f ca="1" t="shared" ref="EQ5:EQ27" si="82">EG5/(EH5-EG5)*EP5+(ED5-EC5*EG5/(EH5-EG5))*EK5</f>
        <v>0.00076198444545561</v>
      </c>
      <c r="ER5" s="586">
        <f ca="1" t="shared" ref="ER5:ER27" si="83">EL5*EN5+EO5*(EK5*EM5/(EH5-EI5)-EP5*EG5/(EG5-EI5))</f>
        <v>3.8068770408796e-39</v>
      </c>
      <c r="ES5" s="594">
        <f ca="1" t="shared" ref="ES5:ES27" si="84">(EC5+ED5+EE5+EF5)*EXP(-$Z5*EB5)-EP5-EQ5-ER5</f>
        <v>-1.02140518265514e-14</v>
      </c>
      <c r="ET5" s="580">
        <f ca="1" t="shared" ref="ET5:ET27" si="85">EC5*EG5/($Z5+EG5)*(1-EJ5)</f>
        <v>1964.23263193016</v>
      </c>
      <c r="EU5" s="580">
        <f ca="1" t="shared" ref="EU5:EU27" si="86">EO5*(ET5-(1-EK5)*EM5/($Z5+EH5))</f>
        <v>1.44036752553085e-12</v>
      </c>
      <c r="EV5" s="595">
        <f ca="1" t="shared" ref="EV5:EV27" si="87">EI5*(1-EL5)*EN5/($Z5+EI5)+EI5*EO5*((1-EK5)*EM5/($Z5+EH5)/(EH5-EI5)-ET5/(EG5-EI5))</f>
        <v>1.44036752553209e-12</v>
      </c>
      <c r="EW5" s="596">
        <f>EW$3*3600</f>
        <v>2246400</v>
      </c>
      <c r="EX5" s="580">
        <f ca="1" t="shared" ref="EX5:FA5" si="88">EP5</f>
        <v>3.79128330692922</v>
      </c>
      <c r="EY5" s="580">
        <f ca="1" t="shared" si="88"/>
        <v>0.00076198444545561</v>
      </c>
      <c r="EZ5" s="581">
        <f ca="1" t="shared" si="88"/>
        <v>3.8068770408796e-39</v>
      </c>
      <c r="FA5" s="580">
        <f ca="1" t="shared" si="88"/>
        <v>-1.02140518265514e-14</v>
      </c>
      <c r="FB5" s="580">
        <f ca="1">INDIRECT("'"&amp;$B$2&amp;"-事故进程'!AE"&amp;(ROW()+22))</f>
        <v>3.08350839073874e-10</v>
      </c>
      <c r="FC5" s="580">
        <f ca="1">SUM(FB$3,-LN(1-FC$3)/EW5)</f>
        <v>4.44800891276105e-22</v>
      </c>
      <c r="FD5" s="580">
        <f>FD$3/24/3600</f>
        <v>1157407407407410</v>
      </c>
      <c r="FE5" s="582">
        <f ca="1" t="shared" ref="FE5:FE27" si="89">EXP(-EW5*($Z5+FB5))</f>
        <v>2.2563453366014e-103</v>
      </c>
      <c r="FF5" s="582">
        <f ca="1" t="shared" ref="FF5:FF27" si="90">EXP(-EW5*($Z5+FC5))</f>
        <v>2.25790880179336e-103</v>
      </c>
      <c r="FG5" s="582">
        <f t="shared" ref="FG5:FG27" si="91">EXP(-EW5*($Z5+FD5))</f>
        <v>0</v>
      </c>
      <c r="FH5" s="582">
        <f ca="1" t="shared" ref="FH5:FH27" si="92">EX5*FB5+EY5*(FB5-FC5)</f>
        <v>1.16928034740151e-9</v>
      </c>
      <c r="FI5" s="582">
        <f ca="1" t="shared" ref="FI5:FI27" si="93">(EX5*FC5*FB5/(FB5-FD5)+EY5*FC5)/(FC5-FD5)+EZ5</f>
        <v>3.51404034542731e-39</v>
      </c>
      <c r="FJ5" s="582">
        <f ca="1" t="shared" ref="FJ5:FJ27" si="94">IF(FC5=0,0,FC5/(FC5-FB5))</f>
        <v>-1.44251558585895e-12</v>
      </c>
      <c r="FK5" s="580">
        <f ca="1" t="shared" ref="FK5:FK27" si="95">EX5*FE5</f>
        <v>8.55444440932449e-103</v>
      </c>
      <c r="FL5" s="580">
        <f ca="1" t="shared" ref="FL5:FL27" si="96">FB5/(FC5-FB5)*FK5+(EY5-EX5*FB5/(FC5-FB5))*FF5</f>
        <v>7.64803086946775e-106</v>
      </c>
      <c r="FM5" s="586">
        <f ca="1" t="shared" ref="FM5:FM27" si="97">FG5*FI5+FJ5*(FF5*FH5/(FC5-FD5)-FK5*FB5/(FB5-FD5))</f>
        <v>2.93919921842045e-142</v>
      </c>
      <c r="FN5" s="594">
        <f ca="1" t="shared" ref="FN5:FN27" si="98">(EX5+EY5+EZ5+FA5)*EXP(-$Z5*EW5)-FK5-FL5-FM5</f>
        <v>-3.07328894362442e-117</v>
      </c>
      <c r="FO5" s="580">
        <f ca="1" t="shared" ref="FO5:FO27" si="99">EX5*FB5/($Z5+FB5)*(1-FE5)</f>
        <v>1.11111300261767e-5</v>
      </c>
      <c r="FP5" s="580">
        <f ca="1" t="shared" ref="FP5:FP27" si="100">FJ5*(FO5-(1-FF5)*FH5/($Z5+FC5))</f>
        <v>3.26833801972836e-21</v>
      </c>
      <c r="FQ5" s="595">
        <f ca="1" t="shared" ref="FQ5:FQ27" si="101">FD5*(1-FG5)*FI5/($Z5+FD5)+FD5*FJ5*((1-FF5)*FH5/($Z5+FC5)/(FC5-FD5)-FO5/(FB5-FD5))</f>
        <v>3.26833801972827e-21</v>
      </c>
      <c r="FR5" s="608" t="str">
        <f t="shared" ref="FR5:FR27" si="102">G5</f>
        <v>Kr-83m</v>
      </c>
      <c r="FS5" s="609">
        <v>5560000000</v>
      </c>
      <c r="FT5" s="610">
        <v>3000000000</v>
      </c>
      <c r="FU5" s="610">
        <v>217000000</v>
      </c>
      <c r="FV5" s="610">
        <v>395000</v>
      </c>
      <c r="FW5" s="610">
        <v>8780000000</v>
      </c>
      <c r="FX5" s="614">
        <f ca="1" t="shared" ref="FX5:FX26" si="103">H5/FS5</f>
        <v>0.143394583707498</v>
      </c>
      <c r="FY5" s="614">
        <f ca="1" t="shared" ref="FY5:FY23" si="104">(I5+J5)/FT5</f>
        <v>5.01522113617398e-15</v>
      </c>
      <c r="FZ5" s="614">
        <f ca="1" t="shared" ref="FZ5:FZ23" si="105">K5/FU5</f>
        <v>6.19021552219358e-15</v>
      </c>
      <c r="GA5" s="614">
        <f ca="1" t="shared" ref="GA5:GA23" si="106">L5/FV5</f>
        <v>2.06115008037153e-14</v>
      </c>
      <c r="GB5" s="614">
        <f ca="1" t="shared" ref="GB5:GB26" si="107">SUM(H5:L5)/FW5</f>
        <v>0.0908056817099889</v>
      </c>
      <c r="GC5" s="455">
        <f ca="1" t="shared" ref="GC5:GC26" si="108">N5/FW5</f>
        <v>0.0908056817099889</v>
      </c>
      <c r="GE5" s="609">
        <v>1129063323.15744</v>
      </c>
      <c r="GF5" s="610">
        <v>140440921.932809</v>
      </c>
      <c r="GG5" s="610">
        <v>12115600.5687868</v>
      </c>
      <c r="GH5" s="610">
        <v>33581.6637031985</v>
      </c>
      <c r="GI5" s="610">
        <v>57.1973546594997</v>
      </c>
      <c r="GJ5" s="610">
        <v>4.31110717077839e-8</v>
      </c>
      <c r="GK5" s="617">
        <v>1281653484.52009</v>
      </c>
      <c r="GL5" s="614">
        <f ca="1" t="shared" ref="GL5:GL27" si="109">H5/GE5</f>
        <v>0.706137440709791</v>
      </c>
      <c r="GM5" s="614">
        <f ca="1" t="shared" ref="GM5:GM27" si="110">(I5+J5)/GF5</f>
        <v>1.07131619484243e-13</v>
      </c>
      <c r="GN5" s="614">
        <f ca="1" t="shared" ref="GN5:GN27" si="111">K5/GG5</f>
        <v>1.10871661762824e-13</v>
      </c>
      <c r="GO5" s="614">
        <f ca="1" t="shared" ref="GO5:GO27" si="112">L5/(GH5+GI5)</f>
        <v>2.42027897539821e-13</v>
      </c>
      <c r="GP5" s="614">
        <f ca="1" t="shared" ref="GP5:GP27" si="113">M5/GJ5</f>
        <v>7.58120336669374e-14</v>
      </c>
      <c r="GQ5" s="614">
        <f ca="1" t="shared" ref="GQ5:GQ27" si="114">N5/GK5</f>
        <v>0.622066646752214</v>
      </c>
      <c r="GR5" s="451">
        <f t="shared" ref="GR5:GR27" si="115">Z5</f>
        <v>0.000105213597534903</v>
      </c>
      <c r="GS5" s="390">
        <f t="shared" ref="GS5:GS27" si="116">LN(2)/GR5</f>
        <v>6588.00000000004</v>
      </c>
    </row>
    <row r="6" spans="1:201">
      <c r="A6" s="413"/>
      <c r="B6" s="407" t="s">
        <v>250</v>
      </c>
      <c r="C6" s="414">
        <v>0</v>
      </c>
      <c r="D6" s="409" t="s">
        <v>251</v>
      </c>
      <c r="E6" s="410"/>
      <c r="G6" s="411" t="s">
        <v>47</v>
      </c>
      <c r="H6" s="412">
        <f ca="1" t="shared" si="1"/>
        <v>192198687.570477</v>
      </c>
      <c r="I6" s="412">
        <f ca="1" t="shared" si="2"/>
        <v>8.87420567435394e-7</v>
      </c>
      <c r="J6" s="412">
        <f ca="1" t="shared" si="3"/>
        <v>1.01299843102629e-6</v>
      </c>
      <c r="K6" s="412">
        <f ca="1" t="shared" si="4"/>
        <v>1.69258218508536e-6</v>
      </c>
      <c r="L6" s="412">
        <f ca="1" t="shared" si="5"/>
        <v>1.24536477362781e-5</v>
      </c>
      <c r="M6" s="412">
        <f ca="1" t="shared" si="6"/>
        <v>3.52846640926992e-5</v>
      </c>
      <c r="N6" s="412">
        <f ca="1" t="shared" si="7"/>
        <v>192198687.570528</v>
      </c>
      <c r="O6" s="450">
        <f ca="1" t="shared" si="8"/>
        <v>192198687.570477</v>
      </c>
      <c r="P6" s="451"/>
      <c r="Q6" s="477" t="str">
        <f t="shared" si="0"/>
        <v>Kr-85</v>
      </c>
      <c r="R6" s="412">
        <f ca="1" t="shared" si="9"/>
        <v>192198687.570477</v>
      </c>
      <c r="S6" s="412">
        <f ca="1">I6*(1-过滤效率!$B3)</f>
        <v>8.87420567435394e-7</v>
      </c>
      <c r="T6" s="412">
        <f ca="1">J6*(1-过滤效率!$B3)</f>
        <v>1.01299843102629e-6</v>
      </c>
      <c r="U6" s="412">
        <f ca="1">K6*(1-过滤效率!$B3)</f>
        <v>1.69258218508536e-6</v>
      </c>
      <c r="V6" s="412">
        <f ca="1">L6*(1-过滤效率!$B3)</f>
        <v>1.24536477362781e-5</v>
      </c>
      <c r="W6" s="412">
        <f ca="1">M6*(1-过滤效率!$B3)</f>
        <v>3.52846640926992e-5</v>
      </c>
      <c r="X6" s="412">
        <f ca="1" t="shared" si="10"/>
        <v>192198687.570528</v>
      </c>
      <c r="Y6" s="493"/>
      <c r="Z6" s="494">
        <f>VLOOKUP(G6,衰变常数!$A$1:$H$3800,7,FALSE)</f>
        <v>2.04207062814938e-9</v>
      </c>
      <c r="AA6" s="495">
        <f>正常源项!C3</f>
        <v>1860000000000000</v>
      </c>
      <c r="AB6" s="496">
        <f>正常源项!F3</f>
        <v>0</v>
      </c>
      <c r="AC6" s="496">
        <f>正常源项!I3</f>
        <v>46200000</v>
      </c>
      <c r="AD6" s="496">
        <f>正常源项!L3</f>
        <v>1030000000</v>
      </c>
      <c r="AE6" s="496"/>
      <c r="AF6" s="498"/>
      <c r="AG6" s="519"/>
      <c r="AH6" s="518"/>
      <c r="AI6" s="519"/>
      <c r="AJ6" s="521">
        <v>0.00066</v>
      </c>
      <c r="AK6" s="521">
        <v>5.457e-5</v>
      </c>
      <c r="AL6" s="522">
        <f>AA6*(AJ6-AK6)*0.00000209</f>
        <v>2353548.582</v>
      </c>
      <c r="AM6" s="522">
        <f>(0.00016*10%+0.00026*30%)/2*AA6</f>
        <v>87420000000</v>
      </c>
      <c r="AN6" s="519">
        <f ca="1">MAX(INDIRECT("'"&amp;$B$2&amp;"-事故进程'!Y"&amp;(ROW()+22)),INDIRECT("'"&amp;$B$2&amp;"-事故进程'!Z"&amp;(ROW()+22)),INDIRECT("'"&amp;$B$2&amp;"-事故进程'!AA"&amp;(ROW()+22)))</f>
        <v>6.0576651e-12</v>
      </c>
      <c r="AO6" s="519">
        <f ca="1" t="shared" si="13"/>
        <v>112672.371432865</v>
      </c>
      <c r="AP6" s="560">
        <f t="shared" si="14"/>
        <v>1859999962017490</v>
      </c>
      <c r="AQ6" s="561">
        <f ca="1">(AC6*$C$5+AD6*$C$8+AF6+AG6+AI6+(AL6+AM6)*$C$10)*EXP(-Z6*$C$12*3600)+AO6*$C$11</f>
        <v>1076312650.39467</v>
      </c>
      <c r="AR6" s="562">
        <f ca="1">AQ6*(1-AR$3)</f>
        <v>884113962.824192</v>
      </c>
      <c r="AS6" s="563">
        <f ca="1" t="shared" si="15"/>
        <v>192198687.570477</v>
      </c>
      <c r="AT6" s="562">
        <f ca="1">AS6*(1-AT$3)</f>
        <v>0</v>
      </c>
      <c r="AU6" s="564">
        <f ca="1" t="shared" si="16"/>
        <v>192198687.570477</v>
      </c>
      <c r="AV6" s="565">
        <f>AV$3*3600</f>
        <v>7200</v>
      </c>
      <c r="AW6" s="580">
        <f>AP6*EXP(-Z6*AW$3*3600)</f>
        <v>1859999962017490</v>
      </c>
      <c r="AX6" s="580">
        <f ca="1" t="shared" si="17"/>
        <v>884113962.824192</v>
      </c>
      <c r="AY6" s="581">
        <f ca="1" t="shared" si="18"/>
        <v>0</v>
      </c>
      <c r="AZ6" s="580">
        <v>0</v>
      </c>
      <c r="BA6" s="580">
        <f ca="1">MAX(INDIRECT("'"&amp;$B$2&amp;"-事故进程'!Y"&amp;(ROW()+22)),INDIRECT("'"&amp;$B$2&amp;"-事故进程'!Z"&amp;(ROW()+22)))</f>
        <v>6.006338e-13</v>
      </c>
      <c r="BB6" s="580">
        <f>SUM(BA$3,-LN(1-BB$3)/AV6)</f>
        <v>1.38777878078145e-19</v>
      </c>
      <c r="BC6" s="580">
        <f>BC$3/24/3600</f>
        <v>1157407407407410</v>
      </c>
      <c r="BD6" s="582">
        <f ca="1" t="shared" si="19"/>
        <v>0.999985292875065</v>
      </c>
      <c r="BE6" s="582">
        <f t="shared" si="20"/>
        <v>0.999985297199564</v>
      </c>
      <c r="BF6" s="582">
        <f t="shared" si="21"/>
        <v>0</v>
      </c>
      <c r="BG6" s="582">
        <f ca="1" t="shared" si="22"/>
        <v>1117.17937621503</v>
      </c>
      <c r="BH6" s="582">
        <f ca="1" t="shared" si="23"/>
        <v>-1.06008877215361e-25</v>
      </c>
      <c r="BI6" s="582">
        <f ca="1" t="shared" si="24"/>
        <v>-2.31052448502088e-7</v>
      </c>
      <c r="BJ6" s="580">
        <f ca="1" t="shared" si="25"/>
        <v>1859972606765670</v>
      </c>
      <c r="BK6" s="580">
        <f ca="1" t="shared" si="26"/>
        <v>892144533.25</v>
      </c>
      <c r="BL6" s="586">
        <f ca="1" t="shared" si="27"/>
        <v>1.06971775422349e-25</v>
      </c>
      <c r="BM6" s="594">
        <f ca="1" t="shared" si="28"/>
        <v>-1.06971775422349e-25</v>
      </c>
      <c r="BN6" s="580">
        <f ca="1" t="shared" si="29"/>
        <v>8043628.53544737</v>
      </c>
      <c r="BO6" s="580">
        <f ca="1" t="shared" si="30"/>
        <v>8.87420567294943e-7</v>
      </c>
      <c r="BP6" s="595">
        <f ca="1" t="shared" si="31"/>
        <v>8.87420567435394e-7</v>
      </c>
      <c r="BQ6" s="596">
        <f>BQ$3*3600</f>
        <v>21600</v>
      </c>
      <c r="BR6" s="580">
        <f ca="1" t="shared" ref="BR6:BU6" si="117">BJ6</f>
        <v>1859972606765670</v>
      </c>
      <c r="BS6" s="580">
        <f ca="1" t="shared" si="117"/>
        <v>892144533.25</v>
      </c>
      <c r="BT6" s="581">
        <f ca="1" t="shared" si="117"/>
        <v>1.06971775422349e-25</v>
      </c>
      <c r="BU6" s="580">
        <f ca="1" t="shared" si="117"/>
        <v>-1.06971775422349e-25</v>
      </c>
      <c r="BV6" s="580">
        <f ca="1">MAX(INDIRECT("'"&amp;$B$2&amp;"-事故进程'!Z"&amp;(ROW()+22)),INDIRECT("'"&amp;$B$2&amp;"-事故进程'!AA"&amp;(ROW()+22)))</f>
        <v>6.0576651e-12</v>
      </c>
      <c r="BW6" s="580">
        <f ca="1">SUM(BV$3,-LN(1-BW$3)/BQ6)</f>
        <v>4.62592926927149e-20</v>
      </c>
      <c r="BX6" s="580">
        <f>BX$3/24/3600</f>
        <v>1157407407407410</v>
      </c>
      <c r="BY6" s="582">
        <f ca="1" t="shared" si="33"/>
        <v>0.999955761407421</v>
      </c>
      <c r="BZ6" s="582">
        <f ca="1" t="shared" si="34"/>
        <v>0.999955892247206</v>
      </c>
      <c r="CA6" s="582">
        <f t="shared" si="35"/>
        <v>0</v>
      </c>
      <c r="CB6" s="582">
        <f ca="1" t="shared" si="36"/>
        <v>11267.0965512732</v>
      </c>
      <c r="CC6" s="582">
        <f ca="1" t="shared" si="37"/>
        <v>7.13145169464753e-26</v>
      </c>
      <c r="CD6" s="582">
        <f ca="1" t="shared" si="38"/>
        <v>-7.63648902379457e-9</v>
      </c>
      <c r="CE6" s="580">
        <f ca="1" t="shared" si="39"/>
        <v>1859890324195310</v>
      </c>
      <c r="CF6" s="580">
        <f ca="1" t="shared" si="40"/>
        <v>1135463601</v>
      </c>
      <c r="CG6" s="586">
        <f ca="1" t="shared" si="41"/>
        <v>4.53822420079484e-26</v>
      </c>
      <c r="CH6" s="594">
        <f ca="1" t="shared" si="42"/>
        <v>-4.53822420079484e-26</v>
      </c>
      <c r="CI6" s="580">
        <f ca="1" t="shared" si="43"/>
        <v>243363785.579616</v>
      </c>
      <c r="CJ6" s="580">
        <f ca="1" t="shared" si="44"/>
        <v>1.01299843102622e-6</v>
      </c>
      <c r="CK6" s="595">
        <f ca="1" t="shared" si="45"/>
        <v>1.01299843102629e-6</v>
      </c>
      <c r="CL6" s="596">
        <f>CL$3*3600</f>
        <v>57600</v>
      </c>
      <c r="CM6" s="580">
        <f ca="1" t="shared" ref="CM6:CP6" si="118">CE6</f>
        <v>1859890324195310</v>
      </c>
      <c r="CN6" s="580">
        <f ca="1" t="shared" si="118"/>
        <v>1135463601</v>
      </c>
      <c r="CO6" s="581">
        <f ca="1" t="shared" si="118"/>
        <v>4.53822420079484e-26</v>
      </c>
      <c r="CP6" s="580">
        <f ca="1" t="shared" si="118"/>
        <v>-4.53822420079484e-26</v>
      </c>
      <c r="CQ6" s="580">
        <f ca="1">MAX(INDIRECT("'"&amp;$B$2&amp;"-事故进程'!AA"&amp;(ROW()+22)),INDIRECT("'"&amp;$B$2&amp;"-事故进程'!AB"&amp;(ROW()+22)))</f>
        <v>1.04281898e-11</v>
      </c>
      <c r="CR6" s="580">
        <f ca="1">SUM(CQ$3,-LN(1-CR$3)/CL6)</f>
        <v>1.73472347597681e-20</v>
      </c>
      <c r="CS6" s="580">
        <f>CS$3/24/3600</f>
        <v>1157407407407410</v>
      </c>
      <c r="CT6" s="582">
        <f ca="1" t="shared" si="47"/>
        <v>0.99988178305626</v>
      </c>
      <c r="CU6" s="582">
        <f ca="1" t="shared" si="48"/>
        <v>0.999882383649163</v>
      </c>
      <c r="CV6" s="582">
        <f t="shared" si="49"/>
        <v>0</v>
      </c>
      <c r="CW6" s="582">
        <f ca="1" t="shared" si="50"/>
        <v>19395.3011487221</v>
      </c>
      <c r="CX6" s="582">
        <f ca="1" t="shared" si="51"/>
        <v>2.83639012563195e-26</v>
      </c>
      <c r="CY6" s="582">
        <f ca="1" t="shared" si="52"/>
        <v>-1.66349434765995e-9</v>
      </c>
      <c r="CZ6" s="580">
        <f ca="1" t="shared" si="53"/>
        <v>1859670453645490</v>
      </c>
      <c r="DA6" s="580">
        <f ca="1" t="shared" si="54"/>
        <v>2252366983.5</v>
      </c>
      <c r="DB6" s="586">
        <f ca="1" t="shared" si="55"/>
        <v>3.37585007438349e-26</v>
      </c>
      <c r="DC6" s="594">
        <f ca="1" t="shared" si="56"/>
        <v>-3.37585007438349e-26</v>
      </c>
      <c r="DD6" s="580">
        <f ca="1" t="shared" si="57"/>
        <v>1117102628.70107</v>
      </c>
      <c r="DE6" s="580">
        <f ca="1" t="shared" si="58"/>
        <v>1.69258218533497e-6</v>
      </c>
      <c r="DF6" s="595">
        <f ca="1" t="shared" si="59"/>
        <v>1.69258218508536e-6</v>
      </c>
      <c r="DG6" s="596">
        <f>DG$3*3600</f>
        <v>86400</v>
      </c>
      <c r="DH6" s="580">
        <f ca="1" t="shared" ref="DH6:DK6" si="119">CZ6</f>
        <v>1859670453645490</v>
      </c>
      <c r="DI6" s="580">
        <f ca="1" t="shared" si="119"/>
        <v>2252366983.5</v>
      </c>
      <c r="DJ6" s="581">
        <f ca="1" t="shared" si="119"/>
        <v>3.37585007438349e-26</v>
      </c>
      <c r="DK6" s="580">
        <f ca="1" t="shared" si="119"/>
        <v>-3.37585007438349e-26</v>
      </c>
      <c r="DL6" s="580">
        <f ca="1">MAX(INDIRECT("'"&amp;$B$2&amp;"-事故进程'!AB"&amp;(ROW()+22)),INDIRECT("'"&amp;$B$2&amp;"-事故进程'!AC"&amp;(ROW()+22)))</f>
        <v>1.98225697e-11</v>
      </c>
      <c r="DM6" s="580">
        <f ca="1">SUM(DL$3,-LN(1-DM$3)/DG6)</f>
        <v>1.15648231731787e-20</v>
      </c>
      <c r="DN6" s="580">
        <f>DN$3/24/3600</f>
        <v>1157407407407410</v>
      </c>
      <c r="DO6" s="582">
        <f ca="1" t="shared" si="61"/>
        <v>0.999821868295042</v>
      </c>
      <c r="DP6" s="582">
        <f ca="1" t="shared" si="62"/>
        <v>0.999823580661449</v>
      </c>
      <c r="DQ6" s="582">
        <f t="shared" si="63"/>
        <v>0</v>
      </c>
      <c r="DR6" s="582">
        <f ca="1" t="shared" si="64"/>
        <v>36863.4918341198</v>
      </c>
      <c r="DS6" s="582">
        <f ca="1" t="shared" si="65"/>
        <v>1.125283357895e-26</v>
      </c>
      <c r="DT6" s="582">
        <f ca="1" t="shared" si="66"/>
        <v>-5.83416951230386e-10</v>
      </c>
      <c r="DU6" s="580">
        <f ca="1" t="shared" si="67"/>
        <v>1859339187376920</v>
      </c>
      <c r="DV6" s="580">
        <f ca="1" t="shared" si="68"/>
        <v>5436406837</v>
      </c>
      <c r="DW6" s="586">
        <f ca="1" t="shared" si="69"/>
        <v>5.43206163687274e-26</v>
      </c>
      <c r="DX6" s="594">
        <f ca="1" t="shared" si="70"/>
        <v>-0.25</v>
      </c>
      <c r="DY6" s="580">
        <f ca="1" t="shared" si="71"/>
        <v>3184718153.5809</v>
      </c>
      <c r="DZ6" s="580">
        <f ca="1" t="shared" si="72"/>
        <v>3.84140755674073e-6</v>
      </c>
      <c r="EA6" s="595">
        <f ca="1" t="shared" si="73"/>
        <v>3.84140755664462e-6</v>
      </c>
      <c r="EB6" s="596">
        <f>EB$3*3600</f>
        <v>172800</v>
      </c>
      <c r="EC6" s="580">
        <f ca="1" t="shared" ref="EC6:EF6" si="120">DU6</f>
        <v>1859339187376920</v>
      </c>
      <c r="ED6" s="580">
        <f ca="1" t="shared" si="120"/>
        <v>5436406837</v>
      </c>
      <c r="EE6" s="581">
        <f ca="1" t="shared" si="120"/>
        <v>5.43206163687274e-26</v>
      </c>
      <c r="EF6" s="580">
        <f ca="1" t="shared" si="120"/>
        <v>-0.25</v>
      </c>
      <c r="EG6" s="580">
        <f ca="1">MAX(INDIRECT("'"&amp;$B$2&amp;"-事故进程'!AC"&amp;(ROW()+22)),INDIRECT("'"&amp;$B$2&amp;"-事故进程'!AD"&amp;(ROW()+22)),INDIRECT("'"&amp;$B$2&amp;"-事故进程'!AE"&amp;(ROW()+22)))</f>
        <v>1.98225697e-11</v>
      </c>
      <c r="EH6" s="580">
        <f ca="1">SUM(EG$3,-LN(1-EH$3)/EB6)</f>
        <v>5.78241158658936e-21</v>
      </c>
      <c r="EI6" s="580">
        <f>EI$3/24/3600</f>
        <v>1157407407407410</v>
      </c>
      <c r="EJ6" s="582">
        <f ca="1" t="shared" si="75"/>
        <v>0.999643768320989</v>
      </c>
      <c r="EK6" s="582">
        <f ca="1" t="shared" si="76"/>
        <v>0.999647192446682</v>
      </c>
      <c r="EL6" s="582">
        <f t="shared" si="77"/>
        <v>0</v>
      </c>
      <c r="EM6" s="582">
        <f ca="1" t="shared" si="78"/>
        <v>36856.9884012738</v>
      </c>
      <c r="EN6" s="582">
        <f ca="1" t="shared" si="79"/>
        <v>2.71603081812258e-26</v>
      </c>
      <c r="EO6" s="582">
        <f ca="1" t="shared" si="80"/>
        <v>-2.91708475530099e-10</v>
      </c>
      <c r="EP6" s="580">
        <f ca="1" t="shared" si="81"/>
        <v>1858676831856350</v>
      </c>
      <c r="EQ6" s="580">
        <f ca="1" t="shared" si="82"/>
        <v>11801099917</v>
      </c>
      <c r="ER6" s="586">
        <f ca="1" t="shared" si="83"/>
        <v>5.89583377970974e-26</v>
      </c>
      <c r="ES6" s="594">
        <f ca="1" t="shared" si="84"/>
        <v>-0.25</v>
      </c>
      <c r="ET6" s="580">
        <f ca="1" t="shared" si="85"/>
        <v>6367734510.3916</v>
      </c>
      <c r="EU6" s="580">
        <f ca="1" t="shared" si="86"/>
        <v>8.61224017954866e-6</v>
      </c>
      <c r="EV6" s="595">
        <f ca="1" t="shared" si="87"/>
        <v>8.61224017963343e-6</v>
      </c>
      <c r="EW6" s="596">
        <f>EW$3*3600</f>
        <v>2246400</v>
      </c>
      <c r="EX6" s="580">
        <f ca="1" t="shared" ref="EX6:FA6" si="121">EP6</f>
        <v>1858676831856350</v>
      </c>
      <c r="EY6" s="580">
        <f ca="1" t="shared" si="121"/>
        <v>11801099917</v>
      </c>
      <c r="EZ6" s="581">
        <f ca="1" t="shared" si="121"/>
        <v>5.89583377970974e-26</v>
      </c>
      <c r="FA6" s="580">
        <f ca="1" t="shared" si="121"/>
        <v>-0.25</v>
      </c>
      <c r="FB6" s="580">
        <f ca="1">INDIRECT("'"&amp;$B$2&amp;"-事故进程'!AE"&amp;(ROW()+22))</f>
        <v>1.13098073e-11</v>
      </c>
      <c r="FC6" s="580">
        <f ca="1">SUM(FB$3,-LN(1-FC$3)/EW6)</f>
        <v>4.44800891276105e-22</v>
      </c>
      <c r="FD6" s="580">
        <f>FD$3/24/3600</f>
        <v>1157407407407410</v>
      </c>
      <c r="FE6" s="582">
        <f ca="1" t="shared" si="89"/>
        <v>0.995397908415449</v>
      </c>
      <c r="FF6" s="582">
        <f ca="1" t="shared" si="90"/>
        <v>0.995423198165471</v>
      </c>
      <c r="FG6" s="582">
        <f t="shared" si="91"/>
        <v>0</v>
      </c>
      <c r="FH6" s="582">
        <f ca="1" t="shared" si="92"/>
        <v>21021.4102694358</v>
      </c>
      <c r="FI6" s="582">
        <f ca="1" t="shared" si="93"/>
        <v>5.44230810434898e-26</v>
      </c>
      <c r="FJ6" s="582">
        <f ca="1" t="shared" si="94"/>
        <v>-3.93287771838162e-11</v>
      </c>
      <c r="FK6" s="580">
        <f ca="1" t="shared" si="95"/>
        <v>1850123030850060</v>
      </c>
      <c r="FL6" s="580">
        <f ca="1" t="shared" si="96"/>
        <v>58752561072</v>
      </c>
      <c r="FM6" s="586">
        <f ca="1" t="shared" si="97"/>
        <v>2.25790774816926e-26</v>
      </c>
      <c r="FN6" s="594">
        <f ca="1" t="shared" si="98"/>
        <v>-2.25790774816926e-26</v>
      </c>
      <c r="FO6" s="580">
        <f ca="1" t="shared" si="99"/>
        <v>47113452233.9378</v>
      </c>
      <c r="FP6" s="580">
        <f ca="1" t="shared" si="100"/>
        <v>3.52846640925785e-5</v>
      </c>
      <c r="FQ6" s="595">
        <f ca="1" t="shared" si="101"/>
        <v>3.52846640926992e-5</v>
      </c>
      <c r="FR6" s="608" t="str">
        <f t="shared" si="102"/>
        <v>Kr-85</v>
      </c>
      <c r="FS6" s="609">
        <v>1710000000</v>
      </c>
      <c r="FT6" s="610">
        <v>34200000</v>
      </c>
      <c r="FU6" s="610">
        <v>98400000</v>
      </c>
      <c r="FV6" s="610">
        <v>246000000</v>
      </c>
      <c r="FW6" s="610">
        <v>2090000000</v>
      </c>
      <c r="FX6" s="614">
        <f ca="1" t="shared" si="103"/>
        <v>0.112396893316068</v>
      </c>
      <c r="FY6" s="614">
        <f ca="1" t="shared" si="104"/>
        <v>5.55678069725639e-14</v>
      </c>
      <c r="FZ6" s="614">
        <f ca="1" t="shared" si="105"/>
        <v>1.72010384663147e-14</v>
      </c>
      <c r="GA6" s="614">
        <f ca="1" t="shared" si="106"/>
        <v>5.06245842938132e-14</v>
      </c>
      <c r="GB6" s="614">
        <f ca="1" t="shared" si="107"/>
        <v>0.0919610945313362</v>
      </c>
      <c r="GC6" s="455">
        <f ca="1" t="shared" si="108"/>
        <v>0.0919610945313531</v>
      </c>
      <c r="GE6" s="609">
        <v>344912399.137776</v>
      </c>
      <c r="GF6" s="610">
        <v>48589529.562346</v>
      </c>
      <c r="GG6" s="610">
        <v>104276496.307748</v>
      </c>
      <c r="GH6" s="610">
        <v>150434983.759559</v>
      </c>
      <c r="GI6" s="610">
        <v>286420913.446382</v>
      </c>
      <c r="GJ6" s="610">
        <v>1510069381.54833</v>
      </c>
      <c r="GK6" s="617">
        <v>2444703703.76214</v>
      </c>
      <c r="GL6" s="614">
        <f ca="1" t="shared" si="109"/>
        <v>0.557239136809641</v>
      </c>
      <c r="GM6" s="614">
        <f ca="1" t="shared" si="110"/>
        <v>3.91116978406475e-14</v>
      </c>
      <c r="GN6" s="614">
        <f ca="1" t="shared" si="111"/>
        <v>1.62316748741739e-14</v>
      </c>
      <c r="GO6" s="614">
        <f ca="1" t="shared" si="112"/>
        <v>2.85074502048148e-14</v>
      </c>
      <c r="GP6" s="614">
        <f ca="1" t="shared" si="113"/>
        <v>2.33662535800312e-14</v>
      </c>
      <c r="GQ6" s="614">
        <f ca="1" t="shared" si="114"/>
        <v>0.0786183975075403</v>
      </c>
      <c r="GR6" s="451">
        <f t="shared" si="115"/>
        <v>2.04207062814938e-9</v>
      </c>
      <c r="GS6" s="390">
        <f t="shared" si="116"/>
        <v>339433500.000001</v>
      </c>
    </row>
    <row r="7" spans="1:201">
      <c r="A7" s="413"/>
      <c r="B7" s="407" t="s">
        <v>252</v>
      </c>
      <c r="C7" s="415">
        <v>0</v>
      </c>
      <c r="D7" s="409" t="s">
        <v>253</v>
      </c>
      <c r="E7" s="410" t="s">
        <v>254</v>
      </c>
      <c r="G7" s="411" t="s">
        <v>48</v>
      </c>
      <c r="H7" s="412">
        <f ca="1" t="shared" si="1"/>
        <v>3490049630.55485</v>
      </c>
      <c r="I7" s="412">
        <f ca="1" t="shared" si="2"/>
        <v>2.35925203273487e-5</v>
      </c>
      <c r="J7" s="412">
        <f ca="1" t="shared" si="3"/>
        <v>5.09145669263054e-5</v>
      </c>
      <c r="K7" s="412">
        <f ca="1" t="shared" si="4"/>
        <v>4.50032902950407e-5</v>
      </c>
      <c r="L7" s="412">
        <f ca="1" t="shared" si="5"/>
        <v>1.00448087448403e-5</v>
      </c>
      <c r="M7" s="412">
        <f ca="1" t="shared" si="6"/>
        <v>3.17741454101736e-11</v>
      </c>
      <c r="N7" s="412">
        <f ca="1" t="shared" si="7"/>
        <v>3490049630.55498</v>
      </c>
      <c r="O7" s="450">
        <f ca="1" t="shared" si="8"/>
        <v>3490049630.55485</v>
      </c>
      <c r="P7" s="451"/>
      <c r="Q7" s="477" t="str">
        <f t="shared" si="0"/>
        <v>Kr-85m</v>
      </c>
      <c r="R7" s="412">
        <f ca="1" t="shared" si="9"/>
        <v>3490049630.55485</v>
      </c>
      <c r="S7" s="412">
        <f ca="1">I7*(1-过滤效率!$B4)</f>
        <v>2.35925203273487e-5</v>
      </c>
      <c r="T7" s="412">
        <f ca="1">J7*(1-过滤效率!$B4)</f>
        <v>5.09145669263054e-5</v>
      </c>
      <c r="U7" s="412">
        <f ca="1">K7*(1-过滤效率!$B4)</f>
        <v>4.50032902950407e-5</v>
      </c>
      <c r="V7" s="412">
        <f ca="1">L7*(1-过滤效率!$B4)</f>
        <v>1.00448087448403e-5</v>
      </c>
      <c r="W7" s="412">
        <f ca="1">M7*(1-过滤效率!$B4)</f>
        <v>3.17741454101736e-11</v>
      </c>
      <c r="X7" s="412">
        <f ca="1" t="shared" si="10"/>
        <v>3490049630.55498</v>
      </c>
      <c r="Y7" s="493"/>
      <c r="Z7" s="494">
        <f>VLOOKUP(G7,衰变常数!$A$1:$H$3800,7,FALSE)</f>
        <v>4.29778757787664e-5</v>
      </c>
      <c r="AA7" s="495">
        <f>正常源项!C4</f>
        <v>6.59e+16</v>
      </c>
      <c r="AB7" s="496">
        <f>正常源项!F4</f>
        <v>0</v>
      </c>
      <c r="AC7" s="496">
        <f>正常源项!I4</f>
        <v>17900000000</v>
      </c>
      <c r="AD7" s="496">
        <f>正常源项!L4</f>
        <v>1580000000</v>
      </c>
      <c r="AE7" s="497"/>
      <c r="AF7" s="498"/>
      <c r="AG7" s="483"/>
      <c r="AH7" s="518"/>
      <c r="AI7" s="483"/>
      <c r="AJ7" s="521"/>
      <c r="AK7" s="521"/>
      <c r="AL7" s="519">
        <f t="shared" si="11"/>
        <v>9641170</v>
      </c>
      <c r="AM7" s="520">
        <f t="shared" si="12"/>
        <v>276780000000</v>
      </c>
      <c r="AN7" s="519">
        <f ca="1">MAX(INDIRECT("'"&amp;$B$2&amp;"-事故进程'!Y"&amp;(ROW()+22)),INDIRECT("'"&amp;$B$2&amp;"-事故进程'!Z"&amp;(ROW()+22)),INDIRECT("'"&amp;$B$2&amp;"-事故进程'!AA"&amp;(ROW()+22)))</f>
        <v>1.10287476883107e-10</v>
      </c>
      <c r="AO7" s="519">
        <f ca="1" t="shared" si="13"/>
        <v>72648222.49331</v>
      </c>
      <c r="AP7" s="560">
        <f t="shared" si="14"/>
        <v>6.58716836651773e+16</v>
      </c>
      <c r="AQ7" s="561">
        <f ca="1">(AC7*$C$5+AD7*$C$8+AF7+AG7+AI7+(AL7+AM7)*$C$10)*EXP(-Z7*$C$12*3600)+AO7*$C$11</f>
        <v>19544277931.1072</v>
      </c>
      <c r="AR7" s="562">
        <f ca="1">AQ7*(1-AR$3)</f>
        <v>16054228300.5523</v>
      </c>
      <c r="AS7" s="563">
        <f ca="1" t="shared" si="15"/>
        <v>3490049630.55485</v>
      </c>
      <c r="AT7" s="562">
        <f ca="1">AS7*(1-AT$3)</f>
        <v>0</v>
      </c>
      <c r="AU7" s="564">
        <f ca="1" t="shared" si="16"/>
        <v>3490049630.55485</v>
      </c>
      <c r="AV7" s="565">
        <f>AV$3*3600</f>
        <v>7200</v>
      </c>
      <c r="AW7" s="580">
        <f>AP7*EXP(-Z7*AW$3*3600)</f>
        <v>6.58716836651773e+16</v>
      </c>
      <c r="AX7" s="580">
        <f ca="1" t="shared" si="17"/>
        <v>16054228300.5523</v>
      </c>
      <c r="AY7" s="581">
        <f ca="1" t="shared" si="18"/>
        <v>0</v>
      </c>
      <c r="AZ7" s="580">
        <v>0</v>
      </c>
      <c r="BA7" s="580">
        <f ca="1">MAX(INDIRECT("'"&amp;$B$2&amp;"-事故进程'!Y"&amp;(ROW()+22)),INDIRECT("'"&amp;$B$2&amp;"-事故进程'!Z"&amp;(ROW()+22)))</f>
        <v>5.06760369035609e-11</v>
      </c>
      <c r="BB7" s="580">
        <f>SUM(BA$3,-LN(1-BB$3)/AV7)</f>
        <v>1.38777878078145e-19</v>
      </c>
      <c r="BC7" s="580">
        <f>BC$3/24/3600</f>
        <v>1157407407407410</v>
      </c>
      <c r="BD7" s="582">
        <f ca="1" t="shared" si="19"/>
        <v>0.733857015970024</v>
      </c>
      <c r="BE7" s="582">
        <f t="shared" si="20"/>
        <v>0.733857283730622</v>
      </c>
      <c r="BF7" s="582">
        <f t="shared" si="21"/>
        <v>0</v>
      </c>
      <c r="BG7" s="582">
        <f ca="1" t="shared" si="22"/>
        <v>3338116.68588087</v>
      </c>
      <c r="BH7" s="582">
        <f ca="1" t="shared" si="23"/>
        <v>-1.92496758140109e-24</v>
      </c>
      <c r="BI7" s="582">
        <f ca="1" t="shared" si="24"/>
        <v>-2.73853061403151e-9</v>
      </c>
      <c r="BJ7" s="580">
        <f ca="1" t="shared" si="25"/>
        <v>4.83403972114484e+16</v>
      </c>
      <c r="BK7" s="580">
        <f ca="1" t="shared" si="26"/>
        <v>29419353808</v>
      </c>
      <c r="BL7" s="586">
        <f ca="1" t="shared" si="27"/>
        <v>3.52750074877641e-24</v>
      </c>
      <c r="BM7" s="594">
        <f ca="1" t="shared" si="28"/>
        <v>8</v>
      </c>
      <c r="BN7" s="580">
        <f ca="1" t="shared" si="29"/>
        <v>20671451430.5464</v>
      </c>
      <c r="BO7" s="580">
        <f ca="1" t="shared" si="30"/>
        <v>2.35925203211374e-5</v>
      </c>
      <c r="BP7" s="595">
        <f ca="1" t="shared" si="31"/>
        <v>2.35925203273487e-5</v>
      </c>
      <c r="BQ7" s="596">
        <f>BQ$3*3600</f>
        <v>21600</v>
      </c>
      <c r="BR7" s="580">
        <f ca="1" t="shared" ref="BR7:BU7" si="122">BJ7</f>
        <v>4.83403972114484e+16</v>
      </c>
      <c r="BS7" s="580">
        <f ca="1" t="shared" si="122"/>
        <v>29419353808</v>
      </c>
      <c r="BT7" s="581">
        <f ca="1" t="shared" si="122"/>
        <v>3.52750074877641e-24</v>
      </c>
      <c r="BU7" s="580">
        <f ca="1" t="shared" si="122"/>
        <v>8</v>
      </c>
      <c r="BV7" s="580">
        <f ca="1">MAX(INDIRECT("'"&amp;$B$2&amp;"-事故进程'!Z"&amp;(ROW()+22)),INDIRECT("'"&amp;$B$2&amp;"-事故进程'!AA"&amp;(ROW()+22)))</f>
        <v>1.10287476883107e-10</v>
      </c>
      <c r="BW7" s="580">
        <f ca="1">SUM(BV$3,-LN(1-BW$3)/BQ7)</f>
        <v>4.62592926927149e-20</v>
      </c>
      <c r="BX7" s="580">
        <f>BX$3/24/3600</f>
        <v>1157407407407410</v>
      </c>
      <c r="BY7" s="582">
        <f ca="1" t="shared" si="33"/>
        <v>0.39521533962115</v>
      </c>
      <c r="BZ7" s="582">
        <f ca="1" t="shared" si="34"/>
        <v>0.395216281108008</v>
      </c>
      <c r="CA7" s="582">
        <f t="shared" si="35"/>
        <v>0</v>
      </c>
      <c r="CB7" s="582">
        <f ca="1" t="shared" si="36"/>
        <v>5331343.68456411</v>
      </c>
      <c r="CC7" s="582">
        <f ca="1" t="shared" si="37"/>
        <v>2.35166716595593e-24</v>
      </c>
      <c r="CD7" s="582">
        <f ca="1" t="shared" si="38"/>
        <v>-4.19442841739394e-10</v>
      </c>
      <c r="CE7" s="580">
        <f ca="1" t="shared" si="39"/>
        <v>1.91048665013439e+16</v>
      </c>
      <c r="CF7" s="580">
        <f ca="1" t="shared" si="40"/>
        <v>57138856304</v>
      </c>
      <c r="CG7" s="586">
        <f ca="1" t="shared" si="41"/>
        <v>2.28372745916503e-24</v>
      </c>
      <c r="CH7" s="594">
        <f ca="1" t="shared" si="42"/>
        <v>-2.28372745916503e-24</v>
      </c>
      <c r="CI7" s="580">
        <f ca="1" t="shared" si="43"/>
        <v>75022429212.6271</v>
      </c>
      <c r="CJ7" s="580">
        <f ca="1" t="shared" si="44"/>
        <v>5.09145669208957e-5</v>
      </c>
      <c r="CK7" s="595">
        <f ca="1" t="shared" si="45"/>
        <v>5.09145669263054e-5</v>
      </c>
      <c r="CL7" s="596">
        <f>CL$3*3600</f>
        <v>57600</v>
      </c>
      <c r="CM7" s="580">
        <f ca="1" t="shared" ref="CM7:CP7" si="123">CE7</f>
        <v>1.91048665013439e+16</v>
      </c>
      <c r="CN7" s="580">
        <f ca="1" t="shared" si="123"/>
        <v>57138856304</v>
      </c>
      <c r="CO7" s="581">
        <f ca="1" t="shared" si="123"/>
        <v>2.28372745916503e-24</v>
      </c>
      <c r="CP7" s="580">
        <f ca="1" t="shared" si="123"/>
        <v>-2.28372745916503e-24</v>
      </c>
      <c r="CQ7" s="580">
        <f ca="1">MAX(INDIRECT("'"&amp;$B$2&amp;"-事故进程'!AA"&amp;(ROW()+22)),INDIRECT("'"&amp;$B$2&amp;"-事故进程'!AB"&amp;(ROW()+22)))</f>
        <v>1.88079648325236e-10</v>
      </c>
      <c r="CR7" s="580">
        <f ca="1">SUM(CQ$3,-LN(1-CR$3)/CL7)</f>
        <v>1.73472347597681e-20</v>
      </c>
      <c r="CS7" s="580">
        <f>CS$3/24/3600</f>
        <v>1157407407407410</v>
      </c>
      <c r="CT7" s="582">
        <f ca="1" t="shared" si="47"/>
        <v>0.084117850753293</v>
      </c>
      <c r="CU7" s="582">
        <f ca="1" t="shared" si="48"/>
        <v>0.0841187620395224</v>
      </c>
      <c r="CV7" s="582">
        <f t="shared" si="49"/>
        <v>0</v>
      </c>
      <c r="CW7" s="582">
        <f ca="1" t="shared" si="50"/>
        <v>3593247.31952934</v>
      </c>
      <c r="CX7" s="582">
        <f ca="1" t="shared" si="51"/>
        <v>1.42732966192747e-24</v>
      </c>
      <c r="CY7" s="582">
        <f ca="1" t="shared" si="52"/>
        <v>-9.22334495828619e-11</v>
      </c>
      <c r="CZ7" s="580">
        <f ca="1" t="shared" si="53"/>
        <v>1607060309021630</v>
      </c>
      <c r="DA7" s="580">
        <f ca="1" t="shared" si="54"/>
        <v>22216451615.5</v>
      </c>
      <c r="DB7" s="586">
        <f ca="1" t="shared" si="55"/>
        <v>3.32980417470445e-25</v>
      </c>
      <c r="DC7" s="594">
        <f ca="1" t="shared" si="56"/>
        <v>0.75</v>
      </c>
      <c r="DD7" s="580">
        <f ca="1" t="shared" si="57"/>
        <v>76573510755.5517</v>
      </c>
      <c r="DE7" s="580">
        <f ca="1" t="shared" si="58"/>
        <v>4.50032902948289e-5</v>
      </c>
      <c r="DF7" s="595">
        <f ca="1" t="shared" si="59"/>
        <v>4.50032902950407e-5</v>
      </c>
      <c r="DG7" s="596">
        <f>DG$3*3600</f>
        <v>86400</v>
      </c>
      <c r="DH7" s="580">
        <f ca="1" t="shared" ref="DH7:DK7" si="124">CZ7</f>
        <v>1607060309021630</v>
      </c>
      <c r="DI7" s="580">
        <f ca="1" t="shared" si="124"/>
        <v>22216451615.5</v>
      </c>
      <c r="DJ7" s="581">
        <f ca="1" t="shared" si="124"/>
        <v>3.32980417470445e-25</v>
      </c>
      <c r="DK7" s="580">
        <f ca="1" t="shared" si="124"/>
        <v>0.75</v>
      </c>
      <c r="DL7" s="580">
        <f ca="1">MAX(INDIRECT("'"&amp;$B$2&amp;"-事故进程'!AB"&amp;(ROW()+22)),INDIRECT("'"&amp;$B$2&amp;"-事故进程'!AC"&amp;(ROW()+22)))</f>
        <v>4.36554377573549e-10</v>
      </c>
      <c r="DM7" s="580">
        <f ca="1">SUM(DL$3,-LN(1-DM$3)/DG7)</f>
        <v>1.15648231731787e-20</v>
      </c>
      <c r="DN7" s="580">
        <f>DN$3/24/3600</f>
        <v>1157407407407410</v>
      </c>
      <c r="DO7" s="582">
        <f ca="1" t="shared" si="61"/>
        <v>0.0243962417402905</v>
      </c>
      <c r="DP7" s="582">
        <f ca="1" t="shared" si="62"/>
        <v>0.024397161942366</v>
      </c>
      <c r="DQ7" s="582">
        <f t="shared" si="63"/>
        <v>0</v>
      </c>
      <c r="DR7" s="582">
        <f ca="1" t="shared" si="64"/>
        <v>701578.911617299</v>
      </c>
      <c r="DS7" s="582">
        <f ca="1" t="shared" si="65"/>
        <v>1.10993472489455e-25</v>
      </c>
      <c r="DT7" s="582">
        <f ca="1" t="shared" si="66"/>
        <v>-2.64911400906447e-11</v>
      </c>
      <c r="DU7" s="580">
        <f ca="1" t="shared" si="67"/>
        <v>39206231790117.6</v>
      </c>
      <c r="DV7" s="580">
        <f ca="1" t="shared" si="68"/>
        <v>2020838599.79687</v>
      </c>
      <c r="DW7" s="586">
        <f ca="1" t="shared" si="69"/>
        <v>2.01922338828392e-26</v>
      </c>
      <c r="DX7" s="594">
        <f ca="1" t="shared" si="70"/>
        <v>0.0234375</v>
      </c>
      <c r="DY7" s="580">
        <f ca="1" t="shared" si="71"/>
        <v>15925556953.1547</v>
      </c>
      <c r="DZ7" s="580">
        <f ca="1" t="shared" si="72"/>
        <v>9.719767111056e-6</v>
      </c>
      <c r="EA7" s="595">
        <f ca="1" t="shared" si="73"/>
        <v>9.71976711103602e-6</v>
      </c>
      <c r="EB7" s="596">
        <f>EB$3*3600</f>
        <v>172800</v>
      </c>
      <c r="EC7" s="580">
        <f ca="1" t="shared" ref="EC7:EF7" si="125">DU7</f>
        <v>39206231790117.6</v>
      </c>
      <c r="ED7" s="580">
        <f ca="1" t="shared" si="125"/>
        <v>2020838599.79687</v>
      </c>
      <c r="EE7" s="581">
        <f ca="1" t="shared" si="125"/>
        <v>2.01922338828392e-26</v>
      </c>
      <c r="EF7" s="580">
        <f ca="1" t="shared" si="125"/>
        <v>0.0234375</v>
      </c>
      <c r="EG7" s="580">
        <f ca="1">MAX(INDIRECT("'"&amp;$B$2&amp;"-事故进程'!AC"&amp;(ROW()+22)),INDIRECT("'"&amp;$B$2&amp;"-事故进程'!AD"&amp;(ROW()+22)),INDIRECT("'"&amp;$B$2&amp;"-事故进程'!AE"&amp;(ROW()+22)))</f>
        <v>4.36554377573549e-10</v>
      </c>
      <c r="EH7" s="580">
        <f ca="1">SUM(EG$3,-LN(1-EH$3)/EB7)</f>
        <v>5.78241158658936e-21</v>
      </c>
      <c r="EI7" s="580">
        <f>EI$3/24/3600</f>
        <v>1157407407407410</v>
      </c>
      <c r="EJ7" s="582">
        <f ca="1" t="shared" si="75"/>
        <v>0.00059517661105069</v>
      </c>
      <c r="EK7" s="582">
        <f ca="1" t="shared" si="76"/>
        <v>0.000595221510842034</v>
      </c>
      <c r="EL7" s="582">
        <f t="shared" si="77"/>
        <v>0</v>
      </c>
      <c r="EM7" s="582">
        <f ca="1" t="shared" si="78"/>
        <v>17116.5343220762</v>
      </c>
      <c r="EN7" s="582">
        <f ca="1" t="shared" si="79"/>
        <v>1.00961169413833e-26</v>
      </c>
      <c r="EO7" s="582">
        <f ca="1" t="shared" si="80"/>
        <v>-1.32455700451469e-11</v>
      </c>
      <c r="EP7" s="580">
        <f ca="1" t="shared" si="81"/>
        <v>23334632168.91</v>
      </c>
      <c r="EQ7" s="580">
        <f ca="1" t="shared" si="82"/>
        <v>2963198.23129272</v>
      </c>
      <c r="ER7" s="586">
        <f ca="1" t="shared" si="83"/>
        <v>1.48041490630667e-29</v>
      </c>
      <c r="ES7" s="594">
        <f ca="1" t="shared" si="84"/>
        <v>1.1444091796875e-5</v>
      </c>
      <c r="ET7" s="580">
        <f ca="1" t="shared" si="85"/>
        <v>398002256.294398</v>
      </c>
      <c r="EU7" s="580">
        <f ca="1" t="shared" si="86"/>
        <v>3.25041633804075e-7</v>
      </c>
      <c r="EV7" s="595">
        <f ca="1" t="shared" si="87"/>
        <v>3.25041633804328e-7</v>
      </c>
      <c r="EW7" s="596">
        <f>EW$3*3600</f>
        <v>2246400</v>
      </c>
      <c r="EX7" s="580">
        <f ca="1" t="shared" ref="EX7:FA7" si="126">EP7</f>
        <v>23334632168.91</v>
      </c>
      <c r="EY7" s="580">
        <f ca="1" t="shared" si="126"/>
        <v>2963198.23129272</v>
      </c>
      <c r="EZ7" s="581">
        <f ca="1" t="shared" si="126"/>
        <v>1.48041490630667e-29</v>
      </c>
      <c r="FA7" s="580">
        <f ca="1" t="shared" si="126"/>
        <v>1.1444091796875e-5</v>
      </c>
      <c r="FB7" s="580">
        <f ca="1">INDIRECT("'"&amp;$B$2&amp;"-事故进程'!AE"&amp;(ROW()+22))</f>
        <v>1.96901790136962e-10</v>
      </c>
      <c r="FC7" s="580">
        <f ca="1">SUM(FB$3,-LN(1-FC$3)/EW7)</f>
        <v>4.44800891276105e-22</v>
      </c>
      <c r="FD7" s="580">
        <f>FD$3/24/3600</f>
        <v>1157407407407410</v>
      </c>
      <c r="FE7" s="582">
        <f ca="1" t="shared" si="89"/>
        <v>1.17660295644595e-42</v>
      </c>
      <c r="FF7" s="582">
        <f ca="1" t="shared" si="90"/>
        <v>1.1771235067955e-42</v>
      </c>
      <c r="FG7" s="582">
        <f t="shared" si="91"/>
        <v>0</v>
      </c>
      <c r="FH7" s="582">
        <f ca="1" t="shared" si="92"/>
        <v>4.5952143052822</v>
      </c>
      <c r="FI7" s="582">
        <f ca="1" t="shared" si="93"/>
        <v>1.36653683659056e-29</v>
      </c>
      <c r="FJ7" s="582">
        <f ca="1" t="shared" si="94"/>
        <v>-2.25899871691218e-12</v>
      </c>
      <c r="FK7" s="580">
        <f ca="1" t="shared" si="95"/>
        <v>2.74555971975183e-32</v>
      </c>
      <c r="FL7" s="580">
        <f ca="1" t="shared" si="96"/>
        <v>1.56349012254513e-35</v>
      </c>
      <c r="FM7" s="586">
        <f ca="1" t="shared" si="97"/>
        <v>6.00861715208084e-72</v>
      </c>
      <c r="FN7" s="594">
        <f ca="1" t="shared" si="98"/>
        <v>-1.64214663788065e-47</v>
      </c>
      <c r="FO7" s="580">
        <f ca="1" t="shared" si="99"/>
        <v>106906.395742696</v>
      </c>
      <c r="FP7" s="580">
        <f ca="1" t="shared" si="100"/>
        <v>3.17741454101902e-11</v>
      </c>
      <c r="FQ7" s="595">
        <f ca="1" t="shared" si="101"/>
        <v>3.17741454101736e-11</v>
      </c>
      <c r="FR7" s="608" t="str">
        <f t="shared" si="102"/>
        <v>Kr-85m</v>
      </c>
      <c r="FS7" s="609">
        <v>25800000000</v>
      </c>
      <c r="FT7" s="610">
        <v>10200000000</v>
      </c>
      <c r="FU7" s="610">
        <v>5430000000</v>
      </c>
      <c r="FV7" s="610">
        <v>383000000</v>
      </c>
      <c r="FW7" s="610">
        <v>41900000000</v>
      </c>
      <c r="FX7" s="614">
        <f ca="1" t="shared" si="103"/>
        <v>0.135273241494374</v>
      </c>
      <c r="FY7" s="614">
        <f ca="1" t="shared" si="104"/>
        <v>7.30461639741707e-15</v>
      </c>
      <c r="FZ7" s="614">
        <f ca="1" t="shared" si="105"/>
        <v>8.28789876520087e-15</v>
      </c>
      <c r="GA7" s="614">
        <f ca="1" t="shared" si="106"/>
        <v>2.62266546862672e-14</v>
      </c>
      <c r="GB7" s="614">
        <f ca="1" t="shared" si="107"/>
        <v>0.0832947405860377</v>
      </c>
      <c r="GC7" s="455">
        <f ca="1" t="shared" si="108"/>
        <v>0.0832947405860377</v>
      </c>
      <c r="GE7" s="609">
        <v>5259743761.79492</v>
      </c>
      <c r="GF7" s="610">
        <v>976546118.342223</v>
      </c>
      <c r="GG7" s="610">
        <v>622523452.601644</v>
      </c>
      <c r="GH7" s="610">
        <v>64174600.6380256</v>
      </c>
      <c r="GI7" s="610">
        <v>3576578.05754994</v>
      </c>
      <c r="GJ7" s="610">
        <v>836.702638547422</v>
      </c>
      <c r="GK7" s="617">
        <v>6926565348.137</v>
      </c>
      <c r="GL7" s="614">
        <f ca="1" t="shared" si="109"/>
        <v>0.663539858330257</v>
      </c>
      <c r="GM7" s="614">
        <f ca="1" t="shared" si="110"/>
        <v>7.62965372082342e-14</v>
      </c>
      <c r="GN7" s="614">
        <f ca="1" t="shared" si="111"/>
        <v>7.22917186604993e-14</v>
      </c>
      <c r="GO7" s="614">
        <f ca="1" t="shared" si="112"/>
        <v>1.48260280311497e-13</v>
      </c>
      <c r="GP7" s="614">
        <f ca="1" t="shared" si="113"/>
        <v>3.79754335008861e-14</v>
      </c>
      <c r="GQ7" s="614">
        <f ca="1" t="shared" si="114"/>
        <v>0.503864390955855</v>
      </c>
      <c r="GR7" s="451">
        <f t="shared" si="115"/>
        <v>4.29778757787664e-5</v>
      </c>
      <c r="GS7" s="390">
        <f t="shared" si="116"/>
        <v>16128</v>
      </c>
    </row>
    <row r="8" spans="1:201">
      <c r="A8" s="413"/>
      <c r="B8" s="407" t="s">
        <v>255</v>
      </c>
      <c r="C8" s="416">
        <v>1</v>
      </c>
      <c r="D8" s="409" t="s">
        <v>249</v>
      </c>
      <c r="E8" s="410"/>
      <c r="G8" s="411" t="s">
        <v>49</v>
      </c>
      <c r="H8" s="412">
        <f ca="1" t="shared" si="1"/>
        <v>3607450840.89691</v>
      </c>
      <c r="I8" s="412">
        <f ca="1" t="shared" si="2"/>
        <v>3.19546902121743e-5</v>
      </c>
      <c r="J8" s="412">
        <f ca="1" t="shared" si="3"/>
        <v>2.53340917952407e-5</v>
      </c>
      <c r="K8" s="412">
        <f ca="1" t="shared" si="4"/>
        <v>1.42755807194002e-6</v>
      </c>
      <c r="L8" s="412">
        <f ca="1" t="shared" si="5"/>
        <v>6.36412873914127e-10</v>
      </c>
      <c r="M8" s="412">
        <f ca="1" t="shared" si="6"/>
        <v>1.73602379911058e-27</v>
      </c>
      <c r="N8" s="412">
        <f ca="1" t="shared" si="7"/>
        <v>3607450840.89697</v>
      </c>
      <c r="O8" s="450">
        <f ca="1" t="shared" si="8"/>
        <v>3607450840.89691</v>
      </c>
      <c r="P8" s="451"/>
      <c r="Q8" s="477" t="str">
        <f t="shared" si="0"/>
        <v>Kr-87</v>
      </c>
      <c r="R8" s="412">
        <f ca="1" t="shared" si="9"/>
        <v>3607450840.89691</v>
      </c>
      <c r="S8" s="412">
        <f ca="1">I8*(1-过滤效率!$B5)</f>
        <v>3.19546902121743e-5</v>
      </c>
      <c r="T8" s="412">
        <f ca="1">J8*(1-过滤效率!$B5)</f>
        <v>2.53340917952407e-5</v>
      </c>
      <c r="U8" s="412">
        <f ca="1">K8*(1-过滤效率!$B5)</f>
        <v>1.42755807194002e-6</v>
      </c>
      <c r="V8" s="412">
        <f ca="1">L8*(1-过滤效率!$B5)</f>
        <v>6.36412873914127e-10</v>
      </c>
      <c r="W8" s="412">
        <f ca="1">M8*(1-过滤效率!$B5)</f>
        <v>1.73602379911058e-27</v>
      </c>
      <c r="X8" s="412">
        <f ca="1" t="shared" si="10"/>
        <v>3607450840.89697</v>
      </c>
      <c r="Y8" s="493"/>
      <c r="Z8" s="494">
        <f>VLOOKUP(G8,衰变常数!$A$1:$H$3800,7,FALSE)</f>
        <v>0.000151408296321525</v>
      </c>
      <c r="AA8" s="495">
        <f>正常源项!C5</f>
        <v>1.29e+17</v>
      </c>
      <c r="AB8" s="496">
        <f>正常源项!F5</f>
        <v>0</v>
      </c>
      <c r="AC8" s="496">
        <f>正常源项!I5</f>
        <v>19400000000</v>
      </c>
      <c r="AD8" s="496">
        <f>正常源项!L5</f>
        <v>567000000</v>
      </c>
      <c r="AE8" s="497"/>
      <c r="AF8" s="498"/>
      <c r="AG8" s="483"/>
      <c r="AH8" s="518"/>
      <c r="AI8" s="483"/>
      <c r="AJ8" s="521"/>
      <c r="AK8" s="521"/>
      <c r="AL8" s="519">
        <f t="shared" si="11"/>
        <v>18872700</v>
      </c>
      <c r="AM8" s="520">
        <f t="shared" si="12"/>
        <v>541800000000</v>
      </c>
      <c r="AN8" s="519">
        <f ca="1">MAX(INDIRECT("'"&amp;$B$2&amp;"-事故进程'!Y"&amp;(ROW()+22)),INDIRECT("'"&amp;$B$2&amp;"-事故进程'!Z"&amp;(ROW()+22)),INDIRECT("'"&amp;$B$2&amp;"-事故进程'!AA"&amp;(ROW()+22)))</f>
        <v>2.05686025602387e-10</v>
      </c>
      <c r="AO8" s="519">
        <f ca="1" t="shared" si="13"/>
        <v>264933528.448807</v>
      </c>
      <c r="AP8" s="560">
        <f t="shared" si="14"/>
        <v>1.28804831085994e+17</v>
      </c>
      <c r="AQ8" s="561">
        <f ca="1">(AC8*$C$5+AD8*$C$8+AF8+AG8+AI8+(AL8+AM8)*$C$10)*EXP(-Z8*$C$12*3600)+AO8*$C$11</f>
        <v>20201724709.0227</v>
      </c>
      <c r="AR8" s="562">
        <f ca="1">AQ8*(1-AR$3)</f>
        <v>16594273868.1258</v>
      </c>
      <c r="AS8" s="563">
        <f ca="1" t="shared" si="15"/>
        <v>3607450840.89691</v>
      </c>
      <c r="AT8" s="562">
        <f ca="1">AS8*(1-AT$3)</f>
        <v>0</v>
      </c>
      <c r="AU8" s="564">
        <f ca="1" t="shared" si="16"/>
        <v>3607450840.89691</v>
      </c>
      <c r="AV8" s="565">
        <f>AV$3*3600</f>
        <v>7200</v>
      </c>
      <c r="AW8" s="580">
        <f>AP8*EXP(-Z8*AW$3*3600)</f>
        <v>1.28804831085994e+17</v>
      </c>
      <c r="AX8" s="580">
        <f ca="1" t="shared" si="17"/>
        <v>16594273868.1258</v>
      </c>
      <c r="AY8" s="581">
        <f ca="1" t="shared" si="18"/>
        <v>0</v>
      </c>
      <c r="AZ8" s="580">
        <v>0</v>
      </c>
      <c r="BA8" s="580">
        <f ca="1">MAX(INDIRECT("'"&amp;$B$2&amp;"-事故进程'!Y"&amp;(ROW()+22)),INDIRECT("'"&amp;$B$2&amp;"-事故进程'!Z"&amp;(ROW()+22)))</f>
        <v>9.42700052103368e-11</v>
      </c>
      <c r="BB8" s="580">
        <f>SUM(BA$3,-LN(1-BB$3)/AV8)</f>
        <v>1.38777878078145e-19</v>
      </c>
      <c r="BC8" s="580">
        <f>BC$3/24/3600</f>
        <v>1157407407407410</v>
      </c>
      <c r="BD8" s="582">
        <f ca="1" t="shared" si="19"/>
        <v>0.336169288103533</v>
      </c>
      <c r="BE8" s="582">
        <f t="shared" si="20"/>
        <v>0.33616951627651</v>
      </c>
      <c r="BF8" s="582">
        <f t="shared" si="21"/>
        <v>0</v>
      </c>
      <c r="BG8" s="582">
        <f ca="1" t="shared" si="22"/>
        <v>12142433.6619354</v>
      </c>
      <c r="BH8" s="582">
        <f ca="1" t="shared" si="23"/>
        <v>-1.98972125193551e-24</v>
      </c>
      <c r="BI8" s="582">
        <f ca="1" t="shared" si="24"/>
        <v>-1.47213186180271e-9</v>
      </c>
      <c r="BJ8" s="580">
        <f ca="1" t="shared" si="25"/>
        <v>4.33002283704743e+16</v>
      </c>
      <c r="BK8" s="580">
        <f ca="1" t="shared" si="26"/>
        <v>34968270832</v>
      </c>
      <c r="BL8" s="586">
        <f ca="1" t="shared" si="27"/>
        <v>4.19283857562357e-24</v>
      </c>
      <c r="BM8" s="594">
        <f ca="1" t="shared" si="28"/>
        <v>-16</v>
      </c>
      <c r="BN8" s="580">
        <f ca="1" t="shared" si="29"/>
        <v>53236939591.0525</v>
      </c>
      <c r="BO8" s="580">
        <f ca="1" t="shared" si="30"/>
        <v>3.195469020173e-5</v>
      </c>
      <c r="BP8" s="595">
        <f ca="1" t="shared" si="31"/>
        <v>3.19546902121743e-5</v>
      </c>
      <c r="BQ8" s="596">
        <f>BQ$3*3600</f>
        <v>21600</v>
      </c>
      <c r="BR8" s="580">
        <f ca="1" t="shared" ref="BR8:BU8" si="127">BJ8</f>
        <v>4.33002283704743e+16</v>
      </c>
      <c r="BS8" s="580">
        <f ca="1" t="shared" si="127"/>
        <v>34968270832</v>
      </c>
      <c r="BT8" s="581">
        <f ca="1" t="shared" si="127"/>
        <v>4.19283857562357e-24</v>
      </c>
      <c r="BU8" s="580">
        <f ca="1" t="shared" si="127"/>
        <v>-16</v>
      </c>
      <c r="BV8" s="580">
        <f ca="1">MAX(INDIRECT("'"&amp;$B$2&amp;"-事故进程'!Z"&amp;(ROW()+22)),INDIRECT("'"&amp;$B$2&amp;"-事故进程'!AA"&amp;(ROW()+22)))</f>
        <v>2.05686025602387e-10</v>
      </c>
      <c r="BW8" s="580">
        <f ca="1">SUM(BV$3,-LN(1-BW$3)/BQ8)</f>
        <v>4.62592926927149e-20</v>
      </c>
      <c r="BX8" s="580">
        <f>BX$3/24/3600</f>
        <v>1157407407407410</v>
      </c>
      <c r="BY8" s="582">
        <f ca="1" t="shared" si="33"/>
        <v>0.0379903293146845</v>
      </c>
      <c r="BZ8" s="582">
        <f ca="1" t="shared" si="34"/>
        <v>0.0379904980991841</v>
      </c>
      <c r="CA8" s="582">
        <f t="shared" si="35"/>
        <v>0</v>
      </c>
      <c r="CB8" s="582">
        <f ca="1" t="shared" si="36"/>
        <v>8906259.07368322</v>
      </c>
      <c r="CC8" s="582">
        <f ca="1" t="shared" si="37"/>
        <v>2.79522571689904e-24</v>
      </c>
      <c r="CD8" s="582">
        <f ca="1" t="shared" si="38"/>
        <v>-2.24902457848755e-10</v>
      </c>
      <c r="CE8" s="580">
        <f ca="1" t="shared" si="39"/>
        <v>1644989935195360</v>
      </c>
      <c r="CF8" s="580">
        <f ca="1" t="shared" si="40"/>
        <v>8636869407.25</v>
      </c>
      <c r="CG8" s="586">
        <f ca="1" t="shared" si="41"/>
        <v>3.45198645966931e-25</v>
      </c>
      <c r="CH8" s="594">
        <f ca="1" t="shared" si="42"/>
        <v>-0.75</v>
      </c>
      <c r="CI8" s="580">
        <f ca="1" t="shared" si="43"/>
        <v>56587974424.6134</v>
      </c>
      <c r="CJ8" s="580">
        <f ca="1" t="shared" si="44"/>
        <v>2.53340917960245e-5</v>
      </c>
      <c r="CK8" s="595">
        <f ca="1" t="shared" si="45"/>
        <v>2.53340917952407e-5</v>
      </c>
      <c r="CL8" s="596">
        <f>CL$3*3600</f>
        <v>57600</v>
      </c>
      <c r="CM8" s="580">
        <f ca="1" t="shared" ref="CM8:CP8" si="128">CE8</f>
        <v>1644989935195360</v>
      </c>
      <c r="CN8" s="580">
        <f ca="1" t="shared" si="128"/>
        <v>8636869407.25</v>
      </c>
      <c r="CO8" s="581">
        <f ca="1" t="shared" si="128"/>
        <v>3.45198645966931e-25</v>
      </c>
      <c r="CP8" s="580">
        <f ca="1" t="shared" si="128"/>
        <v>-0.75</v>
      </c>
      <c r="CQ8" s="580">
        <f ca="1">MAX(INDIRECT("'"&amp;$B$2&amp;"-事故进程'!AA"&amp;(ROW()+22)),INDIRECT("'"&amp;$B$2&amp;"-事故进程'!AB"&amp;(ROW()+22)))</f>
        <v>3.52565599500059e-10</v>
      </c>
      <c r="CR8" s="580">
        <f ca="1">SUM(CQ$3,-LN(1-CR$3)/CL8)</f>
        <v>1.73472347597681e-20</v>
      </c>
      <c r="CS8" s="580">
        <f>CS$3/24/3600</f>
        <v>1157407407407410</v>
      </c>
      <c r="CT8" s="582">
        <f ca="1" t="shared" si="47"/>
        <v>0.00016310144710121</v>
      </c>
      <c r="CU8" s="582">
        <f ca="1" t="shared" si="48"/>
        <v>0.000163104759362908</v>
      </c>
      <c r="CV8" s="582">
        <f t="shared" si="49"/>
        <v>0</v>
      </c>
      <c r="CW8" s="582">
        <f ca="1" t="shared" si="50"/>
        <v>579969.907736756</v>
      </c>
      <c r="CX8" s="582">
        <f ca="1" t="shared" si="51"/>
        <v>2.15749153732702e-25</v>
      </c>
      <c r="CY8" s="582">
        <f ca="1" t="shared" si="52"/>
        <v>-4.92028569583083e-11</v>
      </c>
      <c r="CZ8" s="580">
        <f ca="1" t="shared" si="53"/>
        <v>268300238897.289</v>
      </c>
      <c r="DA8" s="580">
        <f ca="1" t="shared" si="54"/>
        <v>6857351.66201782</v>
      </c>
      <c r="DB8" s="586">
        <f ca="1" t="shared" si="55"/>
        <v>1.02778060992062e-28</v>
      </c>
      <c r="DC8" s="594">
        <f ca="1" t="shared" si="56"/>
        <v>0.000152587890625</v>
      </c>
      <c r="DD8" s="580">
        <f ca="1" t="shared" si="57"/>
        <v>3829849044.30023</v>
      </c>
      <c r="DE8" s="580">
        <f ca="1" t="shared" si="58"/>
        <v>1.42755807196066e-6</v>
      </c>
      <c r="DF8" s="595">
        <f ca="1" t="shared" si="59"/>
        <v>1.42755807194002e-6</v>
      </c>
      <c r="DG8" s="596">
        <f>DG$3*3600</f>
        <v>86400</v>
      </c>
      <c r="DH8" s="580">
        <f ca="1" t="shared" ref="DH8:DK8" si="129">CZ8</f>
        <v>268300238897.289</v>
      </c>
      <c r="DI8" s="580">
        <f ca="1" t="shared" si="129"/>
        <v>6857351.66201782</v>
      </c>
      <c r="DJ8" s="581">
        <f ca="1" t="shared" si="129"/>
        <v>1.02778060992062e-28</v>
      </c>
      <c r="DK8" s="580">
        <f ca="1" t="shared" si="129"/>
        <v>0.000152587890625</v>
      </c>
      <c r="DL8" s="580">
        <f ca="1">MAX(INDIRECT("'"&amp;$B$2&amp;"-事故进程'!AB"&amp;(ROW()+22)),INDIRECT("'"&amp;$B$2&amp;"-事故进程'!AC"&amp;(ROW()+22)))</f>
        <v>8.32204452660593e-10</v>
      </c>
      <c r="DM8" s="580">
        <f ca="1">SUM(DL$3,-LN(1-DM$3)/DG8)</f>
        <v>1.15648231731787e-20</v>
      </c>
      <c r="DN8" s="580">
        <f>DN$3/24/3600</f>
        <v>1157407407407410</v>
      </c>
      <c r="DO8" s="582">
        <f ca="1" t="shared" si="61"/>
        <v>2.08290145776933e-6</v>
      </c>
      <c r="DP8" s="582">
        <f ca="1" t="shared" si="62"/>
        <v>2.08305122890227e-6</v>
      </c>
      <c r="DQ8" s="582">
        <f t="shared" si="63"/>
        <v>0</v>
      </c>
      <c r="DR8" s="582">
        <f ca="1" t="shared" si="64"/>
        <v>223.286360178811</v>
      </c>
      <c r="DS8" s="582">
        <f ca="1" t="shared" si="65"/>
        <v>3.42593536639483e-29</v>
      </c>
      <c r="DT8" s="582">
        <f ca="1" t="shared" si="66"/>
        <v>-1.38966129493374e-11</v>
      </c>
      <c r="DU8" s="580">
        <f ca="1" t="shared" si="67"/>
        <v>558842.958719022</v>
      </c>
      <c r="DV8" s="580">
        <f ca="1" t="shared" si="68"/>
        <v>54.4678455572575</v>
      </c>
      <c r="DW8" s="586">
        <f ca="1" t="shared" si="69"/>
        <v>5.44243106154605e-34</v>
      </c>
      <c r="DX8" s="594">
        <f ca="1" t="shared" si="70"/>
        <v>-2.3283064365387e-10</v>
      </c>
      <c r="DY8" s="580">
        <f ca="1" t="shared" si="71"/>
        <v>1474681.15405154</v>
      </c>
      <c r="DZ8" s="580">
        <f ca="1" t="shared" si="72"/>
        <v>6.36410676433632e-10</v>
      </c>
      <c r="EA8" s="595">
        <f ca="1" t="shared" si="73"/>
        <v>6.36410676432936e-10</v>
      </c>
      <c r="EB8" s="596">
        <f>EB$3*3600</f>
        <v>172800</v>
      </c>
      <c r="EC8" s="580">
        <f ca="1" t="shared" ref="EC8:EF8" si="130">DU8</f>
        <v>558842.958719022</v>
      </c>
      <c r="ED8" s="580">
        <f ca="1" t="shared" si="130"/>
        <v>54.4678455572575</v>
      </c>
      <c r="EE8" s="581">
        <f ca="1" t="shared" si="130"/>
        <v>5.44243106154605e-34</v>
      </c>
      <c r="EF8" s="580">
        <f ca="1" t="shared" si="130"/>
        <v>-2.3283064365387e-10</v>
      </c>
      <c r="EG8" s="580">
        <f ca="1">MAX(INDIRECT("'"&amp;$B$2&amp;"-事故进程'!AC"&amp;(ROW()+22)),INDIRECT("'"&amp;$B$2&amp;"-事故进程'!AD"&amp;(ROW()+22)),INDIRECT("'"&amp;$B$2&amp;"-事故进程'!AE"&amp;(ROW()+22)))</f>
        <v>8.32204452660593e-10</v>
      </c>
      <c r="EH8" s="580">
        <f ca="1">SUM(EG$3,-LN(1-EH$3)/EB8)</f>
        <v>5.78241158658936e-21</v>
      </c>
      <c r="EI8" s="580">
        <f>EI$3/24/3600</f>
        <v>1157407407407410</v>
      </c>
      <c r="EJ8" s="582">
        <f ca="1" t="shared" si="75"/>
        <v>4.33847848277758e-12</v>
      </c>
      <c r="EK8" s="582">
        <f ca="1" t="shared" si="76"/>
        <v>4.33910242223128e-12</v>
      </c>
      <c r="EL8" s="582">
        <f t="shared" si="77"/>
        <v>0</v>
      </c>
      <c r="EM8" s="582">
        <f ca="1" t="shared" si="78"/>
        <v>0.000465116926967589</v>
      </c>
      <c r="EN8" s="582">
        <f ca="1" t="shared" si="79"/>
        <v>2.72121553077331e-34</v>
      </c>
      <c r="EO8" s="582">
        <f ca="1" t="shared" si="80"/>
        <v>-6.94830647462042e-12</v>
      </c>
      <c r="EP8" s="580">
        <f ca="1" t="shared" si="81"/>
        <v>2.42452815165424e-6</v>
      </c>
      <c r="EQ8" s="580">
        <f ca="1" t="shared" si="82"/>
        <v>5.85025730957921e-10</v>
      </c>
      <c r="ER8" s="586">
        <f ca="1" t="shared" si="83"/>
        <v>2.92279066428464e-45</v>
      </c>
      <c r="ES8" s="594">
        <f ca="1" t="shared" si="84"/>
        <v>-3.81164826264435e-21</v>
      </c>
      <c r="ET8" s="580">
        <f ca="1" t="shared" si="85"/>
        <v>3.07162192339136</v>
      </c>
      <c r="EU8" s="580">
        <f ca="1" t="shared" si="86"/>
        <v>2.19748119176026e-15</v>
      </c>
      <c r="EV8" s="595">
        <f ca="1" t="shared" si="87"/>
        <v>2.1974811917578e-15</v>
      </c>
      <c r="EW8" s="596">
        <f>EW$3*3600</f>
        <v>2246400</v>
      </c>
      <c r="EX8" s="580">
        <f ca="1" t="shared" ref="EX8:FA8" si="131">EP8</f>
        <v>2.42452815165424e-6</v>
      </c>
      <c r="EY8" s="580">
        <f ca="1" t="shared" si="131"/>
        <v>5.85025730957921e-10</v>
      </c>
      <c r="EZ8" s="581">
        <f ca="1" t="shared" si="131"/>
        <v>2.92279066428464e-45</v>
      </c>
      <c r="FA8" s="580">
        <f ca="1" t="shared" si="131"/>
        <v>-3.81164826264435e-21</v>
      </c>
      <c r="FB8" s="580">
        <f ca="1">INDIRECT("'"&amp;$B$2&amp;"-事故进程'!AE"&amp;(ROW()+22))</f>
        <v>3.69025004877795e-10</v>
      </c>
      <c r="FC8" s="580">
        <f ca="1">SUM(FB$3,-LN(1-FC$3)/EW8)</f>
        <v>4.44800891276105e-22</v>
      </c>
      <c r="FD8" s="580">
        <f>FD$3/24/3600</f>
        <v>1157407407407410</v>
      </c>
      <c r="FE8" s="582">
        <f ca="1" t="shared" si="89"/>
        <v>1.93125090191342e-148</v>
      </c>
      <c r="FF8" s="582">
        <f ca="1" t="shared" si="90"/>
        <v>1.93285252974654e-148</v>
      </c>
      <c r="FG8" s="582">
        <f t="shared" si="91"/>
        <v>0</v>
      </c>
      <c r="FH8" s="582">
        <f ca="1" t="shared" si="92"/>
        <v>8.94927402113778e-16</v>
      </c>
      <c r="FI8" s="582">
        <f ca="1" t="shared" si="93"/>
        <v>2.69796061318584e-45</v>
      </c>
      <c r="FJ8" s="582">
        <f ca="1" t="shared" si="94"/>
        <v>-1.20534079099583e-12</v>
      </c>
      <c r="FK8" s="580">
        <f ca="1" t="shared" si="95"/>
        <v>4.68237217959674e-154</v>
      </c>
      <c r="FL8" s="580">
        <f ca="1" t="shared" si="96"/>
        <v>5.01396023390582e-157</v>
      </c>
      <c r="FM8" s="586">
        <f ca="1" t="shared" si="97"/>
        <v>1.92690487946722e-193</v>
      </c>
      <c r="FN8" s="594">
        <f ca="1" t="shared" si="98"/>
        <v>-1.12613733831782e-168</v>
      </c>
      <c r="FO8" s="580">
        <f ca="1" t="shared" si="99"/>
        <v>5.90924905746198e-12</v>
      </c>
      <c r="FP8" s="580">
        <f ca="1" t="shared" si="100"/>
        <v>1.73602379911137e-27</v>
      </c>
      <c r="FQ8" s="595">
        <f ca="1" t="shared" si="101"/>
        <v>1.73602379911058e-27</v>
      </c>
      <c r="FR8" s="608" t="str">
        <f t="shared" si="102"/>
        <v>Kr-87</v>
      </c>
      <c r="FS8" s="609">
        <v>27500000000</v>
      </c>
      <c r="FT8" s="610">
        <v>14800000000</v>
      </c>
      <c r="FU8" s="610">
        <v>275000000</v>
      </c>
      <c r="FV8" s="610">
        <v>35400</v>
      </c>
      <c r="FW8" s="610">
        <v>42600000000</v>
      </c>
      <c r="FX8" s="614">
        <f ca="1" t="shared" si="103"/>
        <v>0.13118003057807</v>
      </c>
      <c r="FY8" s="614">
        <f ca="1" t="shared" si="104"/>
        <v>3.87086364914966e-15</v>
      </c>
      <c r="FZ8" s="614">
        <f ca="1" t="shared" si="105"/>
        <v>5.19112026160006e-15</v>
      </c>
      <c r="GA8" s="614">
        <f ca="1" t="shared" si="106"/>
        <v>1.79777647998341e-14</v>
      </c>
      <c r="GB8" s="614">
        <f ca="1" t="shared" si="107"/>
        <v>0.0846819446219946</v>
      </c>
      <c r="GC8" s="455">
        <f ca="1" t="shared" si="108"/>
        <v>0.0846819446219946</v>
      </c>
      <c r="GE8" s="609">
        <v>5569472797.165</v>
      </c>
      <c r="GF8" s="610">
        <v>501084525.35194</v>
      </c>
      <c r="GG8" s="610">
        <v>11010571.8988812</v>
      </c>
      <c r="GH8" s="610">
        <v>2147.88383110428</v>
      </c>
      <c r="GI8" s="610">
        <v>0.343857374846796</v>
      </c>
      <c r="GJ8" s="610">
        <v>1.82273555504902e-14</v>
      </c>
      <c r="GK8" s="617">
        <v>6081570042.64351</v>
      </c>
      <c r="GL8" s="614">
        <f ca="1" t="shared" si="109"/>
        <v>0.647718549363092</v>
      </c>
      <c r="GM8" s="614">
        <f ca="1" t="shared" si="110"/>
        <v>1.14329577364573e-13</v>
      </c>
      <c r="GN8" s="614">
        <f ca="1" t="shared" si="111"/>
        <v>1.29653399028716e-13</v>
      </c>
      <c r="GO8" s="614">
        <f ca="1" t="shared" si="112"/>
        <v>2.9625019606962e-13</v>
      </c>
      <c r="GP8" s="614">
        <f ca="1" t="shared" si="113"/>
        <v>9.52427681734609e-14</v>
      </c>
      <c r="GQ8" s="614">
        <f ca="1" t="shared" si="114"/>
        <v>0.593177553756974</v>
      </c>
      <c r="GR8" s="451">
        <f t="shared" si="115"/>
        <v>0.000151408296321525</v>
      </c>
      <c r="GS8" s="390">
        <f t="shared" si="116"/>
        <v>4578.00000000003</v>
      </c>
    </row>
    <row r="9" spans="1:201">
      <c r="A9" s="413"/>
      <c r="B9" s="407" t="s">
        <v>256</v>
      </c>
      <c r="C9" s="417">
        <v>1</v>
      </c>
      <c r="D9" s="409" t="s">
        <v>249</v>
      </c>
      <c r="E9" s="409" t="s">
        <v>257</v>
      </c>
      <c r="G9" s="411" t="s">
        <v>50</v>
      </c>
      <c r="H9" s="412">
        <f ca="1" t="shared" si="1"/>
        <v>7878628393.59462</v>
      </c>
      <c r="I9" s="412">
        <f ca="1" t="shared" si="2"/>
        <v>5.98730116728684e-5</v>
      </c>
      <c r="J9" s="412">
        <f ca="1" t="shared" si="3"/>
        <v>0.000108447770034128</v>
      </c>
      <c r="K9" s="412">
        <f ca="1" t="shared" si="4"/>
        <v>4.57903160822754e-5</v>
      </c>
      <c r="L9" s="412">
        <f ca="1" t="shared" si="5"/>
        <v>2.31957071783182e-6</v>
      </c>
      <c r="M9" s="412">
        <f ca="1" t="shared" si="6"/>
        <v>1.35151659707307e-14</v>
      </c>
      <c r="N9" s="412">
        <f ca="1" t="shared" si="7"/>
        <v>7878628393.59484</v>
      </c>
      <c r="O9" s="450">
        <f ca="1" t="shared" si="8"/>
        <v>7878628393.59462</v>
      </c>
      <c r="P9" s="451"/>
      <c r="Q9" s="477" t="str">
        <f t="shared" si="0"/>
        <v>Kr-88</v>
      </c>
      <c r="R9" s="412">
        <f ca="1" t="shared" si="9"/>
        <v>7878628393.59462</v>
      </c>
      <c r="S9" s="412">
        <f ca="1">I9*(1-过滤效率!$B6)</f>
        <v>5.98730116728684e-5</v>
      </c>
      <c r="T9" s="412">
        <f ca="1">J9*(1-过滤效率!$B6)</f>
        <v>0.000108447770034128</v>
      </c>
      <c r="U9" s="412">
        <f ca="1">K9*(1-过滤效率!$B6)</f>
        <v>4.57903160822754e-5</v>
      </c>
      <c r="V9" s="412">
        <f ca="1">L9*(1-过滤效率!$B6)</f>
        <v>2.31957071783182e-6</v>
      </c>
      <c r="W9" s="412">
        <f ca="1">M9*(1-过滤效率!$B6)</f>
        <v>1.35151659707307e-14</v>
      </c>
      <c r="X9" s="412">
        <f ca="1" t="shared" si="10"/>
        <v>7878628393.59484</v>
      </c>
      <c r="Y9" s="493"/>
      <c r="Z9" s="494">
        <f>VLOOKUP(G9,衰变常数!$A$1:$H$3800,7,FALSE)</f>
        <v>6.77960857355189e-5</v>
      </c>
      <c r="AA9" s="495">
        <f>正常源项!C6</f>
        <v>1.88e+17</v>
      </c>
      <c r="AB9" s="496">
        <f>正常源项!F6</f>
        <v>0</v>
      </c>
      <c r="AC9" s="496">
        <f>正常源项!I6</f>
        <v>41500000000</v>
      </c>
      <c r="AD9" s="496">
        <f>正常源项!L6</f>
        <v>2390000000</v>
      </c>
      <c r="AE9" s="497"/>
      <c r="AF9" s="498"/>
      <c r="AG9" s="483"/>
      <c r="AH9" s="518"/>
      <c r="AI9" s="483"/>
      <c r="AJ9" s="521"/>
      <c r="AK9" s="521"/>
      <c r="AL9" s="519">
        <f t="shared" si="11"/>
        <v>27504400</v>
      </c>
      <c r="AM9" s="520">
        <f t="shared" si="12"/>
        <v>789600000000</v>
      </c>
      <c r="AN9" s="519">
        <f ca="1">MAX(INDIRECT("'"&amp;$B$2&amp;"-事故进程'!Y"&amp;(ROW()+22)),INDIRECT("'"&amp;$B$2&amp;"-事故进程'!Z"&amp;(ROW()+22)),INDIRECT("'"&amp;$B$2&amp;"-事故进程'!AA"&amp;(ROW()+22)))</f>
        <v>1.38426065867998e-10</v>
      </c>
      <c r="AO9" s="519">
        <f ca="1" t="shared" si="13"/>
        <v>260064621.837586</v>
      </c>
      <c r="AP9" s="560">
        <f t="shared" si="14"/>
        <v>1.87872586554362e+17</v>
      </c>
      <c r="AQ9" s="561">
        <f ca="1">(AC9*$C$5+AD9*$C$8+AF9+AG9+AI9+(AL9+AM9)*$C$10)*EXP(-Z9*$C$12*3600)+AO9*$C$11</f>
        <v>44120319004.1298</v>
      </c>
      <c r="AR9" s="562">
        <f ca="1">AQ9*(1-AR$3)</f>
        <v>36241690610.5352</v>
      </c>
      <c r="AS9" s="563">
        <f ca="1" t="shared" si="15"/>
        <v>7878628393.59462</v>
      </c>
      <c r="AT9" s="562">
        <f ca="1">AS9*(1-AT$3)</f>
        <v>0</v>
      </c>
      <c r="AU9" s="564">
        <f ca="1" t="shared" si="16"/>
        <v>7878628393.59462</v>
      </c>
      <c r="AV9" s="565">
        <f>AV$3*3600</f>
        <v>7200</v>
      </c>
      <c r="AW9" s="580">
        <f>AP9*EXP(-Z9*AW$3*3600)</f>
        <v>1.87872586554362e+17</v>
      </c>
      <c r="AX9" s="580">
        <f ca="1" t="shared" si="17"/>
        <v>36241690610.5352</v>
      </c>
      <c r="AY9" s="581">
        <f ca="1" t="shared" si="18"/>
        <v>0</v>
      </c>
      <c r="AZ9" s="580">
        <v>0</v>
      </c>
      <c r="BA9" s="580">
        <f ca="1">MAX(INDIRECT("'"&amp;$B$2&amp;"-事故进程'!Y"&amp;(ROW()+22)),INDIRECT("'"&amp;$B$2&amp;"-事故进程'!Z"&amp;(ROW()+22)))</f>
        <v>6.35346165888635e-11</v>
      </c>
      <c r="BB9" s="580">
        <f>SUM(BA$3,-LN(1-BB$3)/AV9)</f>
        <v>1.38777878078145e-19</v>
      </c>
      <c r="BC9" s="580">
        <f>BC$3/24/3600</f>
        <v>1157407407407410</v>
      </c>
      <c r="BD9" s="582">
        <f ca="1" t="shared" si="19"/>
        <v>0.613771681180518</v>
      </c>
      <c r="BE9" s="582">
        <f t="shared" si="20"/>
        <v>0.61377196194997</v>
      </c>
      <c r="BF9" s="582">
        <f t="shared" si="21"/>
        <v>0</v>
      </c>
      <c r="BG9" s="582">
        <f ca="1" t="shared" si="22"/>
        <v>11936415.0568914</v>
      </c>
      <c r="BH9" s="582">
        <f ca="1" t="shared" si="23"/>
        <v>-4.34552681165302e-24</v>
      </c>
      <c r="BI9" s="582">
        <f ca="1" t="shared" si="24"/>
        <v>-2.18428765029489e-9</v>
      </c>
      <c r="BJ9" s="580">
        <f ca="1" t="shared" si="25"/>
        <v>1.15310873297203e+17</v>
      </c>
      <c r="BK9" s="580">
        <f ca="1" t="shared" si="26"/>
        <v>74993016896</v>
      </c>
      <c r="BL9" s="586">
        <f ca="1" t="shared" si="27"/>
        <v>8.99196919812159e-24</v>
      </c>
      <c r="BM9" s="594">
        <f ca="1" t="shared" si="28"/>
        <v>-8.99196919812159e-24</v>
      </c>
      <c r="BN9" s="580">
        <f ca="1" t="shared" si="29"/>
        <v>68000626590.9774</v>
      </c>
      <c r="BO9" s="580">
        <f ca="1" t="shared" si="30"/>
        <v>5.98730116714803e-5</v>
      </c>
      <c r="BP9" s="595">
        <f ca="1" t="shared" si="31"/>
        <v>5.98730116728684e-5</v>
      </c>
      <c r="BQ9" s="596">
        <f>BQ$3*3600</f>
        <v>21600</v>
      </c>
      <c r="BR9" s="580">
        <f ca="1" t="shared" ref="BR9:BU9" si="132">BJ9</f>
        <v>1.15310873297203e+17</v>
      </c>
      <c r="BS9" s="580">
        <f ca="1" t="shared" si="132"/>
        <v>74993016896</v>
      </c>
      <c r="BT9" s="581">
        <f ca="1" t="shared" si="132"/>
        <v>8.99196919812159e-24</v>
      </c>
      <c r="BU9" s="580">
        <f ca="1" t="shared" si="132"/>
        <v>-8.99196919812159e-24</v>
      </c>
      <c r="BV9" s="580">
        <f ca="1">MAX(INDIRECT("'"&amp;$B$2&amp;"-事故进程'!Z"&amp;(ROW()+22)),INDIRECT("'"&amp;$B$2&amp;"-事故进程'!AA"&amp;(ROW()+22)))</f>
        <v>1.38426065867998e-10</v>
      </c>
      <c r="BW9" s="580">
        <f ca="1">SUM(BV$3,-LN(1-BW$3)/BQ9)</f>
        <v>4.62592926927149e-20</v>
      </c>
      <c r="BX9" s="580">
        <f>BX$3/24/3600</f>
        <v>1157407407407410</v>
      </c>
      <c r="BY9" s="582">
        <f ca="1" t="shared" si="33"/>
        <v>0.231217040135823</v>
      </c>
      <c r="BZ9" s="582">
        <f ca="1" t="shared" si="34"/>
        <v>0.231217731476506</v>
      </c>
      <c r="CA9" s="582">
        <f t="shared" si="35"/>
        <v>0</v>
      </c>
      <c r="CB9" s="582">
        <f ca="1" t="shared" si="36"/>
        <v>15962040.9233233</v>
      </c>
      <c r="CC9" s="582">
        <f ca="1" t="shared" si="37"/>
        <v>5.99464613253606e-24</v>
      </c>
      <c r="CD9" s="582">
        <f ca="1" t="shared" si="38"/>
        <v>-3.34180505803627e-10</v>
      </c>
      <c r="CE9" s="580">
        <f ca="1" t="shared" si="39"/>
        <v>2.66618388192562e+16</v>
      </c>
      <c r="CF9" s="580">
        <f ca="1" t="shared" si="40"/>
        <v>97058813100</v>
      </c>
      <c r="CG9" s="586">
        <f ca="1" t="shared" si="41"/>
        <v>3.8792494453204e-24</v>
      </c>
      <c r="CH9" s="594">
        <f ca="1" t="shared" si="42"/>
        <v>-12</v>
      </c>
      <c r="CI9" s="580">
        <f ca="1" t="shared" si="43"/>
        <v>181003252578.364</v>
      </c>
      <c r="CJ9" s="580">
        <f ca="1" t="shared" si="44"/>
        <v>0.000108447770036479</v>
      </c>
      <c r="CK9" s="595">
        <f ca="1" t="shared" si="45"/>
        <v>0.000108447770034128</v>
      </c>
      <c r="CL9" s="596">
        <f>CL$3*3600</f>
        <v>57600</v>
      </c>
      <c r="CM9" s="580">
        <f ca="1" t="shared" ref="CM9:CP9" si="133">CE9</f>
        <v>2.66618388192562e+16</v>
      </c>
      <c r="CN9" s="580">
        <f ca="1" t="shared" si="133"/>
        <v>97058813100</v>
      </c>
      <c r="CO9" s="581">
        <f ca="1" t="shared" si="133"/>
        <v>3.8792494453204e-24</v>
      </c>
      <c r="CP9" s="580">
        <f ca="1" t="shared" si="133"/>
        <v>-12</v>
      </c>
      <c r="CQ9" s="580">
        <f ca="1">MAX(INDIRECT("'"&amp;$B$2&amp;"-事故进程'!AA"&amp;(ROW()+22)),INDIRECT("'"&amp;$B$2&amp;"-事故进程'!AB"&amp;(ROW()+22)))</f>
        <v>2.36594799740354e-10</v>
      </c>
      <c r="CR9" s="580">
        <f ca="1">SUM(CQ$3,-LN(1-CR$3)/CL9)</f>
        <v>1.73472347597681e-20</v>
      </c>
      <c r="CS9" s="580">
        <f>CS$3/24/3600</f>
        <v>1157407407407410</v>
      </c>
      <c r="CT9" s="582">
        <f ca="1" t="shared" si="47"/>
        <v>0.0201395816052185</v>
      </c>
      <c r="CU9" s="582">
        <f ca="1" t="shared" si="48"/>
        <v>0.0201398560664966</v>
      </c>
      <c r="CV9" s="582">
        <f t="shared" si="49"/>
        <v>0</v>
      </c>
      <c r="CW9" s="582">
        <f ca="1" t="shared" si="50"/>
        <v>6308075.37976197</v>
      </c>
      <c r="CX9" s="582">
        <f ca="1" t="shared" si="51"/>
        <v>2.42453090319387e-24</v>
      </c>
      <c r="CY9" s="582">
        <f ca="1" t="shared" si="52"/>
        <v>-7.33204397563994e-11</v>
      </c>
      <c r="CZ9" s="580">
        <f ca="1" t="shared" si="53"/>
        <v>536958278645593</v>
      </c>
      <c r="DA9" s="580">
        <f ca="1" t="shared" si="54"/>
        <v>9272392884.8125</v>
      </c>
      <c r="DB9" s="586">
        <f ca="1" t="shared" si="55"/>
        <v>1.38974725000908e-25</v>
      </c>
      <c r="DC9" s="594">
        <f ca="1" t="shared" si="56"/>
        <v>-0.4375</v>
      </c>
      <c r="DD9" s="580">
        <f ca="1" t="shared" si="57"/>
        <v>91170297551.4098</v>
      </c>
      <c r="DE9" s="580">
        <f ca="1" t="shared" si="58"/>
        <v>4.57903160825117e-5</v>
      </c>
      <c r="DF9" s="595">
        <f ca="1" t="shared" si="59"/>
        <v>4.57903160822754e-5</v>
      </c>
      <c r="DG9" s="596">
        <f>DG$3*3600</f>
        <v>86400</v>
      </c>
      <c r="DH9" s="580">
        <f ca="1" t="shared" ref="DH9:DK9" si="134">CZ9</f>
        <v>536958278645593</v>
      </c>
      <c r="DI9" s="580">
        <f ca="1" t="shared" si="134"/>
        <v>9272392884.8125</v>
      </c>
      <c r="DJ9" s="581">
        <f ca="1" t="shared" si="134"/>
        <v>1.38974725000908e-25</v>
      </c>
      <c r="DK9" s="580">
        <f ca="1" t="shared" si="134"/>
        <v>-0.4375</v>
      </c>
      <c r="DL9" s="580">
        <f ca="1">MAX(INDIRECT("'"&amp;$B$2&amp;"-事故进程'!AB"&amp;(ROW()+22)),INDIRECT("'"&amp;$B$2&amp;"-事故进程'!AC"&amp;(ROW()+22)))</f>
        <v>5.53241214582662e-10</v>
      </c>
      <c r="DM9" s="580">
        <f ca="1">SUM(DL$3,-LN(1-DM$3)/DG9)</f>
        <v>1.15648231731787e-20</v>
      </c>
      <c r="DN9" s="580">
        <f>DN$3/24/3600</f>
        <v>1157407407407410</v>
      </c>
      <c r="DO9" s="582">
        <f ca="1" t="shared" si="61"/>
        <v>0.00285801026562487</v>
      </c>
      <c r="DP9" s="582">
        <f ca="1" t="shared" si="62"/>
        <v>0.00285814688189768</v>
      </c>
      <c r="DQ9" s="582">
        <f t="shared" si="63"/>
        <v>0</v>
      </c>
      <c r="DR9" s="582">
        <f ca="1" t="shared" si="64"/>
        <v>297072.580128005</v>
      </c>
      <c r="DS9" s="582">
        <f ca="1" t="shared" si="65"/>
        <v>4.63249083341043e-26</v>
      </c>
      <c r="DT9" s="582">
        <f ca="1" t="shared" si="66"/>
        <v>-2.09037628950771e-11</v>
      </c>
      <c r="DU9" s="580">
        <f ca="1" t="shared" si="67"/>
        <v>1534632272581.37</v>
      </c>
      <c r="DV9" s="580">
        <f ca="1" t="shared" si="68"/>
        <v>99859099.4938965</v>
      </c>
      <c r="DW9" s="586">
        <f ca="1" t="shared" si="69"/>
        <v>9.9779284328515e-28</v>
      </c>
      <c r="DX9" s="594">
        <f ca="1" t="shared" si="70"/>
        <v>-0.000244140625</v>
      </c>
      <c r="DY9" s="580">
        <f ca="1" t="shared" si="71"/>
        <v>4369219962.91496</v>
      </c>
      <c r="DZ9" s="580">
        <f ca="1" t="shared" si="72"/>
        <v>2.3099856850922e-6</v>
      </c>
      <c r="EA9" s="595">
        <f ca="1" t="shared" si="73"/>
        <v>2.30998568510037e-6</v>
      </c>
      <c r="EB9" s="596">
        <f>EB$3*3600</f>
        <v>172800</v>
      </c>
      <c r="EC9" s="580">
        <f ca="1" t="shared" ref="EC9:EF9" si="135">DU9</f>
        <v>1534632272581.37</v>
      </c>
      <c r="ED9" s="580">
        <f ca="1" t="shared" si="135"/>
        <v>99859099.4938965</v>
      </c>
      <c r="EE9" s="581">
        <f ca="1" t="shared" si="135"/>
        <v>9.9779284328515e-28</v>
      </c>
      <c r="EF9" s="580">
        <f ca="1" t="shared" si="135"/>
        <v>-0.000244140625</v>
      </c>
      <c r="EG9" s="580">
        <f ca="1">MAX(INDIRECT("'"&amp;$B$2&amp;"-事故进程'!AC"&amp;(ROW()+22)),INDIRECT("'"&amp;$B$2&amp;"-事故进程'!AD"&amp;(ROW()+22)),INDIRECT("'"&amp;$B$2&amp;"-事故进程'!AE"&amp;(ROW()+22)))</f>
        <v>5.53241214582662e-10</v>
      </c>
      <c r="EH9" s="580">
        <f ca="1">SUM(EG$3,-LN(1-EH$3)/EB9)</f>
        <v>5.78241158658936e-21</v>
      </c>
      <c r="EI9" s="580">
        <f>EI$3/24/3600</f>
        <v>1157407407407410</v>
      </c>
      <c r="EJ9" s="582">
        <f ca="1" t="shared" si="75"/>
        <v>8.16822267841717e-6</v>
      </c>
      <c r="EK9" s="582">
        <f ca="1" t="shared" si="76"/>
        <v>8.16900359850146e-6</v>
      </c>
      <c r="EL9" s="582">
        <f t="shared" si="77"/>
        <v>0</v>
      </c>
      <c r="EM9" s="582">
        <f ca="1" t="shared" si="78"/>
        <v>849.077068590157</v>
      </c>
      <c r="EN9" s="582">
        <f ca="1" t="shared" si="79"/>
        <v>4.98896421641088e-28</v>
      </c>
      <c r="EO9" s="582">
        <f ca="1" t="shared" si="80"/>
        <v>-1.04518814474293e-11</v>
      </c>
      <c r="EP9" s="580">
        <f ca="1" t="shared" si="81"/>
        <v>12535218.13193</v>
      </c>
      <c r="EQ9" s="580">
        <f ca="1" t="shared" si="82"/>
        <v>2014.17450678907</v>
      </c>
      <c r="ER9" s="586">
        <f ca="1" t="shared" si="83"/>
        <v>1.00628231087316e-32</v>
      </c>
      <c r="ES9" s="594">
        <f ca="1" t="shared" si="84"/>
        <v>-1.49011611938477e-8</v>
      </c>
      <c r="ET9" s="580">
        <f ca="1" t="shared" si="85"/>
        <v>12522964.2683722</v>
      </c>
      <c r="EU9" s="580">
        <f ca="1" t="shared" si="86"/>
        <v>9.58503273145956e-9</v>
      </c>
      <c r="EV9" s="595">
        <f ca="1" t="shared" si="87"/>
        <v>9.58503273145063e-9</v>
      </c>
      <c r="EW9" s="596">
        <f>EW$3*3600</f>
        <v>2246400</v>
      </c>
      <c r="EX9" s="580">
        <f ca="1" t="shared" ref="EX9:FA9" si="136">EP9</f>
        <v>12535218.13193</v>
      </c>
      <c r="EY9" s="580">
        <f ca="1" t="shared" si="136"/>
        <v>2014.17450678907</v>
      </c>
      <c r="EZ9" s="581">
        <f ca="1" t="shared" si="136"/>
        <v>1.00628231087316e-32</v>
      </c>
      <c r="FA9" s="580">
        <f ca="1" t="shared" si="136"/>
        <v>-1.49011611938477e-8</v>
      </c>
      <c r="FB9" s="580">
        <f ca="1">INDIRECT("'"&amp;$B$2&amp;"-事故进程'!AE"&amp;(ROW()+22))</f>
        <v>2.47669610895786e-10</v>
      </c>
      <c r="FC9" s="580">
        <f ca="1">SUM(FB$3,-LN(1-FC$3)/EW9)</f>
        <v>4.44800891276105e-22</v>
      </c>
      <c r="FD9" s="580">
        <f>FD$3/24/3600</f>
        <v>1157407407407410</v>
      </c>
      <c r="FE9" s="582">
        <f ca="1" t="shared" si="89"/>
        <v>7.21035270755544e-67</v>
      </c>
      <c r="FF9" s="582">
        <f ca="1" t="shared" si="90"/>
        <v>7.21436541170054e-67</v>
      </c>
      <c r="FG9" s="582">
        <f t="shared" si="91"/>
        <v>0</v>
      </c>
      <c r="FH9" s="582">
        <f ca="1" t="shared" si="92"/>
        <v>0.00310509144704528</v>
      </c>
      <c r="FI9" s="582">
        <f ca="1" t="shared" si="93"/>
        <v>9.28875979267575e-33</v>
      </c>
      <c r="FJ9" s="582">
        <f ca="1" t="shared" si="94"/>
        <v>-1.7959445636795e-12</v>
      </c>
      <c r="FK9" s="580">
        <f ca="1" t="shared" si="95"/>
        <v>9.03833439973594e-60</v>
      </c>
      <c r="FL9" s="580">
        <f ca="1" t="shared" si="96"/>
        <v>6.48311126527765e-63</v>
      </c>
      <c r="FM9" s="586">
        <f ca="1" t="shared" si="97"/>
        <v>2.49151133004779e-99</v>
      </c>
      <c r="FN9" s="594">
        <f ca="1" t="shared" si="98"/>
        <v>-2.10031619259897e-74</v>
      </c>
      <c r="FO9" s="580">
        <f ca="1" t="shared" si="99"/>
        <v>45.7929277484201</v>
      </c>
      <c r="FP9" s="580">
        <f ca="1" t="shared" si="100"/>
        <v>1.3515165970733e-14</v>
      </c>
      <c r="FQ9" s="595">
        <f ca="1" t="shared" si="101"/>
        <v>1.35151659707307e-14</v>
      </c>
      <c r="FR9" s="608" t="str">
        <f t="shared" si="102"/>
        <v>Kr-88</v>
      </c>
      <c r="FS9" s="609">
        <v>57600000000</v>
      </c>
      <c r="FT9" s="610">
        <v>27800000000</v>
      </c>
      <c r="FU9" s="610">
        <v>6190000000</v>
      </c>
      <c r="FV9" s="610">
        <v>92200000</v>
      </c>
      <c r="FW9" s="610">
        <v>91600000000</v>
      </c>
      <c r="FX9" s="614">
        <f ca="1" t="shared" si="103"/>
        <v>0.136781742944351</v>
      </c>
      <c r="FY9" s="614">
        <f ca="1" t="shared" si="104"/>
        <v>6.05470437794952e-15</v>
      </c>
      <c r="FZ9" s="614">
        <f ca="1" t="shared" si="105"/>
        <v>7.39746624915596e-15</v>
      </c>
      <c r="GA9" s="614">
        <f ca="1" t="shared" si="106"/>
        <v>2.51580338159634e-14</v>
      </c>
      <c r="GB9" s="614">
        <f ca="1" t="shared" si="107"/>
        <v>0.0860112270043104</v>
      </c>
      <c r="GC9" s="455">
        <f ca="1" t="shared" si="108"/>
        <v>0.0860112270043104</v>
      </c>
      <c r="GE9" s="609">
        <v>11687589379.7813</v>
      </c>
      <c r="GF9" s="610">
        <v>1864556818.92198</v>
      </c>
      <c r="GG9" s="610">
        <v>498018847.624415</v>
      </c>
      <c r="GH9" s="610">
        <v>11239698.519804</v>
      </c>
      <c r="GI9" s="610">
        <v>134450.937507936</v>
      </c>
      <c r="GJ9" s="610">
        <v>0.173930237819036</v>
      </c>
      <c r="GK9" s="617">
        <v>14061539195.9589</v>
      </c>
      <c r="GL9" s="614">
        <f ca="1" t="shared" si="109"/>
        <v>0.67410208705861</v>
      </c>
      <c r="GM9" s="614">
        <f ca="1" t="shared" si="110"/>
        <v>9.02738817068143e-14</v>
      </c>
      <c r="GN9" s="614">
        <f ca="1" t="shared" si="111"/>
        <v>9.1944946061175e-14</v>
      </c>
      <c r="GO9" s="614">
        <f ca="1" t="shared" si="112"/>
        <v>2.03933553584587e-13</v>
      </c>
      <c r="GP9" s="614">
        <f ca="1" t="shared" si="113"/>
        <v>7.77045218830348e-14</v>
      </c>
      <c r="GQ9" s="614">
        <f ca="1" t="shared" si="114"/>
        <v>0.560296300696516</v>
      </c>
      <c r="GR9" s="451">
        <f t="shared" si="115"/>
        <v>6.77960857355189e-5</v>
      </c>
      <c r="GS9" s="390">
        <f t="shared" si="116"/>
        <v>10224</v>
      </c>
    </row>
    <row r="10" spans="1:201">
      <c r="A10" s="413"/>
      <c r="B10" s="407" t="s">
        <v>258</v>
      </c>
      <c r="C10" s="418">
        <v>0</v>
      </c>
      <c r="D10" s="410" t="s">
        <v>259</v>
      </c>
      <c r="E10" s="409" t="s">
        <v>257</v>
      </c>
      <c r="G10" s="411" t="s">
        <v>51</v>
      </c>
      <c r="H10" s="412">
        <f ca="1" t="shared" si="1"/>
        <v>1028444155.77542</v>
      </c>
      <c r="I10" s="412">
        <f ca="1" t="shared" si="2"/>
        <v>4.77143570390917e-6</v>
      </c>
      <c r="J10" s="412">
        <f ca="1" t="shared" si="3"/>
        <v>5.12757958507966e-6</v>
      </c>
      <c r="K10" s="412">
        <f ca="1" t="shared" si="4"/>
        <v>6.74030967703612e-6</v>
      </c>
      <c r="L10" s="412">
        <f ca="1" t="shared" si="5"/>
        <v>3.2286119474964e-5</v>
      </c>
      <c r="M10" s="412">
        <f ca="1" t="shared" si="6"/>
        <v>3.20113387756541e-5</v>
      </c>
      <c r="N10" s="412">
        <f ca="1" t="shared" si="7"/>
        <v>1028444155.7755</v>
      </c>
      <c r="O10" s="450">
        <f ca="1" t="shared" si="8"/>
        <v>1028444155.77542</v>
      </c>
      <c r="P10" s="451"/>
      <c r="Q10" s="477" t="str">
        <f t="shared" si="0"/>
        <v>Xe-131m</v>
      </c>
      <c r="R10" s="412">
        <f ca="1" t="shared" si="9"/>
        <v>1028444155.77542</v>
      </c>
      <c r="S10" s="412">
        <f ca="1">I10*(1-过滤效率!$B7)</f>
        <v>4.77143570390917e-6</v>
      </c>
      <c r="T10" s="412">
        <f ca="1">J10*(1-过滤效率!$B7)</f>
        <v>5.12757958507966e-6</v>
      </c>
      <c r="U10" s="412">
        <f ca="1">K10*(1-过滤效率!$B7)</f>
        <v>6.74030967703612e-6</v>
      </c>
      <c r="V10" s="412">
        <f ca="1">L10*(1-过滤效率!$B7)</f>
        <v>3.2286119474964e-5</v>
      </c>
      <c r="W10" s="412">
        <f ca="1">M10*(1-过滤效率!$B7)</f>
        <v>3.20113387756541e-5</v>
      </c>
      <c r="X10" s="412">
        <f ca="1" t="shared" si="10"/>
        <v>1028444155.7755</v>
      </c>
      <c r="Y10" s="493"/>
      <c r="Z10" s="494">
        <f>VLOOKUP(G10,衰变常数!$A$1:$H$3800,7,FALSE)</f>
        <v>6.77579122638209e-7</v>
      </c>
      <c r="AA10" s="495">
        <f>正常源项!C7</f>
        <v>2500000000000000</v>
      </c>
      <c r="AB10" s="496">
        <f>正常源项!F7</f>
        <v>0</v>
      </c>
      <c r="AC10" s="496">
        <f>正常源项!I7</f>
        <v>939000000</v>
      </c>
      <c r="AD10" s="496">
        <f>正常源项!L7</f>
        <v>4820000000</v>
      </c>
      <c r="AE10" s="497"/>
      <c r="AF10" s="498"/>
      <c r="AG10" s="483"/>
      <c r="AH10" s="518"/>
      <c r="AI10" s="483"/>
      <c r="AJ10" s="521"/>
      <c r="AK10" s="521"/>
      <c r="AL10" s="519">
        <f t="shared" si="11"/>
        <v>365750</v>
      </c>
      <c r="AM10" s="520">
        <f t="shared" si="12"/>
        <v>10500000000</v>
      </c>
      <c r="AN10" s="519">
        <f ca="1">MAX(INDIRECT("'"&amp;$B$2&amp;"-事故进程'!Y"&amp;(ROW()+22)),INDIRECT("'"&amp;$B$2&amp;"-事故进程'!Z"&amp;(ROW()+22)),INDIRECT("'"&amp;$B$2&amp;"-事故进程'!AA"&amp;(ROW()+22)))</f>
        <v>1.30518468117115e-11</v>
      </c>
      <c r="AO10" s="519">
        <f ca="1" t="shared" si="13"/>
        <v>326293.991825821</v>
      </c>
      <c r="AP10" s="560">
        <f t="shared" si="14"/>
        <v>2499983060579320</v>
      </c>
      <c r="AQ10" s="561">
        <f ca="1">(AC10*$C$5+AD10*$C$8+AF10+AG10+AI10+(AL10+AM10)*$C$10)*EXP(-Z10*$C$12*3600)+AO10*$C$11</f>
        <v>5759287272.34235</v>
      </c>
      <c r="AR10" s="562">
        <f ca="1">AQ10*(1-AR$3)</f>
        <v>4730843116.56693</v>
      </c>
      <c r="AS10" s="563">
        <f ca="1" t="shared" si="15"/>
        <v>1028444155.77542</v>
      </c>
      <c r="AT10" s="562">
        <f ca="1">AS10*(1-AT$3)</f>
        <v>0</v>
      </c>
      <c r="AU10" s="564">
        <f ca="1" t="shared" si="16"/>
        <v>1028444155.77542</v>
      </c>
      <c r="AV10" s="565">
        <f>AV$3*3600</f>
        <v>7200</v>
      </c>
      <c r="AW10" s="580">
        <f>AP10*EXP(-Z10*AW$3*3600)</f>
        <v>2499983060579320</v>
      </c>
      <c r="AX10" s="580">
        <f ca="1" t="shared" si="17"/>
        <v>4730843116.56693</v>
      </c>
      <c r="AY10" s="581">
        <f ca="1" t="shared" si="18"/>
        <v>0</v>
      </c>
      <c r="AZ10" s="580">
        <v>0</v>
      </c>
      <c r="BA10" s="580">
        <f ca="1">MAX(INDIRECT("'"&amp;$B$2&amp;"-事故进程'!Y"&amp;(ROW()+22)),INDIRECT("'"&amp;$B$2&amp;"-事故进程'!Z"&amp;(ROW()+22)))</f>
        <v>6.23478119625342e-12</v>
      </c>
      <c r="BB10" s="580">
        <f>SUM(BA$3,-LN(1-BB$3)/AV10)</f>
        <v>1.38777878078145e-19</v>
      </c>
      <c r="BC10" s="580">
        <f>BC$3/24/3600</f>
        <v>1157407407407410</v>
      </c>
      <c r="BD10" s="582">
        <f ca="1" t="shared" si="19"/>
        <v>0.995133266537685</v>
      </c>
      <c r="BE10" s="582">
        <f t="shared" si="20"/>
        <v>0.99513331120964</v>
      </c>
      <c r="BF10" s="582">
        <f t="shared" si="21"/>
        <v>0</v>
      </c>
      <c r="BG10" s="582">
        <f ca="1" t="shared" si="22"/>
        <v>15586.8768728231</v>
      </c>
      <c r="BH10" s="582">
        <f ca="1" t="shared" si="23"/>
        <v>-5.67247423021421e-25</v>
      </c>
      <c r="BI10" s="582">
        <f ca="1" t="shared" si="24"/>
        <v>-2.22586610177352e-8</v>
      </c>
      <c r="BJ10" s="580">
        <f ca="1" t="shared" si="25"/>
        <v>2487816309363180</v>
      </c>
      <c r="BK10" s="580">
        <f ca="1" t="shared" si="26"/>
        <v>4819498708</v>
      </c>
      <c r="BL10" s="586">
        <f ca="1" t="shared" si="27"/>
        <v>5.7787759073318e-25</v>
      </c>
      <c r="BM10" s="594">
        <f ca="1" t="shared" si="28"/>
        <v>0.5</v>
      </c>
      <c r="BN10" s="580">
        <f ca="1" t="shared" si="29"/>
        <v>111951993.754404</v>
      </c>
      <c r="BO10" s="580">
        <f ca="1" t="shared" si="30"/>
        <v>4.77143570380897e-6</v>
      </c>
      <c r="BP10" s="595">
        <f ca="1" t="shared" si="31"/>
        <v>4.77143570390917e-6</v>
      </c>
      <c r="BQ10" s="596">
        <f>BQ$3*3600</f>
        <v>21600</v>
      </c>
      <c r="BR10" s="580">
        <f ca="1" t="shared" ref="BR10:BU10" si="137">BJ10</f>
        <v>2487816309363180</v>
      </c>
      <c r="BS10" s="580">
        <f ca="1" t="shared" si="137"/>
        <v>4819498708</v>
      </c>
      <c r="BT10" s="581">
        <f ca="1" t="shared" si="137"/>
        <v>5.7787759073318e-25</v>
      </c>
      <c r="BU10" s="580">
        <f ca="1" t="shared" si="137"/>
        <v>0.5</v>
      </c>
      <c r="BV10" s="580">
        <f ca="1">MAX(INDIRECT("'"&amp;$B$2&amp;"-事故进程'!Z"&amp;(ROW()+22)),INDIRECT("'"&amp;$B$2&amp;"-事故进程'!AA"&amp;(ROW()+22)))</f>
        <v>1.30518468117115e-11</v>
      </c>
      <c r="BW10" s="580">
        <f ca="1">SUM(BV$3,-LN(1-BW$3)/BQ10)</f>
        <v>4.62592926927149e-20</v>
      </c>
      <c r="BX10" s="580">
        <f>BX$3/24/3600</f>
        <v>1157407407407410</v>
      </c>
      <c r="BY10" s="582">
        <f ca="1" t="shared" si="33"/>
        <v>0.9854705945186</v>
      </c>
      <c r="BZ10" s="582">
        <f ca="1" t="shared" si="34"/>
        <v>0.985470872342401</v>
      </c>
      <c r="CA10" s="582">
        <f t="shared" si="35"/>
        <v>0</v>
      </c>
      <c r="CB10" s="582">
        <f ca="1" t="shared" si="36"/>
        <v>32470.6602688444</v>
      </c>
      <c r="CC10" s="582">
        <f ca="1" t="shared" si="37"/>
        <v>3.85251727153359e-25</v>
      </c>
      <c r="CD10" s="582">
        <f ca="1" t="shared" si="38"/>
        <v>-3.54427182022712e-9</v>
      </c>
      <c r="CE10" s="580">
        <f ca="1" t="shared" si="39"/>
        <v>2451669817441200</v>
      </c>
      <c r="CF10" s="580">
        <f ca="1" t="shared" si="40"/>
        <v>5440650181.5</v>
      </c>
      <c r="CG10" s="586">
        <f ca="1" t="shared" si="41"/>
        <v>2.17452063618914e-25</v>
      </c>
      <c r="CH10" s="594">
        <f ca="1" t="shared" si="42"/>
        <v>0.5</v>
      </c>
      <c r="CI10" s="580">
        <f ca="1" t="shared" si="43"/>
        <v>696257266.703217</v>
      </c>
      <c r="CJ10" s="580">
        <f ca="1" t="shared" si="44"/>
        <v>5.1275795852558e-6</v>
      </c>
      <c r="CK10" s="595">
        <f ca="1" t="shared" si="45"/>
        <v>5.12757958507966e-6</v>
      </c>
      <c r="CL10" s="596">
        <f>CL$3*3600</f>
        <v>57600</v>
      </c>
      <c r="CM10" s="580">
        <f ca="1" t="shared" ref="CM10:CP10" si="138">CE10</f>
        <v>2451669817441200</v>
      </c>
      <c r="CN10" s="580">
        <f ca="1" t="shared" si="138"/>
        <v>5440650181.5</v>
      </c>
      <c r="CO10" s="581">
        <f ca="1" t="shared" si="138"/>
        <v>2.17452063618914e-25</v>
      </c>
      <c r="CP10" s="580">
        <f ca="1" t="shared" si="138"/>
        <v>0.5</v>
      </c>
      <c r="CQ10" s="580">
        <f ca="1">MAX(INDIRECT("'"&amp;$B$2&amp;"-事故进程'!AA"&amp;(ROW()+22)),INDIRECT("'"&amp;$B$2&amp;"-事故进程'!AB"&amp;(ROW()+22)))</f>
        <v>2.04927983190433e-11</v>
      </c>
      <c r="CR10" s="580">
        <f ca="1">SUM(CQ$3,-LN(1-CR$3)/CL10)</f>
        <v>1.73472347597681e-20</v>
      </c>
      <c r="CS10" s="580">
        <f>CS$3/24/3600</f>
        <v>1157407407407410</v>
      </c>
      <c r="CT10" s="582">
        <f ca="1" t="shared" si="47"/>
        <v>0.961722109174117</v>
      </c>
      <c r="CU10" s="582">
        <f ca="1" t="shared" si="48"/>
        <v>0.961723244377314</v>
      </c>
      <c r="CV10" s="582">
        <f t="shared" si="49"/>
        <v>0</v>
      </c>
      <c r="CW10" s="582">
        <f ca="1" t="shared" si="50"/>
        <v>50241.6866078551</v>
      </c>
      <c r="CX10" s="582">
        <f ca="1" t="shared" si="51"/>
        <v>1.35907539763078e-25</v>
      </c>
      <c r="CY10" s="582">
        <f ca="1" t="shared" si="52"/>
        <v>-8.46503952480338e-10</v>
      </c>
      <c r="CZ10" s="580">
        <f ca="1" t="shared" si="53"/>
        <v>2357825067828080</v>
      </c>
      <c r="DA10" s="580">
        <f ca="1" t="shared" si="54"/>
        <v>8015543161</v>
      </c>
      <c r="DB10" s="586">
        <f ca="1" t="shared" si="55"/>
        <v>1.20137047718403e-25</v>
      </c>
      <c r="DC10" s="594">
        <f ca="1" t="shared" si="56"/>
        <v>0.5</v>
      </c>
      <c r="DD10" s="580">
        <f ca="1" t="shared" si="57"/>
        <v>2838167973.109</v>
      </c>
      <c r="DE10" s="580">
        <f ca="1" t="shared" si="58"/>
        <v>6.74030967706211e-6</v>
      </c>
      <c r="DF10" s="595">
        <f ca="1" t="shared" si="59"/>
        <v>6.74030967703612e-6</v>
      </c>
      <c r="DG10" s="596">
        <f>DG$3*3600</f>
        <v>86400</v>
      </c>
      <c r="DH10" s="580">
        <f ca="1" t="shared" ref="DH10:DK10" si="139">CZ10</f>
        <v>2357825067828080</v>
      </c>
      <c r="DI10" s="580">
        <f ca="1" t="shared" si="139"/>
        <v>8015543161</v>
      </c>
      <c r="DJ10" s="581">
        <f ca="1" t="shared" si="139"/>
        <v>1.20137047718403e-25</v>
      </c>
      <c r="DK10" s="580">
        <f ca="1" t="shared" si="139"/>
        <v>0.5</v>
      </c>
      <c r="DL10" s="580">
        <f ca="1">MAX(INDIRECT("'"&amp;$B$2&amp;"-事故进程'!AB"&amp;(ROW()+22)),INDIRECT("'"&amp;$B$2&amp;"-事故进程'!AC"&amp;(ROW()+22)))</f>
        <v>3.80537973715599e-11</v>
      </c>
      <c r="DM10" s="580">
        <f ca="1">SUM(DL$3,-LN(1-DM$3)/DG10)</f>
        <v>1.15648231731787e-20</v>
      </c>
      <c r="DN10" s="580">
        <f>DN$3/24/3600</f>
        <v>1157407407407410</v>
      </c>
      <c r="DO10" s="582">
        <f ca="1" t="shared" si="61"/>
        <v>0.943134738208231</v>
      </c>
      <c r="DP10" s="582">
        <f ca="1" t="shared" si="62"/>
        <v>0.943137839097078</v>
      </c>
      <c r="DQ10" s="582">
        <f t="shared" si="63"/>
        <v>0</v>
      </c>
      <c r="DR10" s="582">
        <f ca="1" t="shared" si="64"/>
        <v>89724.5023905694</v>
      </c>
      <c r="DS10" s="582">
        <f ca="1" t="shared" si="65"/>
        <v>4.00456825684326e-26</v>
      </c>
      <c r="DT10" s="582">
        <f ca="1" t="shared" si="66"/>
        <v>-3.03907204418356e-10</v>
      </c>
      <c r="DU10" s="580">
        <f ca="1" t="shared" si="67"/>
        <v>2223746728086840</v>
      </c>
      <c r="DV10" s="580">
        <f ca="1" t="shared" si="68"/>
        <v>14871115514.5</v>
      </c>
      <c r="DW10" s="586">
        <f ca="1" t="shared" si="69"/>
        <v>1.48592293612317e-25</v>
      </c>
      <c r="DX10" s="594">
        <f ca="1" t="shared" si="70"/>
        <v>0.5</v>
      </c>
      <c r="DY10" s="580">
        <f ca="1" t="shared" si="71"/>
        <v>7529605431.88559</v>
      </c>
      <c r="DZ10" s="580">
        <f ca="1" t="shared" si="72"/>
        <v>1.15042998015131e-5</v>
      </c>
      <c r="EA10" s="595">
        <f ca="1" t="shared" si="73"/>
        <v>1.15042998015538e-5</v>
      </c>
      <c r="EB10" s="596">
        <f>EB$3*3600</f>
        <v>172800</v>
      </c>
      <c r="EC10" s="580">
        <f ca="1" t="shared" ref="EC10:EF10" si="140">DU10</f>
        <v>2223746728086840</v>
      </c>
      <c r="ED10" s="580">
        <f ca="1" t="shared" si="140"/>
        <v>14871115514.5</v>
      </c>
      <c r="EE10" s="581">
        <f ca="1" t="shared" si="140"/>
        <v>1.48592293612317e-25</v>
      </c>
      <c r="EF10" s="580">
        <f ca="1" t="shared" si="140"/>
        <v>0.5</v>
      </c>
      <c r="EG10" s="580">
        <f ca="1">MAX(INDIRECT("'"&amp;$B$2&amp;"-事故进程'!AC"&amp;(ROW()+22)),INDIRECT("'"&amp;$B$2&amp;"-事故进程'!AD"&amp;(ROW()+22)),INDIRECT("'"&amp;$B$2&amp;"-事故进程'!AE"&amp;(ROW()+22)))</f>
        <v>3.80537973715599e-11</v>
      </c>
      <c r="EH10" s="580">
        <f ca="1">SUM(EG$3,-LN(1-EH$3)/EB10)</f>
        <v>5.78241158658936e-21</v>
      </c>
      <c r="EI10" s="580">
        <f>EI$3/24/3600</f>
        <v>1157407407407410</v>
      </c>
      <c r="EJ10" s="582">
        <f ca="1" t="shared" si="75"/>
        <v>0.889503134415108</v>
      </c>
      <c r="EK10" s="582">
        <f ca="1" t="shared" si="76"/>
        <v>0.889508983536706</v>
      </c>
      <c r="EL10" s="582">
        <f t="shared" si="77"/>
        <v>0</v>
      </c>
      <c r="EM10" s="582">
        <f ca="1" t="shared" si="78"/>
        <v>84622.5732987022</v>
      </c>
      <c r="EN10" s="582">
        <f ca="1" t="shared" si="79"/>
        <v>7.42961468050546e-26</v>
      </c>
      <c r="EO10" s="582">
        <f ca="1" t="shared" si="80"/>
        <v>-1.51953602186088e-10</v>
      </c>
      <c r="EP10" s="580">
        <f ca="1" t="shared" si="81"/>
        <v>1978029684778580</v>
      </c>
      <c r="EQ10" s="580">
        <f ca="1" t="shared" si="82"/>
        <v>26234955863.5</v>
      </c>
      <c r="ER10" s="586">
        <f ca="1" t="shared" si="83"/>
        <v>1.31069934226299e-25</v>
      </c>
      <c r="ES10" s="594">
        <f ca="1" t="shared" si="84"/>
        <v>0.5</v>
      </c>
      <c r="ET10" s="580">
        <f ca="1" t="shared" si="85"/>
        <v>13799040080.3839</v>
      </c>
      <c r="EU10" s="580">
        <f ca="1" t="shared" si="86"/>
        <v>2.07818196735009e-5</v>
      </c>
      <c r="EV10" s="595">
        <f ca="1" t="shared" si="87"/>
        <v>2.07818196734102e-5</v>
      </c>
      <c r="EW10" s="596">
        <f>EW$3*3600</f>
        <v>2246400</v>
      </c>
      <c r="EX10" s="580">
        <f ca="1" t="shared" ref="EX10:FA10" si="141">EP10</f>
        <v>1978029684778580</v>
      </c>
      <c r="EY10" s="580">
        <f ca="1" t="shared" si="141"/>
        <v>26234955863.5</v>
      </c>
      <c r="EZ10" s="581">
        <f ca="1" t="shared" si="141"/>
        <v>1.31069934226299e-25</v>
      </c>
      <c r="FA10" s="580">
        <f ca="1" t="shared" si="141"/>
        <v>0.5</v>
      </c>
      <c r="FB10" s="580">
        <f ca="1">INDIRECT("'"&amp;$B$2&amp;"-事故进程'!AE"&amp;(ROW()+22))</f>
        <v>2.15301673670494e-11</v>
      </c>
      <c r="FC10" s="580">
        <f ca="1">SUM(FB$3,-LN(1-FC$3)/EW10)</f>
        <v>4.44800891276105e-22</v>
      </c>
      <c r="FD10" s="580">
        <f>FD$3/24/3600</f>
        <v>1157407407407410</v>
      </c>
      <c r="FE10" s="582">
        <f ca="1" t="shared" si="89"/>
        <v>0.218239519406498</v>
      </c>
      <c r="FF10" s="582">
        <f ca="1" t="shared" si="90"/>
        <v>0.218250074896418</v>
      </c>
      <c r="FG10" s="582">
        <f t="shared" si="91"/>
        <v>0</v>
      </c>
      <c r="FH10" s="582">
        <f ca="1" t="shared" si="92"/>
        <v>42587.8750132654</v>
      </c>
      <c r="FI10" s="582">
        <f ca="1" t="shared" si="93"/>
        <v>1.20987631593717e-25</v>
      </c>
      <c r="FJ10" s="582">
        <f ca="1" t="shared" si="94"/>
        <v>-2.06594256190518e-11</v>
      </c>
      <c r="FK10" s="580">
        <f ca="1" t="shared" si="95"/>
        <v>431684247777864</v>
      </c>
      <c r="FL10" s="580">
        <f ca="1" t="shared" si="96"/>
        <v>26604853482.1875</v>
      </c>
      <c r="FM10" s="586">
        <f ca="1" t="shared" si="97"/>
        <v>1.02244572355617e-26</v>
      </c>
      <c r="FN10" s="594">
        <f ca="1" t="shared" si="98"/>
        <v>0.0625</v>
      </c>
      <c r="FO10" s="580">
        <f ca="1" t="shared" si="99"/>
        <v>49133772123.8167</v>
      </c>
      <c r="FP10" s="580">
        <f ca="1" t="shared" si="100"/>
        <v>3.20113387755278e-5</v>
      </c>
      <c r="FQ10" s="595">
        <f ca="1" t="shared" si="101"/>
        <v>3.20113387756541e-5</v>
      </c>
      <c r="FR10" s="608" t="str">
        <f t="shared" si="102"/>
        <v>Xe-131m</v>
      </c>
      <c r="FS10" s="609">
        <v>9800000000</v>
      </c>
      <c r="FT10" s="610">
        <v>104000000</v>
      </c>
      <c r="FU10" s="610">
        <v>286000000</v>
      </c>
      <c r="FV10" s="610">
        <v>610000000</v>
      </c>
      <c r="FW10" s="610">
        <v>10800000000</v>
      </c>
      <c r="FX10" s="614">
        <f ca="1" t="shared" si="103"/>
        <v>0.104943281201574</v>
      </c>
      <c r="FY10" s="614">
        <f ca="1" t="shared" si="104"/>
        <v>9.51828393172003e-14</v>
      </c>
      <c r="FZ10" s="614">
        <f ca="1" t="shared" si="105"/>
        <v>2.35675163532732e-14</v>
      </c>
      <c r="GA10" s="614">
        <f ca="1" t="shared" si="106"/>
        <v>5.29280647130557e-14</v>
      </c>
      <c r="GB10" s="614">
        <f ca="1" t="shared" si="107"/>
        <v>0.0952263107199509</v>
      </c>
      <c r="GC10" s="455">
        <f ca="1" t="shared" si="108"/>
        <v>0.0952263107199539</v>
      </c>
      <c r="GE10" s="609">
        <v>2024356782.18726</v>
      </c>
      <c r="GF10" s="610">
        <v>273034723.611479</v>
      </c>
      <c r="GG10" s="610">
        <v>538690477.382458</v>
      </c>
      <c r="GH10" s="610">
        <v>727048222.446165</v>
      </c>
      <c r="GI10" s="610">
        <v>1218894388.7323</v>
      </c>
      <c r="GJ10" s="610">
        <v>3483403943.35905</v>
      </c>
      <c r="GK10" s="617">
        <v>8265428537.71871</v>
      </c>
      <c r="GL10" s="614">
        <f ca="1" t="shared" si="109"/>
        <v>0.508035028619914</v>
      </c>
      <c r="GM10" s="614">
        <f ca="1" t="shared" si="110"/>
        <v>3.62555178259116e-14</v>
      </c>
      <c r="GN10" s="614">
        <f ca="1" t="shared" si="111"/>
        <v>1.25123980468113e-14</v>
      </c>
      <c r="GO10" s="614">
        <f ca="1" t="shared" si="112"/>
        <v>1.65915064963871e-14</v>
      </c>
      <c r="GP10" s="614">
        <f ca="1" t="shared" si="113"/>
        <v>9.18967173953003e-15</v>
      </c>
      <c r="GQ10" s="614">
        <f ca="1" t="shared" si="114"/>
        <v>0.124427203148907</v>
      </c>
      <c r="GR10" s="451">
        <f t="shared" si="115"/>
        <v>6.77579122638209e-7</v>
      </c>
      <c r="GS10" s="390">
        <f t="shared" si="116"/>
        <v>1022976</v>
      </c>
    </row>
    <row r="11" s="388" customFormat="1" spans="1:201">
      <c r="A11" s="419"/>
      <c r="B11" s="407" t="s">
        <v>260</v>
      </c>
      <c r="C11" s="420">
        <v>1</v>
      </c>
      <c r="D11" s="410" t="s">
        <v>259</v>
      </c>
      <c r="E11" s="410"/>
      <c r="G11" s="411" t="s">
        <v>52</v>
      </c>
      <c r="H11" s="412">
        <f ca="1" t="shared" si="1"/>
        <v>126443056493.778</v>
      </c>
      <c r="I11" s="412">
        <f ca="1" t="shared" si="2"/>
        <v>0.000593425051311196</v>
      </c>
      <c r="J11" s="412">
        <f ca="1" t="shared" si="3"/>
        <v>0.000691680426939318</v>
      </c>
      <c r="K11" s="412">
        <f ca="1" t="shared" si="4"/>
        <v>0.00113018402263008</v>
      </c>
      <c r="L11" s="412">
        <f ca="1" t="shared" si="5"/>
        <v>0.00690091109487775</v>
      </c>
      <c r="M11" s="412">
        <f ca="1" t="shared" si="6"/>
        <v>0.00305391056290789</v>
      </c>
      <c r="N11" s="412">
        <f ca="1" t="shared" si="7"/>
        <v>126443056493.791</v>
      </c>
      <c r="O11" s="450">
        <f ca="1" t="shared" si="8"/>
        <v>126443056493.778</v>
      </c>
      <c r="P11" s="451"/>
      <c r="Q11" s="477" t="str">
        <f t="shared" si="0"/>
        <v>Xe-133</v>
      </c>
      <c r="R11" s="412">
        <f ca="1" t="shared" si="9"/>
        <v>126443056493.778</v>
      </c>
      <c r="S11" s="412">
        <f ca="1">I11*(1-过滤效率!$B8)</f>
        <v>0.000593425051311196</v>
      </c>
      <c r="T11" s="412">
        <f ca="1">J11*(1-过滤效率!$B8)</f>
        <v>0.000691680426939318</v>
      </c>
      <c r="U11" s="412">
        <f ca="1">K11*(1-过滤效率!$B8)</f>
        <v>0.00113018402263008</v>
      </c>
      <c r="V11" s="412">
        <f ca="1">L11*(1-过滤效率!$B8)</f>
        <v>0.00690091109487775</v>
      </c>
      <c r="W11" s="412">
        <f ca="1">M11*(1-过滤效率!$B8)</f>
        <v>0.00305391056290789</v>
      </c>
      <c r="X11" s="412">
        <f ca="1" t="shared" si="10"/>
        <v>126443056493.791</v>
      </c>
      <c r="Y11" s="493"/>
      <c r="Z11" s="494">
        <f>VLOOKUP(G11,衰变常数!$A$1:$H$3800,7,FALSE)</f>
        <v>1.53014243983147e-6</v>
      </c>
      <c r="AA11" s="495">
        <f>正常源项!C8</f>
        <v>4.58e+17</v>
      </c>
      <c r="AB11" s="496">
        <f>正常源项!F8</f>
        <v>0</v>
      </c>
      <c r="AC11" s="496">
        <f>正常源项!I8</f>
        <v>216000000000</v>
      </c>
      <c r="AD11" s="496">
        <f>正常源项!L8</f>
        <v>492000000000</v>
      </c>
      <c r="AE11" s="497"/>
      <c r="AF11" s="498"/>
      <c r="AG11" s="483"/>
      <c r="AH11" s="518"/>
      <c r="AI11" s="483"/>
      <c r="AJ11" s="521"/>
      <c r="AK11" s="521"/>
      <c r="AL11" s="519">
        <f t="shared" si="11"/>
        <v>67005400</v>
      </c>
      <c r="AM11" s="520">
        <f t="shared" si="12"/>
        <v>1923600000000</v>
      </c>
      <c r="AN11" s="519">
        <f ca="1">MAX(INDIRECT("'"&amp;$B$2&amp;"-事故进程'!Y"&amp;(ROW()+22)),INDIRECT("'"&amp;$B$2&amp;"-事故进程'!Z"&amp;(ROW()+22)),INDIRECT("'"&amp;$B$2&amp;"-事故进程'!AA"&amp;(ROW()+22)))</f>
        <v>2.00766514710595e-11</v>
      </c>
      <c r="AO11" s="519">
        <f ca="1" t="shared" si="13"/>
        <v>91949690.7503259</v>
      </c>
      <c r="AP11" s="560">
        <f t="shared" si="14"/>
        <v>4.57992992001242e+17</v>
      </c>
      <c r="AQ11" s="561">
        <f ca="1">(AC11*$C$5+AD11*$C$8+AF11+AG11+AI11+(AL11+AM11)*$C$10)*EXP(-Z11*$C$12*3600)+AO11*$C$11</f>
        <v>708081116365.159</v>
      </c>
      <c r="AR11" s="562">
        <f ca="1">AQ11*(1-AR$3)</f>
        <v>581638059871.381</v>
      </c>
      <c r="AS11" s="563">
        <f ca="1" t="shared" si="15"/>
        <v>126443056493.778</v>
      </c>
      <c r="AT11" s="562">
        <f ca="1">AS11*(1-AT$3)</f>
        <v>0</v>
      </c>
      <c r="AU11" s="564">
        <f ca="1" t="shared" si="16"/>
        <v>126443056493.778</v>
      </c>
      <c r="AV11" s="565">
        <f>AV$3*3600</f>
        <v>7200</v>
      </c>
      <c r="AW11" s="580">
        <f>AP11*EXP(-Z11*AW$3*3600)</f>
        <v>4.57992992001242e+17</v>
      </c>
      <c r="AX11" s="580">
        <f ca="1" t="shared" si="17"/>
        <v>581638059871.381</v>
      </c>
      <c r="AY11" s="581">
        <f ca="1" t="shared" si="18"/>
        <v>0</v>
      </c>
      <c r="AZ11" s="580">
        <v>0</v>
      </c>
      <c r="BA11" s="580">
        <f ca="1">MAX(INDIRECT("'"&amp;$B$2&amp;"-事故进程'!Y"&amp;(ROW()+22)),INDIRECT("'"&amp;$B$2&amp;"-事故进程'!Z"&amp;(ROW()+22)))</f>
        <v>9.44202883828994e-12</v>
      </c>
      <c r="BB11" s="580">
        <f>SUM(BA$3,-LN(1-BB$3)/AV11)</f>
        <v>1.38777878078145e-19</v>
      </c>
      <c r="BC11" s="580">
        <f>BC$3/24/3600</f>
        <v>1157407407407410</v>
      </c>
      <c r="BD11" s="582">
        <f ca="1" t="shared" si="19"/>
        <v>0.989043372369135</v>
      </c>
      <c r="BE11" s="582">
        <f t="shared" si="20"/>
        <v>0.989043439606884</v>
      </c>
      <c r="BF11" s="582">
        <f t="shared" si="21"/>
        <v>0</v>
      </c>
      <c r="BG11" s="582">
        <f ca="1" t="shared" si="22"/>
        <v>4324388.53005367</v>
      </c>
      <c r="BH11" s="582">
        <f ca="1" t="shared" si="23"/>
        <v>-6.97407803352914e-23</v>
      </c>
      <c r="BI11" s="582">
        <f ca="1" t="shared" si="24"/>
        <v>-1.46978877627555e-8</v>
      </c>
      <c r="BJ11" s="580">
        <f ca="1" t="shared" si="25"/>
        <v>4.52974933330339e+17</v>
      </c>
      <c r="BK11" s="580">
        <f ca="1" t="shared" si="26"/>
        <v>606059725440</v>
      </c>
      <c r="BL11" s="586">
        <f ca="1" t="shared" si="27"/>
        <v>7.26690378510071e-23</v>
      </c>
      <c r="BM11" s="594">
        <f ca="1" t="shared" si="28"/>
        <v>64</v>
      </c>
      <c r="BN11" s="580">
        <f ca="1" t="shared" si="29"/>
        <v>30964674320.6273</v>
      </c>
      <c r="BO11" s="580">
        <f ca="1" t="shared" si="30"/>
        <v>0.000593425051337285</v>
      </c>
      <c r="BP11" s="595">
        <f ca="1" t="shared" si="31"/>
        <v>0.000593425051311196</v>
      </c>
      <c r="BQ11" s="596">
        <f>BQ$3*3600</f>
        <v>21600</v>
      </c>
      <c r="BR11" s="580">
        <f ca="1" t="shared" ref="BR11:BU11" si="142">BJ11</f>
        <v>4.52974933330339e+17</v>
      </c>
      <c r="BS11" s="580">
        <f ca="1" t="shared" si="142"/>
        <v>606059725440</v>
      </c>
      <c r="BT11" s="581">
        <f ca="1" t="shared" si="142"/>
        <v>7.26690378510071e-23</v>
      </c>
      <c r="BU11" s="580">
        <f ca="1" t="shared" si="142"/>
        <v>64</v>
      </c>
      <c r="BV11" s="580">
        <f ca="1">MAX(INDIRECT("'"&amp;$B$2&amp;"-事故进程'!Z"&amp;(ROW()+22)),INDIRECT("'"&amp;$B$2&amp;"-事故进程'!AA"&amp;(ROW()+22)))</f>
        <v>2.00766514710595e-11</v>
      </c>
      <c r="BW11" s="580">
        <f ca="1">SUM(BV$3,-LN(1-BW$3)/BQ11)</f>
        <v>4.62592926927149e-20</v>
      </c>
      <c r="BX11" s="580">
        <f>BX$3/24/3600</f>
        <v>1157407407407410</v>
      </c>
      <c r="BY11" s="582">
        <f ca="1" t="shared" si="33"/>
        <v>0.967488722616924</v>
      </c>
      <c r="BZ11" s="582">
        <f ca="1" t="shared" si="34"/>
        <v>0.967489142173986</v>
      </c>
      <c r="CA11" s="582">
        <f t="shared" si="35"/>
        <v>0</v>
      </c>
      <c r="CB11" s="582">
        <f ca="1" t="shared" si="36"/>
        <v>9094232.02924945</v>
      </c>
      <c r="CC11" s="582">
        <f ca="1" t="shared" si="37"/>
        <v>4.84460252376735e-23</v>
      </c>
      <c r="CD11" s="582">
        <f ca="1" t="shared" si="38"/>
        <v>-2.30413387740408e-9</v>
      </c>
      <c r="CE11" s="580">
        <f ca="1" t="shared" si="39"/>
        <v>4.38248139625256e+17</v>
      </c>
      <c r="CF11" s="580">
        <f ca="1" t="shared" si="40"/>
        <v>776405036480</v>
      </c>
      <c r="CG11" s="586">
        <f ca="1" t="shared" si="41"/>
        <v>3.10313789247037e-23</v>
      </c>
      <c r="CH11" s="594">
        <f ca="1" t="shared" si="42"/>
        <v>64</v>
      </c>
      <c r="CI11" s="580">
        <f ca="1" t="shared" si="43"/>
        <v>193224380625.086</v>
      </c>
      <c r="CJ11" s="580">
        <f ca="1" t="shared" si="44"/>
        <v>0.00069168042696599</v>
      </c>
      <c r="CK11" s="595">
        <f ca="1" t="shared" si="45"/>
        <v>0.000691680426939318</v>
      </c>
      <c r="CL11" s="596">
        <f>CL$3*3600</f>
        <v>57600</v>
      </c>
      <c r="CM11" s="580">
        <f ca="1" t="shared" ref="CM11:CP11" si="143">CE11</f>
        <v>4.38248139625256e+17</v>
      </c>
      <c r="CN11" s="580">
        <f ca="1" t="shared" si="143"/>
        <v>776405036480</v>
      </c>
      <c r="CO11" s="581">
        <f ca="1" t="shared" si="143"/>
        <v>3.10313789247037e-23</v>
      </c>
      <c r="CP11" s="580">
        <f ca="1" t="shared" si="143"/>
        <v>64</v>
      </c>
      <c r="CQ11" s="580">
        <f ca="1">MAX(INDIRECT("'"&amp;$B$2&amp;"-事故进程'!AA"&amp;(ROW()+22)),INDIRECT("'"&amp;$B$2&amp;"-事故进程'!AB"&amp;(ROW()+22)))</f>
        <v>3.25872322727982e-11</v>
      </c>
      <c r="CR11" s="580">
        <f ca="1">SUM(CQ$3,-LN(1-CR$3)/CL11)</f>
        <v>1.73472347597681e-20</v>
      </c>
      <c r="CS11" s="580">
        <f>CS$3/24/3600</f>
        <v>1157407407407410</v>
      </c>
      <c r="CT11" s="582">
        <f ca="1" t="shared" si="47"/>
        <v>0.915634435763697</v>
      </c>
      <c r="CU11" s="582">
        <f ca="1" t="shared" si="48"/>
        <v>0.915636154433651</v>
      </c>
      <c r="CV11" s="582">
        <f t="shared" si="49"/>
        <v>0</v>
      </c>
      <c r="CW11" s="582">
        <f ca="1" t="shared" si="50"/>
        <v>14281319.2199811</v>
      </c>
      <c r="CX11" s="582">
        <f ca="1" t="shared" si="51"/>
        <v>1.93946118275808e-23</v>
      </c>
      <c r="CY11" s="582">
        <f ca="1" t="shared" si="52"/>
        <v>-5.32332252821698e-10</v>
      </c>
      <c r="CZ11" s="580">
        <f ca="1" t="shared" si="53"/>
        <v>4.01275088050261e+17</v>
      </c>
      <c r="DA11" s="580">
        <f ca="1" t="shared" si="54"/>
        <v>1464108431936</v>
      </c>
      <c r="DB11" s="586">
        <f ca="1" t="shared" si="55"/>
        <v>2.19440730382855e-23</v>
      </c>
      <c r="DC11" s="594">
        <f ca="1" t="shared" si="56"/>
        <v>-2.19440730382855e-23</v>
      </c>
      <c r="DD11" s="580">
        <f ca="1" t="shared" si="57"/>
        <v>787393205482.176</v>
      </c>
      <c r="DE11" s="580">
        <f ca="1" t="shared" si="58"/>
        <v>0.00113018402261312</v>
      </c>
      <c r="DF11" s="595">
        <f ca="1" t="shared" si="59"/>
        <v>0.00113018402263008</v>
      </c>
      <c r="DG11" s="596">
        <f>DG$3*3600</f>
        <v>86400</v>
      </c>
      <c r="DH11" s="580">
        <f ca="1" t="shared" ref="DH11:DK11" si="144">CZ11</f>
        <v>4.01275088050261e+17</v>
      </c>
      <c r="DI11" s="580">
        <f ca="1" t="shared" si="144"/>
        <v>1464108431936</v>
      </c>
      <c r="DJ11" s="581">
        <f ca="1" t="shared" si="144"/>
        <v>2.19440730382855e-23</v>
      </c>
      <c r="DK11" s="580">
        <f ca="1" t="shared" si="144"/>
        <v>-2.19440730382855e-23</v>
      </c>
      <c r="DL11" s="580">
        <f ca="1">MAX(INDIRECT("'"&amp;$B$2&amp;"-事故进程'!AB"&amp;(ROW()+22)),INDIRECT("'"&amp;$B$2&amp;"-事故进程'!AC"&amp;(ROW()+22)))</f>
        <v>6.47342491968004e-11</v>
      </c>
      <c r="DM11" s="580">
        <f ca="1">SUM(DL$3,-LN(1-DM$3)/DG11)</f>
        <v>1.15648231731787e-20</v>
      </c>
      <c r="DN11" s="580">
        <f>DN$3/24/3600</f>
        <v>1157407407407410</v>
      </c>
      <c r="DO11" s="582">
        <f ca="1" t="shared" si="61"/>
        <v>0.876157070547762</v>
      </c>
      <c r="DP11" s="582">
        <f ca="1" t="shared" si="62"/>
        <v>0.876161970942245</v>
      </c>
      <c r="DQ11" s="582">
        <f t="shared" si="63"/>
        <v>0</v>
      </c>
      <c r="DR11" s="582">
        <f ca="1" t="shared" si="64"/>
        <v>25976336.3242737</v>
      </c>
      <c r="DS11" s="582">
        <f ca="1" t="shared" si="65"/>
        <v>7.31469101313688e-24</v>
      </c>
      <c r="DT11" s="582">
        <f ca="1" t="shared" si="66"/>
        <v>-1.78650765533501e-10</v>
      </c>
      <c r="DU11" s="580">
        <f ca="1" t="shared" si="67"/>
        <v>3.51580005629912e+17</v>
      </c>
      <c r="DV11" s="580">
        <f ca="1" t="shared" si="68"/>
        <v>3249202357504</v>
      </c>
      <c r="DW11" s="586">
        <f ca="1" t="shared" si="69"/>
        <v>3.24660534200404e-23</v>
      </c>
      <c r="DX11" s="594">
        <f ca="1" t="shared" si="70"/>
        <v>-3.24660534200404e-23</v>
      </c>
      <c r="DY11" s="580">
        <f ca="1" t="shared" si="71"/>
        <v>2102312617366.43</v>
      </c>
      <c r="DZ11" s="580">
        <f ca="1" t="shared" si="72"/>
        <v>0.00239754024338896</v>
      </c>
      <c r="EA11" s="595">
        <f ca="1" t="shared" si="73"/>
        <v>0.00239754024336738</v>
      </c>
      <c r="EB11" s="596">
        <f>EB$3*3600</f>
        <v>172800</v>
      </c>
      <c r="EC11" s="580">
        <f ca="1" t="shared" ref="EC11:EF11" si="145">DU11</f>
        <v>3.51580005629912e+17</v>
      </c>
      <c r="ED11" s="580">
        <f ca="1" t="shared" si="145"/>
        <v>3249202357504</v>
      </c>
      <c r="EE11" s="581">
        <f ca="1" t="shared" si="145"/>
        <v>3.24660534200404e-23</v>
      </c>
      <c r="EF11" s="580">
        <f ca="1" t="shared" si="145"/>
        <v>-3.24660534200404e-23</v>
      </c>
      <c r="EG11" s="580">
        <f ca="1">MAX(INDIRECT("'"&amp;$B$2&amp;"-事故进程'!AC"&amp;(ROW()+22)),INDIRECT("'"&amp;$B$2&amp;"-事故进程'!AD"&amp;(ROW()+22)),INDIRECT("'"&amp;$B$2&amp;"-事故进程'!AE"&amp;(ROW()+22)))</f>
        <v>6.47342491968004e-11</v>
      </c>
      <c r="EH11" s="580">
        <f ca="1">SUM(EG$3,-LN(1-EH$3)/EB11)</f>
        <v>5.78241158658936e-21</v>
      </c>
      <c r="EI11" s="580">
        <f>EI$3/24/3600</f>
        <v>1157407407407410</v>
      </c>
      <c r="EJ11" s="582">
        <f ca="1" t="shared" si="75"/>
        <v>0.767651212270836</v>
      </c>
      <c r="EK11" s="582">
        <f ca="1" t="shared" si="76"/>
        <v>0.7676597993254</v>
      </c>
      <c r="EL11" s="582">
        <f t="shared" si="77"/>
        <v>0</v>
      </c>
      <c r="EM11" s="582">
        <f ca="1" t="shared" si="78"/>
        <v>22759478.0317343</v>
      </c>
      <c r="EN11" s="582">
        <f ca="1" t="shared" si="79"/>
        <v>1.62330267096876e-23</v>
      </c>
      <c r="EO11" s="582">
        <f ca="1" t="shared" si="80"/>
        <v>-8.93253827587713e-11</v>
      </c>
      <c r="EP11" s="580">
        <f ca="1" t="shared" si="81"/>
        <v>2.69890817531989e+17</v>
      </c>
      <c r="EQ11" s="580">
        <f ca="1" t="shared" si="82"/>
        <v>5513318722208</v>
      </c>
      <c r="ER11" s="586">
        <f ca="1" t="shared" si="83"/>
        <v>2.75445602439674e-23</v>
      </c>
      <c r="ES11" s="594">
        <f ca="1" t="shared" si="84"/>
        <v>-32</v>
      </c>
      <c r="ET11" s="580">
        <f ca="1" t="shared" si="85"/>
        <v>3455798893500.98</v>
      </c>
      <c r="EU11" s="580">
        <f ca="1" t="shared" si="86"/>
        <v>0.0045033708515015</v>
      </c>
      <c r="EV11" s="595">
        <f ca="1" t="shared" si="87"/>
        <v>0.00450337085151037</v>
      </c>
      <c r="EW11" s="596">
        <f>EW$3*3600</f>
        <v>2246400</v>
      </c>
      <c r="EX11" s="580">
        <f ca="1" t="shared" ref="EX11:FA11" si="146">EP11</f>
        <v>2.69890817531989e+17</v>
      </c>
      <c r="EY11" s="580">
        <f ca="1" t="shared" si="146"/>
        <v>5513318722208</v>
      </c>
      <c r="EZ11" s="581">
        <f ca="1" t="shared" si="146"/>
        <v>2.75445602439674e-23</v>
      </c>
      <c r="FA11" s="580">
        <f ca="1" t="shared" si="146"/>
        <v>-32</v>
      </c>
      <c r="FB11" s="580">
        <f ca="1">INDIRECT("'"&amp;$B$2&amp;"-事故进程'!AE"&amp;(ROW()+22))</f>
        <v>3.41865688472557e-11</v>
      </c>
      <c r="FC11" s="580">
        <f ca="1">SUM(FB$3,-LN(1-FC$3)/EW11)</f>
        <v>4.44800891276105e-22</v>
      </c>
      <c r="FD11" s="580">
        <f>FD$3/24/3600</f>
        <v>1157407407407410</v>
      </c>
      <c r="FE11" s="582">
        <f ca="1" t="shared" si="89"/>
        <v>0.0321485228942369</v>
      </c>
      <c r="FF11" s="582">
        <f ca="1" t="shared" si="90"/>
        <v>0.0321509918897747</v>
      </c>
      <c r="FG11" s="582">
        <f t="shared" si="91"/>
        <v>0</v>
      </c>
      <c r="FH11" s="582">
        <f ca="1" t="shared" si="92"/>
        <v>9226829.49624954</v>
      </c>
      <c r="FI11" s="582">
        <f ca="1" t="shared" si="93"/>
        <v>2.54257479175278e-23</v>
      </c>
      <c r="FJ11" s="582">
        <f ca="1" t="shared" si="94"/>
        <v>-1.30109837366027e-11</v>
      </c>
      <c r="FK11" s="580">
        <f ca="1" t="shared" si="95"/>
        <v>8676591126371470</v>
      </c>
      <c r="FL11" s="580">
        <f ca="1" t="shared" si="96"/>
        <v>843617889710</v>
      </c>
      <c r="FM11" s="586">
        <f ca="1" t="shared" si="97"/>
        <v>3.24209078702889e-25</v>
      </c>
      <c r="FN11" s="594">
        <f ca="1" t="shared" si="98"/>
        <v>-3</v>
      </c>
      <c r="FO11" s="580">
        <f ca="1" t="shared" si="99"/>
        <v>5835939447007.37</v>
      </c>
      <c r="FP11" s="580">
        <f ca="1" t="shared" si="100"/>
        <v>0.00305391056291346</v>
      </c>
      <c r="FQ11" s="595">
        <f ca="1" t="shared" si="101"/>
        <v>0.00305391056290789</v>
      </c>
      <c r="FR11" s="608" t="str">
        <f t="shared" si="102"/>
        <v>Xe-133</v>
      </c>
      <c r="FS11" s="609">
        <v>1110000000000</v>
      </c>
      <c r="FT11" s="610">
        <v>28400000000</v>
      </c>
      <c r="FU11" s="610">
        <v>75500000000</v>
      </c>
      <c r="FV11" s="610">
        <v>147000000000</v>
      </c>
      <c r="FW11" s="610">
        <v>1360000000000</v>
      </c>
      <c r="FX11" s="614">
        <f ca="1" t="shared" si="103"/>
        <v>0.113912663507909</v>
      </c>
      <c r="FY11" s="614">
        <f ca="1" t="shared" si="104"/>
        <v>4.52501928961449e-14</v>
      </c>
      <c r="FZ11" s="614">
        <f ca="1" t="shared" si="105"/>
        <v>1.49693248030474e-14</v>
      </c>
      <c r="GA11" s="614">
        <f ca="1" t="shared" si="106"/>
        <v>4.69449734345426e-14</v>
      </c>
      <c r="GB11" s="614">
        <f ca="1" t="shared" si="107"/>
        <v>0.0929728356571969</v>
      </c>
      <c r="GC11" s="455">
        <f ca="1" t="shared" si="108"/>
        <v>0.0929728356571991</v>
      </c>
      <c r="GE11" s="609">
        <v>231785832414.554</v>
      </c>
      <c r="GF11" s="610">
        <v>32478017879.142</v>
      </c>
      <c r="GG11" s="610">
        <v>66666694493.7492</v>
      </c>
      <c r="GH11" s="610">
        <v>87000966144.7478</v>
      </c>
      <c r="GI11" s="610">
        <v>138678552968.198</v>
      </c>
      <c r="GJ11" s="610">
        <v>255389809757.068</v>
      </c>
      <c r="GK11" s="617">
        <v>811999873657.459</v>
      </c>
      <c r="GL11" s="614">
        <f ca="1" t="shared" si="109"/>
        <v>0.545516760781273</v>
      </c>
      <c r="GM11" s="614">
        <f ca="1" t="shared" si="110"/>
        <v>3.95684700658975e-14</v>
      </c>
      <c r="GN11" s="614">
        <f ca="1" t="shared" si="111"/>
        <v>1.69527532632662e-14</v>
      </c>
      <c r="GO11" s="614">
        <f ca="1" t="shared" si="112"/>
        <v>3.05783667122405e-14</v>
      </c>
      <c r="GP11" s="614">
        <f ca="1" t="shared" si="113"/>
        <v>1.19578403140393e-14</v>
      </c>
      <c r="GQ11" s="614">
        <f ca="1" t="shared" si="114"/>
        <v>0.155718074098039</v>
      </c>
      <c r="GR11" s="451">
        <f t="shared" si="115"/>
        <v>1.53014243983147e-6</v>
      </c>
      <c r="GS11" s="390">
        <f t="shared" si="116"/>
        <v>452995.2</v>
      </c>
    </row>
    <row r="12" spans="1:201">
      <c r="A12" s="421" t="s">
        <v>160</v>
      </c>
      <c r="B12" s="407" t="s">
        <v>261</v>
      </c>
      <c r="C12" s="422">
        <f>10/3600</f>
        <v>0.00277777777777778</v>
      </c>
      <c r="D12" s="410" t="s">
        <v>262</v>
      </c>
      <c r="E12" s="410"/>
      <c r="G12" s="411" t="s">
        <v>53</v>
      </c>
      <c r="H12" s="412">
        <f ca="1" t="shared" si="1"/>
        <v>2368514344.40506</v>
      </c>
      <c r="I12" s="412">
        <f ca="1" t="shared" si="2"/>
        <v>1.14292933062237e-5</v>
      </c>
      <c r="J12" s="412">
        <f ca="1" t="shared" si="3"/>
        <v>1.56548206206144e-5</v>
      </c>
      <c r="K12" s="412">
        <f ca="1" t="shared" si="4"/>
        <v>3.28400247414314e-5</v>
      </c>
      <c r="L12" s="412">
        <f ca="1" t="shared" si="5"/>
        <v>0.000193810052002947</v>
      </c>
      <c r="M12" s="412">
        <f ca="1" t="shared" si="6"/>
        <v>2.18374924969411e-5</v>
      </c>
      <c r="N12" s="412">
        <f ca="1" t="shared" si="7"/>
        <v>2368514344.40534</v>
      </c>
      <c r="O12" s="450">
        <f ca="1" t="shared" si="8"/>
        <v>2368514344.40506</v>
      </c>
      <c r="P12" s="451"/>
      <c r="Q12" s="477" t="str">
        <f t="shared" si="0"/>
        <v>Xe-133m</v>
      </c>
      <c r="R12" s="412">
        <f ca="1" t="shared" si="9"/>
        <v>2368514344.40506</v>
      </c>
      <c r="S12" s="412">
        <f ca="1">I12*(1-过滤效率!$B9)</f>
        <v>1.14292933062237e-5</v>
      </c>
      <c r="T12" s="412">
        <f ca="1">J12*(1-过滤效率!$B9)</f>
        <v>1.56548206206144e-5</v>
      </c>
      <c r="U12" s="412">
        <f ca="1">K12*(1-过滤效率!$B9)</f>
        <v>3.28400247414314e-5</v>
      </c>
      <c r="V12" s="412">
        <f ca="1">L12*(1-过滤效率!$B9)</f>
        <v>0.000193810052002947</v>
      </c>
      <c r="W12" s="412">
        <f ca="1">M12*(1-过滤效率!$B9)</f>
        <v>2.18374924969411e-5</v>
      </c>
      <c r="X12" s="412">
        <f ca="1" t="shared" si="10"/>
        <v>2368514344.40534</v>
      </c>
      <c r="Y12" s="493"/>
      <c r="Z12" s="494">
        <f>VLOOKUP(G12,衰变常数!$A$1:$H$3800,7,FALSE)</f>
        <v>3.66325881828146e-6</v>
      </c>
      <c r="AA12" s="495">
        <f>正常源项!C9</f>
        <v>1.32e+16</v>
      </c>
      <c r="AB12" s="496">
        <f>正常源项!F9</f>
        <v>0</v>
      </c>
      <c r="AC12" s="496">
        <f>正常源项!I9</f>
        <v>6770000000</v>
      </c>
      <c r="AD12" s="496">
        <f>正常源项!L9</f>
        <v>6490000000</v>
      </c>
      <c r="AE12" s="497"/>
      <c r="AF12" s="498"/>
      <c r="AG12" s="483"/>
      <c r="AH12" s="518"/>
      <c r="AI12" s="483"/>
      <c r="AJ12" s="521"/>
      <c r="AK12" s="521"/>
      <c r="AL12" s="519">
        <f t="shared" si="11"/>
        <v>1931160</v>
      </c>
      <c r="AM12" s="520">
        <f t="shared" si="12"/>
        <v>55440000000</v>
      </c>
      <c r="AN12" s="519">
        <f ca="1">MAX(INDIRECT("'"&amp;$B$2&amp;"-事故进程'!Y"&amp;(ROW()+22)),INDIRECT("'"&amp;$B$2&amp;"-事故进程'!Z"&amp;(ROW()+22)),INDIRECT("'"&amp;$B$2&amp;"-事故进程'!AA"&amp;(ROW()+22)))</f>
        <v>3.15622767583691e-11</v>
      </c>
      <c r="AO12" s="519">
        <f ca="1" t="shared" si="13"/>
        <v>4166067.8906652</v>
      </c>
      <c r="AP12" s="560">
        <f t="shared" si="14"/>
        <v>1.31995164586927e+16</v>
      </c>
      <c r="AQ12" s="561">
        <f ca="1">(AC12*$C$5+AD12*$C$8+AF12+AG12+AI12+(AL12+AM12)*$C$10)*EXP(-Z12*$C$12*3600)+AO12*$C$11</f>
        <v>13263680328.6684</v>
      </c>
      <c r="AR12" s="562">
        <f ca="1">AQ12*(1-AR$3)</f>
        <v>10895165984.2633</v>
      </c>
      <c r="AS12" s="563">
        <f ca="1" t="shared" si="15"/>
        <v>2368514344.40506</v>
      </c>
      <c r="AT12" s="562">
        <f ca="1">AS12*(1-AT$3)</f>
        <v>0</v>
      </c>
      <c r="AU12" s="564">
        <f ca="1" t="shared" si="16"/>
        <v>2368514344.40506</v>
      </c>
      <c r="AV12" s="565">
        <f>AV$3*3600</f>
        <v>7200</v>
      </c>
      <c r="AW12" s="580">
        <f>AP12*EXP(-Z12*AW$3*3600)</f>
        <v>1.31995164586927e+16</v>
      </c>
      <c r="AX12" s="580">
        <f ca="1" t="shared" si="17"/>
        <v>10895165984.2633</v>
      </c>
      <c r="AY12" s="581">
        <f ca="1" t="shared" si="18"/>
        <v>0</v>
      </c>
      <c r="AZ12" s="580">
        <v>0</v>
      </c>
      <c r="BA12" s="580">
        <f ca="1">MAX(INDIRECT("'"&amp;$B$2&amp;"-事故进程'!Y"&amp;(ROW()+22)),INDIRECT("'"&amp;$B$2&amp;"-事故进程'!Z"&amp;(ROW()+22)))</f>
        <v>1.4685883692189e-11</v>
      </c>
      <c r="BB12" s="580">
        <f>SUM(BA$3,-LN(1-BB$3)/AV12)</f>
        <v>1.38777878078145e-19</v>
      </c>
      <c r="BC12" s="580">
        <f>BC$3/24/3600</f>
        <v>1157407407407410</v>
      </c>
      <c r="BD12" s="582">
        <f ca="1" t="shared" si="19"/>
        <v>0.973969228036868</v>
      </c>
      <c r="BE12" s="582">
        <f t="shared" si="20"/>
        <v>0.973969331022784</v>
      </c>
      <c r="BF12" s="582">
        <f t="shared" si="21"/>
        <v>0</v>
      </c>
      <c r="BG12" s="582">
        <f ca="1" t="shared" si="22"/>
        <v>193846.723510635</v>
      </c>
      <c r="BH12" s="582">
        <f ca="1" t="shared" si="23"/>
        <v>-1.30637492634693e-24</v>
      </c>
      <c r="BI12" s="582">
        <f ca="1" t="shared" si="24"/>
        <v>-9.44974659327939e-9</v>
      </c>
      <c r="BJ12" s="580">
        <f ca="1" t="shared" si="25"/>
        <v>1.28559228557329e+16</v>
      </c>
      <c r="BK12" s="580">
        <f ca="1" t="shared" si="26"/>
        <v>11970921832</v>
      </c>
      <c r="BL12" s="586">
        <f ca="1" t="shared" si="27"/>
        <v>1.43536244856856e-24</v>
      </c>
      <c r="BM12" s="594">
        <f ca="1" t="shared" si="28"/>
        <v>-4</v>
      </c>
      <c r="BN12" s="580">
        <f ca="1" t="shared" si="29"/>
        <v>1377449891.39112</v>
      </c>
      <c r="BO12" s="580">
        <f ca="1" t="shared" si="30"/>
        <v>1.14292933071621e-5</v>
      </c>
      <c r="BP12" s="595">
        <f ca="1" t="shared" si="31"/>
        <v>1.14292933062237e-5</v>
      </c>
      <c r="BQ12" s="596">
        <f>BQ$3*3600</f>
        <v>21600</v>
      </c>
      <c r="BR12" s="580">
        <f ca="1" t="shared" ref="BR12:BU12" si="147">BJ12</f>
        <v>1.28559228557329e+16</v>
      </c>
      <c r="BS12" s="580">
        <f ca="1" t="shared" si="147"/>
        <v>11970921832</v>
      </c>
      <c r="BT12" s="581">
        <f ca="1" t="shared" si="147"/>
        <v>1.43536244856856e-24</v>
      </c>
      <c r="BU12" s="580">
        <f ca="1" t="shared" si="147"/>
        <v>-4</v>
      </c>
      <c r="BV12" s="580">
        <f ca="1">MAX(INDIRECT("'"&amp;$B$2&amp;"-事故进程'!Z"&amp;(ROW()+22)),INDIRECT("'"&amp;$B$2&amp;"-事故进程'!AA"&amp;(ROW()+22)))</f>
        <v>3.15622767583691e-11</v>
      </c>
      <c r="BW12" s="580">
        <f ca="1">SUM(BV$3,-LN(1-BW$3)/BQ12)</f>
        <v>4.62592926927149e-20</v>
      </c>
      <c r="BX12" s="580">
        <f>BX$3/24/3600</f>
        <v>1157407407407410</v>
      </c>
      <c r="BY12" s="582">
        <f ca="1" t="shared" si="33"/>
        <v>0.923922512100547</v>
      </c>
      <c r="BZ12" s="582">
        <f ca="1" t="shared" si="34"/>
        <v>0.923923141980479</v>
      </c>
      <c r="CA12" s="582">
        <f t="shared" si="35"/>
        <v>0</v>
      </c>
      <c r="CB12" s="582">
        <f ca="1" t="shared" si="36"/>
        <v>405762.572986432</v>
      </c>
      <c r="CC12" s="582">
        <f ca="1" t="shared" si="37"/>
        <v>9.56908298989081e-25</v>
      </c>
      <c r="CD12" s="582">
        <f ca="1" t="shared" si="38"/>
        <v>-1.46565132530398e-9</v>
      </c>
      <c r="CE12" s="580">
        <f ca="1" t="shared" si="39"/>
        <v>1.18778765402396e+16</v>
      </c>
      <c r="CF12" s="580">
        <f ca="1" t="shared" si="40"/>
        <v>19157899528</v>
      </c>
      <c r="CG12" s="586">
        <f ca="1" t="shared" si="41"/>
        <v>7.65703481678305e-25</v>
      </c>
      <c r="CH12" s="594">
        <f ca="1" t="shared" si="42"/>
        <v>-6</v>
      </c>
      <c r="CI12" s="580">
        <f ca="1" t="shared" si="43"/>
        <v>8426678009.45643</v>
      </c>
      <c r="CJ12" s="580">
        <f ca="1" t="shared" si="44"/>
        <v>1.56548206207067e-5</v>
      </c>
      <c r="CK12" s="595">
        <f ca="1" t="shared" si="45"/>
        <v>1.56548206206144e-5</v>
      </c>
      <c r="CL12" s="596">
        <f>CL$3*3600</f>
        <v>57600</v>
      </c>
      <c r="CM12" s="580">
        <f ca="1" t="shared" ref="CM12:CP12" si="148">CE12</f>
        <v>1.18778765402396e+16</v>
      </c>
      <c r="CN12" s="580">
        <f ca="1" t="shared" si="148"/>
        <v>19157899528</v>
      </c>
      <c r="CO12" s="581">
        <f ca="1" t="shared" si="148"/>
        <v>7.65703481678305e-25</v>
      </c>
      <c r="CP12" s="580">
        <f ca="1" t="shared" si="148"/>
        <v>-6</v>
      </c>
      <c r="CQ12" s="580">
        <f ca="1">MAX(INDIRECT("'"&amp;$B$2&amp;"-事故进程'!AA"&amp;(ROW()+22)),INDIRECT("'"&amp;$B$2&amp;"-事故进程'!AB"&amp;(ROW()+22)))</f>
        <v>5.2407536087185e-11</v>
      </c>
      <c r="CR12" s="580">
        <f ca="1">SUM(CQ$3,-LN(1-CR$3)/CL12)</f>
        <v>1.73472347597681e-20</v>
      </c>
      <c r="CS12" s="580">
        <f>CS$3/24/3600</f>
        <v>1157407407407410</v>
      </c>
      <c r="CT12" s="582">
        <f ca="1" t="shared" si="47"/>
        <v>0.809768619867616</v>
      </c>
      <c r="CU12" s="582">
        <f ca="1" t="shared" si="48"/>
        <v>0.809771064298847</v>
      </c>
      <c r="CV12" s="582">
        <f t="shared" si="49"/>
        <v>0</v>
      </c>
      <c r="CW12" s="582">
        <f ca="1" t="shared" si="50"/>
        <v>622491.247440045</v>
      </c>
      <c r="CX12" s="582">
        <f ca="1" t="shared" si="51"/>
        <v>4.78564676025851e-25</v>
      </c>
      <c r="CY12" s="582">
        <f ca="1" t="shared" si="52"/>
        <v>-3.3100649373501e-10</v>
      </c>
      <c r="CZ12" s="580">
        <f ca="1" t="shared" si="53"/>
        <v>9618331692947740</v>
      </c>
      <c r="DA12" s="580">
        <f ca="1" t="shared" si="54"/>
        <v>44548165074</v>
      </c>
      <c r="DB12" s="586">
        <f ca="1" t="shared" si="55"/>
        <v>6.67688380689788e-25</v>
      </c>
      <c r="DC12" s="594">
        <f ca="1" t="shared" si="56"/>
        <v>-4</v>
      </c>
      <c r="DD12" s="580">
        <f ca="1" t="shared" si="57"/>
        <v>32325175456.1566</v>
      </c>
      <c r="DE12" s="580">
        <f ca="1" t="shared" si="58"/>
        <v>3.28400247416375e-5</v>
      </c>
      <c r="DF12" s="595">
        <f ca="1" t="shared" si="59"/>
        <v>3.28400247414314e-5</v>
      </c>
      <c r="DG12" s="596">
        <f>DG$3*3600</f>
        <v>86400</v>
      </c>
      <c r="DH12" s="580">
        <f ca="1" t="shared" ref="DH12:DK12" si="149">CZ12</f>
        <v>9618331692947740</v>
      </c>
      <c r="DI12" s="580">
        <f ca="1" t="shared" si="149"/>
        <v>44548165074</v>
      </c>
      <c r="DJ12" s="581">
        <f ca="1" t="shared" si="149"/>
        <v>6.67688380689788e-25</v>
      </c>
      <c r="DK12" s="580">
        <f ca="1" t="shared" si="149"/>
        <v>-4</v>
      </c>
      <c r="DL12" s="580">
        <f ca="1">MAX(INDIRECT("'"&amp;$B$2&amp;"-事故进程'!AB"&amp;(ROW()+22)),INDIRECT("'"&amp;$B$2&amp;"-事故进程'!AC"&amp;(ROW()+22)))</f>
        <v>1.10906459352765e-10</v>
      </c>
      <c r="DM12" s="580">
        <f ca="1">SUM(DL$3,-LN(1-DM$3)/DG12)</f>
        <v>1.15648231731787e-20</v>
      </c>
      <c r="DN12" s="580">
        <f>DN$3/24/3600</f>
        <v>1157407407407410</v>
      </c>
      <c r="DO12" s="582">
        <f ca="1" t="shared" si="61"/>
        <v>0.728683976127522</v>
      </c>
      <c r="DP12" s="582">
        <f ca="1" t="shared" si="62"/>
        <v>0.728690958642621</v>
      </c>
      <c r="DQ12" s="582">
        <f t="shared" si="63"/>
        <v>0</v>
      </c>
      <c r="DR12" s="582">
        <f ca="1" t="shared" si="64"/>
        <v>1066740.05362458</v>
      </c>
      <c r="DS12" s="582">
        <f ca="1" t="shared" si="65"/>
        <v>2.22562793560174e-25</v>
      </c>
      <c r="DT12" s="582">
        <f ca="1" t="shared" si="66"/>
        <v>-1.04275469994041e-10</v>
      </c>
      <c r="DU12" s="580">
        <f ca="1" t="shared" si="67"/>
        <v>7008724181730520</v>
      </c>
      <c r="DV12" s="580">
        <f ca="1" t="shared" si="68"/>
        <v>99621991391</v>
      </c>
      <c r="DW12" s="586">
        <f ca="1" t="shared" si="69"/>
        <v>9.95423657408829e-25</v>
      </c>
      <c r="DX12" s="594">
        <f ca="1" t="shared" si="70"/>
        <v>-5</v>
      </c>
      <c r="DY12" s="580">
        <f ca="1" t="shared" si="71"/>
        <v>79004400624.6081</v>
      </c>
      <c r="DZ12" s="580">
        <f ca="1" t="shared" si="72"/>
        <v>7.55482683694743e-5</v>
      </c>
      <c r="EA12" s="595">
        <f ca="1" t="shared" si="73"/>
        <v>7.55482683695466e-5</v>
      </c>
      <c r="EB12" s="596">
        <f>EB$3*3600</f>
        <v>172800</v>
      </c>
      <c r="EC12" s="580">
        <f ca="1" t="shared" ref="EC12:EF12" si="150">DU12</f>
        <v>7008724181730520</v>
      </c>
      <c r="ED12" s="580">
        <f ca="1" t="shared" si="150"/>
        <v>99621991391</v>
      </c>
      <c r="EE12" s="581">
        <f ca="1" t="shared" si="150"/>
        <v>9.95423657408829e-25</v>
      </c>
      <c r="EF12" s="580">
        <f ca="1" t="shared" si="150"/>
        <v>-5</v>
      </c>
      <c r="EG12" s="580">
        <f ca="1">MAX(INDIRECT("'"&amp;$B$2&amp;"-事故进程'!AC"&amp;(ROW()+22)),INDIRECT("'"&amp;$B$2&amp;"-事故进程'!AD"&amp;(ROW()+22)),INDIRECT("'"&amp;$B$2&amp;"-事故进程'!AE"&amp;(ROW()+22)))</f>
        <v>1.10906459352765e-10</v>
      </c>
      <c r="EH12" s="580">
        <f ca="1">SUM(EG$3,-LN(1-EH$3)/EB12)</f>
        <v>5.78241158658936e-21</v>
      </c>
      <c r="EI12" s="580">
        <f>EI$3/24/3600</f>
        <v>1157407407407410</v>
      </c>
      <c r="EJ12" s="582">
        <f ca="1" t="shared" si="75"/>
        <v>0.530980337065016</v>
      </c>
      <c r="EK12" s="582">
        <f ca="1" t="shared" si="76"/>
        <v>0.530990513207502</v>
      </c>
      <c r="EL12" s="582">
        <f t="shared" si="77"/>
        <v>0</v>
      </c>
      <c r="EM12" s="582">
        <f ca="1" t="shared" si="78"/>
        <v>777323.832298178</v>
      </c>
      <c r="EN12" s="582">
        <f ca="1" t="shared" si="79"/>
        <v>4.97711828702991e-25</v>
      </c>
      <c r="EO12" s="582">
        <f ca="1" t="shared" si="80"/>
        <v>-5.21377349943023e-11</v>
      </c>
      <c r="EP12" s="580">
        <f ca="1" t="shared" si="81"/>
        <v>3721494728411000</v>
      </c>
      <c r="EQ12" s="580">
        <f ca="1" t="shared" si="82"/>
        <v>124220108262</v>
      </c>
      <c r="ER12" s="586">
        <f ca="1" t="shared" si="83"/>
        <v>6.20604109415012e-25</v>
      </c>
      <c r="ES12" s="594">
        <f ca="1" t="shared" si="84"/>
        <v>-2</v>
      </c>
      <c r="ET12" s="580">
        <f ca="1" t="shared" si="85"/>
        <v>99519024051.985</v>
      </c>
      <c r="EU12" s="580">
        <f ca="1" t="shared" si="86"/>
        <v>0.000118261783633092</v>
      </c>
      <c r="EV12" s="595">
        <f ca="1" t="shared" si="87"/>
        <v>0.000118261783633401</v>
      </c>
      <c r="EW12" s="596">
        <f>EW$3*3600</f>
        <v>2246400</v>
      </c>
      <c r="EX12" s="580">
        <f ca="1" t="shared" ref="EX12:FA12" si="151">EP12</f>
        <v>3721494728411000</v>
      </c>
      <c r="EY12" s="580">
        <f ca="1" t="shared" si="151"/>
        <v>124220108262</v>
      </c>
      <c r="EZ12" s="581">
        <f ca="1" t="shared" si="151"/>
        <v>6.20604109415012e-25</v>
      </c>
      <c r="FA12" s="580">
        <f ca="1" t="shared" si="151"/>
        <v>-2</v>
      </c>
      <c r="FB12" s="580">
        <f ca="1">INDIRECT("'"&amp;$B$2&amp;"-事故进程'!AE"&amp;(ROW()+22))</f>
        <v>5.49256953120647e-11</v>
      </c>
      <c r="FC12" s="580">
        <f ca="1">SUM(FB$3,-LN(1-FC$3)/EW12)</f>
        <v>4.44800891276105e-22</v>
      </c>
      <c r="FD12" s="580">
        <f>FD$3/24/3600</f>
        <v>1157407407407410</v>
      </c>
      <c r="FE12" s="582">
        <f ca="1" t="shared" si="89"/>
        <v>0.000266731507747251</v>
      </c>
      <c r="FF12" s="582">
        <f ca="1" t="shared" si="90"/>
        <v>0.00026676442046662</v>
      </c>
      <c r="FG12" s="582">
        <f t="shared" si="91"/>
        <v>0</v>
      </c>
      <c r="FH12" s="582">
        <f ca="1" t="shared" si="92"/>
        <v>204412.508433975</v>
      </c>
      <c r="FI12" s="582">
        <f ca="1" t="shared" si="93"/>
        <v>5.72865331767892e-25</v>
      </c>
      <c r="FJ12" s="582">
        <f ca="1" t="shared" si="94"/>
        <v>-8.09822959459203e-12</v>
      </c>
      <c r="FK12" s="580">
        <f ca="1" t="shared" si="95"/>
        <v>992639899982.512</v>
      </c>
      <c r="FL12" s="580">
        <f ca="1" t="shared" si="96"/>
        <v>155622016.820679</v>
      </c>
      <c r="FM12" s="586">
        <f ca="1" t="shared" si="97"/>
        <v>5.98067813813054e-29</v>
      </c>
      <c r="FN12" s="594">
        <f ca="1" t="shared" si="98"/>
        <v>0.0001220703125</v>
      </c>
      <c r="FO12" s="580">
        <f ca="1" t="shared" si="99"/>
        <v>55783145644.4185</v>
      </c>
      <c r="FP12" s="580">
        <f ca="1" t="shared" si="100"/>
        <v>2.18374924969393e-5</v>
      </c>
      <c r="FQ12" s="595">
        <f ca="1" t="shared" si="101"/>
        <v>2.18374924969411e-5</v>
      </c>
      <c r="FR12" s="608" t="str">
        <f t="shared" si="102"/>
        <v>Xe-133m</v>
      </c>
      <c r="FS12" s="609">
        <v>21400000000</v>
      </c>
      <c r="FT12" s="610">
        <v>1460000000</v>
      </c>
      <c r="FU12" s="610">
        <v>3100000000</v>
      </c>
      <c r="FV12" s="610">
        <v>4820000000</v>
      </c>
      <c r="FW12" s="610">
        <v>30800000000</v>
      </c>
      <c r="FX12" s="614">
        <f ca="1" t="shared" si="103"/>
        <v>0.11067824039276</v>
      </c>
      <c r="FY12" s="614">
        <f ca="1" t="shared" si="104"/>
        <v>1.85507629635878e-14</v>
      </c>
      <c r="FZ12" s="614">
        <f ca="1" t="shared" si="105"/>
        <v>1.05935563682037e-14</v>
      </c>
      <c r="GA12" s="614">
        <f ca="1" t="shared" si="106"/>
        <v>4.02095543574579e-14</v>
      </c>
      <c r="GB12" s="614">
        <f ca="1" t="shared" si="107"/>
        <v>0.076899816376796</v>
      </c>
      <c r="GC12" s="455">
        <f ca="1" t="shared" si="108"/>
        <v>0.0768998163767967</v>
      </c>
      <c r="GE12" s="609">
        <v>4481787365.1772</v>
      </c>
      <c r="GF12" s="610">
        <v>693942732.394665</v>
      </c>
      <c r="GG12" s="610">
        <v>1481088686.07537</v>
      </c>
      <c r="GH12" s="610">
        <v>1721788221.19917</v>
      </c>
      <c r="GI12" s="610">
        <v>2286593237.45021</v>
      </c>
      <c r="GJ12" s="610">
        <v>1860976198.88386</v>
      </c>
      <c r="GK12" s="617">
        <v>12526176441.1805</v>
      </c>
      <c r="GL12" s="614">
        <f ca="1" t="shared" si="109"/>
        <v>0.528475394171543</v>
      </c>
      <c r="GM12" s="614">
        <f ca="1" t="shared" si="110"/>
        <v>3.90293213870488e-14</v>
      </c>
      <c r="GN12" s="614">
        <f ca="1" t="shared" si="111"/>
        <v>2.21728955532378e-14</v>
      </c>
      <c r="GO12" s="614">
        <f ca="1" t="shared" si="112"/>
        <v>4.8351199605701e-14</v>
      </c>
      <c r="GP12" s="614">
        <f ca="1" t="shared" si="113"/>
        <v>1.17344286885766e-14</v>
      </c>
      <c r="GQ12" s="614">
        <f ca="1" t="shared" si="114"/>
        <v>0.189085181382143</v>
      </c>
      <c r="GR12" s="451">
        <f t="shared" si="115"/>
        <v>3.66325881828146e-6</v>
      </c>
      <c r="GS12" s="390">
        <f t="shared" si="116"/>
        <v>189216</v>
      </c>
    </row>
    <row r="13" spans="2:201">
      <c r="B13" s="407" t="s">
        <v>263</v>
      </c>
      <c r="C13" s="423">
        <f>100/3600</f>
        <v>0.0277777777777778</v>
      </c>
      <c r="D13" s="424" t="s">
        <v>262</v>
      </c>
      <c r="E13" s="424"/>
      <c r="G13" s="411" t="s">
        <v>54</v>
      </c>
      <c r="H13" s="412">
        <f ca="1" t="shared" si="1"/>
        <v>7939653913.32201</v>
      </c>
      <c r="I13" s="412">
        <f ca="1" t="shared" si="2"/>
        <v>4.60476706700372e-5</v>
      </c>
      <c r="J13" s="412">
        <f ca="1" t="shared" si="3"/>
        <v>9.98636776755815e-5</v>
      </c>
      <c r="K13" s="412">
        <f ca="1" t="shared" si="4"/>
        <v>0.000176384856292744</v>
      </c>
      <c r="L13" s="412">
        <f ca="1" t="shared" si="5"/>
        <v>0.000185688165348971</v>
      </c>
      <c r="M13" s="412">
        <f ca="1" t="shared" si="6"/>
        <v>1.44328981498825e-7</v>
      </c>
      <c r="N13" s="412">
        <f ca="1" t="shared" si="7"/>
        <v>7939653913.32252</v>
      </c>
      <c r="O13" s="450">
        <f ca="1" t="shared" si="8"/>
        <v>7939653913.32201</v>
      </c>
      <c r="P13" s="451"/>
      <c r="Q13" s="477" t="str">
        <f t="shared" si="0"/>
        <v>Xe-135</v>
      </c>
      <c r="R13" s="412">
        <f ca="1" t="shared" si="9"/>
        <v>7939653913.32201</v>
      </c>
      <c r="S13" s="412">
        <f ca="1">I13*(1-过滤效率!$B10)</f>
        <v>4.60476706700372e-5</v>
      </c>
      <c r="T13" s="412">
        <f ca="1">J13*(1-过滤效率!$B10)</f>
        <v>9.98636776755815e-5</v>
      </c>
      <c r="U13" s="412">
        <f ca="1">K13*(1-过滤效率!$B10)</f>
        <v>0.000176384856292744</v>
      </c>
      <c r="V13" s="412">
        <f ca="1">L13*(1-过滤效率!$B10)</f>
        <v>0.000185688165348971</v>
      </c>
      <c r="W13" s="412">
        <f ca="1">M13*(1-过滤效率!$B10)</f>
        <v>1.44328981498825e-7</v>
      </c>
      <c r="X13" s="412">
        <f ca="1" t="shared" si="10"/>
        <v>7939653913.32252</v>
      </c>
      <c r="Y13" s="493"/>
      <c r="Z13" s="494">
        <f>VLOOKUP(G13,衰变常数!$A$1:$H$3800,7,FALSE)</f>
        <v>2.10657421760255e-5</v>
      </c>
      <c r="AA13" s="495">
        <f>正常源项!C10</f>
        <v>1.06e+17</v>
      </c>
      <c r="AB13" s="496">
        <f>正常源项!F10</f>
        <v>0</v>
      </c>
      <c r="AC13" s="496">
        <f>正常源项!I10</f>
        <v>37900000000</v>
      </c>
      <c r="AD13" s="496">
        <f>正常源项!L10</f>
        <v>6490000000</v>
      </c>
      <c r="AE13" s="497"/>
      <c r="AF13" s="498"/>
      <c r="AG13" s="483"/>
      <c r="AH13" s="518"/>
      <c r="AI13" s="483"/>
      <c r="AJ13" s="521"/>
      <c r="AK13" s="521"/>
      <c r="AL13" s="519">
        <f t="shared" si="11"/>
        <v>15507800</v>
      </c>
      <c r="AM13" s="520">
        <f t="shared" si="12"/>
        <v>445200000000</v>
      </c>
      <c r="AN13" s="519">
        <f ca="1">MAX(INDIRECT("'"&amp;$B$2&amp;"-事故进程'!Y"&amp;(ROW()+22)),INDIRECT("'"&amp;$B$2&amp;"-事故进程'!Z"&amp;(ROW()+22)),INDIRECT("'"&amp;$B$2&amp;"-事故进程'!AA"&amp;(ROW()+22)))</f>
        <v>7.68199656630356e-11</v>
      </c>
      <c r="AO13" s="519">
        <f ca="1" t="shared" si="13"/>
        <v>81412012.6868545</v>
      </c>
      <c r="AP13" s="560">
        <f t="shared" si="14"/>
        <v>1.05977672665085e+17</v>
      </c>
      <c r="AQ13" s="561">
        <f ca="1">(AC13*$C$5+AD13*$C$8+AF13+AG13+AI13+(AL13+AM13)*$C$10)*EXP(-Z13*$C$12*3600)+AO13*$C$11</f>
        <v>44462061914.6033</v>
      </c>
      <c r="AR13" s="562">
        <f ca="1">AQ13*(1-AR$3)</f>
        <v>36522408001.2813</v>
      </c>
      <c r="AS13" s="563">
        <f ca="1" t="shared" si="15"/>
        <v>7939653913.32201</v>
      </c>
      <c r="AT13" s="562">
        <f ca="1">AS13*(1-AT$3)</f>
        <v>0</v>
      </c>
      <c r="AU13" s="564">
        <f ca="1" t="shared" si="16"/>
        <v>7939653913.32201</v>
      </c>
      <c r="AV13" s="565">
        <f>AV$3*3600</f>
        <v>7200</v>
      </c>
      <c r="AW13" s="580">
        <f>AP13*EXP(-Z13*AW$3*3600)</f>
        <v>1.05977672665085e+17</v>
      </c>
      <c r="AX13" s="580">
        <f ca="1" t="shared" si="17"/>
        <v>36522408001.2813</v>
      </c>
      <c r="AY13" s="581">
        <f ca="1" t="shared" si="18"/>
        <v>0</v>
      </c>
      <c r="AZ13" s="580">
        <v>0</v>
      </c>
      <c r="BA13" s="580">
        <f ca="1">MAX(INDIRECT("'"&amp;$B$2&amp;"-事故进程'!Y"&amp;(ROW()+22)),INDIRECT("'"&amp;$B$2&amp;"-事故进程'!Z"&amp;(ROW()+22)))</f>
        <v>3.53483509630726e-11</v>
      </c>
      <c r="BB13" s="580">
        <f>SUM(BA$3,-LN(1-BB$3)/AV13)</f>
        <v>1.38777878078145e-19</v>
      </c>
      <c r="BC13" s="580">
        <f>BC$3/24/3600</f>
        <v>1157407407407410</v>
      </c>
      <c r="BD13" s="582">
        <f ca="1" t="shared" si="19"/>
        <v>0.859268701845663</v>
      </c>
      <c r="BE13" s="582">
        <f t="shared" si="20"/>
        <v>0.859268920536558</v>
      </c>
      <c r="BF13" s="582">
        <f t="shared" si="21"/>
        <v>0</v>
      </c>
      <c r="BG13" s="582">
        <f ca="1" t="shared" si="22"/>
        <v>3746137.25862195</v>
      </c>
      <c r="BH13" s="582">
        <f ca="1" t="shared" si="23"/>
        <v>-4.37918597399986e-24</v>
      </c>
      <c r="BI13" s="582">
        <f ca="1" t="shared" si="24"/>
        <v>-3.92600715003551e-9</v>
      </c>
      <c r="BJ13" s="580">
        <f ca="1" t="shared" si="25"/>
        <v>9.10632972155525e+16</v>
      </c>
      <c r="BK13" s="580">
        <f ca="1" t="shared" si="26"/>
        <v>54558922240</v>
      </c>
      <c r="BL13" s="586">
        <f ca="1" t="shared" si="27"/>
        <v>6.54183774122264e-24</v>
      </c>
      <c r="BM13" s="594">
        <f ca="1" t="shared" si="28"/>
        <v>-6.54183774122264e-24</v>
      </c>
      <c r="BN13" s="580">
        <f ca="1" t="shared" si="29"/>
        <v>25026305208.7713</v>
      </c>
      <c r="BO13" s="580">
        <f ca="1" t="shared" si="30"/>
        <v>4.60476706699525e-5</v>
      </c>
      <c r="BP13" s="595">
        <f ca="1" t="shared" si="31"/>
        <v>4.60476706700372e-5</v>
      </c>
      <c r="BQ13" s="596">
        <f>BQ$3*3600</f>
        <v>21600</v>
      </c>
      <c r="BR13" s="580">
        <f ca="1" t="shared" ref="BR13:BU13" si="152">BJ13</f>
        <v>9.10632972155525e+16</v>
      </c>
      <c r="BS13" s="580">
        <f ca="1" t="shared" si="152"/>
        <v>54558922240</v>
      </c>
      <c r="BT13" s="581">
        <f ca="1" t="shared" si="152"/>
        <v>6.54183774122264e-24</v>
      </c>
      <c r="BU13" s="580">
        <f ca="1" t="shared" si="152"/>
        <v>-6.54183774122264e-24</v>
      </c>
      <c r="BV13" s="580">
        <f ca="1">MAX(INDIRECT("'"&amp;$B$2&amp;"-事故进程'!Z"&amp;(ROW()+22)),INDIRECT("'"&amp;$B$2&amp;"-事故进程'!AA"&amp;(ROW()+22)))</f>
        <v>7.68199656630356e-11</v>
      </c>
      <c r="BW13" s="580">
        <f ca="1">SUM(BV$3,-LN(1-BW$3)/BQ13)</f>
        <v>4.62592926927149e-20</v>
      </c>
      <c r="BX13" s="580">
        <f>BX$3/24/3600</f>
        <v>1157407407407410</v>
      </c>
      <c r="BY13" s="582">
        <f ca="1" t="shared" si="33"/>
        <v>0.634434206722205</v>
      </c>
      <c r="BZ13" s="582">
        <f ca="1" t="shared" si="34"/>
        <v>0.634435259446899</v>
      </c>
      <c r="CA13" s="582">
        <f t="shared" si="35"/>
        <v>0</v>
      </c>
      <c r="CB13" s="582">
        <f ca="1" t="shared" si="36"/>
        <v>6995483.55647608</v>
      </c>
      <c r="CC13" s="582">
        <f ca="1" t="shared" si="37"/>
        <v>4.36122516111771e-24</v>
      </c>
      <c r="CD13" s="582">
        <f ca="1" t="shared" si="38"/>
        <v>-6.0217799267815e-10</v>
      </c>
      <c r="CE13" s="580">
        <f ca="1" t="shared" si="39"/>
        <v>5.77736707304574e+16</v>
      </c>
      <c r="CF13" s="580">
        <f ca="1" t="shared" si="40"/>
        <v>130478685792</v>
      </c>
      <c r="CG13" s="586">
        <f ca="1" t="shared" si="41"/>
        <v>5.21497588233018e-24</v>
      </c>
      <c r="CH13" s="594">
        <f ca="1" t="shared" si="42"/>
        <v>-5.21497588233018e-24</v>
      </c>
      <c r="CI13" s="580">
        <f ca="1" t="shared" si="43"/>
        <v>121396085478.896</v>
      </c>
      <c r="CJ13" s="580">
        <f ca="1" t="shared" si="44"/>
        <v>9.98636776813492e-5</v>
      </c>
      <c r="CK13" s="595">
        <f ca="1" t="shared" si="45"/>
        <v>9.98636776755815e-5</v>
      </c>
      <c r="CL13" s="596">
        <f>CL$3*3600</f>
        <v>57600</v>
      </c>
      <c r="CM13" s="580">
        <f ca="1" t="shared" ref="CM13:CP13" si="153">CE13</f>
        <v>5.77736707304574e+16</v>
      </c>
      <c r="CN13" s="580">
        <f ca="1" t="shared" si="153"/>
        <v>130478685792</v>
      </c>
      <c r="CO13" s="581">
        <f ca="1" t="shared" si="153"/>
        <v>5.21497588233018e-24</v>
      </c>
      <c r="CP13" s="580">
        <f ca="1" t="shared" si="153"/>
        <v>-5.21497588233018e-24</v>
      </c>
      <c r="CQ13" s="580">
        <f ca="1">MAX(INDIRECT("'"&amp;$B$2&amp;"-事故进程'!AA"&amp;(ROW()+22)),INDIRECT("'"&amp;$B$2&amp;"-事故进程'!AB"&amp;(ROW()+22)))</f>
        <v>1.30517798809954e-10</v>
      </c>
      <c r="CR13" s="580">
        <f ca="1">SUM(CQ$3,-LN(1-CR$3)/CL13)</f>
        <v>1.73472347597681e-20</v>
      </c>
      <c r="CS13" s="580">
        <f>CS$3/24/3600</f>
        <v>1157407407407410</v>
      </c>
      <c r="CT13" s="582">
        <f ca="1" t="shared" si="47"/>
        <v>0.297186834026783</v>
      </c>
      <c r="CU13" s="582">
        <f ca="1" t="shared" si="48"/>
        <v>0.297189068233854</v>
      </c>
      <c r="CV13" s="582">
        <f t="shared" si="49"/>
        <v>0</v>
      </c>
      <c r="CW13" s="582">
        <f ca="1" t="shared" si="50"/>
        <v>7540509.36270122</v>
      </c>
      <c r="CX13" s="582">
        <f ca="1" t="shared" si="51"/>
        <v>3.2593599262772e-24</v>
      </c>
      <c r="CY13" s="582">
        <f ca="1" t="shared" si="52"/>
        <v>-1.32910874380688e-10</v>
      </c>
      <c r="CZ13" s="580">
        <f ca="1" t="shared" si="53"/>
        <v>1.71695742944905e+16</v>
      </c>
      <c r="DA13" s="580">
        <f ca="1" t="shared" si="54"/>
        <v>167855182748</v>
      </c>
      <c r="DB13" s="586">
        <f ca="1" t="shared" si="55"/>
        <v>2.5158152973599e-24</v>
      </c>
      <c r="DC13" s="594">
        <f ca="1" t="shared" si="56"/>
        <v>-2</v>
      </c>
      <c r="DD13" s="580">
        <f ca="1" t="shared" si="57"/>
        <v>251570745086.821</v>
      </c>
      <c r="DE13" s="580">
        <f ca="1" t="shared" si="58"/>
        <v>0.000176384856295055</v>
      </c>
      <c r="DF13" s="595">
        <f ca="1" t="shared" si="59"/>
        <v>0.000176384856292744</v>
      </c>
      <c r="DG13" s="596">
        <f>DG$3*3600</f>
        <v>86400</v>
      </c>
      <c r="DH13" s="580">
        <f ca="1" t="shared" ref="DH13:DK13" si="154">CZ13</f>
        <v>1.71695742944905e+16</v>
      </c>
      <c r="DI13" s="580">
        <f ca="1" t="shared" si="154"/>
        <v>167855182748</v>
      </c>
      <c r="DJ13" s="581">
        <f ca="1" t="shared" si="154"/>
        <v>2.5158152973599e-24</v>
      </c>
      <c r="DK13" s="580">
        <f ca="1" t="shared" si="154"/>
        <v>-2</v>
      </c>
      <c r="DL13" s="580">
        <f ca="1">MAX(INDIRECT("'"&amp;$B$2&amp;"-事故进程'!AB"&amp;(ROW()+22)),INDIRECT("'"&amp;$B$2&amp;"-事故进程'!AC"&amp;(ROW()+22)))</f>
        <v>2.9844774267088e-10</v>
      </c>
      <c r="DM13" s="580">
        <f ca="1">SUM(DL$3,-LN(1-DM$3)/DG13)</f>
        <v>1.15648231731787e-20</v>
      </c>
      <c r="DN13" s="580">
        <f>DN$3/24/3600</f>
        <v>1157407407407410</v>
      </c>
      <c r="DO13" s="582">
        <f ca="1" t="shared" si="61"/>
        <v>0.162008591712525</v>
      </c>
      <c r="DP13" s="582">
        <f ca="1" t="shared" si="62"/>
        <v>0.162012769301296</v>
      </c>
      <c r="DQ13" s="582">
        <f t="shared" si="63"/>
        <v>0</v>
      </c>
      <c r="DR13" s="582">
        <f ca="1" t="shared" si="64"/>
        <v>5124270.78681104</v>
      </c>
      <c r="DS13" s="582">
        <f ca="1" t="shared" si="65"/>
        <v>8.38605099154463e-25</v>
      </c>
      <c r="DT13" s="582">
        <f ca="1" t="shared" si="66"/>
        <v>-3.87499100181844e-11</v>
      </c>
      <c r="DU13" s="580">
        <f ca="1" t="shared" si="67"/>
        <v>2781618551753980</v>
      </c>
      <c r="DV13" s="580">
        <f ca="1" t="shared" si="68"/>
        <v>98922103769.5</v>
      </c>
      <c r="DW13" s="586">
        <f ca="1" t="shared" si="69"/>
        <v>9.8843037523998e-25</v>
      </c>
      <c r="DX13" s="594">
        <f ca="1" t="shared" si="70"/>
        <v>-0.5</v>
      </c>
      <c r="DY13" s="580">
        <f ca="1" t="shared" si="71"/>
        <v>203837683110.864</v>
      </c>
      <c r="DZ13" s="580">
        <f ca="1" t="shared" si="72"/>
        <v>0.000149747661584012</v>
      </c>
      <c r="EA13" s="595">
        <f ca="1" t="shared" si="73"/>
        <v>0.000149747661585002</v>
      </c>
      <c r="EB13" s="596">
        <f>EB$3*3600</f>
        <v>172800</v>
      </c>
      <c r="EC13" s="580">
        <f ca="1" t="shared" ref="EC13:EF13" si="155">DU13</f>
        <v>2781618551753980</v>
      </c>
      <c r="ED13" s="580">
        <f ca="1" t="shared" si="155"/>
        <v>98922103769.5</v>
      </c>
      <c r="EE13" s="581">
        <f ca="1" t="shared" si="155"/>
        <v>9.8843037523998e-25</v>
      </c>
      <c r="EF13" s="580">
        <f ca="1" t="shared" si="155"/>
        <v>-0.5</v>
      </c>
      <c r="EG13" s="580">
        <f ca="1">MAX(INDIRECT("'"&amp;$B$2&amp;"-事故进程'!AC"&amp;(ROW()+22)),INDIRECT("'"&amp;$B$2&amp;"-事故进程'!AD"&amp;(ROW()+22)),INDIRECT("'"&amp;$B$2&amp;"-事故进程'!AE"&amp;(ROW()+22)))</f>
        <v>2.9844774267088e-10</v>
      </c>
      <c r="EH13" s="580">
        <f ca="1">SUM(EG$3,-LN(1-EH$3)/EB13)</f>
        <v>5.78241158658936e-21</v>
      </c>
      <c r="EI13" s="580">
        <f>EI$3/24/3600</f>
        <v>1157407407407410</v>
      </c>
      <c r="EJ13" s="582">
        <f ca="1" t="shared" si="75"/>
        <v>0.0262467837886758</v>
      </c>
      <c r="EK13" s="582">
        <f ca="1" t="shared" si="76"/>
        <v>0.026248137416675</v>
      </c>
      <c r="EL13" s="582">
        <f t="shared" si="77"/>
        <v>0</v>
      </c>
      <c r="EM13" s="582">
        <f ca="1" t="shared" si="78"/>
        <v>830197.300820988</v>
      </c>
      <c r="EN13" s="582">
        <f ca="1" t="shared" si="79"/>
        <v>4.94215187618319e-25</v>
      </c>
      <c r="EO13" s="582">
        <f ca="1" t="shared" si="80"/>
        <v>-1.93749550087168e-11</v>
      </c>
      <c r="EP13" s="580">
        <f ca="1" t="shared" si="81"/>
        <v>73008540710456.1</v>
      </c>
      <c r="EQ13" s="580">
        <f ca="1" t="shared" si="82"/>
        <v>6361797728.15625</v>
      </c>
      <c r="ER13" s="586">
        <f ca="1" t="shared" si="83"/>
        <v>3.17835644211902e-26</v>
      </c>
      <c r="ES13" s="594">
        <f ca="1" t="shared" si="84"/>
        <v>-0.015625</v>
      </c>
      <c r="ET13" s="580">
        <f ca="1" t="shared" si="85"/>
        <v>38373539575.3305</v>
      </c>
      <c r="EU13" s="580">
        <f ca="1" t="shared" si="86"/>
        <v>3.59405037639098e-5</v>
      </c>
      <c r="EV13" s="595">
        <f ca="1" t="shared" si="87"/>
        <v>3.59405037639687e-5</v>
      </c>
      <c r="EW13" s="596">
        <f>EW$3*3600</f>
        <v>2246400</v>
      </c>
      <c r="EX13" s="580">
        <f ca="1" t="shared" ref="EX13:FA13" si="156">EP13</f>
        <v>73008540710456.1</v>
      </c>
      <c r="EY13" s="580">
        <f ca="1" t="shared" si="156"/>
        <v>6361797728.15625</v>
      </c>
      <c r="EZ13" s="581">
        <f ca="1" t="shared" si="156"/>
        <v>3.17835644211902e-26</v>
      </c>
      <c r="FA13" s="580">
        <f ca="1" t="shared" si="156"/>
        <v>-0.015625</v>
      </c>
      <c r="FB13" s="580">
        <f ca="1">INDIRECT("'"&amp;$B$2&amp;"-事故进程'!AE"&amp;(ROW()+22))</f>
        <v>1.36656472517855e-10</v>
      </c>
      <c r="FC13" s="580">
        <f ca="1">SUM(FB$3,-LN(1-FC$3)/EW13)</f>
        <v>4.44800891276105e-22</v>
      </c>
      <c r="FD13" s="580">
        <f>FD$3/24/3600</f>
        <v>1157407407407410</v>
      </c>
      <c r="FE13" s="582">
        <f ca="1" t="shared" si="89"/>
        <v>2.80638378005306e-21</v>
      </c>
      <c r="FF13" s="582">
        <f ca="1" t="shared" si="90"/>
        <v>2.80724543030817e-21</v>
      </c>
      <c r="FG13" s="582">
        <f t="shared" si="91"/>
        <v>0</v>
      </c>
      <c r="FH13" s="582">
        <f ca="1" t="shared" si="92"/>
        <v>9977.95901800356</v>
      </c>
      <c r="FI13" s="582">
        <f ca="1" t="shared" si="93"/>
        <v>2.93386748503339e-26</v>
      </c>
      <c r="FJ13" s="582">
        <f ca="1" t="shared" si="94"/>
        <v>-3.25488345397936e-12</v>
      </c>
      <c r="FK13" s="580">
        <f ca="1" t="shared" si="95"/>
        <v>2.04889984455167e-7</v>
      </c>
      <c r="FL13" s="580">
        <f ca="1" t="shared" si="96"/>
        <v>8.07669553300113e-11</v>
      </c>
      <c r="FM13" s="586">
        <f ca="1" t="shared" si="97"/>
        <v>3.10393846510024e-47</v>
      </c>
      <c r="FN13" s="594">
        <f ca="1" t="shared" si="98"/>
        <v>-2.64697796016969e-22</v>
      </c>
      <c r="FO13" s="580">
        <f ca="1" t="shared" si="99"/>
        <v>473613738.904434</v>
      </c>
      <c r="FP13" s="580">
        <f ca="1" t="shared" si="100"/>
        <v>1.44328981498894e-7</v>
      </c>
      <c r="FQ13" s="595">
        <f ca="1" t="shared" si="101"/>
        <v>1.44328981498825e-7</v>
      </c>
      <c r="FR13" s="608" t="str">
        <f t="shared" si="102"/>
        <v>Xe-135</v>
      </c>
      <c r="FS13" s="609">
        <v>59100000000</v>
      </c>
      <c r="FT13" s="610">
        <v>16900000000</v>
      </c>
      <c r="FU13" s="610">
        <v>20300000000</v>
      </c>
      <c r="FV13" s="610">
        <v>6450000000</v>
      </c>
      <c r="FW13" s="610">
        <v>103000000000</v>
      </c>
      <c r="FX13" s="614">
        <f ca="1" t="shared" si="103"/>
        <v>0.134342705809171</v>
      </c>
      <c r="FY13" s="614">
        <f ca="1" t="shared" si="104"/>
        <v>8.63380759441531e-15</v>
      </c>
      <c r="FZ13" s="614">
        <f ca="1" t="shared" si="105"/>
        <v>8.68890917698245e-15</v>
      </c>
      <c r="GA13" s="614">
        <f ca="1" t="shared" si="106"/>
        <v>2.87888628448017e-14</v>
      </c>
      <c r="GB13" s="614">
        <f ca="1" t="shared" si="107"/>
        <v>0.0770840185759468</v>
      </c>
      <c r="GC13" s="455">
        <f ca="1" t="shared" si="108"/>
        <v>0.0770840185759468</v>
      </c>
      <c r="GE13" s="609">
        <v>12107517435.6001</v>
      </c>
      <c r="GF13" s="610">
        <v>2442318390.67051</v>
      </c>
      <c r="GG13" s="610">
        <v>3481234608.32105</v>
      </c>
      <c r="GH13" s="610">
        <v>1384659174.06405</v>
      </c>
      <c r="GI13" s="610">
        <v>374626502.279607</v>
      </c>
      <c r="GJ13" s="610">
        <v>6607156.77193609</v>
      </c>
      <c r="GK13" s="617">
        <v>19796963267.7073</v>
      </c>
      <c r="GL13" s="614">
        <f ca="1" t="shared" si="109"/>
        <v>0.655762335718535</v>
      </c>
      <c r="GM13" s="614">
        <f ca="1" t="shared" si="110"/>
        <v>5.97429675438674e-14</v>
      </c>
      <c r="GN13" s="614">
        <f ca="1" t="shared" si="111"/>
        <v>5.06673281574124e-14</v>
      </c>
      <c r="GO13" s="614">
        <f ca="1" t="shared" si="112"/>
        <v>1.05547477505125e-13</v>
      </c>
      <c r="GP13" s="614">
        <f ca="1" t="shared" si="113"/>
        <v>2.18443403843333e-14</v>
      </c>
      <c r="GQ13" s="614">
        <f ca="1" t="shared" si="114"/>
        <v>0.401054131684613</v>
      </c>
      <c r="GR13" s="451">
        <f t="shared" si="115"/>
        <v>2.10657421760255e-5</v>
      </c>
      <c r="GS13" s="390">
        <f t="shared" si="116"/>
        <v>32904.0000000001</v>
      </c>
    </row>
    <row r="14" spans="1:201">
      <c r="A14" s="425"/>
      <c r="B14" s="407" t="s">
        <v>264</v>
      </c>
      <c r="C14" s="426">
        <f>1-6.9/8.4</f>
        <v>0.178571428571429</v>
      </c>
      <c r="D14" s="409" t="s">
        <v>163</v>
      </c>
      <c r="E14" s="410"/>
      <c r="G14" s="411" t="s">
        <v>55</v>
      </c>
      <c r="H14" s="412">
        <f ca="1" t="shared" si="1"/>
        <v>77686382243.4268</v>
      </c>
      <c r="I14" s="412">
        <f ca="1" t="shared" si="2"/>
        <v>0.00035847453080936</v>
      </c>
      <c r="J14" s="412">
        <f ca="1" t="shared" si="3"/>
        <v>0.000386097543746041</v>
      </c>
      <c r="K14" s="412">
        <f ca="1" t="shared" si="4"/>
        <v>0.000537271135996157</v>
      </c>
      <c r="L14" s="412">
        <f ca="1" t="shared" si="5"/>
        <v>0.00296559170418328</v>
      </c>
      <c r="M14" s="412">
        <f ca="1" t="shared" si="6"/>
        <v>0.00209391592849197</v>
      </c>
      <c r="N14" s="412">
        <f ca="1" t="shared" si="7"/>
        <v>77686382243.4331</v>
      </c>
      <c r="O14" s="450">
        <f ca="1" t="shared" si="8"/>
        <v>77686382243.4268</v>
      </c>
      <c r="P14" s="451"/>
      <c r="Q14" s="477" t="str">
        <f t="shared" si="0"/>
        <v>I-131</v>
      </c>
      <c r="R14" s="412">
        <f ca="1" t="shared" si="9"/>
        <v>77686382243.4268</v>
      </c>
      <c r="S14" s="412">
        <f ca="1">I14*(1-过滤效率!$B11)</f>
        <v>1.7923726540468e-5</v>
      </c>
      <c r="T14" s="412">
        <f ca="1">J14*(1-过滤效率!$B11)</f>
        <v>1.93048771873021e-5</v>
      </c>
      <c r="U14" s="412">
        <f ca="1">K14*(1-过滤效率!$B11)</f>
        <v>2.68635567998079e-5</v>
      </c>
      <c r="V14" s="412">
        <f ca="1">L14*(1-过滤效率!$B11)</f>
        <v>0.000148279585209164</v>
      </c>
      <c r="W14" s="412">
        <f ca="1">M14*(1-过滤效率!$B11)</f>
        <v>0.000104695796424598</v>
      </c>
      <c r="X14" s="412">
        <f ca="1" t="shared" si="10"/>
        <v>77686382243.4271</v>
      </c>
      <c r="Y14" s="493"/>
      <c r="Z14" s="494">
        <f>VLOOKUP(G14,衰变常数!$A$1:$H$3800,7,FALSE)</f>
        <v>9.99668118007245e-7</v>
      </c>
      <c r="AA14" s="495">
        <f>正常源项!C11</f>
        <v>2.27e+17</v>
      </c>
      <c r="AB14" s="496">
        <f>正常源项!F11</f>
        <v>0</v>
      </c>
      <c r="AC14" s="496">
        <f>正常源项!I11</f>
        <v>19600000</v>
      </c>
      <c r="AD14" s="497"/>
      <c r="AE14" s="496">
        <f>正常源项!O11</f>
        <v>435000000000</v>
      </c>
      <c r="AF14" s="498">
        <f t="shared" ref="AF14:AF23" si="157">AC14*$C$6</f>
        <v>0</v>
      </c>
      <c r="AG14" s="519">
        <f t="shared" ref="AG14:AG18" si="158">AE14*MIN(100%,$C$7/500*10)</f>
        <v>0</v>
      </c>
      <c r="AH14" s="523">
        <v>1</v>
      </c>
      <c r="AI14" s="519">
        <f t="shared" ref="AI14:AI23" si="159">AE14*AH14*$C$9</f>
        <v>435000000000</v>
      </c>
      <c r="AJ14" s="521"/>
      <c r="AK14" s="521"/>
      <c r="AL14" s="519">
        <f t="shared" si="11"/>
        <v>33210100</v>
      </c>
      <c r="AM14" s="520">
        <f t="shared" si="12"/>
        <v>953400000000</v>
      </c>
      <c r="AN14" s="519">
        <f ca="1">MAX(INDIRECT("'"&amp;$B$2&amp;"-事故进程'!Y"&amp;(ROW()+22)),INDIRECT("'"&amp;$B$2&amp;"-事故进程'!Z"&amp;(ROW()+22)),INDIRECT("'"&amp;$B$2&amp;"-事故进程'!AA"&amp;(ROW()+22)))</f>
        <v>1.25504687751411e-11</v>
      </c>
      <c r="AO14" s="519">
        <f ca="1" t="shared" si="13"/>
        <v>28489293.7019166</v>
      </c>
      <c r="AP14" s="560">
        <f t="shared" si="14"/>
        <v>2.26997730764715e+17</v>
      </c>
      <c r="AQ14" s="561">
        <f ca="1">(AC14*$C$5+AD14*$C$8+AF14+AG14+AI14+(AL14+AM14)*$C$10)*EXP(-Z14*$C$12*3600)+AO14*$C$11</f>
        <v>435043740563.19</v>
      </c>
      <c r="AR14" s="562">
        <f ca="1">AQ14*(1-AR$3)</f>
        <v>357357358319.763</v>
      </c>
      <c r="AS14" s="563">
        <f ca="1" t="shared" si="15"/>
        <v>77686382243.4268</v>
      </c>
      <c r="AT14" s="562">
        <f ca="1">AS14*(1-AT$3)</f>
        <v>0</v>
      </c>
      <c r="AU14" s="564">
        <f ca="1" t="shared" si="16"/>
        <v>77686382243.4268</v>
      </c>
      <c r="AV14" s="565">
        <f>AV$3*3600</f>
        <v>7200</v>
      </c>
      <c r="AW14" s="580">
        <f>AP14*EXP(-Z14*AW$3*3600)</f>
        <v>2.26997730764715e+17</v>
      </c>
      <c r="AX14" s="580">
        <f ca="1" t="shared" si="17"/>
        <v>357357358319.763</v>
      </c>
      <c r="AY14" s="581">
        <f ca="1" t="shared" si="18"/>
        <v>0</v>
      </c>
      <c r="AZ14" s="580">
        <v>0</v>
      </c>
      <c r="BA14" s="580">
        <f ca="1">MAX(INDIRECT("'"&amp;$B$2&amp;"-事故进程'!Y"&amp;(ROW()+22)),INDIRECT("'"&amp;$B$2&amp;"-事故进程'!Z"&amp;(ROW()+22)))</f>
        <v>3.30377728087424e-12</v>
      </c>
      <c r="BB14" s="580">
        <f>SUM(BA$3,-LN(1-BB$3)/AV14)</f>
        <v>1.38777878078145e-19</v>
      </c>
      <c r="BC14" s="580">
        <f>BC$3/24/3600</f>
        <v>1157407407407410</v>
      </c>
      <c r="BD14" s="582">
        <f ca="1" t="shared" si="19"/>
        <v>0.992828206697422</v>
      </c>
      <c r="BE14" s="582">
        <f t="shared" si="20"/>
        <v>0.992828230314021</v>
      </c>
      <c r="BF14" s="582">
        <f t="shared" si="21"/>
        <v>0</v>
      </c>
      <c r="BG14" s="582">
        <f ca="1" t="shared" si="22"/>
        <v>749951.126339544</v>
      </c>
      <c r="BH14" s="582">
        <f ca="1" t="shared" si="23"/>
        <v>-4.2848607660389e-23</v>
      </c>
      <c r="BI14" s="582">
        <f ca="1" t="shared" si="24"/>
        <v>-4.20058230653188e-8</v>
      </c>
      <c r="BJ14" s="580">
        <f ca="1" t="shared" si="25"/>
        <v>2.25369749959516e+17</v>
      </c>
      <c r="BK14" s="580">
        <f ca="1" t="shared" si="26"/>
        <v>360155388224</v>
      </c>
      <c r="BL14" s="586">
        <f ca="1" t="shared" si="27"/>
        <v>4.31841028814836e-23</v>
      </c>
      <c r="BM14" s="594">
        <f ca="1" t="shared" si="28"/>
        <v>-32</v>
      </c>
      <c r="BN14" s="580">
        <f ca="1" t="shared" si="29"/>
        <v>5380253832.11797</v>
      </c>
      <c r="BO14" s="580">
        <f ca="1" t="shared" si="30"/>
        <v>0.000358474530831613</v>
      </c>
      <c r="BP14" s="595">
        <f ca="1" t="shared" si="31"/>
        <v>0.00035847453080936</v>
      </c>
      <c r="BQ14" s="596">
        <f>BQ$3*3600</f>
        <v>21600</v>
      </c>
      <c r="BR14" s="580">
        <f ca="1" t="shared" ref="BR14:BU14" si="160">BJ14</f>
        <v>2.25369749959516e+17</v>
      </c>
      <c r="BS14" s="580">
        <f ca="1" t="shared" si="160"/>
        <v>360155388224</v>
      </c>
      <c r="BT14" s="581">
        <f ca="1" t="shared" si="160"/>
        <v>4.31841028814836e-23</v>
      </c>
      <c r="BU14" s="580">
        <f ca="1" t="shared" si="160"/>
        <v>-32</v>
      </c>
      <c r="BV14" s="580">
        <f ca="1">MAX(INDIRECT("'"&amp;$B$2&amp;"-事故进程'!Z"&amp;(ROW()+22)),INDIRECT("'"&amp;$B$2&amp;"-事故进程'!AA"&amp;(ROW()+22)))</f>
        <v>1.25504687751411e-11</v>
      </c>
      <c r="BW14" s="580">
        <f ca="1">SUM(BV$3,-LN(1-BW$3)/BQ14)</f>
        <v>4.62592926927149e-20</v>
      </c>
      <c r="BX14" s="580">
        <f>BX$3/24/3600</f>
        <v>1157407407407410</v>
      </c>
      <c r="BY14" s="582">
        <f ca="1" t="shared" si="33"/>
        <v>0.978638359609307</v>
      </c>
      <c r="BZ14" s="582">
        <f ca="1" t="shared" si="34"/>
        <v>0.978638624908538</v>
      </c>
      <c r="CA14" s="582">
        <f t="shared" si="35"/>
        <v>0</v>
      </c>
      <c r="CB14" s="582">
        <f ca="1" t="shared" si="36"/>
        <v>2828500.5298472</v>
      </c>
      <c r="CC14" s="582">
        <f ca="1" t="shared" si="37"/>
        <v>2.87894019213161e-23</v>
      </c>
      <c r="CD14" s="582">
        <f ca="1" t="shared" si="38"/>
        <v>-3.68586175480924e-9</v>
      </c>
      <c r="CE14" s="580">
        <f ca="1" t="shared" si="39"/>
        <v>2.2055548240594e+17</v>
      </c>
      <c r="CF14" s="580">
        <f ca="1" t="shared" si="40"/>
        <v>412252395424</v>
      </c>
      <c r="CG14" s="586">
        <f ca="1" t="shared" si="41"/>
        <v>1.64769156490333e-23</v>
      </c>
      <c r="CH14" s="594">
        <f ca="1" t="shared" si="42"/>
        <v>-32</v>
      </c>
      <c r="CI14" s="580">
        <f ca="1" t="shared" si="43"/>
        <v>60440615200.0874</v>
      </c>
      <c r="CJ14" s="580">
        <f ca="1" t="shared" si="44"/>
        <v>0.000386097543742149</v>
      </c>
      <c r="CK14" s="595">
        <f ca="1" t="shared" si="45"/>
        <v>0.000386097543746041</v>
      </c>
      <c r="CL14" s="596">
        <f>CL$3*3600</f>
        <v>57600</v>
      </c>
      <c r="CM14" s="580">
        <f ca="1" t="shared" ref="CM14:CP14" si="161">CE14</f>
        <v>2.2055548240594e+17</v>
      </c>
      <c r="CN14" s="580">
        <f ca="1" t="shared" si="161"/>
        <v>412252395424</v>
      </c>
      <c r="CO14" s="581">
        <f ca="1" t="shared" si="161"/>
        <v>1.64769156490333e-23</v>
      </c>
      <c r="CP14" s="580">
        <f ca="1" t="shared" si="161"/>
        <v>-32</v>
      </c>
      <c r="CQ14" s="580">
        <f ca="1">MAX(INDIRECT("'"&amp;$B$2&amp;"-事故进程'!AA"&amp;(ROW()+22)),INDIRECT("'"&amp;$B$2&amp;"-事故进程'!AB"&amp;(ROW()+22)))</f>
        <v>2.24251832538325e-11</v>
      </c>
      <c r="CR14" s="580">
        <f ca="1">SUM(CQ$3,-LN(1-CR$3)/CL14)</f>
        <v>1.73472347597681e-20</v>
      </c>
      <c r="CS14" s="580">
        <f>CS$3/24/3600</f>
        <v>1157407407407410</v>
      </c>
      <c r="CT14" s="582">
        <f ca="1" t="shared" si="47"/>
        <v>0.944044310086023</v>
      </c>
      <c r="CU14" s="582">
        <f ca="1" t="shared" si="48"/>
        <v>0.944045529499928</v>
      </c>
      <c r="CV14" s="582">
        <f t="shared" si="49"/>
        <v>0</v>
      </c>
      <c r="CW14" s="582">
        <f ca="1" t="shared" si="50"/>
        <v>4946006.35542615</v>
      </c>
      <c r="CX14" s="582">
        <f ca="1" t="shared" si="51"/>
        <v>1.02980722807192e-23</v>
      </c>
      <c r="CY14" s="582">
        <f ca="1" t="shared" si="52"/>
        <v>-7.73560446611848e-10</v>
      </c>
      <c r="CZ14" s="580">
        <f ca="1" t="shared" si="53"/>
        <v>2.08214148223606e+17</v>
      </c>
      <c r="DA14" s="580">
        <f ca="1" t="shared" si="54"/>
        <v>658133453408</v>
      </c>
      <c r="DB14" s="586">
        <f ca="1" t="shared" si="55"/>
        <v>9.86411132789847e-24</v>
      </c>
      <c r="DC14" s="594">
        <f ca="1" t="shared" si="56"/>
        <v>-32</v>
      </c>
      <c r="DD14" s="580">
        <f ca="1" t="shared" si="57"/>
        <v>276842351386.433</v>
      </c>
      <c r="DE14" s="580">
        <f ca="1" t="shared" si="58"/>
        <v>0.000537271136000212</v>
      </c>
      <c r="DF14" s="595">
        <f ca="1" t="shared" si="59"/>
        <v>0.000537271135996157</v>
      </c>
      <c r="DG14" s="596">
        <f>DG$3*3600</f>
        <v>86400</v>
      </c>
      <c r="DH14" s="580">
        <f ca="1" t="shared" ref="DH14:DK14" si="162">CZ14</f>
        <v>2.08214148223606e+17</v>
      </c>
      <c r="DI14" s="580">
        <f ca="1" t="shared" si="162"/>
        <v>658133453408</v>
      </c>
      <c r="DJ14" s="581">
        <f ca="1" t="shared" si="162"/>
        <v>9.86411132789847e-24</v>
      </c>
      <c r="DK14" s="580">
        <f ca="1" t="shared" si="162"/>
        <v>-32</v>
      </c>
      <c r="DL14" s="580">
        <f ca="1">MAX(INDIRECT("'"&amp;$B$2&amp;"-事故进程'!AB"&amp;(ROW()+22)),INDIRECT("'"&amp;$B$2&amp;"-事故进程'!AC"&amp;(ROW()+22)))</f>
        <v>4.64742771888971e-11</v>
      </c>
      <c r="DM14" s="580">
        <f ca="1">SUM(DL$3,-LN(1-DM$3)/DG14)</f>
        <v>1.15648231731787e-20</v>
      </c>
      <c r="DN14" s="580">
        <f>DN$3/24/3600</f>
        <v>1157407407407410</v>
      </c>
      <c r="DO14" s="582">
        <f ca="1" t="shared" si="61"/>
        <v>0.917249885319331</v>
      </c>
      <c r="DP14" s="582">
        <f ca="1" t="shared" si="62"/>
        <v>0.917253568431321</v>
      </c>
      <c r="DQ14" s="582">
        <f t="shared" si="63"/>
        <v>0</v>
      </c>
      <c r="DR14" s="582">
        <f ca="1" t="shared" si="64"/>
        <v>9676632.62547049</v>
      </c>
      <c r="DS14" s="582">
        <f ca="1" t="shared" si="65"/>
        <v>3.28803710865181e-24</v>
      </c>
      <c r="DT14" s="582">
        <f ca="1" t="shared" si="66"/>
        <v>-2.48843529702479e-10</v>
      </c>
      <c r="DU14" s="580">
        <f ca="1" t="shared" si="67"/>
        <v>1.90984403579965e+17</v>
      </c>
      <c r="DV14" s="580">
        <f ca="1" t="shared" si="68"/>
        <v>1370551284640</v>
      </c>
      <c r="DW14" s="586">
        <f ca="1" t="shared" si="69"/>
        <v>1.36945583335504e-23</v>
      </c>
      <c r="DX14" s="594">
        <f ca="1" t="shared" si="70"/>
        <v>-1.36945583335504e-23</v>
      </c>
      <c r="DY14" s="580">
        <f ca="1" t="shared" si="71"/>
        <v>800968531061.184</v>
      </c>
      <c r="DZ14" s="580">
        <f ca="1" t="shared" si="72"/>
        <v>0.00102441316942736</v>
      </c>
      <c r="EA14" s="595">
        <f ca="1" t="shared" si="73"/>
        <v>0.00102441316941545</v>
      </c>
      <c r="EB14" s="596">
        <f>EB$3*3600</f>
        <v>172800</v>
      </c>
      <c r="EC14" s="580">
        <f ca="1" t="shared" ref="EC14:EF14" si="163">DU14</f>
        <v>1.90984403579965e+17</v>
      </c>
      <c r="ED14" s="580">
        <f ca="1" t="shared" si="163"/>
        <v>1370551284640</v>
      </c>
      <c r="EE14" s="581">
        <f ca="1" t="shared" si="163"/>
        <v>1.36945583335504e-23</v>
      </c>
      <c r="EF14" s="580">
        <f ca="1" t="shared" si="163"/>
        <v>-1.36945583335504e-23</v>
      </c>
      <c r="EG14" s="580">
        <f ca="1">MAX(INDIRECT("'"&amp;$B$2&amp;"-事故进程'!AC"&amp;(ROW()+22)),INDIRECT("'"&amp;$B$2&amp;"-事故进程'!AD"&amp;(ROW()+22)),INDIRECT("'"&amp;$B$2&amp;"-事故进程'!AE"&amp;(ROW()+22)))</f>
        <v>4.64742771888971e-11</v>
      </c>
      <c r="EH14" s="580">
        <f ca="1">SUM(EG$3,-LN(1-EH$3)/EB14)</f>
        <v>5.78241158658936e-21</v>
      </c>
      <c r="EI14" s="580">
        <f>EI$3/24/3600</f>
        <v>1157407407407410</v>
      </c>
      <c r="EJ14" s="582">
        <f ca="1" t="shared" si="75"/>
        <v>0.841347352118326</v>
      </c>
      <c r="EK14" s="582">
        <f ca="1" t="shared" si="76"/>
        <v>0.841354108799994</v>
      </c>
      <c r="EL14" s="582">
        <f t="shared" si="77"/>
        <v>0</v>
      </c>
      <c r="EM14" s="582">
        <f ca="1" t="shared" si="78"/>
        <v>8875925.80611176</v>
      </c>
      <c r="EN14" s="582">
        <f ca="1" t="shared" si="79"/>
        <v>6.84727916668432e-24</v>
      </c>
      <c r="EO14" s="582">
        <f ca="1" t="shared" si="80"/>
        <v>-1.24421764835759e-10</v>
      </c>
      <c r="EP14" s="580">
        <f ca="1" t="shared" si="81"/>
        <v>1.60684222247901e+17</v>
      </c>
      <c r="EQ14" s="580">
        <f ca="1" t="shared" si="82"/>
        <v>2443539773216</v>
      </c>
      <c r="ER14" s="586">
        <f ca="1" t="shared" si="83"/>
        <v>1.2207933530279e-23</v>
      </c>
      <c r="ES14" s="594">
        <f ca="1" t="shared" si="84"/>
        <v>-32</v>
      </c>
      <c r="ET14" s="580">
        <f ca="1" t="shared" si="85"/>
        <v>1408581045998.7</v>
      </c>
      <c r="EU14" s="580">
        <f ca="1" t="shared" si="86"/>
        <v>0.00194117853475551</v>
      </c>
      <c r="EV14" s="595">
        <f ca="1" t="shared" si="87"/>
        <v>0.00194117853476783</v>
      </c>
      <c r="EW14" s="596">
        <f>EW$3*3600</f>
        <v>2246400</v>
      </c>
      <c r="EX14" s="580">
        <f ca="1" t="shared" ref="EX14:FA14" si="164">EP14</f>
        <v>1.60684222247901e+17</v>
      </c>
      <c r="EY14" s="580">
        <f ca="1" t="shared" si="164"/>
        <v>2443539773216</v>
      </c>
      <c r="EZ14" s="581">
        <f ca="1" t="shared" si="164"/>
        <v>1.2207933530279e-23</v>
      </c>
      <c r="FA14" s="580">
        <f ca="1" t="shared" si="164"/>
        <v>-32</v>
      </c>
      <c r="FB14" s="580">
        <f ca="1">INDIRECT("'"&amp;$B$2&amp;"-事故进程'!AE"&amp;(ROW()+22))</f>
        <v>2.38944424233005e-11</v>
      </c>
      <c r="FC14" s="580">
        <f ca="1">SUM(FB$3,-LN(1-FC$3)/EW14)</f>
        <v>4.44800891276105e-22</v>
      </c>
      <c r="FD14" s="580">
        <f>FD$3/24/3600</f>
        <v>1157407407407410</v>
      </c>
      <c r="FE14" s="582">
        <f ca="1" t="shared" si="89"/>
        <v>0.105852555740397</v>
      </c>
      <c r="FF14" s="582">
        <f ca="1" t="shared" si="90"/>
        <v>0.105858237685</v>
      </c>
      <c r="FG14" s="582">
        <f t="shared" si="91"/>
        <v>0</v>
      </c>
      <c r="FH14" s="582">
        <f ca="1" t="shared" si="92"/>
        <v>3839518.28385572</v>
      </c>
      <c r="FI14" s="582">
        <f ca="1" t="shared" si="93"/>
        <v>1.12688617202673e-23</v>
      </c>
      <c r="FJ14" s="582">
        <f ca="1" t="shared" si="94"/>
        <v>-1.86152446416008e-11</v>
      </c>
      <c r="FK14" s="580">
        <f ca="1" t="shared" si="95"/>
        <v>1.70088355920983e+16</v>
      </c>
      <c r="FL14" s="580">
        <f ca="1" t="shared" si="96"/>
        <v>1171667663432</v>
      </c>
      <c r="FM14" s="586">
        <f ca="1" t="shared" si="97"/>
        <v>4.50281221321257e-25</v>
      </c>
      <c r="FN14" s="594">
        <f ca="1" t="shared" si="98"/>
        <v>-8</v>
      </c>
      <c r="FO14" s="580">
        <f ca="1" t="shared" si="99"/>
        <v>3434100914420.74</v>
      </c>
      <c r="FP14" s="580">
        <f ca="1" t="shared" si="100"/>
        <v>0.00209391592849029</v>
      </c>
      <c r="FQ14" s="595">
        <f ca="1" t="shared" si="101"/>
        <v>0.00209391592849197</v>
      </c>
      <c r="FR14" s="608" t="str">
        <f t="shared" si="102"/>
        <v>I-131</v>
      </c>
      <c r="FS14" s="609">
        <v>9930000000</v>
      </c>
      <c r="FT14" s="610">
        <v>10500000000</v>
      </c>
      <c r="FU14" s="610">
        <v>30700000000</v>
      </c>
      <c r="FV14" s="610">
        <v>62900000000</v>
      </c>
      <c r="FW14" s="610">
        <v>114000000000</v>
      </c>
      <c r="FX14" s="614">
        <f ca="1" t="shared" si="103"/>
        <v>7.82340203861297</v>
      </c>
      <c r="FY14" s="614">
        <f ca="1" t="shared" si="104"/>
        <v>7.09116261481334e-14</v>
      </c>
      <c r="FZ14" s="614">
        <f ca="1" t="shared" si="105"/>
        <v>1.75006884689302e-14</v>
      </c>
      <c r="GA14" s="614">
        <f ca="1" t="shared" si="106"/>
        <v>4.7147721847111e-14</v>
      </c>
      <c r="GB14" s="614">
        <f ca="1" t="shared" si="107"/>
        <v>0.68145949336343</v>
      </c>
      <c r="GC14" s="455">
        <f ca="1" t="shared" si="108"/>
        <v>0.681459493363449</v>
      </c>
      <c r="GE14" s="609">
        <v>98301235.7097423</v>
      </c>
      <c r="GF14" s="610">
        <v>1499248201.2518</v>
      </c>
      <c r="GG14" s="610">
        <v>6291027306.17642</v>
      </c>
      <c r="GH14" s="610">
        <v>10015619718.752</v>
      </c>
      <c r="GI14" s="610">
        <v>21912156382.3904</v>
      </c>
      <c r="GJ14" s="610">
        <v>64569064125.0896</v>
      </c>
      <c r="GK14" s="617">
        <v>104385416969.37</v>
      </c>
      <c r="GL14" s="614">
        <f ca="1" t="shared" si="109"/>
        <v>790.288969233452</v>
      </c>
      <c r="GM14" s="614">
        <f ca="1" t="shared" si="110"/>
        <v>4.96630293725695e-13</v>
      </c>
      <c r="GN14" s="614">
        <f ca="1" t="shared" si="111"/>
        <v>8.54027664875455e-14</v>
      </c>
      <c r="GO14" s="614">
        <f ca="1" t="shared" si="112"/>
        <v>9.28843805089565e-14</v>
      </c>
      <c r="GP14" s="614">
        <f ca="1" t="shared" si="113"/>
        <v>3.24290890206403e-14</v>
      </c>
      <c r="GQ14" s="614">
        <f ca="1" t="shared" si="114"/>
        <v>0.744226391951174</v>
      </c>
      <c r="GR14" s="451">
        <f t="shared" si="115"/>
        <v>9.99668118007245e-7</v>
      </c>
      <c r="GS14" s="390">
        <f t="shared" si="116"/>
        <v>693377.3</v>
      </c>
    </row>
    <row r="15" spans="1:201">
      <c r="A15" s="419"/>
      <c r="B15" s="407" t="s">
        <v>265</v>
      </c>
      <c r="C15" s="426">
        <v>1</v>
      </c>
      <c r="D15" s="409" t="s">
        <v>163</v>
      </c>
      <c r="E15" s="410"/>
      <c r="G15" s="411" t="s">
        <v>56</v>
      </c>
      <c r="H15" s="412">
        <f ca="1" t="shared" si="1"/>
        <v>12499521902.7253</v>
      </c>
      <c r="I15" s="412">
        <f ca="1" t="shared" si="2"/>
        <v>6.72234438846366e-5</v>
      </c>
      <c r="J15" s="412">
        <f ca="1" t="shared" si="3"/>
        <v>0.000109190756278074</v>
      </c>
      <c r="K15" s="412">
        <f ca="1" t="shared" si="4"/>
        <v>3.39164220630497e-5</v>
      </c>
      <c r="L15" s="412">
        <f ca="1" t="shared" si="5"/>
        <v>7.50185982551941e-7</v>
      </c>
      <c r="M15" s="412">
        <f ca="1" t="shared" si="6"/>
        <v>7.64337798810823e-17</v>
      </c>
      <c r="N15" s="412">
        <f ca="1" t="shared" si="7"/>
        <v>12499521902.7255</v>
      </c>
      <c r="O15" s="450">
        <f ca="1" t="shared" si="8"/>
        <v>12499521902.7253</v>
      </c>
      <c r="P15" s="451"/>
      <c r="Q15" s="477" t="str">
        <f t="shared" si="0"/>
        <v>I-132</v>
      </c>
      <c r="R15" s="412">
        <f ca="1" t="shared" si="9"/>
        <v>12499521902.7253</v>
      </c>
      <c r="S15" s="412">
        <f ca="1">I15*(1-过滤效率!$B12)</f>
        <v>3.36117219423183e-6</v>
      </c>
      <c r="T15" s="412">
        <f ca="1">J15*(1-过滤效率!$B12)</f>
        <v>5.45953781390371e-6</v>
      </c>
      <c r="U15" s="412">
        <f ca="1">K15*(1-过滤效率!$B12)</f>
        <v>1.69582110315248e-6</v>
      </c>
      <c r="V15" s="412">
        <f ca="1">L15*(1-过滤效率!$B12)</f>
        <v>3.75092991275971e-8</v>
      </c>
      <c r="W15" s="412">
        <f ca="1">M15*(1-过滤效率!$B12)</f>
        <v>3.82168899405412e-18</v>
      </c>
      <c r="X15" s="412">
        <f ca="1" t="shared" si="10"/>
        <v>12499521902.7253</v>
      </c>
      <c r="Y15" s="493"/>
      <c r="Z15" s="494">
        <f>VLOOKUP(G15,衰变常数!$A$1:$H$3800,7,FALSE)</f>
        <v>8.38958097990735e-5</v>
      </c>
      <c r="AA15" s="495">
        <f>正常源项!C12</f>
        <v>3.35e+17</v>
      </c>
      <c r="AB15" s="496">
        <f>正常源项!F12</f>
        <v>0</v>
      </c>
      <c r="AC15" s="496">
        <f>正常源项!I12</f>
        <v>261000000</v>
      </c>
      <c r="AD15" s="497"/>
      <c r="AE15" s="496">
        <f>正常源项!O12</f>
        <v>69400000000</v>
      </c>
      <c r="AF15" s="498">
        <f t="shared" si="157"/>
        <v>0</v>
      </c>
      <c r="AG15" s="519">
        <f t="shared" si="158"/>
        <v>0</v>
      </c>
      <c r="AH15" s="523">
        <v>1</v>
      </c>
      <c r="AI15" s="519">
        <f t="shared" si="159"/>
        <v>69400000000</v>
      </c>
      <c r="AJ15" s="521"/>
      <c r="AK15" s="521"/>
      <c r="AL15" s="519">
        <f t="shared" si="11"/>
        <v>49010500</v>
      </c>
      <c r="AM15" s="520">
        <f t="shared" si="12"/>
        <v>1407000000000</v>
      </c>
      <c r="AN15" s="519">
        <f ca="1">MAX(INDIRECT("'"&amp;$B$2&amp;"-事故进程'!Y"&amp;(ROW()+22)),INDIRECT("'"&amp;$B$2&amp;"-事故进程'!Z"&amp;(ROW()+22)),INDIRECT("'"&amp;$B$2&amp;"-事故进程'!AA"&amp;(ROW()+22)))</f>
        <v>1.17931979441473e-10</v>
      </c>
      <c r="AO15" s="519">
        <f ca="1" t="shared" si="13"/>
        <v>394740806.708427</v>
      </c>
      <c r="AP15" s="560">
        <f t="shared" si="14"/>
        <v>3.34719066899201e+17</v>
      </c>
      <c r="AQ15" s="561">
        <f ca="1">(AC15*$C$5+AD15*$C$8+AF15+AG15+AI15+(AL15+AM15)*$C$10)*EXP(-Z15*$C$12*3600)+AO15*$C$11</f>
        <v>69997322655.2614</v>
      </c>
      <c r="AR15" s="562">
        <f ca="1">AQ15*(1-AR$3)</f>
        <v>57497800752.5361</v>
      </c>
      <c r="AS15" s="563">
        <f ca="1" t="shared" si="15"/>
        <v>12499521902.7253</v>
      </c>
      <c r="AT15" s="562">
        <f ca="1">AS15*(1-AT$3)</f>
        <v>0</v>
      </c>
      <c r="AU15" s="564">
        <f ca="1" t="shared" si="16"/>
        <v>12499521902.7253</v>
      </c>
      <c r="AV15" s="565">
        <f>AV$3*3600</f>
        <v>7200</v>
      </c>
      <c r="AW15" s="580">
        <f>AP15*EXP(-Z15*AW$3*3600)</f>
        <v>3.34719066899201e+17</v>
      </c>
      <c r="AX15" s="580">
        <f ca="1" t="shared" si="17"/>
        <v>57497800752.5361</v>
      </c>
      <c r="AY15" s="581">
        <f ca="1" t="shared" si="18"/>
        <v>0</v>
      </c>
      <c r="AZ15" s="580">
        <v>0</v>
      </c>
      <c r="BA15" s="580">
        <f ca="1">MAX(INDIRECT("'"&amp;$B$2&amp;"-事故进程'!Y"&amp;(ROW()+22)),INDIRECT("'"&amp;$B$2&amp;"-事故进程'!Z"&amp;(ROW()+22)))</f>
        <v>2.96310438525152e-11</v>
      </c>
      <c r="BB15" s="580">
        <f>SUM(BA$3,-LN(1-BB$3)/AV15)</f>
        <v>1.38777878078145e-19</v>
      </c>
      <c r="BC15" s="580">
        <f>BC$3/24/3600</f>
        <v>1157407407407410</v>
      </c>
      <c r="BD15" s="582">
        <f ca="1" t="shared" si="19"/>
        <v>0.546593419845425</v>
      </c>
      <c r="BE15" s="582">
        <f t="shared" si="20"/>
        <v>0.546593536457599</v>
      </c>
      <c r="BF15" s="582">
        <f t="shared" si="21"/>
        <v>0</v>
      </c>
      <c r="BG15" s="582">
        <f ca="1" t="shared" si="22"/>
        <v>9918077.05328304</v>
      </c>
      <c r="BH15" s="582">
        <f ca="1" t="shared" si="23"/>
        <v>-6.89422128416373e-24</v>
      </c>
      <c r="BI15" s="582">
        <f ca="1" t="shared" si="24"/>
        <v>-4.68352986208871e-9</v>
      </c>
      <c r="BJ15" s="580">
        <f ca="1" t="shared" si="25"/>
        <v>1.82955239463904e+17</v>
      </c>
      <c r="BK15" s="580">
        <f ca="1" t="shared" si="26"/>
        <v>70460244416</v>
      </c>
      <c r="BL15" s="586">
        <f ca="1" t="shared" si="27"/>
        <v>8.44847124769502e-24</v>
      </c>
      <c r="BM15" s="594">
        <f ca="1" t="shared" si="28"/>
        <v>32</v>
      </c>
      <c r="BN15" s="580">
        <f ca="1" t="shared" si="29"/>
        <v>53601235252.0369</v>
      </c>
      <c r="BO15" s="580">
        <f ca="1" t="shared" si="30"/>
        <v>6.7223443880447e-5</v>
      </c>
      <c r="BP15" s="595">
        <f ca="1" t="shared" si="31"/>
        <v>6.72234438846366e-5</v>
      </c>
      <c r="BQ15" s="596">
        <f>BQ$3*3600</f>
        <v>21600</v>
      </c>
      <c r="BR15" s="580">
        <f ca="1" t="shared" ref="BR15:BU15" si="165">BJ15</f>
        <v>1.82955239463904e+17</v>
      </c>
      <c r="BS15" s="580">
        <f ca="1" t="shared" si="165"/>
        <v>70460244416</v>
      </c>
      <c r="BT15" s="581">
        <f ca="1" t="shared" si="165"/>
        <v>8.44847124769502e-24</v>
      </c>
      <c r="BU15" s="580">
        <f ca="1" t="shared" si="165"/>
        <v>32</v>
      </c>
      <c r="BV15" s="580">
        <f ca="1">MAX(INDIRECT("'"&amp;$B$2&amp;"-事故进程'!Z"&amp;(ROW()+22)),INDIRECT("'"&amp;$B$2&amp;"-事故进程'!AA"&amp;(ROW()+22)))</f>
        <v>1.17931979441473e-10</v>
      </c>
      <c r="BW15" s="580">
        <f ca="1">SUM(BV$3,-LN(1-BW$3)/BQ15)</f>
        <v>4.62592926927149e-20</v>
      </c>
      <c r="BX15" s="580">
        <f>BX$3/24/3600</f>
        <v>1157407407407410</v>
      </c>
      <c r="BY15" s="582">
        <f ca="1" t="shared" si="33"/>
        <v>0.163302325411002</v>
      </c>
      <c r="BZ15" s="582">
        <f ca="1" t="shared" si="34"/>
        <v>0.163302741396568</v>
      </c>
      <c r="CA15" s="582">
        <f t="shared" si="35"/>
        <v>0</v>
      </c>
      <c r="CB15" s="582">
        <f ca="1" t="shared" si="36"/>
        <v>21576281.848683</v>
      </c>
      <c r="CC15" s="582">
        <f ca="1" t="shared" si="37"/>
        <v>5.63231416352608e-24</v>
      </c>
      <c r="CD15" s="582">
        <f ca="1" t="shared" si="38"/>
        <v>-3.92254017357672e-10</v>
      </c>
      <c r="CE15" s="580">
        <f ca="1" t="shared" si="39"/>
        <v>2.98770160505823e+16</v>
      </c>
      <c r="CF15" s="580">
        <f ca="1" t="shared" si="40"/>
        <v>87613089892</v>
      </c>
      <c r="CG15" s="586">
        <f ca="1" t="shared" si="41"/>
        <v>3.50172250733614e-24</v>
      </c>
      <c r="CH15" s="594">
        <f ca="1" t="shared" si="42"/>
        <v>-4</v>
      </c>
      <c r="CI15" s="580">
        <f ca="1" t="shared" si="43"/>
        <v>215181098591.453</v>
      </c>
      <c r="CJ15" s="580">
        <f ca="1" t="shared" si="44"/>
        <v>0.000109190756278896</v>
      </c>
      <c r="CK15" s="595">
        <f ca="1" t="shared" si="45"/>
        <v>0.000109190756278074</v>
      </c>
      <c r="CL15" s="596">
        <f>CL$3*3600</f>
        <v>57600</v>
      </c>
      <c r="CM15" s="580">
        <f ca="1" t="shared" ref="CM15:CP15" si="166">CE15</f>
        <v>2.98770160505823e+16</v>
      </c>
      <c r="CN15" s="580">
        <f ca="1" t="shared" si="166"/>
        <v>87613089892</v>
      </c>
      <c r="CO15" s="581">
        <f ca="1" t="shared" si="166"/>
        <v>3.50172250733614e-24</v>
      </c>
      <c r="CP15" s="580">
        <f ca="1" t="shared" si="166"/>
        <v>-4</v>
      </c>
      <c r="CQ15" s="580">
        <f ca="1">MAX(INDIRECT("'"&amp;$B$2&amp;"-事故进程'!AA"&amp;(ROW()+22)),INDIRECT("'"&amp;$B$2&amp;"-事故进程'!AB"&amp;(ROW()+22)))</f>
        <v>2.27091572838889e-10</v>
      </c>
      <c r="CR15" s="580">
        <f ca="1">SUM(CQ$3,-LN(1-CR$3)/CL15)</f>
        <v>1.73472347597681e-20</v>
      </c>
      <c r="CS15" s="580">
        <f>CS$3/24/3600</f>
        <v>1157407407407410</v>
      </c>
      <c r="CT15" s="582">
        <f ca="1" t="shared" si="47"/>
        <v>0.00796728318155253</v>
      </c>
      <c r="CU15" s="582">
        <f ca="1" t="shared" si="48"/>
        <v>0.00796738739807938</v>
      </c>
      <c r="CV15" s="582">
        <f t="shared" si="49"/>
        <v>0</v>
      </c>
      <c r="CW15" s="582">
        <f ca="1" t="shared" si="50"/>
        <v>6784838.46285384</v>
      </c>
      <c r="CX15" s="582">
        <f ca="1" t="shared" si="51"/>
        <v>2.18857656697134e-24</v>
      </c>
      <c r="CY15" s="582">
        <f ca="1" t="shared" si="52"/>
        <v>-7.63887208328962e-11</v>
      </c>
      <c r="CZ15" s="580">
        <f ca="1" t="shared" si="53"/>
        <v>238038647494779</v>
      </c>
      <c r="DA15" s="580">
        <f ca="1" t="shared" si="54"/>
        <v>3811726273.90625</v>
      </c>
      <c r="DB15" s="586">
        <f ca="1" t="shared" si="55"/>
        <v>5.71301946826975e-26</v>
      </c>
      <c r="DC15" s="594">
        <f ca="1" t="shared" si="56"/>
        <v>-0.09375</v>
      </c>
      <c r="DD15" s="580">
        <f ca="1" t="shared" si="57"/>
        <v>80227412941.7649</v>
      </c>
      <c r="DE15" s="580">
        <f ca="1" t="shared" si="58"/>
        <v>3.39164220622894e-5</v>
      </c>
      <c r="DF15" s="595">
        <f ca="1" t="shared" si="59"/>
        <v>3.39164220630497e-5</v>
      </c>
      <c r="DG15" s="596">
        <f>DG$3*3600</f>
        <v>86400</v>
      </c>
      <c r="DH15" s="580">
        <f ca="1" t="shared" ref="DH15:DK15" si="167">CZ15</f>
        <v>238038647494779</v>
      </c>
      <c r="DI15" s="580">
        <f ca="1" t="shared" si="167"/>
        <v>3811726273.90625</v>
      </c>
      <c r="DJ15" s="581">
        <f ca="1" t="shared" si="167"/>
        <v>5.71301946826975e-26</v>
      </c>
      <c r="DK15" s="580">
        <f ca="1" t="shared" si="167"/>
        <v>-0.09375</v>
      </c>
      <c r="DL15" s="580">
        <f ca="1">MAX(INDIRECT("'"&amp;$B$2&amp;"-事故进程'!AB"&amp;(ROW()+22)),INDIRECT("'"&amp;$B$2&amp;"-事故进程'!AC"&amp;(ROW()+22)))</f>
        <v>5.76808771153386e-10</v>
      </c>
      <c r="DM15" s="580">
        <f ca="1">SUM(DL$3,-LN(1-DM$3)/DG15)</f>
        <v>1.15648231731787e-20</v>
      </c>
      <c r="DN15" s="580">
        <f>DN$3/24/3600</f>
        <v>1157407407407410</v>
      </c>
      <c r="DO15" s="582">
        <f ca="1" t="shared" si="61"/>
        <v>0.000711135334126296</v>
      </c>
      <c r="DP15" s="582">
        <f ca="1" t="shared" si="62"/>
        <v>0.000711170775347502</v>
      </c>
      <c r="DQ15" s="582">
        <f t="shared" si="63"/>
        <v>0</v>
      </c>
      <c r="DR15" s="582">
        <f ca="1" t="shared" si="64"/>
        <v>137304.978385626</v>
      </c>
      <c r="DS15" s="582">
        <f ca="1" t="shared" si="65"/>
        <v>1.90433982269631e-26</v>
      </c>
      <c r="DT15" s="582">
        <f ca="1" t="shared" si="66"/>
        <v>-2.00496659409072e-11</v>
      </c>
      <c r="DU15" s="580">
        <f ca="1" t="shared" si="67"/>
        <v>169277693121.171</v>
      </c>
      <c r="DV15" s="580">
        <f ca="1" t="shared" si="68"/>
        <v>11147168.6911011</v>
      </c>
      <c r="DW15" s="586">
        <f ca="1" t="shared" si="69"/>
        <v>1.11382590062392e-28</v>
      </c>
      <c r="DX15" s="594">
        <f ca="1" t="shared" si="70"/>
        <v>-6.103515625e-5</v>
      </c>
      <c r="DY15" s="580">
        <f ca="1" t="shared" si="71"/>
        <v>1635411779.1945</v>
      </c>
      <c r="DZ15" s="580">
        <f ca="1" t="shared" si="72"/>
        <v>7.49337463925967e-7</v>
      </c>
      <c r="EA15" s="595">
        <f ca="1" t="shared" si="73"/>
        <v>7.49337463925671e-7</v>
      </c>
      <c r="EB15" s="596">
        <f>EB$3*3600</f>
        <v>172800</v>
      </c>
      <c r="EC15" s="580">
        <f ca="1" t="shared" ref="EC15:EF15" si="168">DU15</f>
        <v>169277693121.171</v>
      </c>
      <c r="ED15" s="580">
        <f ca="1" t="shared" si="168"/>
        <v>11147168.6911011</v>
      </c>
      <c r="EE15" s="581">
        <f ca="1" t="shared" si="168"/>
        <v>1.11382590062392e-28</v>
      </c>
      <c r="EF15" s="580">
        <f ca="1" t="shared" si="168"/>
        <v>-6.103515625e-5</v>
      </c>
      <c r="EG15" s="580">
        <f ca="1">MAX(INDIRECT("'"&amp;$B$2&amp;"-事故进程'!AC"&amp;(ROW()+22)),INDIRECT("'"&amp;$B$2&amp;"-事故进程'!AD"&amp;(ROW()+22)),INDIRECT("'"&amp;$B$2&amp;"-事故进程'!AE"&amp;(ROW()+22)))</f>
        <v>5.76808771153386e-10</v>
      </c>
      <c r="EH15" s="580">
        <f ca="1">SUM(EG$3,-LN(1-EH$3)/EB15)</f>
        <v>5.78241158658936e-21</v>
      </c>
      <c r="EI15" s="580">
        <f>EI$3/24/3600</f>
        <v>1157407407407410</v>
      </c>
      <c r="EJ15" s="582">
        <f ca="1" t="shared" si="75"/>
        <v>5.05713463442919e-7</v>
      </c>
      <c r="EK15" s="582">
        <f ca="1" t="shared" si="76"/>
        <v>5.05763871708368e-7</v>
      </c>
      <c r="EL15" s="582">
        <f t="shared" si="77"/>
        <v>0</v>
      </c>
      <c r="EM15" s="582">
        <f ca="1" t="shared" si="78"/>
        <v>97.6472879375774</v>
      </c>
      <c r="EN15" s="582">
        <f ca="1" t="shared" si="79"/>
        <v>5.56912950313073e-29</v>
      </c>
      <c r="EO15" s="582">
        <f ca="1" t="shared" si="80"/>
        <v>-1.00248329703531e-11</v>
      </c>
      <c r="EP15" s="580">
        <f ca="1" t="shared" si="81"/>
        <v>85606.0084719353</v>
      </c>
      <c r="EQ15" s="580">
        <f ca="1" t="shared" si="82"/>
        <v>14.170830085277</v>
      </c>
      <c r="ER15" s="586">
        <f ca="1" t="shared" si="83"/>
        <v>7.0797518274269e-35</v>
      </c>
      <c r="ES15" s="594">
        <f ca="1" t="shared" si="84"/>
        <v>-1.01863406598568e-10</v>
      </c>
      <c r="ET15" s="580">
        <f ca="1" t="shared" si="85"/>
        <v>1163826.15178657</v>
      </c>
      <c r="EU15" s="580">
        <f ca="1" t="shared" si="86"/>
        <v>8.48518626270001e-10</v>
      </c>
      <c r="EV15" s="595">
        <f ca="1" t="shared" si="87"/>
        <v>8.48518626269516e-10</v>
      </c>
      <c r="EW15" s="596">
        <f>EW$3*3600</f>
        <v>2246400</v>
      </c>
      <c r="EX15" s="580">
        <f ca="1" t="shared" ref="EX15:FA15" si="169">EP15</f>
        <v>85606.0084719353</v>
      </c>
      <c r="EY15" s="580">
        <f ca="1" t="shared" si="169"/>
        <v>14.170830085277</v>
      </c>
      <c r="EZ15" s="581">
        <f ca="1" t="shared" si="169"/>
        <v>7.0797518274269e-35</v>
      </c>
      <c r="FA15" s="580">
        <f ca="1" t="shared" si="169"/>
        <v>-1.01863406598568e-10</v>
      </c>
      <c r="FB15" s="580">
        <f ca="1">INDIRECT("'"&amp;$B$2&amp;"-事故进程'!AE"&amp;(ROW()+22))</f>
        <v>2.40766709700896e-10</v>
      </c>
      <c r="FC15" s="580">
        <f ca="1">SUM(FB$3,-LN(1-FC$3)/EW15)</f>
        <v>4.44800891276105e-22</v>
      </c>
      <c r="FD15" s="580">
        <f>FD$3/24/3600</f>
        <v>1157407407407410</v>
      </c>
      <c r="FE15" s="582">
        <f ca="1" t="shared" si="89"/>
        <v>1.4160759552361e-82</v>
      </c>
      <c r="FF15" s="582">
        <f ca="1" t="shared" si="90"/>
        <v>1.41684205887995e-82</v>
      </c>
      <c r="FG15" s="582">
        <f t="shared" si="91"/>
        <v>0</v>
      </c>
      <c r="FH15" s="582">
        <f ca="1" t="shared" si="92"/>
        <v>2.06144888545482e-5</v>
      </c>
      <c r="FI15" s="582">
        <f ca="1" t="shared" si="93"/>
        <v>6.53515553300948e-35</v>
      </c>
      <c r="FJ15" s="582">
        <f ca="1" t="shared" si="94"/>
        <v>-1.84743518665642e-12</v>
      </c>
      <c r="FK15" s="580">
        <f ca="1" t="shared" si="95"/>
        <v>1.21224610220845e-77</v>
      </c>
      <c r="FL15" s="580">
        <f ca="1" t="shared" si="96"/>
        <v>8.56609031002673e-81</v>
      </c>
      <c r="FM15" s="586">
        <f ca="1" t="shared" si="97"/>
        <v>3.29201677841927e-117</v>
      </c>
      <c r="FN15" s="594">
        <f ca="1" t="shared" si="98"/>
        <v>-2.4928990253465e-92</v>
      </c>
      <c r="FO15" s="580">
        <f ca="1" t="shared" si="99"/>
        <v>0.245673984072154</v>
      </c>
      <c r="FP15" s="580">
        <f ca="1" t="shared" si="100"/>
        <v>7.64337798810949e-17</v>
      </c>
      <c r="FQ15" s="595">
        <f ca="1" t="shared" si="101"/>
        <v>7.64337798810823e-17</v>
      </c>
      <c r="FR15" s="608" t="str">
        <f t="shared" si="102"/>
        <v>I-132</v>
      </c>
      <c r="FS15" s="609">
        <v>5610000000</v>
      </c>
      <c r="FT15" s="610">
        <v>49800000000</v>
      </c>
      <c r="FU15" s="610">
        <v>7420000000</v>
      </c>
      <c r="FV15" s="610">
        <v>46100000</v>
      </c>
      <c r="FW15" s="610">
        <v>62900000000</v>
      </c>
      <c r="FX15" s="614">
        <f ca="1" t="shared" si="103"/>
        <v>2.22807877053926</v>
      </c>
      <c r="FY15" s="614">
        <f ca="1" t="shared" si="104"/>
        <v>3.54245381852833e-15</v>
      </c>
      <c r="FZ15" s="614">
        <f ca="1" t="shared" si="105"/>
        <v>4.57094636968324e-15</v>
      </c>
      <c r="GA15" s="614">
        <f ca="1" t="shared" si="106"/>
        <v>1.62730148058989e-14</v>
      </c>
      <c r="GB15" s="614">
        <f ca="1" t="shared" si="107"/>
        <v>0.198720538994045</v>
      </c>
      <c r="GC15" s="455">
        <f ca="1" t="shared" si="108"/>
        <v>0.198720538994045</v>
      </c>
      <c r="GE15" s="609">
        <v>1207945712.85162</v>
      </c>
      <c r="GF15" s="610">
        <v>1952000830.14714</v>
      </c>
      <c r="GG15" s="610">
        <v>398464061.029298</v>
      </c>
      <c r="GH15" s="610">
        <v>3988575.67204151</v>
      </c>
      <c r="GI15" s="610">
        <v>24342.6356771423</v>
      </c>
      <c r="GJ15" s="610">
        <v>0.00132004220425357</v>
      </c>
      <c r="GK15" s="617">
        <v>3562423522.33709</v>
      </c>
      <c r="GL15" s="614">
        <f ca="1" t="shared" si="109"/>
        <v>10.3477513680788</v>
      </c>
      <c r="GM15" s="614">
        <f ca="1" t="shared" si="110"/>
        <v>9.03760886973664e-14</v>
      </c>
      <c r="GN15" s="614">
        <f ca="1" t="shared" si="111"/>
        <v>8.51178948872779e-14</v>
      </c>
      <c r="GO15" s="614">
        <f ca="1" t="shared" si="112"/>
        <v>1.86942749646559e-13</v>
      </c>
      <c r="GP15" s="614">
        <f ca="1" t="shared" si="113"/>
        <v>5.79025273849501e-14</v>
      </c>
      <c r="GQ15" s="614">
        <f ca="1" t="shared" si="114"/>
        <v>3.50871305007701</v>
      </c>
      <c r="GR15" s="451">
        <f t="shared" si="115"/>
        <v>8.38958097990735e-5</v>
      </c>
      <c r="GS15" s="390">
        <f t="shared" si="116"/>
        <v>8262</v>
      </c>
    </row>
    <row r="16" spans="1:201">
      <c r="A16" s="421" t="s">
        <v>161</v>
      </c>
      <c r="B16" s="427"/>
      <c r="C16" s="428"/>
      <c r="D16" s="410"/>
      <c r="E16" s="410"/>
      <c r="G16" s="411" t="s">
        <v>57</v>
      </c>
      <c r="H16" s="412">
        <f ca="1" t="shared" si="1"/>
        <v>51120255290.4657</v>
      </c>
      <c r="I16" s="412">
        <f ca="1" t="shared" si="2"/>
        <v>0.00024312444041554</v>
      </c>
      <c r="J16" s="412">
        <f ca="1" t="shared" si="3"/>
        <v>0.00038730403231465</v>
      </c>
      <c r="K16" s="412">
        <f ca="1" t="shared" si="4"/>
        <v>0.000924222187063703</v>
      </c>
      <c r="L16" s="412">
        <f ca="1" t="shared" si="5"/>
        <v>0.00328209927269787</v>
      </c>
      <c r="M16" s="412">
        <f ca="1" t="shared" si="6"/>
        <v>5.46892375973388e-5</v>
      </c>
      <c r="N16" s="412">
        <f ca="1" t="shared" si="7"/>
        <v>51120255290.4706</v>
      </c>
      <c r="O16" s="450">
        <f ca="1" t="shared" si="8"/>
        <v>51120255290.4657</v>
      </c>
      <c r="P16" s="451"/>
      <c r="Q16" s="477" t="str">
        <f t="shared" si="0"/>
        <v>I-133</v>
      </c>
      <c r="R16" s="412">
        <f ca="1" t="shared" si="9"/>
        <v>51120255290.4657</v>
      </c>
      <c r="S16" s="412">
        <f ca="1">I16*(1-过滤效率!$B13)</f>
        <v>1.2156222020777e-5</v>
      </c>
      <c r="T16" s="412">
        <f ca="1">J16*(1-过滤效率!$B13)</f>
        <v>1.93652016157325e-5</v>
      </c>
      <c r="U16" s="412">
        <f ca="1">K16*(1-过滤效率!$B13)</f>
        <v>4.62111093531852e-5</v>
      </c>
      <c r="V16" s="412">
        <f ca="1">L16*(1-过滤效率!$B13)</f>
        <v>0.000164104963634893</v>
      </c>
      <c r="W16" s="412">
        <f ca="1">M16*(1-过滤效率!$B13)</f>
        <v>2.73446187986694e-6</v>
      </c>
      <c r="X16" s="412">
        <f ca="1" t="shared" si="10"/>
        <v>51120255290.466</v>
      </c>
      <c r="Y16" s="493"/>
      <c r="Z16" s="494">
        <f>VLOOKUP(G16,衰变常数!$A$1:$H$3800,7,FALSE)</f>
        <v>9.25677324465738e-6</v>
      </c>
      <c r="AA16" s="495">
        <f>正常源项!C13</f>
        <v>4.55e+17</v>
      </c>
      <c r="AB16" s="496">
        <f>正常源项!F13</f>
        <v>0</v>
      </c>
      <c r="AC16" s="496">
        <f>正常源项!I13</f>
        <v>119000000</v>
      </c>
      <c r="AD16" s="497"/>
      <c r="AE16" s="496">
        <f>正常源项!O13</f>
        <v>286000000000</v>
      </c>
      <c r="AF16" s="498">
        <f t="shared" si="157"/>
        <v>0</v>
      </c>
      <c r="AG16" s="519">
        <f t="shared" si="158"/>
        <v>0</v>
      </c>
      <c r="AH16" s="523">
        <v>1</v>
      </c>
      <c r="AI16" s="519">
        <f t="shared" si="159"/>
        <v>286000000000</v>
      </c>
      <c r="AJ16" s="521"/>
      <c r="AK16" s="521"/>
      <c r="AL16" s="519">
        <f t="shared" si="11"/>
        <v>66566500</v>
      </c>
      <c r="AM16" s="520">
        <f t="shared" si="12"/>
        <v>1911000000000</v>
      </c>
      <c r="AN16" s="519">
        <f ca="1">MAX(INDIRECT("'"&amp;$B$2&amp;"-事故进程'!Y"&amp;(ROW()+22)),INDIRECT("'"&amp;$B$2&amp;"-事故进程'!Z"&amp;(ROW()+22)),INDIRECT("'"&amp;$B$2&amp;"-事故进程'!AA"&amp;(ROW()+22)))</f>
        <v>3.97649506127805e-11</v>
      </c>
      <c r="AO16" s="519">
        <f ca="1" t="shared" si="13"/>
        <v>180913787.839465</v>
      </c>
      <c r="AP16" s="560">
        <f t="shared" si="14"/>
        <v>4.54957883631075e+17</v>
      </c>
      <c r="AQ16" s="561">
        <f ca="1">(AC16*$C$5+AD16*$C$8+AF16+AG16+AI16+(AL16+AM16)*$C$10)*EXP(-Z16*$C$12*3600)+AO16*$C$11</f>
        <v>286273429626.608</v>
      </c>
      <c r="AR16" s="562">
        <f ca="1">AQ16*(1-AR$3)</f>
        <v>235153174336.142</v>
      </c>
      <c r="AS16" s="563">
        <f ca="1" t="shared" si="15"/>
        <v>51120255290.4657</v>
      </c>
      <c r="AT16" s="562">
        <f ca="1">AS16*(1-AT$3)</f>
        <v>0</v>
      </c>
      <c r="AU16" s="564">
        <f ca="1" t="shared" si="16"/>
        <v>51120255290.4657</v>
      </c>
      <c r="AV16" s="565">
        <f>AV$3*3600</f>
        <v>7200</v>
      </c>
      <c r="AW16" s="580">
        <f>AP16*EXP(-Z16*AW$3*3600)</f>
        <v>4.54957883631075e+17</v>
      </c>
      <c r="AX16" s="580">
        <f ca="1" t="shared" si="17"/>
        <v>235153174336.142</v>
      </c>
      <c r="AY16" s="581">
        <f ca="1" t="shared" si="18"/>
        <v>0</v>
      </c>
      <c r="AZ16" s="580">
        <v>0</v>
      </c>
      <c r="BA16" s="580">
        <f ca="1">MAX(INDIRECT("'"&amp;$B$2&amp;"-事故进程'!Y"&amp;(ROW()+22)),INDIRECT("'"&amp;$B$2&amp;"-事故进程'!Z"&amp;(ROW()+22)))</f>
        <v>1.01035399313577e-11</v>
      </c>
      <c r="BB16" s="580">
        <f>SUM(BA$3,-LN(1-BB$3)/AV16)</f>
        <v>1.38777878078145e-19</v>
      </c>
      <c r="BC16" s="580">
        <f>BC$3/24/3600</f>
        <v>1157407407407410</v>
      </c>
      <c r="BD16" s="582">
        <f ca="1" t="shared" si="19"/>
        <v>0.935523662051332</v>
      </c>
      <c r="BE16" s="582">
        <f t="shared" si="20"/>
        <v>0.935523730106459</v>
      </c>
      <c r="BF16" s="582">
        <f t="shared" si="21"/>
        <v>0</v>
      </c>
      <c r="BG16" s="582">
        <f ca="1" t="shared" si="22"/>
        <v>4596687.52023201</v>
      </c>
      <c r="BH16" s="582">
        <f ca="1" t="shared" si="23"/>
        <v>-2.81958265938613e-23</v>
      </c>
      <c r="BI16" s="582">
        <f ca="1" t="shared" si="24"/>
        <v>-1.37355700009283e-8</v>
      </c>
      <c r="BJ16" s="580">
        <f ca="1" t="shared" si="25"/>
        <v>4.25623865373667e+17</v>
      </c>
      <c r="BK16" s="580">
        <f ca="1" t="shared" si="26"/>
        <v>250953591488</v>
      </c>
      <c r="BL16" s="586">
        <f ca="1" t="shared" si="27"/>
        <v>3.00903611855297e-23</v>
      </c>
      <c r="BM16" s="594">
        <f ca="1" t="shared" si="28"/>
        <v>-3.00903611855297e-23</v>
      </c>
      <c r="BN16" s="580">
        <f ca="1" t="shared" si="29"/>
        <v>32017323260.4189</v>
      </c>
      <c r="BO16" s="580">
        <f ca="1" t="shared" si="30"/>
        <v>0.000243124440458487</v>
      </c>
      <c r="BP16" s="595">
        <f ca="1" t="shared" si="31"/>
        <v>0.00024312444041554</v>
      </c>
      <c r="BQ16" s="596">
        <f>BQ$3*3600</f>
        <v>21600</v>
      </c>
      <c r="BR16" s="580">
        <f ca="1" t="shared" ref="BR16:BU16" si="170">BJ16</f>
        <v>4.25623865373667e+17</v>
      </c>
      <c r="BS16" s="580">
        <f ca="1" t="shared" si="170"/>
        <v>250953591488</v>
      </c>
      <c r="BT16" s="581">
        <f ca="1" t="shared" si="170"/>
        <v>3.00903611855297e-23</v>
      </c>
      <c r="BU16" s="580">
        <f ca="1" t="shared" si="170"/>
        <v>-3.00903611855297e-23</v>
      </c>
      <c r="BV16" s="580">
        <f ca="1">MAX(INDIRECT("'"&amp;$B$2&amp;"-事故进程'!Z"&amp;(ROW()+22)),INDIRECT("'"&amp;$B$2&amp;"-事故进程'!AA"&amp;(ROW()+22)))</f>
        <v>3.97649506127805e-11</v>
      </c>
      <c r="BW16" s="580">
        <f ca="1">SUM(BV$3,-LN(1-BW$3)/BQ16)</f>
        <v>4.62592926927149e-20</v>
      </c>
      <c r="BX16" s="580">
        <f>BX$3/24/3600</f>
        <v>1157407407407410</v>
      </c>
      <c r="BY16" s="582">
        <f ca="1" t="shared" si="33"/>
        <v>0.818774015129028</v>
      </c>
      <c r="BZ16" s="582">
        <f ca="1" t="shared" si="34"/>
        <v>0.818774718393108</v>
      </c>
      <c r="CA16" s="582">
        <f t="shared" si="35"/>
        <v>0</v>
      </c>
      <c r="CB16" s="582">
        <f ca="1" t="shared" si="36"/>
        <v>16924921.9653618</v>
      </c>
      <c r="CC16" s="582">
        <f ca="1" t="shared" si="37"/>
        <v>2.0060240791765e-23</v>
      </c>
      <c r="CD16" s="582">
        <f ca="1" t="shared" si="38"/>
        <v>-1.1633182497066e-9</v>
      </c>
      <c r="CE16" s="580">
        <f ca="1" t="shared" si="39"/>
        <v>3.48489761186735e+17</v>
      </c>
      <c r="CF16" s="580">
        <f ca="1" t="shared" si="40"/>
        <v>504800432576</v>
      </c>
      <c r="CG16" s="586">
        <f ca="1" t="shared" si="41"/>
        <v>2.01758782740791e-23</v>
      </c>
      <c r="CH16" s="594">
        <f ca="1" t="shared" si="42"/>
        <v>64</v>
      </c>
      <c r="CI16" s="580">
        <f ca="1" t="shared" si="43"/>
        <v>331348795786.504</v>
      </c>
      <c r="CJ16" s="580">
        <f ca="1" t="shared" si="44"/>
        <v>0.000387304032312549</v>
      </c>
      <c r="CK16" s="595">
        <f ca="1" t="shared" si="45"/>
        <v>0.00038730403231465</v>
      </c>
      <c r="CL16" s="596">
        <f>CL$3*3600</f>
        <v>57600</v>
      </c>
      <c r="CM16" s="580">
        <f ca="1" t="shared" ref="CM16:CP16" si="171">CE16</f>
        <v>3.48489761186735e+17</v>
      </c>
      <c r="CN16" s="580">
        <f ca="1" t="shared" si="171"/>
        <v>504800432576</v>
      </c>
      <c r="CO16" s="581">
        <f ca="1" t="shared" si="171"/>
        <v>2.01758782740791e-23</v>
      </c>
      <c r="CP16" s="580">
        <f ca="1" t="shared" si="171"/>
        <v>64</v>
      </c>
      <c r="CQ16" s="580">
        <f ca="1">MAX(INDIRECT("'"&amp;$B$2&amp;"-事故进程'!AA"&amp;(ROW()+22)),INDIRECT("'"&amp;$B$2&amp;"-事故进程'!AB"&amp;(ROW()+22)))</f>
        <v>7.52625101519844e-11</v>
      </c>
      <c r="CR16" s="580">
        <f ca="1">SUM(CQ$3,-LN(1-CR$3)/CL16)</f>
        <v>1.73472347597681e-20</v>
      </c>
      <c r="CS16" s="580">
        <f>CS$3/24/3600</f>
        <v>1157407407407410</v>
      </c>
      <c r="CT16" s="582">
        <f ca="1" t="shared" si="47"/>
        <v>0.586727686461529</v>
      </c>
      <c r="CU16" s="582">
        <f ca="1" t="shared" si="48"/>
        <v>0.586730230002313</v>
      </c>
      <c r="CV16" s="582">
        <f t="shared" si="49"/>
        <v>0</v>
      </c>
      <c r="CW16" s="582">
        <f ca="1" t="shared" si="50"/>
        <v>26228252.1817269</v>
      </c>
      <c r="CX16" s="582">
        <f ca="1" t="shared" si="51"/>
        <v>1.26099239224098e-23</v>
      </c>
      <c r="CY16" s="582">
        <f ca="1" t="shared" si="52"/>
        <v>-2.30489718303782e-10</v>
      </c>
      <c r="CZ16" s="580">
        <f ca="1" t="shared" si="53"/>
        <v>2.04468591336624e+17</v>
      </c>
      <c r="DA16" s="580">
        <f ca="1" t="shared" si="54"/>
        <v>1182579594432</v>
      </c>
      <c r="DB16" s="586">
        <f ca="1" t="shared" si="55"/>
        <v>1.77245157719077e-23</v>
      </c>
      <c r="DC16" s="594">
        <f ca="1" t="shared" si="56"/>
        <v>64</v>
      </c>
      <c r="DD16" s="580">
        <f ca="1" t="shared" si="57"/>
        <v>1170959506310.57</v>
      </c>
      <c r="DE16" s="580">
        <f ca="1" t="shared" si="58"/>
        <v>0.000924222187093083</v>
      </c>
      <c r="DF16" s="595">
        <f ca="1" t="shared" si="59"/>
        <v>0.000924222187063703</v>
      </c>
      <c r="DG16" s="596">
        <f>DG$3*3600</f>
        <v>86400</v>
      </c>
      <c r="DH16" s="580">
        <f ca="1" t="shared" ref="DH16:DK16" si="172">CZ16</f>
        <v>2.04468591336624e+17</v>
      </c>
      <c r="DI16" s="580">
        <f ca="1" t="shared" si="172"/>
        <v>1182579594432</v>
      </c>
      <c r="DJ16" s="581">
        <f ca="1" t="shared" si="172"/>
        <v>1.77245157719077e-23</v>
      </c>
      <c r="DK16" s="580">
        <f ca="1" t="shared" si="172"/>
        <v>64</v>
      </c>
      <c r="DL16" s="580">
        <f ca="1">MAX(INDIRECT("'"&amp;$B$2&amp;"-事故进程'!AB"&amp;(ROW()+22)),INDIRECT("'"&amp;$B$2&amp;"-事故进程'!AC"&amp;(ROW()+22)))</f>
        <v>1.80969415284839e-10</v>
      </c>
      <c r="DM16" s="580">
        <f ca="1">SUM(DL$3,-LN(1-DM$3)/DG16)</f>
        <v>1.15648231731787e-20</v>
      </c>
      <c r="DN16" s="580">
        <f>DN$3/24/3600</f>
        <v>1157407407407410</v>
      </c>
      <c r="DO16" s="582">
        <f ca="1" t="shared" si="61"/>
        <v>0.449418459544794</v>
      </c>
      <c r="DP16" s="582">
        <f ca="1" t="shared" si="62"/>
        <v>0.449425486597771</v>
      </c>
      <c r="DQ16" s="582">
        <f t="shared" si="63"/>
        <v>0</v>
      </c>
      <c r="DR16" s="582">
        <f ca="1" t="shared" si="64"/>
        <v>37002775.4290412</v>
      </c>
      <c r="DS16" s="582">
        <f ca="1" t="shared" si="65"/>
        <v>5.9081719241951e-24</v>
      </c>
      <c r="DT16" s="582">
        <f ca="1" t="shared" si="66"/>
        <v>-6.39048490912963e-11</v>
      </c>
      <c r="DU16" s="580">
        <f ca="1" t="shared" si="67"/>
        <v>9.18919593437994e+16</v>
      </c>
      <c r="DV16" s="580">
        <f ca="1" t="shared" si="68"/>
        <v>1968293033168</v>
      </c>
      <c r="DW16" s="586">
        <f ca="1" t="shared" si="69"/>
        <v>1.9667198201922e-23</v>
      </c>
      <c r="DX16" s="594">
        <f ca="1" t="shared" si="70"/>
        <v>48</v>
      </c>
      <c r="DY16" s="580">
        <f ca="1" t="shared" si="71"/>
        <v>2200824028653.66</v>
      </c>
      <c r="DZ16" s="580">
        <f ca="1" t="shared" si="72"/>
        <v>0.00176794908010884</v>
      </c>
      <c r="EA16" s="595">
        <f ca="1" t="shared" si="73"/>
        <v>0.00176794908011113</v>
      </c>
      <c r="EB16" s="596">
        <f>EB$3*3600</f>
        <v>172800</v>
      </c>
      <c r="EC16" s="580">
        <f ca="1" t="shared" ref="EC16:EF16" si="173">DU16</f>
        <v>9.18919593437994e+16</v>
      </c>
      <c r="ED16" s="580">
        <f ca="1" t="shared" si="173"/>
        <v>1968293033168</v>
      </c>
      <c r="EE16" s="581">
        <f ca="1" t="shared" si="173"/>
        <v>1.9667198201922e-23</v>
      </c>
      <c r="EF16" s="580">
        <f ca="1" t="shared" si="173"/>
        <v>48</v>
      </c>
      <c r="EG16" s="580">
        <f ca="1">MAX(INDIRECT("'"&amp;$B$2&amp;"-事故进程'!AC"&amp;(ROW()+22)),INDIRECT("'"&amp;$B$2&amp;"-事故进程'!AD"&amp;(ROW()+22)),INDIRECT("'"&amp;$B$2&amp;"-事故进程'!AE"&amp;(ROW()+22)))</f>
        <v>1.80969415284839e-10</v>
      </c>
      <c r="EH16" s="580">
        <f ca="1">SUM(EG$3,-LN(1-EH$3)/EB16)</f>
        <v>5.78241158658936e-21</v>
      </c>
      <c r="EI16" s="580">
        <f>EI$3/24/3600</f>
        <v>1157407407407410</v>
      </c>
      <c r="EJ16" s="582">
        <f ca="1" t="shared" si="75"/>
        <v>0.201976951779616</v>
      </c>
      <c r="EK16" s="582">
        <f ca="1" t="shared" si="76"/>
        <v>0.201983268003643</v>
      </c>
      <c r="EL16" s="582">
        <f t="shared" si="77"/>
        <v>0</v>
      </c>
      <c r="EM16" s="582">
        <f ca="1" t="shared" si="78"/>
        <v>16629990.3526649</v>
      </c>
      <c r="EN16" s="582">
        <f ca="1" t="shared" si="79"/>
        <v>9.83359910107618e-24</v>
      </c>
      <c r="EO16" s="582">
        <f ca="1" t="shared" si="80"/>
        <v>-3.19524245446272e-11</v>
      </c>
      <c r="EP16" s="580">
        <f ca="1" t="shared" si="81"/>
        <v>1.8560057841317e+16</v>
      </c>
      <c r="EQ16" s="580">
        <f ca="1" t="shared" si="82"/>
        <v>977972460800</v>
      </c>
      <c r="ER16" s="586">
        <f ca="1" t="shared" si="83"/>
        <v>4.8859539454411e-24</v>
      </c>
      <c r="ES16" s="594">
        <f ca="1" t="shared" si="84"/>
        <v>12</v>
      </c>
      <c r="ET16" s="580">
        <f ca="1" t="shared" si="85"/>
        <v>1433606673397.5</v>
      </c>
      <c r="EU16" s="580">
        <f ca="1" t="shared" si="86"/>
        <v>0.00151415019258597</v>
      </c>
      <c r="EV16" s="595">
        <f ca="1" t="shared" si="87"/>
        <v>0.00151415019258673</v>
      </c>
      <c r="EW16" s="596">
        <f>EW$3*3600</f>
        <v>2246400</v>
      </c>
      <c r="EX16" s="580">
        <f ca="1" t="shared" ref="EX16:FA16" si="174">EP16</f>
        <v>1.8560057841317e+16</v>
      </c>
      <c r="EY16" s="580">
        <f ca="1" t="shared" si="174"/>
        <v>977972460800</v>
      </c>
      <c r="EZ16" s="581">
        <f ca="1" t="shared" si="174"/>
        <v>4.8859539454411e-24</v>
      </c>
      <c r="FA16" s="580">
        <f ca="1" t="shared" si="174"/>
        <v>12</v>
      </c>
      <c r="FB16" s="580">
        <f ca="1">INDIRECT("'"&amp;$B$2&amp;"-事故进程'!AE"&amp;(ROW()+22))</f>
        <v>7.98839791826187e-11</v>
      </c>
      <c r="FC16" s="580">
        <f ca="1">SUM(FB$3,-LN(1-FC$3)/EW16)</f>
        <v>4.44800891276105e-22</v>
      </c>
      <c r="FD16" s="580">
        <f>FD$3/24/3600</f>
        <v>1157407407407410</v>
      </c>
      <c r="FE16" s="582">
        <f ca="1" t="shared" si="89"/>
        <v>9.31155462497491e-10</v>
      </c>
      <c r="FF16" s="582">
        <f ca="1" t="shared" si="90"/>
        <v>9.31322574615499e-10</v>
      </c>
      <c r="FG16" s="582">
        <f t="shared" si="91"/>
        <v>0</v>
      </c>
      <c r="FH16" s="582">
        <f ca="1" t="shared" si="92"/>
        <v>1482729.39855566</v>
      </c>
      <c r="FI16" s="582">
        <f ca="1" t="shared" si="93"/>
        <v>4.51011133425397e-24</v>
      </c>
      <c r="FJ16" s="582">
        <f ca="1" t="shared" si="94"/>
        <v>-5.56808631505129e-12</v>
      </c>
      <c r="FK16" s="580">
        <f ca="1" t="shared" si="95"/>
        <v>17282299.2432117</v>
      </c>
      <c r="FL16" s="580">
        <f ca="1" t="shared" si="96"/>
        <v>4012.41840632632</v>
      </c>
      <c r="FM16" s="586">
        <f ca="1" t="shared" si="97"/>
        <v>1.5420043727772e-33</v>
      </c>
      <c r="FN16" s="594">
        <f ca="1" t="shared" si="98"/>
        <v>-3.72529029846191e-9</v>
      </c>
      <c r="FO16" s="580">
        <f ca="1" t="shared" si="99"/>
        <v>160167959050.438</v>
      </c>
      <c r="FP16" s="580">
        <f ca="1" t="shared" si="100"/>
        <v>5.4689237597294e-5</v>
      </c>
      <c r="FQ16" s="595">
        <f ca="1" t="shared" si="101"/>
        <v>5.46892375973388e-5</v>
      </c>
      <c r="FR16" s="608" t="str">
        <f t="shared" si="102"/>
        <v>I-133</v>
      </c>
      <c r="FS16" s="609">
        <v>6790000000</v>
      </c>
      <c r="FT16" s="610">
        <v>47700000000</v>
      </c>
      <c r="FU16" s="610">
        <v>98100000000</v>
      </c>
      <c r="FV16" s="610">
        <v>85000000000</v>
      </c>
      <c r="FW16" s="610">
        <v>238000000000</v>
      </c>
      <c r="FX16" s="614">
        <f ca="1" t="shared" si="103"/>
        <v>7.52875630198317</v>
      </c>
      <c r="FY16" s="614">
        <f ca="1" t="shared" si="104"/>
        <v>1.32165298266287e-14</v>
      </c>
      <c r="FZ16" s="614">
        <f ca="1" t="shared" si="105"/>
        <v>9.42122514845773e-15</v>
      </c>
      <c r="GA16" s="614">
        <f ca="1" t="shared" si="106"/>
        <v>3.86129326199749e-14</v>
      </c>
      <c r="GB16" s="614">
        <f ca="1" t="shared" si="107"/>
        <v>0.214790988615422</v>
      </c>
      <c r="GC16" s="455">
        <f ca="1" t="shared" si="108"/>
        <v>0.214790988615423</v>
      </c>
      <c r="GE16" s="609">
        <v>495073067.87073</v>
      </c>
      <c r="GF16" s="610">
        <v>4405444796.11228</v>
      </c>
      <c r="GG16" s="610">
        <v>14977012891.4363</v>
      </c>
      <c r="GH16" s="610">
        <v>13784979385.1915</v>
      </c>
      <c r="GI16" s="610">
        <v>12132529645.6464</v>
      </c>
      <c r="GJ16" s="610">
        <v>2325933648.14244</v>
      </c>
      <c r="GK16" s="617">
        <v>48120973434.3997</v>
      </c>
      <c r="GL16" s="614">
        <f ca="1" t="shared" si="109"/>
        <v>103.258000905462</v>
      </c>
      <c r="GM16" s="614">
        <f ca="1" t="shared" si="110"/>
        <v>1.43102116110167e-13</v>
      </c>
      <c r="GN16" s="614">
        <f ca="1" t="shared" si="111"/>
        <v>6.17093804861558e-14</v>
      </c>
      <c r="GO16" s="614">
        <f ca="1" t="shared" si="112"/>
        <v>1.26636370370033e-13</v>
      </c>
      <c r="GP16" s="614">
        <f ca="1" t="shared" si="113"/>
        <v>2.35128107119544e-14</v>
      </c>
      <c r="GQ16" s="614">
        <f ca="1" t="shared" si="114"/>
        <v>1.06232795477755</v>
      </c>
      <c r="GR16" s="451">
        <f t="shared" si="115"/>
        <v>9.25677324465738e-6</v>
      </c>
      <c r="GS16" s="390">
        <f t="shared" si="116"/>
        <v>74880.0000000001</v>
      </c>
    </row>
    <row r="17" spans="1:201">
      <c r="A17" s="425" t="s">
        <v>266</v>
      </c>
      <c r="B17" s="407" t="s">
        <v>267</v>
      </c>
      <c r="C17" s="422">
        <f>-LN(1-0%)/8/3600</f>
        <v>0</v>
      </c>
      <c r="D17" s="410" t="s">
        <v>268</v>
      </c>
      <c r="E17" s="409" t="s">
        <v>269</v>
      </c>
      <c r="G17" s="411" t="s">
        <v>58</v>
      </c>
      <c r="H17" s="412">
        <f ca="1" t="shared" si="1"/>
        <v>12136152967.8541</v>
      </c>
      <c r="I17" s="412">
        <f ca="1" t="shared" si="2"/>
        <v>6.03114594619698e-5</v>
      </c>
      <c r="J17" s="412">
        <f ca="1" t="shared" si="3"/>
        <v>2.75918557215298e-5</v>
      </c>
      <c r="K17" s="412">
        <f ca="1" t="shared" si="4"/>
        <v>4.3733779469552e-7</v>
      </c>
      <c r="L17" s="412">
        <f ca="1" t="shared" si="5"/>
        <v>4.39315608900055e-12</v>
      </c>
      <c r="M17" s="412">
        <f ca="1" t="shared" si="6"/>
        <v>2.59557350598767e-37</v>
      </c>
      <c r="N17" s="412">
        <f ca="1" t="shared" si="7"/>
        <v>12136152967.8542</v>
      </c>
      <c r="O17" s="450">
        <f ca="1" t="shared" si="8"/>
        <v>12136152967.8541</v>
      </c>
      <c r="P17" s="451"/>
      <c r="Q17" s="477" t="str">
        <f t="shared" si="0"/>
        <v>I-134</v>
      </c>
      <c r="R17" s="412">
        <f ca="1" t="shared" si="9"/>
        <v>12136152967.8541</v>
      </c>
      <c r="S17" s="412">
        <f ca="1">I17*(1-过滤效率!$B14)</f>
        <v>3.01557297309849e-6</v>
      </c>
      <c r="T17" s="412">
        <f ca="1">J17*(1-过滤效率!$B14)</f>
        <v>1.37959278607649e-6</v>
      </c>
      <c r="U17" s="412">
        <f ca="1">K17*(1-过滤效率!$B14)</f>
        <v>2.1866889734776e-8</v>
      </c>
      <c r="V17" s="412">
        <f ca="1">L17*(1-过滤效率!$B14)</f>
        <v>2.19657804450028e-13</v>
      </c>
      <c r="W17" s="412">
        <f ca="1">M17*(1-过滤效率!$B14)</f>
        <v>1.29778675299384e-38</v>
      </c>
      <c r="X17" s="412">
        <f ca="1" t="shared" si="10"/>
        <v>12136152967.8541</v>
      </c>
      <c r="Y17" s="493"/>
      <c r="Z17" s="494">
        <f>VLOOKUP(G17,衰变常数!$A$1:$H$3800,7,FALSE)</f>
        <v>0.000220046723987284</v>
      </c>
      <c r="AA17" s="495">
        <f>正常源项!C14</f>
        <v>5.26e+17</v>
      </c>
      <c r="AB17" s="496">
        <f>正常源项!F14</f>
        <v>0</v>
      </c>
      <c r="AC17" s="496">
        <f>正常源项!I14</f>
        <v>653000000</v>
      </c>
      <c r="AD17" s="497"/>
      <c r="AE17" s="496">
        <f>正常源项!O14</f>
        <v>66500000000</v>
      </c>
      <c r="AF17" s="498">
        <f t="shared" si="157"/>
        <v>0</v>
      </c>
      <c r="AG17" s="519">
        <f t="shared" si="158"/>
        <v>0</v>
      </c>
      <c r="AH17" s="523">
        <v>1</v>
      </c>
      <c r="AI17" s="519">
        <f t="shared" si="159"/>
        <v>66500000000</v>
      </c>
      <c r="AJ17" s="521"/>
      <c r="AK17" s="521"/>
      <c r="AL17" s="519">
        <f t="shared" si="11"/>
        <v>76953800</v>
      </c>
      <c r="AM17" s="520">
        <f t="shared" si="12"/>
        <v>2209200000000</v>
      </c>
      <c r="AN17" s="519">
        <f ca="1">MAX(INDIRECT("'"&amp;$B$2&amp;"-事故进程'!Y"&amp;(ROW()+22)),INDIRECT("'"&amp;$B$2&amp;"-事故进程'!Z"&amp;(ROW()+22)),INDIRECT("'"&amp;$B$2&amp;"-事故进程'!AA"&amp;(ROW()+22)))</f>
        <v>1.82351793927569e-10</v>
      </c>
      <c r="AO17" s="519">
        <f ca="1" t="shared" si="13"/>
        <v>957062136.430764</v>
      </c>
      <c r="AP17" s="560">
        <f t="shared" si="14"/>
        <v>5.24843826759018e+17</v>
      </c>
      <c r="AQ17" s="561">
        <f ca="1">(AC17*$C$5+AD17*$C$8+AF17+AG17+AI17+(AL17+AM17)*$C$10)*EXP(-Z17*$C$12*3600)+AO17*$C$11</f>
        <v>67962456619.9828</v>
      </c>
      <c r="AR17" s="562">
        <f ca="1">AQ17*(1-AR$3)</f>
        <v>55826303652.1287</v>
      </c>
      <c r="AS17" s="563">
        <f ca="1" t="shared" si="15"/>
        <v>12136152967.8541</v>
      </c>
      <c r="AT17" s="562">
        <f ca="1">AS17*(1-AT$3)</f>
        <v>0</v>
      </c>
      <c r="AU17" s="564">
        <f ca="1" t="shared" si="16"/>
        <v>12136152967.8541</v>
      </c>
      <c r="AV17" s="565">
        <f>AV$3*3600</f>
        <v>7200</v>
      </c>
      <c r="AW17" s="580">
        <f>AP17*EXP(-Z17*AW$3*3600)</f>
        <v>5.24843826759018e+17</v>
      </c>
      <c r="AX17" s="580">
        <f ca="1" t="shared" si="17"/>
        <v>55826303652.1287</v>
      </c>
      <c r="AY17" s="581">
        <f ca="1" t="shared" si="18"/>
        <v>0</v>
      </c>
      <c r="AZ17" s="580">
        <v>0</v>
      </c>
      <c r="BA17" s="580">
        <f ca="1">MAX(INDIRECT("'"&amp;$B$2&amp;"-事故进程'!Y"&amp;(ROW()+22)),INDIRECT("'"&amp;$B$2&amp;"-事故进程'!Z"&amp;(ROW()+22)))</f>
        <v>4.57204168879066e-11</v>
      </c>
      <c r="BB17" s="580">
        <f>SUM(BA$3,-LN(1-BB$3)/AV17)</f>
        <v>1.38777878078145e-19</v>
      </c>
      <c r="BC17" s="580">
        <f>BC$3/24/3600</f>
        <v>1157407407407410</v>
      </c>
      <c r="BD17" s="582">
        <f ca="1" t="shared" si="19"/>
        <v>0.205083771490987</v>
      </c>
      <c r="BE17" s="582">
        <f t="shared" si="20"/>
        <v>0.20508383900191</v>
      </c>
      <c r="BF17" s="582">
        <f t="shared" si="21"/>
        <v>0</v>
      </c>
      <c r="BG17" s="582">
        <f ca="1" t="shared" si="22"/>
        <v>23996081.1128684</v>
      </c>
      <c r="BH17" s="582">
        <f ca="1" t="shared" si="23"/>
        <v>-6.69380195098535e-24</v>
      </c>
      <c r="BI17" s="582">
        <f ca="1" t="shared" si="24"/>
        <v>-3.03535899157764e-9</v>
      </c>
      <c r="BJ17" s="580">
        <f ca="1" t="shared" si="25"/>
        <v>1.07636951435502e+17</v>
      </c>
      <c r="BK17" s="580">
        <f ca="1" t="shared" si="26"/>
        <v>46881763808</v>
      </c>
      <c r="BL17" s="586">
        <f ca="1" t="shared" si="27"/>
        <v>5.62131507044882e-24</v>
      </c>
      <c r="BM17" s="594">
        <f ca="1" t="shared" si="28"/>
        <v>16</v>
      </c>
      <c r="BN17" s="580">
        <f ca="1" t="shared" si="29"/>
        <v>86685536414.0549</v>
      </c>
      <c r="BO17" s="580">
        <f ca="1" t="shared" si="30"/>
        <v>6.03114594462192e-5</v>
      </c>
      <c r="BP17" s="595">
        <f ca="1" t="shared" si="31"/>
        <v>6.03114594619698e-5</v>
      </c>
      <c r="BQ17" s="596">
        <f>BQ$3*3600</f>
        <v>21600</v>
      </c>
      <c r="BR17" s="580">
        <f ca="1" t="shared" ref="BR17:BU17" si="175">BJ17</f>
        <v>1.07636951435502e+17</v>
      </c>
      <c r="BS17" s="580">
        <f ca="1" t="shared" si="175"/>
        <v>46881763808</v>
      </c>
      <c r="BT17" s="581">
        <f ca="1" t="shared" si="175"/>
        <v>5.62131507044882e-24</v>
      </c>
      <c r="BU17" s="580">
        <f ca="1" t="shared" si="175"/>
        <v>16</v>
      </c>
      <c r="BV17" s="580">
        <f ca="1">MAX(INDIRECT("'"&amp;$B$2&amp;"-事故进程'!Z"&amp;(ROW()+22)),INDIRECT("'"&amp;$B$2&amp;"-事故进程'!AA"&amp;(ROW()+22)))</f>
        <v>1.82351793927569e-10</v>
      </c>
      <c r="BW17" s="580">
        <f ca="1">SUM(BV$3,-LN(1-BW$3)/BQ17)</f>
        <v>4.62592926927149e-20</v>
      </c>
      <c r="BX17" s="580">
        <f>BX$3/24/3600</f>
        <v>1157407407407410</v>
      </c>
      <c r="BY17" s="582">
        <f ca="1" t="shared" si="33"/>
        <v>0.0086256653507499</v>
      </c>
      <c r="BZ17" s="582">
        <f ca="1" t="shared" si="34"/>
        <v>0.00862569932557669</v>
      </c>
      <c r="CA17" s="582">
        <f t="shared" si="35"/>
        <v>0</v>
      </c>
      <c r="CB17" s="582">
        <f ca="1" t="shared" si="36"/>
        <v>19627799.7361321</v>
      </c>
      <c r="CC17" s="582">
        <f ca="1" t="shared" si="37"/>
        <v>3.74754338032034e-24</v>
      </c>
      <c r="CD17" s="582">
        <f ca="1" t="shared" si="38"/>
        <v>-2.53681588253661e-10</v>
      </c>
      <c r="CE17" s="580">
        <f ca="1" t="shared" si="39"/>
        <v>928440322457556</v>
      </c>
      <c r="CF17" s="580">
        <f ca="1" t="shared" si="40"/>
        <v>4061334780.625</v>
      </c>
      <c r="CG17" s="586">
        <f ca="1" t="shared" si="41"/>
        <v>1.62323545821394e-25</v>
      </c>
      <c r="CH17" s="594">
        <f ca="1" t="shared" si="42"/>
        <v>0.875</v>
      </c>
      <c r="CI17" s="580">
        <f ca="1" t="shared" si="43"/>
        <v>88428820711.6136</v>
      </c>
      <c r="CJ17" s="580">
        <f ca="1" t="shared" si="44"/>
        <v>2.75918557201616e-5</v>
      </c>
      <c r="CK17" s="595">
        <f ca="1" t="shared" si="45"/>
        <v>2.75918557215298e-5</v>
      </c>
      <c r="CL17" s="596">
        <f>CL$3*3600</f>
        <v>57600</v>
      </c>
      <c r="CM17" s="580">
        <f ca="1" t="shared" ref="CM17:CP17" si="176">CE17</f>
        <v>928440322457556</v>
      </c>
      <c r="CN17" s="580">
        <f ca="1" t="shared" si="176"/>
        <v>4061334780.625</v>
      </c>
      <c r="CO17" s="581">
        <f ca="1" t="shared" si="176"/>
        <v>1.62323545821394e-25</v>
      </c>
      <c r="CP17" s="580">
        <f ca="1" t="shared" si="176"/>
        <v>0.875</v>
      </c>
      <c r="CQ17" s="580">
        <f ca="1">MAX(INDIRECT("'"&amp;$B$2&amp;"-事故进程'!AA"&amp;(ROW()+22)),INDIRECT("'"&amp;$B$2&amp;"-事故进程'!AB"&amp;(ROW()+22)))</f>
        <v>3.52263172824572e-10</v>
      </c>
      <c r="CR17" s="580">
        <f ca="1">SUM(CQ$3,-LN(1-CR$3)/CL17)</f>
        <v>1.73472347597681e-20</v>
      </c>
      <c r="CS17" s="580">
        <f>CS$3/24/3600</f>
        <v>1157407407407410</v>
      </c>
      <c r="CT17" s="582">
        <f ca="1" t="shared" si="47"/>
        <v>3.1292675448526e-6</v>
      </c>
      <c r="CU17" s="582">
        <f ca="1" t="shared" si="48"/>
        <v>3.12933103945788e-6</v>
      </c>
      <c r="CV17" s="582">
        <f t="shared" si="49"/>
        <v>0</v>
      </c>
      <c r="CW17" s="582">
        <f ca="1" t="shared" si="50"/>
        <v>327056.764425843</v>
      </c>
      <c r="CX17" s="582">
        <f ca="1" t="shared" si="51"/>
        <v>1.01452216135223e-25</v>
      </c>
      <c r="CY17" s="582">
        <f ca="1" t="shared" si="52"/>
        <v>-4.92450988320067e-11</v>
      </c>
      <c r="CZ17" s="580">
        <f ca="1" t="shared" si="53"/>
        <v>2905338168.39891</v>
      </c>
      <c r="DA17" s="580">
        <f ca="1" t="shared" si="54"/>
        <v>71660.2127952576</v>
      </c>
      <c r="DB17" s="586">
        <f ca="1" t="shared" si="55"/>
        <v>1.07404404563427e-30</v>
      </c>
      <c r="DC17" s="594">
        <f ca="1" t="shared" si="56"/>
        <v>5.24520874023437e-6</v>
      </c>
      <c r="DD17" s="580">
        <f ca="1" t="shared" si="57"/>
        <v>1486292460.21553</v>
      </c>
      <c r="DE17" s="580">
        <f ca="1" t="shared" si="58"/>
        <v>4.37337794699897e-7</v>
      </c>
      <c r="DF17" s="595">
        <f ca="1" t="shared" si="59"/>
        <v>4.3733779469552e-7</v>
      </c>
      <c r="DG17" s="596">
        <f>DG$3*3600</f>
        <v>86400</v>
      </c>
      <c r="DH17" s="580">
        <f ca="1" t="shared" ref="DH17:DK17" si="177">CZ17</f>
        <v>2905338168.39891</v>
      </c>
      <c r="DI17" s="580">
        <f ca="1" t="shared" si="177"/>
        <v>71660.2127952576</v>
      </c>
      <c r="DJ17" s="581">
        <f ca="1" t="shared" si="177"/>
        <v>1.07404404563427e-30</v>
      </c>
      <c r="DK17" s="580">
        <f ca="1" t="shared" si="177"/>
        <v>5.24520874023437e-6</v>
      </c>
      <c r="DL17" s="580">
        <f ca="1">MAX(INDIRECT("'"&amp;$B$2&amp;"-事故进程'!AB"&amp;(ROW()+22)),INDIRECT("'"&amp;$B$2&amp;"-事故进程'!AC"&amp;(ROW()+22)))</f>
        <v>9.03525162799031e-10</v>
      </c>
      <c r="DM17" s="580">
        <f ca="1">SUM(DL$3,-LN(1-DM$3)/DG17)</f>
        <v>1.15648231731787e-20</v>
      </c>
      <c r="DN17" s="580">
        <f>DN$3/24/3600</f>
        <v>1157407407407410</v>
      </c>
      <c r="DO17" s="582">
        <f ca="1" t="shared" si="61"/>
        <v>5.53532797900398e-9</v>
      </c>
      <c r="DP17" s="582">
        <f ca="1" t="shared" si="62"/>
        <v>5.5357601088918e-9</v>
      </c>
      <c r="DQ17" s="582">
        <f t="shared" si="63"/>
        <v>0</v>
      </c>
      <c r="DR17" s="582">
        <f ca="1" t="shared" si="64"/>
        <v>2.6251108883943</v>
      </c>
      <c r="DS17" s="582">
        <f ca="1" t="shared" si="65"/>
        <v>3.5801468188077e-31</v>
      </c>
      <c r="DT17" s="582">
        <f ca="1" t="shared" si="66"/>
        <v>-1.27996691730201e-11</v>
      </c>
      <c r="DU17" s="580">
        <f ca="1" t="shared" si="67"/>
        <v>16.0819996520067</v>
      </c>
      <c r="DV17" s="580">
        <f ca="1" t="shared" si="68"/>
        <v>0.00165217720416777</v>
      </c>
      <c r="DW17" s="586">
        <f ca="1" t="shared" si="69"/>
        <v>1.65085665554732e-38</v>
      </c>
      <c r="DX17" s="594">
        <f ca="1" t="shared" si="70"/>
        <v>1.4210854715202e-14</v>
      </c>
      <c r="DY17" s="580">
        <f ca="1" t="shared" si="71"/>
        <v>11929.4452602535</v>
      </c>
      <c r="DZ17" s="580">
        <f ca="1" t="shared" si="72"/>
        <v>4.39315604386423e-12</v>
      </c>
      <c r="EA17" s="595">
        <f ca="1" t="shared" si="73"/>
        <v>4.39315604384923e-12</v>
      </c>
      <c r="EB17" s="596">
        <f>EB$3*3600</f>
        <v>172800</v>
      </c>
      <c r="EC17" s="580">
        <f ca="1" t="shared" ref="EC17:EF17" si="178">DU17</f>
        <v>16.0819996520067</v>
      </c>
      <c r="ED17" s="580">
        <f ca="1" t="shared" si="178"/>
        <v>0.00165217720416777</v>
      </c>
      <c r="EE17" s="581">
        <f ca="1" t="shared" si="178"/>
        <v>1.65085665554732e-38</v>
      </c>
      <c r="EF17" s="580">
        <f ca="1" t="shared" si="178"/>
        <v>1.4210854715202e-14</v>
      </c>
      <c r="EG17" s="580">
        <f ca="1">MAX(INDIRECT("'"&amp;$B$2&amp;"-事故进程'!AC"&amp;(ROW()+22)),INDIRECT("'"&amp;$B$2&amp;"-事故进程'!AD"&amp;(ROW()+22)),INDIRECT("'"&amp;$B$2&amp;"-事故进程'!AE"&amp;(ROW()+22)))</f>
        <v>9.03525162799031e-10</v>
      </c>
      <c r="EH17" s="580">
        <f ca="1">SUM(EG$3,-LN(1-EH$3)/EB17)</f>
        <v>5.78241158658936e-21</v>
      </c>
      <c r="EI17" s="580">
        <f>EI$3/24/3600</f>
        <v>1157407407407410</v>
      </c>
      <c r="EJ17" s="582">
        <f ca="1" t="shared" si="75"/>
        <v>3.06398558351443e-17</v>
      </c>
      <c r="EK17" s="582">
        <f ca="1" t="shared" si="76"/>
        <v>3.06446399831977e-17</v>
      </c>
      <c r="EL17" s="582">
        <f t="shared" si="77"/>
        <v>0</v>
      </c>
      <c r="EM17" s="582">
        <f ca="1" t="shared" si="78"/>
        <v>1.45319841373907e-8</v>
      </c>
      <c r="EN17" s="582">
        <f ca="1" t="shared" si="79"/>
        <v>8.25428327774779e-39</v>
      </c>
      <c r="EO17" s="582">
        <f ca="1" t="shared" si="80"/>
        <v>-6.3998345864691e-12</v>
      </c>
      <c r="EP17" s="580">
        <f ca="1" t="shared" si="81"/>
        <v>4.92750150878327e-16</v>
      </c>
      <c r="EQ17" s="580">
        <f ca="1" t="shared" si="82"/>
        <v>1.2756904294035e-19</v>
      </c>
      <c r="ER17" s="586">
        <f ca="1" t="shared" si="83"/>
        <v>6.37335399157324e-55</v>
      </c>
      <c r="ES17" s="594">
        <f ca="1" t="shared" si="84"/>
        <v>-1.97215226305253e-31</v>
      </c>
      <c r="ET17" s="580">
        <f ca="1" t="shared" si="85"/>
        <v>6.60333924885939e-5</v>
      </c>
      <c r="EU17" s="580">
        <f ca="1" t="shared" si="86"/>
        <v>4.51513236928702e-20</v>
      </c>
      <c r="EV17" s="595">
        <f ca="1" t="shared" si="87"/>
        <v>4.51513236929019e-20</v>
      </c>
      <c r="EW17" s="596">
        <f>EW$3*3600</f>
        <v>2246400</v>
      </c>
      <c r="EX17" s="580">
        <f ca="1" t="shared" ref="EX17:FA17" si="179">EP17</f>
        <v>4.92750150878327e-16</v>
      </c>
      <c r="EY17" s="580">
        <f ca="1" t="shared" si="179"/>
        <v>1.2756904294035e-19</v>
      </c>
      <c r="EZ17" s="581">
        <f ca="1" t="shared" si="179"/>
        <v>6.37335399157324e-55</v>
      </c>
      <c r="FA17" s="580">
        <f ca="1" t="shared" si="179"/>
        <v>-1.97215226305253e-31</v>
      </c>
      <c r="FB17" s="580">
        <f ca="1">INDIRECT("'"&amp;$B$2&amp;"-事故进程'!AE"&amp;(ROW()+22))</f>
        <v>3.73399356193286e-10</v>
      </c>
      <c r="FC17" s="580">
        <f ca="1">SUM(FB$3,-LN(1-FC$3)/EW17)</f>
        <v>4.44800891276105e-22</v>
      </c>
      <c r="FD17" s="580">
        <f>FD$3/24/3600</f>
        <v>1157407407407410</v>
      </c>
      <c r="FE17" s="582">
        <f ca="1" t="shared" si="89"/>
        <v>2.10012197078999e-215</v>
      </c>
      <c r="FF17" s="582">
        <f ca="1" t="shared" si="90"/>
        <v>2.10188430118041e-215</v>
      </c>
      <c r="FG17" s="582">
        <f t="shared" si="91"/>
        <v>0</v>
      </c>
      <c r="FH17" s="582">
        <f ca="1" t="shared" si="92"/>
        <v>1.84040223300616e-25</v>
      </c>
      <c r="FI17" s="582">
        <f ca="1" t="shared" si="93"/>
        <v>5.88309599222095e-55</v>
      </c>
      <c r="FJ17" s="582">
        <f ca="1" t="shared" si="94"/>
        <v>-1.19122029510514e-12</v>
      </c>
      <c r="FK17" s="580">
        <f ca="1" t="shared" si="95"/>
        <v>1.03483541796966e-230</v>
      </c>
      <c r="FL17" s="580">
        <f ca="1" t="shared" si="96"/>
        <v>1.13652393444808e-233</v>
      </c>
      <c r="FM17" s="586">
        <f ca="1" t="shared" si="97"/>
        <v>4.36775206175215e-270</v>
      </c>
      <c r="FN17" s="594">
        <f ca="1" t="shared" si="98"/>
        <v>-1.37301344045621e-245</v>
      </c>
      <c r="FO17" s="580">
        <f ca="1" t="shared" si="99"/>
        <v>8.36150948080093e-22</v>
      </c>
      <c r="FP17" s="580">
        <f ca="1" t="shared" si="100"/>
        <v>2.59557350598715e-37</v>
      </c>
      <c r="FQ17" s="595">
        <f ca="1" t="shared" si="101"/>
        <v>2.59557350598767e-37</v>
      </c>
      <c r="FR17" s="608" t="str">
        <f t="shared" si="102"/>
        <v>I-134</v>
      </c>
      <c r="FS17" s="609">
        <v>9370000000</v>
      </c>
      <c r="FT17" s="610">
        <v>47600000000</v>
      </c>
      <c r="FU17" s="610">
        <v>129000000</v>
      </c>
      <c r="FV17" s="610">
        <v>309</v>
      </c>
      <c r="FW17" s="610">
        <v>57100000000</v>
      </c>
      <c r="FX17" s="614">
        <f ca="1" t="shared" si="103"/>
        <v>1.29521376391185</v>
      </c>
      <c r="FY17" s="614">
        <f ca="1" t="shared" si="104"/>
        <v>1.84670830217436e-15</v>
      </c>
      <c r="FZ17" s="614">
        <f ca="1" t="shared" si="105"/>
        <v>3.39021546275597e-15</v>
      </c>
      <c r="GA17" s="614">
        <f ca="1" t="shared" si="106"/>
        <v>1.4217333621361e-14</v>
      </c>
      <c r="GB17" s="614">
        <f ca="1" t="shared" si="107"/>
        <v>0.212542083500073</v>
      </c>
      <c r="GC17" s="455">
        <f ca="1" t="shared" si="108"/>
        <v>0.212542083500073</v>
      </c>
      <c r="GE17" s="609">
        <v>2586954574.00042</v>
      </c>
      <c r="GF17" s="610">
        <v>810664046.168369</v>
      </c>
      <c r="GG17" s="610">
        <v>2865285.43060858</v>
      </c>
      <c r="GH17" s="610">
        <v>10.9903217585912</v>
      </c>
      <c r="GI17" s="610">
        <v>6.24642651102317e-5</v>
      </c>
      <c r="GJ17" s="610">
        <v>1.62824997597659e-24</v>
      </c>
      <c r="GK17" s="617">
        <v>3400483916.58978</v>
      </c>
      <c r="GL17" s="614">
        <f ca="1" t="shared" si="109"/>
        <v>4.69128955329391</v>
      </c>
      <c r="GM17" s="614">
        <f ca="1" t="shared" si="110"/>
        <v>1.08433716283555e-13</v>
      </c>
      <c r="GN17" s="614">
        <f ca="1" t="shared" si="111"/>
        <v>1.52633238568009e-13</v>
      </c>
      <c r="GO17" s="614">
        <f ca="1" t="shared" si="112"/>
        <v>3.99727252470779e-13</v>
      </c>
      <c r="GP17" s="614">
        <f ca="1" t="shared" si="113"/>
        <v>1.59408785154804e-13</v>
      </c>
      <c r="GQ17" s="614">
        <f ca="1" t="shared" si="114"/>
        <v>3.56894879244865</v>
      </c>
      <c r="GR17" s="451">
        <f t="shared" si="115"/>
        <v>0.000220046723987284</v>
      </c>
      <c r="GS17" s="390">
        <f t="shared" si="116"/>
        <v>3150</v>
      </c>
    </row>
    <row r="18" spans="1:201">
      <c r="A18" s="413"/>
      <c r="B18" s="407" t="s">
        <v>270</v>
      </c>
      <c r="C18" s="429">
        <v>1e-15</v>
      </c>
      <c r="D18" s="410"/>
      <c r="E18" s="409" t="s">
        <v>271</v>
      </c>
      <c r="G18" s="411" t="s">
        <v>59</v>
      </c>
      <c r="H18" s="412">
        <f ca="1" t="shared" si="1"/>
        <v>24000120021.4499</v>
      </c>
      <c r="I18" s="412">
        <f ca="1" t="shared" si="2"/>
        <v>0.000120521766986918</v>
      </c>
      <c r="J18" s="412">
        <f ca="1" t="shared" si="3"/>
        <v>0.00024999587646347</v>
      </c>
      <c r="K18" s="412">
        <f ca="1" t="shared" si="4"/>
        <v>0.00037589758588743</v>
      </c>
      <c r="L18" s="412">
        <f ca="1" t="shared" si="5"/>
        <v>0.000227821821262175</v>
      </c>
      <c r="M18" s="412">
        <f ca="1" t="shared" si="6"/>
        <v>2.33801242963343e-8</v>
      </c>
      <c r="N18" s="412">
        <f ca="1" t="shared" si="7"/>
        <v>24000120021.4509</v>
      </c>
      <c r="O18" s="450">
        <f ca="1" t="shared" si="8"/>
        <v>24000120021.4499</v>
      </c>
      <c r="P18" s="451"/>
      <c r="Q18" s="477" t="str">
        <f t="shared" si="0"/>
        <v>I-135</v>
      </c>
      <c r="R18" s="412">
        <f ca="1" t="shared" si="9"/>
        <v>24000120021.4499</v>
      </c>
      <c r="S18" s="412">
        <f ca="1">I18*(1-过滤效率!$B15)</f>
        <v>6.02608834934591e-6</v>
      </c>
      <c r="T18" s="412">
        <f ca="1">J18*(1-过滤效率!$B15)</f>
        <v>1.24997938231735e-5</v>
      </c>
      <c r="U18" s="412">
        <f ca="1">K18*(1-过滤效率!$B15)</f>
        <v>1.87948792943715e-5</v>
      </c>
      <c r="V18" s="412">
        <f ca="1">L18*(1-过滤效率!$B15)</f>
        <v>1.13910910631087e-5</v>
      </c>
      <c r="W18" s="412">
        <f ca="1">M18*(1-过滤效率!$B15)</f>
        <v>1.16900621481671e-9</v>
      </c>
      <c r="X18" s="412">
        <f ca="1" t="shared" si="10"/>
        <v>24000120021.4499</v>
      </c>
      <c r="Y18" s="493"/>
      <c r="Z18" s="494">
        <f>VLOOKUP(G18,衰变常数!$A$1:$H$3800,7,FALSE)</f>
        <v>2.93060705462517e-5</v>
      </c>
      <c r="AA18" s="495">
        <f>正常源项!C15</f>
        <v>3.77e+17</v>
      </c>
      <c r="AB18" s="496">
        <f>正常源项!F15</f>
        <v>0</v>
      </c>
      <c r="AC18" s="496">
        <f>正常源项!I15</f>
        <v>173000000</v>
      </c>
      <c r="AD18" s="497"/>
      <c r="AE18" s="496">
        <f>正常源项!O15</f>
        <v>134000000000</v>
      </c>
      <c r="AF18" s="498">
        <f t="shared" si="157"/>
        <v>0</v>
      </c>
      <c r="AG18" s="519">
        <f t="shared" si="158"/>
        <v>0</v>
      </c>
      <c r="AH18" s="523">
        <v>1</v>
      </c>
      <c r="AI18" s="519">
        <f t="shared" si="159"/>
        <v>134000000000</v>
      </c>
      <c r="AJ18" s="521"/>
      <c r="AK18" s="521"/>
      <c r="AL18" s="519">
        <f t="shared" si="11"/>
        <v>55155100</v>
      </c>
      <c r="AM18" s="520">
        <f t="shared" si="12"/>
        <v>1583400000000</v>
      </c>
      <c r="AN18" s="519">
        <f ca="1">MAX(INDIRECT("'"&amp;$B$2&amp;"-事故进程'!Y"&amp;(ROW()+22)),INDIRECT("'"&amp;$B$2&amp;"-事故进程'!Z"&amp;(ROW()+22)),INDIRECT("'"&amp;$B$2&amp;"-事故进程'!AA"&amp;(ROW()+22)))</f>
        <v>7.08396422917574e-11</v>
      </c>
      <c r="AO18" s="519">
        <f ca="1" t="shared" si="13"/>
        <v>266987193.02054</v>
      </c>
      <c r="AP18" s="560">
        <f t="shared" si="14"/>
        <v>3.76889532301702e+17</v>
      </c>
      <c r="AQ18" s="561">
        <f ca="1">(AC18*$C$5+AD18*$C$8+AF18+AG18+AI18+(AL18+AM18)*$C$10)*EXP(-Z18*$C$12*3600)+AO18*$C$11</f>
        <v>134400672120.119</v>
      </c>
      <c r="AR18" s="562">
        <f ca="1">AQ18*(1-AR$3)</f>
        <v>110400552098.67</v>
      </c>
      <c r="AS18" s="563">
        <f ca="1" t="shared" si="15"/>
        <v>24000120021.4499</v>
      </c>
      <c r="AT18" s="562">
        <f ca="1">AS18*(1-AT$3)</f>
        <v>0</v>
      </c>
      <c r="AU18" s="564">
        <f ca="1" t="shared" si="16"/>
        <v>24000120021.4499</v>
      </c>
      <c r="AV18" s="565">
        <f>AV$3*3600</f>
        <v>7200</v>
      </c>
      <c r="AW18" s="580">
        <f>AP18*EXP(-Z18*AW$3*3600)</f>
        <v>3.76889532301702e+17</v>
      </c>
      <c r="AX18" s="580">
        <f ca="1" t="shared" si="17"/>
        <v>110400552098.67</v>
      </c>
      <c r="AY18" s="581">
        <f ca="1" t="shared" si="18"/>
        <v>0</v>
      </c>
      <c r="AZ18" s="580">
        <v>0</v>
      </c>
      <c r="BA18" s="580">
        <f ca="1">MAX(INDIRECT("'"&amp;$B$2&amp;"-事故进程'!Y"&amp;(ROW()+22)),INDIRECT("'"&amp;$B$2&amp;"-事故进程'!Z"&amp;(ROW()+22)))</f>
        <v>1.78671205160526e-11</v>
      </c>
      <c r="BB18" s="580">
        <f>SUM(BA$3,-LN(1-BB$3)/AV18)</f>
        <v>1.38777878078145e-19</v>
      </c>
      <c r="BC18" s="580">
        <f>BC$3/24/3600</f>
        <v>1157407407407410</v>
      </c>
      <c r="BD18" s="582">
        <f ca="1" t="shared" si="19"/>
        <v>0.809770960127259</v>
      </c>
      <c r="BE18" s="582">
        <f t="shared" si="20"/>
        <v>0.809771064298847</v>
      </c>
      <c r="BF18" s="582">
        <f t="shared" si="21"/>
        <v>0</v>
      </c>
      <c r="BG18" s="582">
        <f ca="1" t="shared" si="22"/>
        <v>6733932.66741318</v>
      </c>
      <c r="BH18" s="582">
        <f ca="1" t="shared" si="23"/>
        <v>-1.32374773660974e-23</v>
      </c>
      <c r="BI18" s="582">
        <f ca="1" t="shared" si="24"/>
        <v>-7.7672213063867e-9</v>
      </c>
      <c r="BJ18" s="580">
        <f ca="1" t="shared" si="25"/>
        <v>3.05194198433863e+17</v>
      </c>
      <c r="BK18" s="580">
        <f ca="1" t="shared" si="26"/>
        <v>128660354112</v>
      </c>
      <c r="BL18" s="586">
        <f ca="1" t="shared" si="27"/>
        <v>1.54269022389645e-23</v>
      </c>
      <c r="BM18" s="594">
        <f ca="1" t="shared" si="28"/>
        <v>-1.54269022389645e-23</v>
      </c>
      <c r="BN18" s="580">
        <f ca="1" t="shared" si="29"/>
        <v>43710684025.3306</v>
      </c>
      <c r="BO18" s="580">
        <f ca="1" t="shared" si="30"/>
        <v>0.000120521766969122</v>
      </c>
      <c r="BP18" s="595">
        <f ca="1" t="shared" si="31"/>
        <v>0.000120521766986918</v>
      </c>
      <c r="BQ18" s="596">
        <f>BQ$3*3600</f>
        <v>21600</v>
      </c>
      <c r="BR18" s="580">
        <f ca="1" t="shared" ref="BR18:BU18" si="180">BJ18</f>
        <v>3.05194198433863e+17</v>
      </c>
      <c r="BS18" s="580">
        <f ca="1" t="shared" si="180"/>
        <v>128660354112</v>
      </c>
      <c r="BT18" s="581">
        <f ca="1" t="shared" si="180"/>
        <v>1.54269022389645e-23</v>
      </c>
      <c r="BU18" s="580">
        <f ca="1" t="shared" si="180"/>
        <v>-1.54269022389645e-23</v>
      </c>
      <c r="BV18" s="580">
        <f ca="1">MAX(INDIRECT("'"&amp;$B$2&amp;"-事故进程'!Z"&amp;(ROW()+22)),INDIRECT("'"&amp;$B$2&amp;"-事故进程'!AA"&amp;(ROW()+22)))</f>
        <v>7.08396422917574e-11</v>
      </c>
      <c r="BW18" s="580">
        <f ca="1">SUM(BV$3,-LN(1-BW$3)/BQ18)</f>
        <v>4.62592926927149e-20</v>
      </c>
      <c r="BX18" s="580">
        <f>BX$3/24/3600</f>
        <v>1157407407407410</v>
      </c>
      <c r="BY18" s="582">
        <f ca="1" t="shared" si="33"/>
        <v>0.530989700720279</v>
      </c>
      <c r="BZ18" s="582">
        <f ca="1" t="shared" si="34"/>
        <v>0.530990513207502</v>
      </c>
      <c r="CA18" s="582">
        <f t="shared" si="35"/>
        <v>0</v>
      </c>
      <c r="CB18" s="582">
        <f ca="1" t="shared" si="36"/>
        <v>21619856.9608279</v>
      </c>
      <c r="CC18" s="582">
        <f ca="1" t="shared" si="37"/>
        <v>1.0284601489268e-23</v>
      </c>
      <c r="CD18" s="582">
        <f ca="1" t="shared" si="38"/>
        <v>-6.5301420541342e-10</v>
      </c>
      <c r="CE18" s="580">
        <f ca="1" t="shared" si="39"/>
        <v>1.62054976087962e+17</v>
      </c>
      <c r="CF18" s="580">
        <f ca="1" t="shared" si="40"/>
        <v>316283814400</v>
      </c>
      <c r="CG18" s="586">
        <f ca="1" t="shared" si="41"/>
        <v>1.264124063087e-23</v>
      </c>
      <c r="CH18" s="594">
        <f ca="1" t="shared" si="42"/>
        <v>-32</v>
      </c>
      <c r="CI18" s="580">
        <f ca="1" t="shared" si="43"/>
        <v>346000218022.035</v>
      </c>
      <c r="CJ18" s="580">
        <f ca="1" t="shared" si="44"/>
        <v>0.000249995876463837</v>
      </c>
      <c r="CK18" s="595">
        <f ca="1" t="shared" si="45"/>
        <v>0.00024999587646347</v>
      </c>
      <c r="CL18" s="596">
        <f>CL$3*3600</f>
        <v>57600</v>
      </c>
      <c r="CM18" s="580">
        <f ca="1" t="shared" ref="CM18:CP18" si="181">CE18</f>
        <v>1.62054976087962e+17</v>
      </c>
      <c r="CN18" s="580">
        <f ca="1" t="shared" si="181"/>
        <v>316283814400</v>
      </c>
      <c r="CO18" s="581">
        <f ca="1" t="shared" si="181"/>
        <v>1.264124063087e-23</v>
      </c>
      <c r="CP18" s="580">
        <f ca="1" t="shared" si="181"/>
        <v>-32</v>
      </c>
      <c r="CQ18" s="580">
        <f ca="1">MAX(INDIRECT("'"&amp;$B$2&amp;"-事故进程'!AA"&amp;(ROW()+22)),INDIRECT("'"&amp;$B$2&amp;"-事故进程'!AB"&amp;(ROW()+22)))</f>
        <v>1.35614280355551e-10</v>
      </c>
      <c r="CR18" s="580">
        <f ca="1">SUM(CQ$3,-LN(1-CR$3)/CL18)</f>
        <v>1.73472347597681e-20</v>
      </c>
      <c r="CS18" s="580">
        <f>CS$3/24/3600</f>
        <v>1157407407407410</v>
      </c>
      <c r="CT18" s="582">
        <f ca="1" t="shared" si="47"/>
        <v>0.184882003771611</v>
      </c>
      <c r="CU18" s="582">
        <f ca="1" t="shared" si="48"/>
        <v>0.184883447961309</v>
      </c>
      <c r="CV18" s="582">
        <f t="shared" si="49"/>
        <v>0</v>
      </c>
      <c r="CW18" s="582">
        <f ca="1" t="shared" si="50"/>
        <v>21977011.852807</v>
      </c>
      <c r="CX18" s="582">
        <f ca="1" t="shared" si="51"/>
        <v>7.90077539451749e-24</v>
      </c>
      <c r="CY18" s="582">
        <f ca="1" t="shared" si="52"/>
        <v>-1.2791598876244e-10</v>
      </c>
      <c r="CZ18" s="580">
        <f ca="1" t="shared" si="53"/>
        <v>2.9961048700303e+16</v>
      </c>
      <c r="DA18" s="580">
        <f ca="1" t="shared" si="54"/>
        <v>292513769172</v>
      </c>
      <c r="DB18" s="586">
        <f ca="1" t="shared" si="55"/>
        <v>4.38419954106931e-24</v>
      </c>
      <c r="DC18" s="594">
        <f ca="1" t="shared" si="56"/>
        <v>-8</v>
      </c>
      <c r="DD18" s="580">
        <f ca="1" t="shared" si="57"/>
        <v>611263798660.545</v>
      </c>
      <c r="DE18" s="580">
        <f ca="1" t="shared" si="58"/>
        <v>0.000375897585891418</v>
      </c>
      <c r="DF18" s="595">
        <f ca="1" t="shared" si="59"/>
        <v>0.00037589758588743</v>
      </c>
      <c r="DG18" s="596">
        <f>DG$3*3600</f>
        <v>86400</v>
      </c>
      <c r="DH18" s="580">
        <f ca="1" t="shared" ref="DH18:DK18" si="182">CZ18</f>
        <v>2.9961048700303e+16</v>
      </c>
      <c r="DI18" s="580">
        <f ca="1" t="shared" si="182"/>
        <v>292513769172</v>
      </c>
      <c r="DJ18" s="581">
        <f ca="1" t="shared" si="182"/>
        <v>4.38419954106931e-24</v>
      </c>
      <c r="DK18" s="580">
        <f ca="1" t="shared" si="182"/>
        <v>-8</v>
      </c>
      <c r="DL18" s="580">
        <f ca="1">MAX(INDIRECT("'"&amp;$B$2&amp;"-事故进程'!AB"&amp;(ROW()+22)),INDIRECT("'"&amp;$B$2&amp;"-事故进程'!AC"&amp;(ROW()+22)))</f>
        <v>3.38240744373038e-10</v>
      </c>
      <c r="DM18" s="580">
        <f ca="1">SUM(DL$3,-LN(1-DM$3)/DG18)</f>
        <v>1.15648231731787e-20</v>
      </c>
      <c r="DN18" s="580">
        <f>DN$3/24/3600</f>
        <v>1157407407407410</v>
      </c>
      <c r="DO18" s="582">
        <f ca="1" t="shared" si="61"/>
        <v>0.079494001007319</v>
      </c>
      <c r="DP18" s="582">
        <f ca="1" t="shared" si="62"/>
        <v>0.0794963241739753</v>
      </c>
      <c r="DQ18" s="582">
        <f t="shared" si="63"/>
        <v>0</v>
      </c>
      <c r="DR18" s="582">
        <f ca="1" t="shared" si="64"/>
        <v>10134146.3546623</v>
      </c>
      <c r="DS18" s="582">
        <f ca="1" t="shared" si="65"/>
        <v>1.46139984707752e-24</v>
      </c>
      <c r="DT18" s="582">
        <f ca="1" t="shared" si="66"/>
        <v>-3.4191100173371e-11</v>
      </c>
      <c r="DU18" s="580">
        <f ca="1" t="shared" si="67"/>
        <v>2381723635562220</v>
      </c>
      <c r="DV18" s="580">
        <f ca="1" t="shared" si="68"/>
        <v>92858278749.5</v>
      </c>
      <c r="DW18" s="586">
        <f ca="1" t="shared" si="69"/>
        <v>9.27840591852226e-25</v>
      </c>
      <c r="DX18" s="594">
        <f ca="1" t="shared" si="70"/>
        <v>-1</v>
      </c>
      <c r="DY18" s="580">
        <f ca="1" t="shared" si="71"/>
        <v>318307558834.815</v>
      </c>
      <c r="DZ18" s="580">
        <f ca="1" t="shared" si="72"/>
        <v>0.000204399667482986</v>
      </c>
      <c r="EA18" s="595">
        <f ca="1" t="shared" si="73"/>
        <v>0.000204399667483672</v>
      </c>
      <c r="EB18" s="596">
        <f>EB$3*3600</f>
        <v>172800</v>
      </c>
      <c r="EC18" s="580">
        <f ca="1" t="shared" ref="EC18:EF18" si="183">DU18</f>
        <v>2381723635562220</v>
      </c>
      <c r="ED18" s="580">
        <f ca="1" t="shared" si="183"/>
        <v>92858278749.5</v>
      </c>
      <c r="EE18" s="581">
        <f ca="1" t="shared" si="183"/>
        <v>9.27840591852226e-25</v>
      </c>
      <c r="EF18" s="580">
        <f ca="1" t="shared" si="183"/>
        <v>-1</v>
      </c>
      <c r="EG18" s="580">
        <f ca="1">MAX(INDIRECT("'"&amp;$B$2&amp;"-事故进程'!AC"&amp;(ROW()+22)),INDIRECT("'"&amp;$B$2&amp;"-事故进程'!AD"&amp;(ROW()+22)),INDIRECT("'"&amp;$B$2&amp;"-事故进程'!AE"&amp;(ROW()+22)))</f>
        <v>3.38240744373038e-10</v>
      </c>
      <c r="EH18" s="580">
        <f ca="1">SUM(EG$3,-LN(1-EH$3)/EB18)</f>
        <v>5.78241158658936e-21</v>
      </c>
      <c r="EI18" s="580">
        <f>EI$3/24/3600</f>
        <v>1157407407407410</v>
      </c>
      <c r="EJ18" s="582">
        <f ca="1" t="shared" si="75"/>
        <v>0.00631929619615163</v>
      </c>
      <c r="EK18" s="582">
        <f ca="1" t="shared" si="76"/>
        <v>0.00631966555717377</v>
      </c>
      <c r="EL18" s="582">
        <f t="shared" si="77"/>
        <v>0</v>
      </c>
      <c r="EM18" s="582">
        <f ca="1" t="shared" si="78"/>
        <v>805627.383836748</v>
      </c>
      <c r="EN18" s="582">
        <f ca="1" t="shared" si="79"/>
        <v>4.63920295925824e-25</v>
      </c>
      <c r="EO18" s="582">
        <f ca="1" t="shared" si="80"/>
        <v>-1.70955500863933e-11</v>
      </c>
      <c r="EP18" s="580">
        <f ca="1" t="shared" si="81"/>
        <v>15050817110492.8</v>
      </c>
      <c r="EQ18" s="580">
        <f ca="1" t="shared" si="82"/>
        <v>1466549142.40039</v>
      </c>
      <c r="ER18" s="586">
        <f ca="1" t="shared" si="83"/>
        <v>7.32688481087151e-27</v>
      </c>
      <c r="ES18" s="594">
        <f ca="1" t="shared" si="84"/>
        <v>-0.005859375</v>
      </c>
      <c r="ET18" s="580">
        <f ca="1" t="shared" si="85"/>
        <v>27315021148.4032</v>
      </c>
      <c r="EU18" s="580">
        <f ca="1" t="shared" si="86"/>
        <v>2.34221537784566e-5</v>
      </c>
      <c r="EV18" s="595">
        <f ca="1" t="shared" si="87"/>
        <v>2.34221537785028e-5</v>
      </c>
      <c r="EW18" s="596">
        <f>EW$3*3600</f>
        <v>2246400</v>
      </c>
      <c r="EX18" s="580">
        <f ca="1" t="shared" ref="EX18:FA18" si="184">EP18</f>
        <v>15050817110492.8</v>
      </c>
      <c r="EY18" s="580">
        <f ca="1" t="shared" si="184"/>
        <v>1466549142.40039</v>
      </c>
      <c r="EZ18" s="581">
        <f ca="1" t="shared" si="184"/>
        <v>7.32688481087151e-27</v>
      </c>
      <c r="FA18" s="580">
        <f ca="1" t="shared" si="184"/>
        <v>-0.005859375</v>
      </c>
      <c r="FB18" s="580">
        <f ca="1">INDIRECT("'"&amp;$B$2&amp;"-事故进程'!AE"&amp;(ROW()+22))</f>
        <v>1.43835017478882e-10</v>
      </c>
      <c r="FC18" s="580">
        <f ca="1">SUM(FB$3,-LN(1-FC$3)/EW18)</f>
        <v>4.44800891276105e-22</v>
      </c>
      <c r="FD18" s="580">
        <f>FD$3/24/3600</f>
        <v>1157407407407410</v>
      </c>
      <c r="FE18" s="582">
        <f ca="1" t="shared" si="89"/>
        <v>2.56379276457781e-29</v>
      </c>
      <c r="FF18" s="582">
        <f ca="1" t="shared" si="90"/>
        <v>2.56462128802415e-29</v>
      </c>
      <c r="FG18" s="582">
        <f t="shared" si="91"/>
        <v>0</v>
      </c>
      <c r="FH18" s="582">
        <f ca="1" t="shared" si="92"/>
        <v>2165.04548328071</v>
      </c>
      <c r="FI18" s="582">
        <f ca="1" t="shared" si="93"/>
        <v>6.76327828695864e-27</v>
      </c>
      <c r="FJ18" s="582">
        <f ca="1" t="shared" si="94"/>
        <v>-3.09243812163326e-12</v>
      </c>
      <c r="FK18" s="580">
        <f ca="1" t="shared" si="95"/>
        <v>3.85871760088652e-16</v>
      </c>
      <c r="FL18" s="580">
        <f ca="1" t="shared" si="96"/>
        <v>1.62310980131981e-19</v>
      </c>
      <c r="FM18" s="586">
        <f ca="1" t="shared" si="97"/>
        <v>6.23774032934366e-56</v>
      </c>
      <c r="FN18" s="594">
        <f ca="1" t="shared" si="98"/>
        <v>-4.43734259186819e-31</v>
      </c>
      <c r="FO18" s="580">
        <f ca="1" t="shared" si="99"/>
        <v>73869470.6179046</v>
      </c>
      <c r="FP18" s="580">
        <f ca="1" t="shared" si="100"/>
        <v>2.33801242963489e-8</v>
      </c>
      <c r="FQ18" s="595">
        <f ca="1" t="shared" si="101"/>
        <v>2.33801242963343e-8</v>
      </c>
      <c r="FR18" s="608" t="str">
        <f t="shared" si="102"/>
        <v>I-135</v>
      </c>
      <c r="FS18" s="609">
        <v>4810000000</v>
      </c>
      <c r="FT18" s="610">
        <v>54300000000</v>
      </c>
      <c r="FU18" s="610">
        <v>51900000000</v>
      </c>
      <c r="FV18" s="610">
        <v>9340000000</v>
      </c>
      <c r="FW18" s="610">
        <v>120000000000</v>
      </c>
      <c r="FX18" s="614">
        <f ca="1" t="shared" si="103"/>
        <v>4.98962994208937</v>
      </c>
      <c r="FY18" s="614">
        <f ca="1" t="shared" si="104"/>
        <v>6.82352934531102e-15</v>
      </c>
      <c r="FZ18" s="614">
        <f ca="1" t="shared" si="105"/>
        <v>7.24272805178093e-15</v>
      </c>
      <c r="GA18" s="614">
        <f ca="1" t="shared" si="106"/>
        <v>2.43920579509823e-14</v>
      </c>
      <c r="GB18" s="614">
        <f ca="1" t="shared" si="107"/>
        <v>0.200001000178757</v>
      </c>
      <c r="GC18" s="455">
        <f ca="1" t="shared" si="108"/>
        <v>0.200001000178757</v>
      </c>
      <c r="GE18" s="609">
        <v>726033730.69528</v>
      </c>
      <c r="GF18" s="610">
        <v>3786646683.3777</v>
      </c>
      <c r="GG18" s="610">
        <v>5549819971.55389</v>
      </c>
      <c r="GH18" s="610">
        <v>1456467767.8455</v>
      </c>
      <c r="GI18" s="610">
        <v>242171333.196658</v>
      </c>
      <c r="GJ18" s="610">
        <v>891925.13624755</v>
      </c>
      <c r="GK18" s="617">
        <v>11762031411.8053</v>
      </c>
      <c r="GL18" s="614">
        <f ca="1" t="shared" si="109"/>
        <v>33.0564807208976</v>
      </c>
      <c r="GM18" s="614">
        <f ca="1" t="shared" si="110"/>
        <v>9.78484855946173e-14</v>
      </c>
      <c r="GN18" s="614">
        <f ca="1" t="shared" si="111"/>
        <v>6.77314917986759e-14</v>
      </c>
      <c r="GO18" s="614">
        <f ca="1" t="shared" si="112"/>
        <v>1.34120203121664e-13</v>
      </c>
      <c r="GP18" s="614">
        <f ca="1" t="shared" si="113"/>
        <v>2.62131016900113e-14</v>
      </c>
      <c r="GQ18" s="614">
        <f ca="1" t="shared" si="114"/>
        <v>2.04047406278498</v>
      </c>
      <c r="GR18" s="451">
        <f t="shared" si="115"/>
        <v>2.93060705462517e-5</v>
      </c>
      <c r="GS18" s="390">
        <f t="shared" si="116"/>
        <v>23652</v>
      </c>
    </row>
    <row r="19" s="389" customFormat="1" spans="1:201">
      <c r="A19" s="430"/>
      <c r="B19" s="407" t="s">
        <v>272</v>
      </c>
      <c r="C19" s="431">
        <v>1e+20</v>
      </c>
      <c r="D19" s="410" t="s">
        <v>273</v>
      </c>
      <c r="E19" s="409" t="s">
        <v>274</v>
      </c>
      <c r="G19" s="411" t="s">
        <v>60</v>
      </c>
      <c r="H19" s="412">
        <f ca="1" t="shared" si="1"/>
        <v>1016240522.41877</v>
      </c>
      <c r="I19" s="412">
        <f ca="1" t="shared" si="2"/>
        <v>4.67328304678089e-6</v>
      </c>
      <c r="J19" s="412">
        <f ca="1" t="shared" si="3"/>
        <v>5.1548678478775e-6</v>
      </c>
      <c r="K19" s="412">
        <f ca="1" t="shared" si="4"/>
        <v>7.7899539089672e-6</v>
      </c>
      <c r="L19" s="412">
        <f ca="1" t="shared" si="5"/>
        <v>3.16603776313359e-5</v>
      </c>
      <c r="M19" s="412">
        <f ca="1" t="shared" si="6"/>
        <v>2.51639674314592e-5</v>
      </c>
      <c r="N19" s="412">
        <f ca="1" t="shared" si="7"/>
        <v>1016240522.41885</v>
      </c>
      <c r="O19" s="450">
        <f ca="1" t="shared" si="8"/>
        <v>1016240522.41877</v>
      </c>
      <c r="P19" s="451"/>
      <c r="Q19" s="477" t="str">
        <f t="shared" si="0"/>
        <v>Sr-89</v>
      </c>
      <c r="R19" s="412">
        <f ca="1" t="shared" si="9"/>
        <v>1016240522.41877</v>
      </c>
      <c r="S19" s="412">
        <f ca="1">I19*(1-过滤效率!$B16)</f>
        <v>4.67328304678089e-9</v>
      </c>
      <c r="T19" s="412">
        <f ca="1">J19*(1-过滤效率!$B16)</f>
        <v>5.1548678478775e-9</v>
      </c>
      <c r="U19" s="412">
        <f ca="1">K19*(1-过滤效率!$B16)</f>
        <v>7.78995390896721e-9</v>
      </c>
      <c r="V19" s="412">
        <f ca="1">L19*(1-过滤效率!$B16)</f>
        <v>3.16603776313359e-8</v>
      </c>
      <c r="W19" s="412">
        <f ca="1">M19*(1-过滤效率!$B16)</f>
        <v>2.51639674314593e-8</v>
      </c>
      <c r="X19" s="412">
        <f ca="1" t="shared" si="10"/>
        <v>1016240522.41877</v>
      </c>
      <c r="Y19" s="493"/>
      <c r="Z19" s="494">
        <f>VLOOKUP(G19,衰变常数!$A$1:$H$3800,7,FALSE)</f>
        <v>1.58767797586313e-7</v>
      </c>
      <c r="AA19" s="495">
        <f>正常源项!C16</f>
        <v>2.39e+17</v>
      </c>
      <c r="AB19" s="496">
        <f>正常源项!F16</f>
        <v>0</v>
      </c>
      <c r="AC19" s="496">
        <f>正常源项!I16</f>
        <v>2860</v>
      </c>
      <c r="AD19" s="497"/>
      <c r="AE19" s="496">
        <f>正常源项!O16</f>
        <v>5990000000</v>
      </c>
      <c r="AF19" s="498">
        <f t="shared" si="157"/>
        <v>0</v>
      </c>
      <c r="AG19" s="519">
        <f t="shared" ref="AG19:AG23" si="185">AE19*MIN(100%,$C$7/500)</f>
        <v>0</v>
      </c>
      <c r="AH19" s="523">
        <v>0.95</v>
      </c>
      <c r="AI19" s="519">
        <f t="shared" si="159"/>
        <v>5690500000</v>
      </c>
      <c r="AJ19" s="521">
        <v>0.00041</v>
      </c>
      <c r="AK19" s="521">
        <v>2.47e-9</v>
      </c>
      <c r="AL19" s="524">
        <f t="shared" ref="AL19:AL21" si="186">AA19*(AJ19-AK19)*0.00000209</f>
        <v>204797866.2103</v>
      </c>
      <c r="AM19" s="520"/>
      <c r="AN19" s="519">
        <f ca="1">MAX(INDIRECT("'"&amp;$B$2&amp;"-事故进程'!Y"&amp;(ROW()+22)),INDIRECT("'"&amp;$B$2&amp;"-事故进程'!Z"&amp;(ROW()+22)),INDIRECT("'"&amp;$B$2&amp;"-事故进程'!AA"&amp;(ROW()+22)))</f>
        <v>1.89586185e-13</v>
      </c>
      <c r="AO19" s="519">
        <f ca="1" t="shared" si="13"/>
        <v>453100.22400713</v>
      </c>
      <c r="AP19" s="560">
        <f t="shared" si="14"/>
        <v>2.38999620545265e+17</v>
      </c>
      <c r="AQ19" s="561">
        <f ca="1">(AC19*$C$5+AD19*$C$8+AF19+AG19+AI19+(AL19+AM19)*$C$10)*EXP(-Z19*$C$12*3600)+AO19*$C$11</f>
        <v>5690946925.54512</v>
      </c>
      <c r="AR19" s="562">
        <f ca="1">AQ19*(1-AR$3)</f>
        <v>4674706403.12635</v>
      </c>
      <c r="AS19" s="563">
        <f ca="1" t="shared" si="15"/>
        <v>1016240522.41877</v>
      </c>
      <c r="AT19" s="562">
        <f ca="1">AS19*(1-AT$3)</f>
        <v>0</v>
      </c>
      <c r="AU19" s="564">
        <f ca="1" t="shared" si="16"/>
        <v>1016240522.41877</v>
      </c>
      <c r="AV19" s="565">
        <f>AV$3*3600</f>
        <v>7200</v>
      </c>
      <c r="AW19" s="580">
        <f>AP19*EXP(-Z19*AW$3*3600)</f>
        <v>2.38999620545265e+17</v>
      </c>
      <c r="AX19" s="580">
        <f ca="1" t="shared" si="17"/>
        <v>4674706403.12635</v>
      </c>
      <c r="AY19" s="581">
        <f ca="1" t="shared" si="18"/>
        <v>0</v>
      </c>
      <c r="AZ19" s="580">
        <v>0</v>
      </c>
      <c r="BA19" s="580">
        <f ca="1">MAX(INDIRECT("'"&amp;$B$2&amp;"-事故进程'!Y"&amp;(ROW()+22)),INDIRECT("'"&amp;$B$2&amp;"-事故进程'!Z"&amp;(ROW()+22)))</f>
        <v>5.79065103325e-15</v>
      </c>
      <c r="BB19" s="580">
        <f>SUM(BA$3,-LN(1-BB$3)/AV19)</f>
        <v>1.38777878078145e-19</v>
      </c>
      <c r="BC19" s="580">
        <f>BC$3/24/3600</f>
        <v>1157407407407410</v>
      </c>
      <c r="BD19" s="582">
        <f ca="1" t="shared" si="19"/>
        <v>0.998857524937818</v>
      </c>
      <c r="BE19" s="582">
        <f t="shared" si="20"/>
        <v>0.998857524979462</v>
      </c>
      <c r="BF19" s="582">
        <f t="shared" si="21"/>
        <v>0</v>
      </c>
      <c r="BG19" s="582">
        <f ca="1" t="shared" si="22"/>
        <v>1383.96342672574</v>
      </c>
      <c r="BH19" s="582">
        <f ca="1" t="shared" si="23"/>
        <v>-5.6051640166826e-25</v>
      </c>
      <c r="BI19" s="582">
        <f ca="1" t="shared" si="24"/>
        <v>-2.39664250687664e-5</v>
      </c>
      <c r="BJ19" s="580">
        <f ca="1" t="shared" si="25"/>
        <v>2.38726569438921e+17</v>
      </c>
      <c r="BK19" s="580">
        <f ca="1" t="shared" si="26"/>
        <v>4679318784</v>
      </c>
      <c r="BL19" s="586">
        <f ca="1" t="shared" si="27"/>
        <v>5.61069449050385e-25</v>
      </c>
      <c r="BM19" s="594">
        <f ca="1" t="shared" si="28"/>
        <v>32</v>
      </c>
      <c r="BN19" s="580">
        <f ca="1" t="shared" si="29"/>
        <v>9958843.27584268</v>
      </c>
      <c r="BO19" s="580">
        <f ca="1" t="shared" si="30"/>
        <v>4.67328303675475e-6</v>
      </c>
      <c r="BP19" s="595">
        <f ca="1" t="shared" si="31"/>
        <v>4.67328304678089e-6</v>
      </c>
      <c r="BQ19" s="596">
        <f>BQ$3*3600</f>
        <v>21600</v>
      </c>
      <c r="BR19" s="580">
        <f ca="1" t="shared" ref="BR19:BU19" si="187">BJ19</f>
        <v>2.38726569438921e+17</v>
      </c>
      <c r="BS19" s="580">
        <f ca="1" t="shared" si="187"/>
        <v>4679318784</v>
      </c>
      <c r="BT19" s="581">
        <f ca="1" t="shared" si="187"/>
        <v>5.61069449050385e-25</v>
      </c>
      <c r="BU19" s="580">
        <f ca="1" t="shared" si="187"/>
        <v>32</v>
      </c>
      <c r="BV19" s="580">
        <f ca="1">MAX(INDIRECT("'"&amp;$B$2&amp;"-事故进程'!Z"&amp;(ROW()+22)),INDIRECT("'"&amp;$B$2&amp;"-事故进程'!AA"&amp;(ROW()+22)))</f>
        <v>1.89586185e-13</v>
      </c>
      <c r="BW19" s="580">
        <f ca="1">SUM(BV$3,-LN(1-BW$3)/BQ19)</f>
        <v>4.62592926927149e-20</v>
      </c>
      <c r="BX19" s="580">
        <f>BX$3/24/3600</f>
        <v>1157407407407410</v>
      </c>
      <c r="BY19" s="582">
        <f ca="1" t="shared" si="33"/>
        <v>0.996576485113649</v>
      </c>
      <c r="BZ19" s="582">
        <f ca="1" t="shared" si="34"/>
        <v>0.99657648919469</v>
      </c>
      <c r="CA19" s="582">
        <f t="shared" si="35"/>
        <v>0</v>
      </c>
      <c r="CB19" s="582">
        <f ca="1" t="shared" si="36"/>
        <v>45259.2604451966</v>
      </c>
      <c r="CC19" s="582">
        <f ca="1" t="shared" si="37"/>
        <v>3.74046300722305e-25</v>
      </c>
      <c r="CD19" s="582">
        <f ca="1" t="shared" si="38"/>
        <v>-2.44001449683949e-7</v>
      </c>
      <c r="CE19" s="580">
        <f ca="1" t="shared" si="39"/>
        <v>2.37909285474679e+17</v>
      </c>
      <c r="CF19" s="580">
        <f ca="1" t="shared" si="40"/>
        <v>5637552256</v>
      </c>
      <c r="CG19" s="586">
        <f ca="1" t="shared" si="41"/>
        <v>2.25321851771641e-25</v>
      </c>
      <c r="CH19" s="594">
        <f ca="1" t="shared" si="42"/>
        <v>32</v>
      </c>
      <c r="CI19" s="580">
        <f ca="1" t="shared" si="43"/>
        <v>975925635.902336</v>
      </c>
      <c r="CJ19" s="580">
        <f ca="1" t="shared" si="44"/>
        <v>5.15486783294056e-6</v>
      </c>
      <c r="CK19" s="595">
        <f ca="1" t="shared" si="45"/>
        <v>5.1548678478775e-6</v>
      </c>
      <c r="CL19" s="596">
        <f>CL$3*3600</f>
        <v>57600</v>
      </c>
      <c r="CM19" s="580">
        <f ca="1" t="shared" ref="CM19:CP19" si="188">CE19</f>
        <v>2.37909285474679e+17</v>
      </c>
      <c r="CN19" s="580">
        <f ca="1" t="shared" si="188"/>
        <v>5637552256</v>
      </c>
      <c r="CO19" s="581">
        <f ca="1" t="shared" si="188"/>
        <v>2.25321851771641e-25</v>
      </c>
      <c r="CP19" s="580">
        <f ca="1" t="shared" si="188"/>
        <v>32</v>
      </c>
      <c r="CQ19" s="580">
        <f ca="1">MAX(INDIRECT("'"&amp;$B$2&amp;"-事故进程'!AA"&amp;(ROW()+22)),INDIRECT("'"&amp;$B$2&amp;"-事故进程'!AB"&amp;(ROW()+22)))</f>
        <v>3.207465e-13</v>
      </c>
      <c r="CR19" s="580">
        <f ca="1">SUM(CQ$3,-LN(1-CR$3)/CL19)</f>
        <v>1.73472347597681e-20</v>
      </c>
      <c r="CS19" s="580">
        <f>CS$3/24/3600</f>
        <v>1157407407407410</v>
      </c>
      <c r="CT19" s="582">
        <f ca="1" t="shared" si="47"/>
        <v>0.990896645116851</v>
      </c>
      <c r="CU19" s="582">
        <f ca="1" t="shared" si="48"/>
        <v>0.990896663423664</v>
      </c>
      <c r="CV19" s="582">
        <f t="shared" si="49"/>
        <v>0</v>
      </c>
      <c r="CW19" s="582">
        <f ca="1" t="shared" si="50"/>
        <v>76308.5724417293</v>
      </c>
      <c r="CX19" s="582">
        <f ca="1" t="shared" si="51"/>
        <v>1.40826157490269e-25</v>
      </c>
      <c r="CY19" s="582">
        <f ca="1" t="shared" si="52"/>
        <v>-5.40839438558954e-8</v>
      </c>
      <c r="CZ19" s="580">
        <f ca="1" t="shared" si="53"/>
        <v>2.35743512819007e+17</v>
      </c>
      <c r="DA19" s="580">
        <f ca="1" t="shared" si="54"/>
        <v>9941592768</v>
      </c>
      <c r="DB19" s="586">
        <f ca="1" t="shared" si="55"/>
        <v>1.49004700639754e-25</v>
      </c>
      <c r="DC19" s="594">
        <f ca="1" t="shared" si="56"/>
        <v>32</v>
      </c>
      <c r="DD19" s="580">
        <f ca="1" t="shared" si="57"/>
        <v>4375336852.24186</v>
      </c>
      <c r="DE19" s="580">
        <f ca="1" t="shared" si="58"/>
        <v>7.78995392107094e-6</v>
      </c>
      <c r="DF19" s="595">
        <f ca="1" t="shared" si="59"/>
        <v>7.7899539089672e-6</v>
      </c>
      <c r="DG19" s="596">
        <f>DG$3*3600</f>
        <v>86400</v>
      </c>
      <c r="DH19" s="580">
        <f ca="1" t="shared" ref="DH19:DK19" si="189">CZ19</f>
        <v>2.35743512819007e+17</v>
      </c>
      <c r="DI19" s="580">
        <f ca="1" t="shared" si="189"/>
        <v>9941592768</v>
      </c>
      <c r="DJ19" s="581">
        <f ca="1" t="shared" si="189"/>
        <v>1.49004700639754e-25</v>
      </c>
      <c r="DK19" s="580">
        <f ca="1" t="shared" si="189"/>
        <v>32</v>
      </c>
      <c r="DL19" s="580">
        <f ca="1">MAX(INDIRECT("'"&amp;$B$2&amp;"-事故进程'!AB"&amp;(ROW()+22)),INDIRECT("'"&amp;$B$2&amp;"-事故进程'!AC"&amp;(ROW()+22)))</f>
        <v>3.207465e-13</v>
      </c>
      <c r="DM19" s="580">
        <f ca="1">SUM(DL$3,-LN(1-DM$3)/DG19)</f>
        <v>1.15648231731787e-20</v>
      </c>
      <c r="DN19" s="580">
        <f>DN$3/24/3600</f>
        <v>1157407407407410</v>
      </c>
      <c r="DO19" s="582">
        <f ca="1" t="shared" si="61"/>
        <v>0.986376091638568</v>
      </c>
      <c r="DP19" s="582">
        <f ca="1" t="shared" si="62"/>
        <v>0.986376118973513</v>
      </c>
      <c r="DQ19" s="582">
        <f t="shared" si="63"/>
        <v>0</v>
      </c>
      <c r="DR19" s="582">
        <f ca="1" t="shared" si="64"/>
        <v>75613.9098231326</v>
      </c>
      <c r="DS19" s="582">
        <f ca="1" t="shared" si="65"/>
        <v>4.96682339074293e-26</v>
      </c>
      <c r="DT19" s="582">
        <f ca="1" t="shared" si="66"/>
        <v>-3.60559619205807e-8</v>
      </c>
      <c r="DU19" s="580">
        <f ca="1" t="shared" si="67"/>
        <v>2.32531764803559e+17</v>
      </c>
      <c r="DV19" s="580">
        <f ca="1" t="shared" si="68"/>
        <v>16250185792</v>
      </c>
      <c r="DW19" s="586">
        <f ca="1" t="shared" si="69"/>
        <v>1.62371973602923e-25</v>
      </c>
      <c r="DX19" s="594">
        <f ca="1" t="shared" si="70"/>
        <v>-32</v>
      </c>
      <c r="DY19" s="580">
        <f ca="1" t="shared" si="71"/>
        <v>6488437008.98136</v>
      </c>
      <c r="DZ19" s="580">
        <f ca="1" t="shared" si="72"/>
        <v>1.31000377564641e-5</v>
      </c>
      <c r="EA19" s="595">
        <f ca="1" t="shared" si="73"/>
        <v>1.31000377618562e-5</v>
      </c>
      <c r="EB19" s="596">
        <f>EB$3*3600</f>
        <v>172800</v>
      </c>
      <c r="EC19" s="580">
        <f ca="1" t="shared" ref="EC19:EF19" si="190">DU19</f>
        <v>2.32531764803559e+17</v>
      </c>
      <c r="ED19" s="580">
        <f ca="1" t="shared" si="190"/>
        <v>16250185792</v>
      </c>
      <c r="EE19" s="581">
        <f ca="1" t="shared" si="190"/>
        <v>1.62371973602923e-25</v>
      </c>
      <c r="EF19" s="580">
        <f ca="1" t="shared" si="190"/>
        <v>-32</v>
      </c>
      <c r="EG19" s="580">
        <f ca="1">MAX(INDIRECT("'"&amp;$B$2&amp;"-事故进程'!AC"&amp;(ROW()+22)),INDIRECT("'"&amp;$B$2&amp;"-事故进程'!AD"&amp;(ROW()+22)),INDIRECT("'"&amp;$B$2&amp;"-事故进程'!AE"&amp;(ROW()+22)))</f>
        <v>1.29055825e-13</v>
      </c>
      <c r="EH19" s="580">
        <f ca="1">SUM(EG$3,-LN(1-EH$3)/EB19)</f>
        <v>5.78241158658936e-21</v>
      </c>
      <c r="EI19" s="580">
        <f>EI$3/24/3600</f>
        <v>1157407407407410</v>
      </c>
      <c r="EJ19" s="582">
        <f ca="1" t="shared" si="75"/>
        <v>0.972937826383914</v>
      </c>
      <c r="EK19" s="582">
        <f ca="1" t="shared" si="76"/>
        <v>0.97293784808125</v>
      </c>
      <c r="EL19" s="582">
        <f t="shared" si="77"/>
        <v>0</v>
      </c>
      <c r="EM19" s="582">
        <f ca="1" t="shared" si="78"/>
        <v>30009.5808426103</v>
      </c>
      <c r="EN19" s="582">
        <f ca="1" t="shared" si="79"/>
        <v>8.11859867097051e-26</v>
      </c>
      <c r="EO19" s="582">
        <f ca="1" t="shared" si="80"/>
        <v>-4.48055083579005e-8</v>
      </c>
      <c r="EP19" s="580">
        <f ca="1" t="shared" si="81"/>
        <v>2.2623894981319e+17</v>
      </c>
      <c r="EQ19" s="580">
        <f ca="1" t="shared" si="82"/>
        <v>20855740992</v>
      </c>
      <c r="ER19" s="586">
        <f ca="1" t="shared" si="83"/>
        <v>1.04195357162261e-25</v>
      </c>
      <c r="ES19" s="594">
        <f ca="1" t="shared" si="84"/>
        <v>-96</v>
      </c>
      <c r="ET19" s="580">
        <f ca="1" t="shared" si="85"/>
        <v>5115166818.20092</v>
      </c>
      <c r="EU19" s="580">
        <f ca="1" t="shared" si="86"/>
        <v>1.85603398701703e-5</v>
      </c>
      <c r="EV19" s="595">
        <f ca="1" t="shared" si="87"/>
        <v>1.85603398694797e-5</v>
      </c>
      <c r="EW19" s="596">
        <f>EW$3*3600</f>
        <v>2246400</v>
      </c>
      <c r="EX19" s="580">
        <f ca="1" t="shared" ref="EX19:FA19" si="191">EP19</f>
        <v>2.2623894981319e+17</v>
      </c>
      <c r="EY19" s="580">
        <f ca="1" t="shared" si="191"/>
        <v>20855740992</v>
      </c>
      <c r="EZ19" s="581">
        <f ca="1" t="shared" si="191"/>
        <v>1.04195357162261e-25</v>
      </c>
      <c r="FA19" s="580">
        <f ca="1" t="shared" si="191"/>
        <v>-96</v>
      </c>
      <c r="FB19" s="580">
        <f ca="1">INDIRECT("'"&amp;$B$2&amp;"-事故进程'!AE"&amp;(ROW()+22))</f>
        <v>3.80097e-14</v>
      </c>
      <c r="FC19" s="580">
        <f ca="1">SUM(FB$3,-LN(1-FC$3)/EW19)</f>
        <v>4.44800891276105e-22</v>
      </c>
      <c r="FD19" s="580">
        <f>FD$3/24/3600</f>
        <v>1157407407407410</v>
      </c>
      <c r="FE19" s="582">
        <f ca="1" t="shared" si="89"/>
        <v>0.700013214763828</v>
      </c>
      <c r="FF19" s="582">
        <f ca="1" t="shared" si="90"/>
        <v>0.700013274534452</v>
      </c>
      <c r="FG19" s="582">
        <f t="shared" si="91"/>
        <v>0</v>
      </c>
      <c r="FH19" s="582">
        <f ca="1" t="shared" si="92"/>
        <v>8599.27540343485</v>
      </c>
      <c r="FI19" s="582">
        <f ca="1" t="shared" si="93"/>
        <v>9.61803296774747e-26</v>
      </c>
      <c r="FJ19" s="582">
        <f ca="1" t="shared" si="94"/>
        <v>-1.17022995835615e-8</v>
      </c>
      <c r="FK19" s="580">
        <f ca="1" t="shared" si="95"/>
        <v>1.58370254563523e+17</v>
      </c>
      <c r="FL19" s="580">
        <f ca="1" t="shared" si="96"/>
        <v>28121738720</v>
      </c>
      <c r="FM19" s="586">
        <f ca="1" t="shared" si="97"/>
        <v>1.08074083288291e-26</v>
      </c>
      <c r="FN19" s="594">
        <f ca="1" t="shared" si="98"/>
        <v>-32</v>
      </c>
      <c r="FO19" s="580">
        <f ca="1" t="shared" si="99"/>
        <v>16248056390.9383</v>
      </c>
      <c r="FP19" s="580">
        <f ca="1" t="shared" si="100"/>
        <v>2.516396743975e-5</v>
      </c>
      <c r="FQ19" s="595">
        <f ca="1" t="shared" si="101"/>
        <v>2.51639674314592e-5</v>
      </c>
      <c r="FR19" s="608" t="str">
        <f t="shared" si="102"/>
        <v>Sr-89</v>
      </c>
      <c r="FS19" s="609">
        <v>42100000</v>
      </c>
      <c r="FT19" s="610">
        <v>13500000</v>
      </c>
      <c r="FU19" s="610">
        <v>52700000</v>
      </c>
      <c r="FV19" s="610">
        <v>187000000</v>
      </c>
      <c r="FW19" s="610">
        <v>296000000</v>
      </c>
      <c r="FX19" s="614">
        <f ca="1" t="shared" si="103"/>
        <v>24.1387297486644</v>
      </c>
      <c r="FY19" s="614">
        <f ca="1" t="shared" si="104"/>
        <v>7.28011177382102e-13</v>
      </c>
      <c r="FZ19" s="614">
        <f ca="1" t="shared" si="105"/>
        <v>1.47816962219491e-13</v>
      </c>
      <c r="GA19" s="614">
        <f ca="1" t="shared" si="106"/>
        <v>1.69306832253133e-13</v>
      </c>
      <c r="GB19" s="614">
        <f ca="1" t="shared" si="107"/>
        <v>3.43324500817169</v>
      </c>
      <c r="GC19" s="455">
        <f ca="1" t="shared" si="108"/>
        <v>3.43324500817177</v>
      </c>
      <c r="GE19" s="609">
        <v>23804.6792898742</v>
      </c>
      <c r="GF19" s="610">
        <v>2700770.14423047</v>
      </c>
      <c r="GG19" s="610">
        <v>11085689.0457027</v>
      </c>
      <c r="GH19" s="610">
        <v>18773292.2186715</v>
      </c>
      <c r="GI19" s="610">
        <v>44774894.8661162</v>
      </c>
      <c r="GJ19" s="610">
        <v>261481194.733534</v>
      </c>
      <c r="GK19" s="617">
        <v>338839645.687544</v>
      </c>
      <c r="GL19" s="614">
        <f ca="1" t="shared" si="109"/>
        <v>42690.7882288105</v>
      </c>
      <c r="GM19" s="614">
        <f ca="1" t="shared" si="110"/>
        <v>3.63901789852565e-12</v>
      </c>
      <c r="GN19" s="614">
        <f ca="1" t="shared" si="111"/>
        <v>7.02703627790005e-13</v>
      </c>
      <c r="GO19" s="614">
        <f ca="1" t="shared" si="112"/>
        <v>4.98210556173598e-13</v>
      </c>
      <c r="GP19" s="614">
        <f ca="1" t="shared" si="113"/>
        <v>9.62362416046895e-14</v>
      </c>
      <c r="GQ19" s="614">
        <f ca="1" t="shared" si="114"/>
        <v>2.99917832919692</v>
      </c>
      <c r="GR19" s="451">
        <f t="shared" si="115"/>
        <v>1.58767797586313e-7</v>
      </c>
      <c r="GS19" s="390">
        <f t="shared" si="116"/>
        <v>4365792</v>
      </c>
    </row>
    <row r="20" s="389" customFormat="1" spans="1:201">
      <c r="A20" s="432" t="s">
        <v>275</v>
      </c>
      <c r="B20" s="407" t="s">
        <v>267</v>
      </c>
      <c r="C20" s="422">
        <f>-LN(1-0%)/8/3600</f>
        <v>0</v>
      </c>
      <c r="D20" s="410" t="s">
        <v>268</v>
      </c>
      <c r="E20" s="409" t="s">
        <v>269</v>
      </c>
      <c r="G20" s="411" t="s">
        <v>61</v>
      </c>
      <c r="H20" s="412">
        <f ca="1" t="shared" si="1"/>
        <v>303664407.165624</v>
      </c>
      <c r="I20" s="412">
        <f ca="1" t="shared" si="2"/>
        <v>1.39604478234465e-6</v>
      </c>
      <c r="J20" s="412">
        <f ca="1" t="shared" si="3"/>
        <v>1.41847593886273e-6</v>
      </c>
      <c r="K20" s="412">
        <f ca="1" t="shared" si="4"/>
        <v>1.5452525031825e-6</v>
      </c>
      <c r="L20" s="412">
        <f ca="1" t="shared" si="5"/>
        <v>3.89776202974723e-6</v>
      </c>
      <c r="M20" s="412">
        <f ca="1" t="shared" si="6"/>
        <v>2.72205449485752e-6</v>
      </c>
      <c r="N20" s="412">
        <f ca="1" t="shared" si="7"/>
        <v>303664407.165635</v>
      </c>
      <c r="O20" s="450">
        <f ca="1" t="shared" si="8"/>
        <v>303664407.165624</v>
      </c>
      <c r="P20" s="451"/>
      <c r="Q20" s="477" t="str">
        <f t="shared" si="0"/>
        <v>Sr-90</v>
      </c>
      <c r="R20" s="412">
        <f ca="1" t="shared" si="9"/>
        <v>303664407.165624</v>
      </c>
      <c r="S20" s="412">
        <f ca="1">I20*(1-过滤效率!$B17)</f>
        <v>1.39604478234465e-9</v>
      </c>
      <c r="T20" s="412">
        <f ca="1">J20*(1-过滤效率!$B17)</f>
        <v>1.41847593886273e-9</v>
      </c>
      <c r="U20" s="412">
        <f ca="1">K20*(1-过滤效率!$B17)</f>
        <v>1.5452525031825e-9</v>
      </c>
      <c r="V20" s="412">
        <f ca="1">L20*(1-过滤效率!$B17)</f>
        <v>3.89776202974723e-9</v>
      </c>
      <c r="W20" s="412">
        <f ca="1">M20*(1-过滤效率!$B17)</f>
        <v>2.72205449485752e-9</v>
      </c>
      <c r="X20" s="412">
        <f ca="1" t="shared" si="10"/>
        <v>303664407.165624</v>
      </c>
      <c r="Y20" s="493"/>
      <c r="Z20" s="494">
        <f>VLOOKUP(G20,衰变常数!$A$1:$H$3800,7,FALSE)</f>
        <v>7.62921459615568e-10</v>
      </c>
      <c r="AA20" s="495">
        <f>正常源项!C17</f>
        <v>1.12e+16</v>
      </c>
      <c r="AB20" s="496">
        <f>正常源项!F17</f>
        <v>0</v>
      </c>
      <c r="AC20" s="496">
        <f>正常源项!I17</f>
        <v>39.4</v>
      </c>
      <c r="AD20" s="497"/>
      <c r="AE20" s="496">
        <f>正常源项!O17</f>
        <v>1790000000</v>
      </c>
      <c r="AF20" s="498">
        <f t="shared" si="157"/>
        <v>0</v>
      </c>
      <c r="AG20" s="519">
        <f t="shared" si="185"/>
        <v>0</v>
      </c>
      <c r="AH20" s="523">
        <v>0.95</v>
      </c>
      <c r="AI20" s="519">
        <f t="shared" si="159"/>
        <v>1700500000</v>
      </c>
      <c r="AJ20" s="521">
        <v>0.00066</v>
      </c>
      <c r="AK20" s="521">
        <v>6.468e-8</v>
      </c>
      <c r="AL20" s="525">
        <f t="shared" si="186"/>
        <v>15447765.97056</v>
      </c>
      <c r="AM20" s="520"/>
      <c r="AN20" s="519">
        <f ca="1">MAX(INDIRECT("'"&amp;$B$2&amp;"-事故进程'!Y"&amp;(ROW()+22)),INDIRECT("'"&amp;$B$2&amp;"-事故进程'!Z"&amp;(ROW()+22)),INDIRECT("'"&amp;$B$2&amp;"-事故进程'!AA"&amp;(ROW()+22)))</f>
        <v>1.844157675e-13</v>
      </c>
      <c r="AO20" s="519">
        <f ca="1" t="shared" si="13"/>
        <v>20653.7009717067</v>
      </c>
      <c r="AP20" s="560">
        <f t="shared" si="14"/>
        <v>1.11999999145528e+16</v>
      </c>
      <c r="AQ20" s="561">
        <f ca="1">(AC20*$C$5+AD20*$C$8+AF20+AG20+AI20+(AL20+AM20)*$C$10)*EXP(-Z20*$C$12*3600)+AO20*$C$11</f>
        <v>1700520680.12749</v>
      </c>
      <c r="AR20" s="562">
        <f ca="1">AQ20*(1-AR$3)</f>
        <v>1396856272.96187</v>
      </c>
      <c r="AS20" s="563">
        <f ca="1" t="shared" si="15"/>
        <v>303664407.165624</v>
      </c>
      <c r="AT20" s="562">
        <f ca="1">AS20*(1-AT$3)</f>
        <v>0</v>
      </c>
      <c r="AU20" s="564">
        <f ca="1" t="shared" si="16"/>
        <v>303664407.165624</v>
      </c>
      <c r="AV20" s="565">
        <f>AV$3*3600</f>
        <v>7200</v>
      </c>
      <c r="AW20" s="580">
        <f>AP20*EXP(-Z20*AW$3*3600)</f>
        <v>1.11999999145528e+16</v>
      </c>
      <c r="AX20" s="580">
        <f ca="1" t="shared" si="17"/>
        <v>1396856272.96187</v>
      </c>
      <c r="AY20" s="581">
        <f ca="1" t="shared" si="18"/>
        <v>0</v>
      </c>
      <c r="AZ20" s="580">
        <v>0</v>
      </c>
      <c r="BA20" s="580">
        <f ca="1">MAX(INDIRECT("'"&amp;$B$2&amp;"-事故进程'!Y"&amp;(ROW()+22)),INDIRECT("'"&amp;$B$2&amp;"-事故进程'!Z"&amp;(ROW()+22)))</f>
        <v>5.55517599125e-15</v>
      </c>
      <c r="BB20" s="580">
        <f>SUM(BA$3,-LN(1-BB$3)/AV20)</f>
        <v>1.38777878078145e-19</v>
      </c>
      <c r="BC20" s="580">
        <f>BC$3/24/3600</f>
        <v>1157407407407410</v>
      </c>
      <c r="BD20" s="582">
        <f ca="1" t="shared" si="19"/>
        <v>0.99999450694058</v>
      </c>
      <c r="BE20" s="582">
        <f t="shared" si="20"/>
        <v>0.999994506980576</v>
      </c>
      <c r="BF20" s="582">
        <f t="shared" si="21"/>
        <v>0</v>
      </c>
      <c r="BG20" s="582">
        <f ca="1" t="shared" si="22"/>
        <v>62.2179783869143</v>
      </c>
      <c r="BH20" s="582">
        <f ca="1" t="shared" si="23"/>
        <v>-1.6748877560411e-25</v>
      </c>
      <c r="BI20" s="582">
        <f ca="1" t="shared" si="24"/>
        <v>-2.4982348947021e-5</v>
      </c>
      <c r="BJ20" s="580">
        <f ca="1" t="shared" si="25"/>
        <v>1.11999383922878e+16</v>
      </c>
      <c r="BK20" s="580">
        <f ca="1" t="shared" si="26"/>
        <v>1397296566</v>
      </c>
      <c r="BL20" s="586">
        <f ca="1" t="shared" si="27"/>
        <v>1.6754156866639e-25</v>
      </c>
      <c r="BM20" s="594">
        <f ca="1" t="shared" si="28"/>
        <v>-1.6754156866639e-25</v>
      </c>
      <c r="BN20" s="580">
        <f ca="1" t="shared" si="29"/>
        <v>447968.158150701</v>
      </c>
      <c r="BO20" s="580">
        <f ca="1" t="shared" si="30"/>
        <v>1.3960447826309e-6</v>
      </c>
      <c r="BP20" s="595">
        <f ca="1" t="shared" si="31"/>
        <v>1.39604478234465e-6</v>
      </c>
      <c r="BQ20" s="596">
        <f>BQ$3*3600</f>
        <v>21600</v>
      </c>
      <c r="BR20" s="580">
        <f ca="1" t="shared" ref="BR20:BU20" si="192">BJ20</f>
        <v>1.11999383922878e+16</v>
      </c>
      <c r="BS20" s="580">
        <f ca="1" t="shared" si="192"/>
        <v>1397296566</v>
      </c>
      <c r="BT20" s="581">
        <f ca="1" t="shared" si="192"/>
        <v>1.6754156866639e-25</v>
      </c>
      <c r="BU20" s="580">
        <f ca="1" t="shared" si="192"/>
        <v>-1.6754156866639e-25</v>
      </c>
      <c r="BV20" s="580">
        <f ca="1">MAX(INDIRECT("'"&amp;$B$2&amp;"-事故进程'!Z"&amp;(ROW()+22)),INDIRECT("'"&amp;$B$2&amp;"-事故进程'!AA"&amp;(ROW()+22)))</f>
        <v>1.844157675e-13</v>
      </c>
      <c r="BW20" s="580">
        <f ca="1">SUM(BV$3,-LN(1-BW$3)/BQ20)</f>
        <v>4.62592926927149e-20</v>
      </c>
      <c r="BX20" s="580">
        <f>BX$3/24/3600</f>
        <v>1157407407407410</v>
      </c>
      <c r="BY20" s="582">
        <f ca="1" t="shared" si="33"/>
        <v>0.999983517048937</v>
      </c>
      <c r="BZ20" s="582">
        <f ca="1" t="shared" si="34"/>
        <v>0.999983521032251</v>
      </c>
      <c r="CA20" s="582">
        <f t="shared" si="35"/>
        <v>0</v>
      </c>
      <c r="CB20" s="582">
        <f ca="1" t="shared" si="36"/>
        <v>2065.44549224992</v>
      </c>
      <c r="CC20" s="582">
        <f ca="1" t="shared" si="37"/>
        <v>1.11694379153486e-25</v>
      </c>
      <c r="CD20" s="582">
        <f ca="1" t="shared" si="38"/>
        <v>-2.50842457364767e-7</v>
      </c>
      <c r="CE20" s="580">
        <f ca="1" t="shared" si="39"/>
        <v>1.11997537842513e+16</v>
      </c>
      <c r="CF20" s="580">
        <f ca="1" t="shared" si="40"/>
        <v>1441886422</v>
      </c>
      <c r="CG20" s="586">
        <f ca="1" t="shared" si="41"/>
        <v>5.76293581143204e-26</v>
      </c>
      <c r="CH20" s="594">
        <f ca="1" t="shared" si="42"/>
        <v>-5.76293581143204e-26</v>
      </c>
      <c r="CI20" s="580">
        <f ca="1" t="shared" si="43"/>
        <v>44613249.3835686</v>
      </c>
      <c r="CJ20" s="580">
        <f ca="1" t="shared" si="44"/>
        <v>1.41847593891742e-6</v>
      </c>
      <c r="CK20" s="595">
        <f ca="1" t="shared" si="45"/>
        <v>1.41847593886273e-6</v>
      </c>
      <c r="CL20" s="596">
        <f>CL$3*3600</f>
        <v>57600</v>
      </c>
      <c r="CM20" s="580">
        <f ca="1" t="shared" ref="CM20:CP20" si="193">CE20</f>
        <v>1.11997537842513e+16</v>
      </c>
      <c r="CN20" s="580">
        <f ca="1" t="shared" si="193"/>
        <v>1441886422</v>
      </c>
      <c r="CO20" s="581">
        <f ca="1" t="shared" si="193"/>
        <v>5.76293581143204e-26</v>
      </c>
      <c r="CP20" s="580">
        <f ca="1" t="shared" si="193"/>
        <v>-5.76293581143204e-26</v>
      </c>
      <c r="CQ20" s="580">
        <f ca="1">MAX(INDIRECT("'"&amp;$B$2&amp;"-事故进程'!AA"&amp;(ROW()+22)),INDIRECT("'"&amp;$B$2&amp;"-事故进程'!AB"&amp;(ROW()+22)))</f>
        <v>3.2442075e-13</v>
      </c>
      <c r="CR20" s="580">
        <f ca="1">SUM(CQ$3,-LN(1-CR$3)/CL20)</f>
        <v>1.73472347597681e-20</v>
      </c>
      <c r="CS20" s="580">
        <f>CS$3/24/3600</f>
        <v>1157407407407410</v>
      </c>
      <c r="CT20" s="582">
        <f ca="1" t="shared" si="47"/>
        <v>0.999956038003648</v>
      </c>
      <c r="CU20" s="582">
        <f ca="1" t="shared" si="48"/>
        <v>0.999956056689461</v>
      </c>
      <c r="CV20" s="582">
        <f t="shared" si="49"/>
        <v>0</v>
      </c>
      <c r="CW20" s="582">
        <f ca="1" t="shared" si="50"/>
        <v>3633.43299028001</v>
      </c>
      <c r="CX20" s="582">
        <f ca="1" t="shared" si="51"/>
        <v>3.60183488022368e-26</v>
      </c>
      <c r="CY20" s="582">
        <f ca="1" t="shared" si="52"/>
        <v>-5.3471412316719e-8</v>
      </c>
      <c r="CZ20" s="580">
        <f ca="1" t="shared" si="53"/>
        <v>1.11992614207163e+16</v>
      </c>
      <c r="DA20" s="580">
        <f ca="1" t="shared" si="54"/>
        <v>1651099576</v>
      </c>
      <c r="DB20" s="586">
        <f ca="1" t="shared" si="55"/>
        <v>2.47466983084621e-26</v>
      </c>
      <c r="DC20" s="594">
        <f ca="1" t="shared" si="56"/>
        <v>-2.47466983084621e-26</v>
      </c>
      <c r="DD20" s="580">
        <f ca="1" t="shared" si="57"/>
        <v>209281112.953419</v>
      </c>
      <c r="DE20" s="580">
        <f ca="1" t="shared" si="58"/>
        <v>1.54525250391288e-6</v>
      </c>
      <c r="DF20" s="595">
        <f ca="1" t="shared" si="59"/>
        <v>1.5452525031825e-6</v>
      </c>
      <c r="DG20" s="596">
        <f>DG$3*3600</f>
        <v>86400</v>
      </c>
      <c r="DH20" s="580">
        <f ca="1" t="shared" ref="DH20:DK20" si="194">CZ20</f>
        <v>1.11992614207163e+16</v>
      </c>
      <c r="DI20" s="580">
        <f ca="1" t="shared" si="194"/>
        <v>1651099576</v>
      </c>
      <c r="DJ20" s="581">
        <f ca="1" t="shared" si="194"/>
        <v>2.47466983084621e-26</v>
      </c>
      <c r="DK20" s="580">
        <f ca="1" t="shared" si="194"/>
        <v>-2.47466983084621e-26</v>
      </c>
      <c r="DL20" s="580">
        <f ca="1">MAX(INDIRECT("'"&amp;$B$2&amp;"-事故进程'!AB"&amp;(ROW()+22)),INDIRECT("'"&amp;$B$2&amp;"-事故进程'!AC"&amp;(ROW()+22)))</f>
        <v>3.2442075e-13</v>
      </c>
      <c r="DM20" s="580">
        <f ca="1">SUM(DL$3,-LN(1-DM$3)/DG20)</f>
        <v>1.15648231731787e-20</v>
      </c>
      <c r="DN20" s="580">
        <f>DN$3/24/3600</f>
        <v>1157407407407410</v>
      </c>
      <c r="DO20" s="582">
        <f ca="1" t="shared" si="61"/>
        <v>0.999934057730223</v>
      </c>
      <c r="DP20" s="582">
        <f ca="1" t="shared" si="62"/>
        <v>0.999934085758327</v>
      </c>
      <c r="DQ20" s="582">
        <f t="shared" si="63"/>
        <v>0</v>
      </c>
      <c r="DR20" s="582">
        <f ca="1" t="shared" si="64"/>
        <v>3633.2733252058</v>
      </c>
      <c r="DS20" s="582">
        <f ca="1" t="shared" si="65"/>
        <v>8.24889942144579e-27</v>
      </c>
      <c r="DT20" s="582">
        <f ca="1" t="shared" si="66"/>
        <v>-3.564760757577e-8</v>
      </c>
      <c r="DU20" s="580">
        <f ca="1" t="shared" si="67"/>
        <v>1.11985229159984e+16</v>
      </c>
      <c r="DV20" s="580">
        <f ca="1" t="shared" si="68"/>
        <v>1964884818</v>
      </c>
      <c r="DW20" s="586">
        <f ca="1" t="shared" si="69"/>
        <v>1.96331432958777e-26</v>
      </c>
      <c r="DX20" s="594">
        <f ca="1" t="shared" si="70"/>
        <v>-1.96331432958777e-26</v>
      </c>
      <c r="DY20" s="580">
        <f ca="1" t="shared" si="71"/>
        <v>313904418.777553</v>
      </c>
      <c r="DZ20" s="580">
        <f ca="1" t="shared" si="72"/>
        <v>1.80655006770472e-6</v>
      </c>
      <c r="EA20" s="595">
        <f ca="1" t="shared" si="73"/>
        <v>1.80655006772453e-6</v>
      </c>
      <c r="EB20" s="596">
        <f>EB$3*3600</f>
        <v>172800</v>
      </c>
      <c r="EC20" s="580">
        <f ca="1" t="shared" ref="EC20:EF20" si="195">DU20</f>
        <v>1.11985229159984e+16</v>
      </c>
      <c r="ED20" s="580">
        <f ca="1" t="shared" si="195"/>
        <v>1964884818</v>
      </c>
      <c r="EE20" s="581">
        <f ca="1" t="shared" si="195"/>
        <v>1.96331432958777e-26</v>
      </c>
      <c r="EF20" s="580">
        <f ca="1" t="shared" si="195"/>
        <v>-1.96331432958777e-26</v>
      </c>
      <c r="EG20" s="580">
        <f ca="1">MAX(INDIRECT("'"&amp;$B$2&amp;"-事故进程'!AC"&amp;(ROW()+22)),INDIRECT("'"&amp;$B$2&amp;"-事故进程'!AD"&amp;(ROW()+22)),INDIRECT("'"&amp;$B$2&amp;"-事故进程'!AE"&amp;(ROW()+22)))</f>
        <v>1.32439375e-13</v>
      </c>
      <c r="EH20" s="580">
        <f ca="1">SUM(EG$3,-LN(1-EH$3)/EB20)</f>
        <v>5.78241158658936e-21</v>
      </c>
      <c r="EI20" s="580">
        <f>EI$3/24/3600</f>
        <v>1157407407407410</v>
      </c>
      <c r="EJ20" s="582">
        <f ca="1" t="shared" si="75"/>
        <v>0.999868152978837</v>
      </c>
      <c r="EK20" s="582">
        <f ca="1" t="shared" si="76"/>
        <v>0.999868175861343</v>
      </c>
      <c r="EL20" s="582">
        <f t="shared" si="77"/>
        <v>0</v>
      </c>
      <c r="EM20" s="582">
        <f ca="1" t="shared" si="78"/>
        <v>1483.12563614612</v>
      </c>
      <c r="EN20" s="582">
        <f ca="1" t="shared" si="79"/>
        <v>9.81657165031763e-27</v>
      </c>
      <c r="EO20" s="582">
        <f ca="1" t="shared" si="80"/>
        <v>-4.36608209533924e-8</v>
      </c>
      <c r="EP20" s="580">
        <f ca="1" t="shared" si="81"/>
        <v>1.11970464241105e+16</v>
      </c>
      <c r="EQ20" s="580">
        <f ca="1" t="shared" si="82"/>
        <v>2220876076</v>
      </c>
      <c r="ER20" s="586">
        <f ca="1" t="shared" si="83"/>
        <v>1.10955049010575e-26</v>
      </c>
      <c r="ES20" s="594">
        <f ca="1" t="shared" si="84"/>
        <v>-1.10955049010575e-26</v>
      </c>
      <c r="ET20" s="580">
        <f ca="1" t="shared" si="85"/>
        <v>256267169.442023</v>
      </c>
      <c r="EU20" s="580">
        <f ca="1" t="shared" si="86"/>
        <v>2.0912119609254e-6</v>
      </c>
      <c r="EV20" s="595">
        <f ca="1" t="shared" si="87"/>
        <v>2.09121196202269e-6</v>
      </c>
      <c r="EW20" s="596">
        <f>EW$3*3600</f>
        <v>2246400</v>
      </c>
      <c r="EX20" s="580">
        <f ca="1" t="shared" ref="EX20:FA20" si="196">EP20</f>
        <v>1.11970464241105e+16</v>
      </c>
      <c r="EY20" s="580">
        <f ca="1" t="shared" si="196"/>
        <v>2220876076</v>
      </c>
      <c r="EZ20" s="581">
        <f ca="1" t="shared" si="196"/>
        <v>1.10955049010575e-26</v>
      </c>
      <c r="FA20" s="580">
        <f ca="1" t="shared" si="196"/>
        <v>-1.10955049010575e-26</v>
      </c>
      <c r="FB20" s="580">
        <f ca="1">INDIRECT("'"&amp;$B$2&amp;"-事故进程'!AE"&amp;(ROW()+22))</f>
        <v>4.02206e-14</v>
      </c>
      <c r="FC20" s="580">
        <f ca="1">SUM(FB$3,-LN(1-FC$3)/EW20)</f>
        <v>4.44800891276105e-22</v>
      </c>
      <c r="FD20" s="580">
        <f>FD$3/24/3600</f>
        <v>1157407407407410</v>
      </c>
      <c r="FE20" s="582">
        <f ca="1" t="shared" si="89"/>
        <v>0.998287550798759</v>
      </c>
      <c r="FF20" s="582">
        <f ca="1" t="shared" si="90"/>
        <v>0.998287640995595</v>
      </c>
      <c r="FG20" s="582">
        <f t="shared" si="91"/>
        <v>0</v>
      </c>
      <c r="FH20" s="582">
        <f ca="1" t="shared" si="92"/>
        <v>450.352014730547</v>
      </c>
      <c r="FI20" s="582">
        <f ca="1" t="shared" si="93"/>
        <v>1.02420045245295e-26</v>
      </c>
      <c r="FJ20" s="582">
        <f ca="1" t="shared" si="94"/>
        <v>-1.10590318442582e-8</v>
      </c>
      <c r="FK20" s="580">
        <f ca="1" t="shared" si="95"/>
        <v>1.11778720509053e+16</v>
      </c>
      <c r="FL20" s="580">
        <f ca="1" t="shared" si="96"/>
        <v>3227011314</v>
      </c>
      <c r="FM20" s="586">
        <f ca="1" t="shared" si="97"/>
        <v>1.24016616754909e-27</v>
      </c>
      <c r="FN20" s="594">
        <f ca="1" t="shared" si="98"/>
        <v>-1.24016616754909e-27</v>
      </c>
      <c r="FO20" s="580">
        <f ca="1" t="shared" si="99"/>
        <v>1010804100.568</v>
      </c>
      <c r="FP20" s="580">
        <f ca="1" t="shared" si="100"/>
        <v>2.72205449412321e-6</v>
      </c>
      <c r="FQ20" s="595">
        <f ca="1" t="shared" si="101"/>
        <v>2.72205449485752e-6</v>
      </c>
      <c r="FR20" s="608" t="str">
        <f t="shared" si="102"/>
        <v>Sr-90</v>
      </c>
      <c r="FS20" s="609">
        <v>5400000</v>
      </c>
      <c r="FT20" s="610">
        <v>657000</v>
      </c>
      <c r="FU20" s="610">
        <v>2620000</v>
      </c>
      <c r="FV20" s="610">
        <v>9480000</v>
      </c>
      <c r="FW20" s="610">
        <v>18200000</v>
      </c>
      <c r="FX20" s="614">
        <f ca="1" t="shared" si="103"/>
        <v>56.2341494751155</v>
      </c>
      <c r="FY20" s="614">
        <f ca="1" t="shared" si="104"/>
        <v>4.28389759696709e-12</v>
      </c>
      <c r="FZ20" s="614">
        <f ca="1" t="shared" si="105"/>
        <v>5.89791031749047e-13</v>
      </c>
      <c r="GA20" s="614">
        <f ca="1" t="shared" si="106"/>
        <v>4.11156332251817e-13</v>
      </c>
      <c r="GB20" s="614">
        <f ca="1" t="shared" si="107"/>
        <v>16.6848575365732</v>
      </c>
      <c r="GC20" s="455">
        <f ca="1" t="shared" si="108"/>
        <v>16.6848575365733</v>
      </c>
      <c r="GE20" s="609">
        <v>156.853032020541</v>
      </c>
      <c r="GF20" s="610">
        <v>281017.280176744</v>
      </c>
      <c r="GG20" s="610">
        <v>832411.864529439</v>
      </c>
      <c r="GH20" s="610">
        <v>1332820.64230674</v>
      </c>
      <c r="GI20" s="610">
        <v>2967266.44188975</v>
      </c>
      <c r="GJ20" s="610">
        <v>18825190.0818027</v>
      </c>
      <c r="GK20" s="617">
        <v>24238863.1637374</v>
      </c>
      <c r="GL20" s="614">
        <f ca="1" t="shared" si="109"/>
        <v>1935980.47327422</v>
      </c>
      <c r="GM20" s="614">
        <f ca="1" t="shared" si="110"/>
        <v>1.00154720714584e-11</v>
      </c>
      <c r="GN20" s="614">
        <f ca="1" t="shared" si="111"/>
        <v>1.85635569245043e-12</v>
      </c>
      <c r="GO20" s="614">
        <f ca="1" t="shared" si="112"/>
        <v>9.06437928681056e-13</v>
      </c>
      <c r="GP20" s="614">
        <f ca="1" t="shared" si="113"/>
        <v>1.44596388298293e-13</v>
      </c>
      <c r="GQ20" s="614">
        <f ca="1" t="shared" si="114"/>
        <v>12.5279970893987</v>
      </c>
      <c r="GR20" s="451">
        <f t="shared" si="115"/>
        <v>7.62921459615568e-10</v>
      </c>
      <c r="GS20" s="390">
        <f t="shared" si="116"/>
        <v>908543300</v>
      </c>
    </row>
    <row r="21" s="389" customFormat="1" spans="1:201">
      <c r="A21" s="432"/>
      <c r="B21" s="407" t="s">
        <v>270</v>
      </c>
      <c r="C21" s="433">
        <f ca="1">IF(2&lt;=$C$13-$C$12,MAX(1%,INDIRECT("'"&amp;$B$2&amp;"-事故进程'!$AA$23")*150%),0.000000000000001)</f>
        <v>1e-15</v>
      </c>
      <c r="D21" s="410"/>
      <c r="E21" s="409" t="s">
        <v>271</v>
      </c>
      <c r="G21" s="411" t="s">
        <v>62</v>
      </c>
      <c r="H21" s="412">
        <f ca="1" t="shared" si="1"/>
        <v>136732737748.994</v>
      </c>
      <c r="I21" s="412">
        <f ca="1" t="shared" si="2"/>
        <v>0.000628534819307749</v>
      </c>
      <c r="J21" s="412">
        <f ca="1" t="shared" si="3"/>
        <v>0.000631796264215874</v>
      </c>
      <c r="K21" s="412">
        <f ca="1" t="shared" si="4"/>
        <v>0.000783160670054717</v>
      </c>
      <c r="L21" s="412">
        <f ca="1" t="shared" si="5"/>
        <v>0.00290458260003512</v>
      </c>
      <c r="M21" s="412">
        <f ca="1" t="shared" si="6"/>
        <v>0.00365593380414274</v>
      </c>
      <c r="N21" s="412">
        <f ca="1" t="shared" si="7"/>
        <v>136732737749.003</v>
      </c>
      <c r="O21" s="450">
        <f ca="1" t="shared" si="8"/>
        <v>136732737748.994</v>
      </c>
      <c r="P21" s="451"/>
      <c r="Q21" s="477" t="str">
        <f t="shared" si="0"/>
        <v>Cs-134</v>
      </c>
      <c r="R21" s="412">
        <f ca="1" t="shared" si="9"/>
        <v>136732737748.994</v>
      </c>
      <c r="S21" s="412">
        <f ca="1">I21*(1-过滤效率!$B18)</f>
        <v>6.2853481930775e-7</v>
      </c>
      <c r="T21" s="412">
        <f ca="1">J21*(1-过滤效率!$B18)</f>
        <v>6.31796264215874e-7</v>
      </c>
      <c r="U21" s="412">
        <f ca="1">K21*(1-过滤效率!$B18)</f>
        <v>7.83160670054717e-7</v>
      </c>
      <c r="V21" s="412">
        <f ca="1">L21*(1-过滤效率!$B18)</f>
        <v>2.90458260003512e-6</v>
      </c>
      <c r="W21" s="412">
        <f ca="1">M21*(1-过滤效率!$B18)</f>
        <v>3.65593380414275e-6</v>
      </c>
      <c r="X21" s="412">
        <f ca="1" t="shared" si="10"/>
        <v>136732737748.994</v>
      </c>
      <c r="Y21" s="493"/>
      <c r="Z21" s="494">
        <f>VLOOKUP(G21,衰变常数!$A$1:$H$3800,7,FALSE)</f>
        <v>1.06355351616218e-8</v>
      </c>
      <c r="AA21" s="495">
        <f>正常源项!C18</f>
        <v>1.46e+16</v>
      </c>
      <c r="AB21" s="496">
        <f>正常源项!F18</f>
        <v>0</v>
      </c>
      <c r="AC21" s="496">
        <f>正常源项!I18</f>
        <v>385000</v>
      </c>
      <c r="AD21" s="497"/>
      <c r="AE21" s="496">
        <f>正常源项!O18</f>
        <v>806000000000</v>
      </c>
      <c r="AF21" s="498">
        <f t="shared" si="157"/>
        <v>0</v>
      </c>
      <c r="AG21" s="519">
        <f t="shared" si="185"/>
        <v>0</v>
      </c>
      <c r="AH21" s="523">
        <v>0.95</v>
      </c>
      <c r="AI21" s="519">
        <f t="shared" si="159"/>
        <v>765700000000</v>
      </c>
      <c r="AJ21" s="521">
        <v>0.00066</v>
      </c>
      <c r="AK21" s="521">
        <v>0.000144</v>
      </c>
      <c r="AL21" s="525">
        <f t="shared" si="186"/>
        <v>15745224</v>
      </c>
      <c r="AM21" s="520"/>
      <c r="AN21" s="519">
        <f ca="1">MAX(INDIRECT("'"&amp;$B$2&amp;"-事故进程'!Y"&amp;(ROW()+22)),INDIRECT("'"&amp;$B$2&amp;"-事故进程'!Z"&amp;(ROW()+22)),INDIRECT("'"&amp;$B$2&amp;"-事故进程'!AA"&amp;(ROW()+22)))</f>
        <v>2.0738575e-11</v>
      </c>
      <c r="AO21" s="519">
        <f ca="1" t="shared" si="13"/>
        <v>3027830.69727752</v>
      </c>
      <c r="AP21" s="560">
        <f t="shared" si="14"/>
        <v>1.45999984472119e+16</v>
      </c>
      <c r="AQ21" s="561">
        <f ca="1">(AC21*$C$5+AD21*$C$8+AF21+AG21+AI21+(AL21+AM21)*$C$10)*EXP(-Z21*$C$12*3600)+AO21*$C$11</f>
        <v>765703331394.368</v>
      </c>
      <c r="AR21" s="562">
        <f ca="1">AQ21*(1-AR$3)</f>
        <v>628970593645.374</v>
      </c>
      <c r="AS21" s="563">
        <f ca="1" t="shared" si="15"/>
        <v>136732737748.994</v>
      </c>
      <c r="AT21" s="562">
        <f ca="1">AS21*(1-AT$3)</f>
        <v>0</v>
      </c>
      <c r="AU21" s="564">
        <f ca="1" t="shared" si="16"/>
        <v>136732737748.994</v>
      </c>
      <c r="AV21" s="565">
        <f>AV$3*3600</f>
        <v>7200</v>
      </c>
      <c r="AW21" s="580">
        <f>AP21*EXP(-Z21*AW$3*3600)</f>
        <v>1.45999984472119e+16</v>
      </c>
      <c r="AX21" s="580">
        <f ca="1" t="shared" si="17"/>
        <v>628970593645.374</v>
      </c>
      <c r="AY21" s="581">
        <f ca="1" t="shared" si="18"/>
        <v>0</v>
      </c>
      <c r="AZ21" s="580">
        <v>0</v>
      </c>
      <c r="BA21" s="580">
        <f ca="1">MAX(INDIRECT("'"&amp;$B$2&amp;"-事故进程'!Y"&amp;(ROW()+22)),INDIRECT("'"&amp;$B$2&amp;"-事故进程'!Z"&amp;(ROW()+22)))</f>
        <v>1.733029225e-12</v>
      </c>
      <c r="BB21" s="580">
        <f>SUM(BA$3,-LN(1-BB$3)/AV21)</f>
        <v>1.38777878078145e-19</v>
      </c>
      <c r="BC21" s="580">
        <f>BC$3/24/3600</f>
        <v>1157407407407410</v>
      </c>
      <c r="BD21" s="582">
        <f ca="1" t="shared" si="19"/>
        <v>0.999923414601837</v>
      </c>
      <c r="BE21" s="582">
        <f t="shared" si="20"/>
        <v>0.999923427078691</v>
      </c>
      <c r="BF21" s="582">
        <f t="shared" si="21"/>
        <v>0</v>
      </c>
      <c r="BG21" s="582">
        <f ca="1" t="shared" si="22"/>
        <v>25303.3140183061</v>
      </c>
      <c r="BH21" s="582">
        <f ca="1" t="shared" si="23"/>
        <v>-7.54161445667427e-23</v>
      </c>
      <c r="BI21" s="582">
        <f ca="1" t="shared" si="24"/>
        <v>-8.00782163331548e-8</v>
      </c>
      <c r="BJ21" s="580">
        <f ca="1" t="shared" si="25"/>
        <v>1.45988803005177e+16</v>
      </c>
      <c r="BK21" s="580">
        <f ca="1" t="shared" si="26"/>
        <v>629104593590</v>
      </c>
      <c r="BL21" s="586">
        <f ca="1" t="shared" si="27"/>
        <v>7.54322117080049e-23</v>
      </c>
      <c r="BM21" s="594">
        <f ca="1" t="shared" si="28"/>
        <v>2</v>
      </c>
      <c r="BN21" s="580">
        <f ca="1" t="shared" si="29"/>
        <v>182169036.656438</v>
      </c>
      <c r="BO21" s="580">
        <f ca="1" t="shared" si="30"/>
        <v>0.000628534819307678</v>
      </c>
      <c r="BP21" s="595">
        <f ca="1" t="shared" si="31"/>
        <v>0.000628534819307749</v>
      </c>
      <c r="BQ21" s="596">
        <f>BQ$3*3600</f>
        <v>21600</v>
      </c>
      <c r="BR21" s="580">
        <f ca="1" t="shared" ref="BR21:BU21" si="197">BJ21</f>
        <v>1.45988803005177e+16</v>
      </c>
      <c r="BS21" s="580">
        <f ca="1" t="shared" si="197"/>
        <v>629104593590</v>
      </c>
      <c r="BT21" s="581">
        <f ca="1" t="shared" si="197"/>
        <v>7.54322117080049e-23</v>
      </c>
      <c r="BU21" s="580">
        <f ca="1" t="shared" si="197"/>
        <v>2</v>
      </c>
      <c r="BV21" s="580">
        <f ca="1">MAX(INDIRECT("'"&amp;$B$2&amp;"-事故进程'!Z"&amp;(ROW()+22)),INDIRECT("'"&amp;$B$2&amp;"-事故进程'!AA"&amp;(ROW()+22)))</f>
        <v>2.0738575e-11</v>
      </c>
      <c r="BW21" s="580">
        <f ca="1">SUM(BV$3,-LN(1-BW$3)/BQ21)</f>
        <v>4.62592926927149e-20</v>
      </c>
      <c r="BX21" s="580">
        <f>BX$3/24/3600</f>
        <v>1157407407407410</v>
      </c>
      <c r="BY21" s="582">
        <f ca="1" t="shared" si="33"/>
        <v>0.99976985097564</v>
      </c>
      <c r="BZ21" s="582">
        <f ca="1" t="shared" si="34"/>
        <v>0.999770298825863</v>
      </c>
      <c r="CA21" s="582">
        <f t="shared" si="35"/>
        <v>0</v>
      </c>
      <c r="CB21" s="582">
        <f ca="1" t="shared" si="36"/>
        <v>302773.020761077</v>
      </c>
      <c r="CC21" s="582">
        <f ca="1" t="shared" si="37"/>
        <v>5.02881411387663e-23</v>
      </c>
      <c r="CD21" s="582">
        <f ca="1" t="shared" si="38"/>
        <v>-2.23059167738866e-9</v>
      </c>
      <c r="CE21" s="580">
        <f ca="1" t="shared" si="39"/>
        <v>1.45955203824598e+16</v>
      </c>
      <c r="CF21" s="580">
        <f ca="1" t="shared" si="40"/>
        <v>635498199342</v>
      </c>
      <c r="CG21" s="586">
        <f ca="1" t="shared" si="41"/>
        <v>2.53996103885467e-23</v>
      </c>
      <c r="CH21" s="594">
        <f ca="1" t="shared" si="42"/>
        <v>2</v>
      </c>
      <c r="CI21" s="580">
        <f ca="1" t="shared" si="43"/>
        <v>6538862867.08433</v>
      </c>
      <c r="CJ21" s="580">
        <f ca="1" t="shared" si="44"/>
        <v>0.000631796264215168</v>
      </c>
      <c r="CK21" s="595">
        <f ca="1" t="shared" si="45"/>
        <v>0.000631796264215874</v>
      </c>
      <c r="CL21" s="596">
        <f>CL$3*3600</f>
        <v>57600</v>
      </c>
      <c r="CM21" s="580">
        <f ca="1" t="shared" ref="CM21:CP21" si="198">CE21</f>
        <v>1.45955203824598e+16</v>
      </c>
      <c r="CN21" s="580">
        <f ca="1" t="shared" si="198"/>
        <v>635498199342</v>
      </c>
      <c r="CO21" s="581">
        <f ca="1" t="shared" si="198"/>
        <v>2.53996103885467e-23</v>
      </c>
      <c r="CP21" s="580">
        <f ca="1" t="shared" si="198"/>
        <v>2</v>
      </c>
      <c r="CQ21" s="580">
        <f ca="1">MAX(INDIRECT("'"&amp;$B$2&amp;"-事故进程'!AA"&amp;(ROW()+22)),INDIRECT("'"&amp;$B$2&amp;"-事故进程'!AB"&amp;(ROW()+22)))</f>
        <v>3.5338375e-10</v>
      </c>
      <c r="CR21" s="580">
        <f ca="1">SUM(CQ$3,-LN(1-CR$3)/CL21)</f>
        <v>1.73472347597681e-20</v>
      </c>
      <c r="CS21" s="580">
        <f>CS$3/24/3600</f>
        <v>1157407407407410</v>
      </c>
      <c r="CT21" s="582">
        <f ca="1" t="shared" si="47"/>
        <v>0.999367238548708</v>
      </c>
      <c r="CU21" s="582">
        <f ca="1" t="shared" si="48"/>
        <v>0.999387580779939</v>
      </c>
      <c r="CV21" s="582">
        <f t="shared" si="49"/>
        <v>0</v>
      </c>
      <c r="CW21" s="582">
        <f ca="1" t="shared" si="50"/>
        <v>5158044.30069186</v>
      </c>
      <c r="CX21" s="582">
        <f ca="1" t="shared" si="51"/>
        <v>1.5874756492813e-23</v>
      </c>
      <c r="CY21" s="582">
        <f ca="1" t="shared" si="52"/>
        <v>-4.90889429992738e-11</v>
      </c>
      <c r="CZ21" s="580">
        <f ca="1" t="shared" si="53"/>
        <v>1.45862848998002e+16</v>
      </c>
      <c r="DA21" s="580">
        <f ca="1" t="shared" si="54"/>
        <v>932014458610</v>
      </c>
      <c r="DB21" s="586">
        <f ca="1" t="shared" si="55"/>
        <v>1.39690428016771e-23</v>
      </c>
      <c r="DC21" s="594">
        <f ca="1" t="shared" si="56"/>
        <v>4</v>
      </c>
      <c r="DD21" s="580">
        <f ca="1" t="shared" si="57"/>
        <v>296996412617.791</v>
      </c>
      <c r="DE21" s="580">
        <f ca="1" t="shared" si="58"/>
        <v>0.000783160670054075</v>
      </c>
      <c r="DF21" s="595">
        <f ca="1" t="shared" si="59"/>
        <v>0.000783160670054717</v>
      </c>
      <c r="DG21" s="596">
        <f>DG$3*3600</f>
        <v>86400</v>
      </c>
      <c r="DH21" s="580">
        <f ca="1" t="shared" ref="DH21:DK21" si="199">CZ21</f>
        <v>1.45862848998002e+16</v>
      </c>
      <c r="DI21" s="580">
        <f ca="1" t="shared" si="199"/>
        <v>932014458610</v>
      </c>
      <c r="DJ21" s="581">
        <f ca="1" t="shared" si="199"/>
        <v>1.39690428016771e-23</v>
      </c>
      <c r="DK21" s="580">
        <f ca="1" t="shared" si="199"/>
        <v>4</v>
      </c>
      <c r="DL21" s="580">
        <f ca="1">MAX(INDIRECT("'"&amp;$B$2&amp;"-事故进程'!AB"&amp;(ROW()+22)),INDIRECT("'"&amp;$B$2&amp;"-事故进程'!AC"&amp;(ROW()+22)))</f>
        <v>3.5338375e-10</v>
      </c>
      <c r="DM21" s="580">
        <f ca="1">SUM(DL$3,-LN(1-DM$3)/DG21)</f>
        <v>1.15648231731787e-20</v>
      </c>
      <c r="DN21" s="580">
        <f>DN$3/24/3600</f>
        <v>1157407407407410</v>
      </c>
      <c r="DO21" s="582">
        <f ca="1" t="shared" si="61"/>
        <v>0.999051007984045</v>
      </c>
      <c r="DP21" s="582">
        <f ca="1" t="shared" si="62"/>
        <v>0.999081511830757</v>
      </c>
      <c r="DQ21" s="582">
        <f t="shared" si="63"/>
        <v>0</v>
      </c>
      <c r="DR21" s="582">
        <f ca="1" t="shared" si="64"/>
        <v>5154885.4152242</v>
      </c>
      <c r="DS21" s="582">
        <f ca="1" t="shared" si="65"/>
        <v>4.65634760058576e-24</v>
      </c>
      <c r="DT21" s="582">
        <f ca="1" t="shared" si="66"/>
        <v>-3.27259619989804e-11</v>
      </c>
      <c r="DU21" s="580">
        <f ca="1" t="shared" si="67"/>
        <v>1.45724426318879e+16</v>
      </c>
      <c r="DV21" s="580">
        <f ca="1" t="shared" si="68"/>
        <v>1376096213046</v>
      </c>
      <c r="DW21" s="586">
        <f ca="1" t="shared" si="69"/>
        <v>1.37499632983725e-23</v>
      </c>
      <c r="DX21" s="594">
        <f ca="1" t="shared" si="70"/>
        <v>4</v>
      </c>
      <c r="DY21" s="580">
        <f ca="1" t="shared" si="71"/>
        <v>445142291313.117</v>
      </c>
      <c r="DZ21" s="580">
        <f ca="1" t="shared" si="72"/>
        <v>0.00115320209617845</v>
      </c>
      <c r="EA21" s="595">
        <f ca="1" t="shared" si="73"/>
        <v>0.00115320209618022</v>
      </c>
      <c r="EB21" s="596">
        <f>EB$3*3600</f>
        <v>172800</v>
      </c>
      <c r="EC21" s="580">
        <f ca="1" t="shared" ref="EC21:EF21" si="200">DU21</f>
        <v>1.45724426318879e+16</v>
      </c>
      <c r="ED21" s="580">
        <f ca="1" t="shared" si="200"/>
        <v>1376096213046</v>
      </c>
      <c r="EE21" s="581">
        <f ca="1" t="shared" si="200"/>
        <v>1.37499632983725e-23</v>
      </c>
      <c r="EF21" s="580">
        <f ca="1" t="shared" si="200"/>
        <v>4</v>
      </c>
      <c r="EG21" s="580">
        <f ca="1">MAX(INDIRECT("'"&amp;$B$2&amp;"-事故进程'!AC"&amp;(ROW()+22)),INDIRECT("'"&amp;$B$2&amp;"-事故进程'!AD"&amp;(ROW()+22)),INDIRECT("'"&amp;$B$2&amp;"-事故进程'!AE"&amp;(ROW()+22)))</f>
        <v>3.00556875e-10</v>
      </c>
      <c r="EH21" s="580">
        <f ca="1">SUM(EG$3,-LN(1-EH$3)/EB21)</f>
        <v>5.78241158658936e-21</v>
      </c>
      <c r="EI21" s="580">
        <f>EI$3/24/3600</f>
        <v>1157407407407410</v>
      </c>
      <c r="EJ21" s="582">
        <f ca="1" t="shared" si="75"/>
        <v>0.998112027762026</v>
      </c>
      <c r="EK21" s="582">
        <f ca="1" t="shared" si="76"/>
        <v>0.998163867282031</v>
      </c>
      <c r="EL21" s="582">
        <f t="shared" si="77"/>
        <v>0</v>
      </c>
      <c r="EM21" s="582">
        <f ca="1" t="shared" si="78"/>
        <v>4380261.41373447</v>
      </c>
      <c r="EN21" s="582">
        <f ca="1" t="shared" si="79"/>
        <v>6.87498164916833e-24</v>
      </c>
      <c r="EO21" s="582">
        <f ca="1" t="shared" si="80"/>
        <v>-1.92389929084158e-11</v>
      </c>
      <c r="EP21" s="580">
        <f ca="1" t="shared" si="81"/>
        <v>1.45449302647594e+16</v>
      </c>
      <c r="EQ21" s="580">
        <f ca="1" t="shared" si="82"/>
        <v>2128997949120</v>
      </c>
      <c r="ER21" s="586">
        <f ca="1" t="shared" si="83"/>
        <v>1.06364814412295e-23</v>
      </c>
      <c r="ES21" s="594">
        <f ca="1" t="shared" si="84"/>
        <v>6</v>
      </c>
      <c r="ET21" s="580">
        <f ca="1" t="shared" si="85"/>
        <v>756123033739.697</v>
      </c>
      <c r="EU21" s="580">
        <f ca="1" t="shared" si="86"/>
        <v>0.00175138050385605</v>
      </c>
      <c r="EV21" s="595">
        <f ca="1" t="shared" si="87"/>
        <v>0.0017513805038549</v>
      </c>
      <c r="EW21" s="596">
        <f>EW$3*3600</f>
        <v>2246400</v>
      </c>
      <c r="EX21" s="580">
        <f ca="1" t="shared" ref="EX21:FA21" si="201">EP21</f>
        <v>1.45449302647594e+16</v>
      </c>
      <c r="EY21" s="580">
        <f ca="1" t="shared" si="201"/>
        <v>2128997949120</v>
      </c>
      <c r="EZ21" s="581">
        <f ca="1" t="shared" si="201"/>
        <v>1.06364814412295e-23</v>
      </c>
      <c r="FA21" s="580">
        <f ca="1" t="shared" si="201"/>
        <v>6</v>
      </c>
      <c r="FB21" s="580">
        <f ca="1">INDIRECT("'"&amp;$B$2&amp;"-事故进程'!AE"&amp;(ROW()+22))</f>
        <v>9.672285e-11</v>
      </c>
      <c r="FC21" s="580">
        <f ca="1">SUM(FB$3,-LN(1-FC$3)/EW21)</f>
        <v>4.44800891276105e-22</v>
      </c>
      <c r="FD21" s="580">
        <f>FD$3/24/3600</f>
        <v>1157407407407410</v>
      </c>
      <c r="FE21" s="582">
        <f ca="1" t="shared" si="89"/>
        <v>0.97617935469316</v>
      </c>
      <c r="FF21" s="582">
        <f ca="1" t="shared" si="90"/>
        <v>0.976391480240515</v>
      </c>
      <c r="FG21" s="582">
        <f t="shared" si="91"/>
        <v>0</v>
      </c>
      <c r="FH21" s="582">
        <f ca="1" t="shared" si="92"/>
        <v>1407033.03100806</v>
      </c>
      <c r="FI21" s="582">
        <f ca="1" t="shared" si="93"/>
        <v>9.81829056113586e-24</v>
      </c>
      <c r="FJ21" s="582">
        <f ca="1" t="shared" si="94"/>
        <v>-4.59871572516887e-12</v>
      </c>
      <c r="FK21" s="580">
        <f ca="1" t="shared" si="95"/>
        <v>1.41984606399098e+16</v>
      </c>
      <c r="FL21" s="580">
        <f ca="1" t="shared" si="96"/>
        <v>5164086752636</v>
      </c>
      <c r="FM21" s="586">
        <f ca="1" t="shared" si="97"/>
        <v>1.98459969713348e-24</v>
      </c>
      <c r="FN21" s="594">
        <f ca="1" t="shared" si="98"/>
        <v>8</v>
      </c>
      <c r="FO21" s="580">
        <f ca="1" t="shared" si="99"/>
        <v>3122505023415.52</v>
      </c>
      <c r="FP21" s="580">
        <f ca="1" t="shared" si="100"/>
        <v>0.00365593380414101</v>
      </c>
      <c r="FQ21" s="595">
        <f ca="1" t="shared" si="101"/>
        <v>0.00365593380414274</v>
      </c>
      <c r="FR21" s="608" t="str">
        <f t="shared" si="102"/>
        <v>Cs-134</v>
      </c>
      <c r="FS21" s="609">
        <v>461000000</v>
      </c>
      <c r="FT21" s="610">
        <v>114000000</v>
      </c>
      <c r="FU21" s="610">
        <v>1690000000</v>
      </c>
      <c r="FV21" s="610">
        <v>6030000000</v>
      </c>
      <c r="FW21" s="610">
        <v>8300000000</v>
      </c>
      <c r="FX21" s="614">
        <f ca="1" t="shared" si="103"/>
        <v>296.60029880476</v>
      </c>
      <c r="FY21" s="614">
        <f ca="1" t="shared" si="104"/>
        <v>1.10555358203827e-11</v>
      </c>
      <c r="FZ21" s="614">
        <f ca="1" t="shared" si="105"/>
        <v>4.63408680505749e-13</v>
      </c>
      <c r="GA21" s="614">
        <f ca="1" t="shared" si="106"/>
        <v>4.81688656722242e-13</v>
      </c>
      <c r="GB21" s="614">
        <f ca="1" t="shared" si="107"/>
        <v>16.4738238251806</v>
      </c>
      <c r="GC21" s="455">
        <f ca="1" t="shared" si="108"/>
        <v>16.4738238251811</v>
      </c>
      <c r="GE21" s="609">
        <v>138337.233401615</v>
      </c>
      <c r="GF21" s="610">
        <v>26274037.1054101</v>
      </c>
      <c r="GG21" s="610">
        <v>221424566.852603</v>
      </c>
      <c r="GH21" s="610">
        <v>424826527.579059</v>
      </c>
      <c r="GI21" s="610">
        <v>1106810296.94444</v>
      </c>
      <c r="GJ21" s="610">
        <v>7218955945.98593</v>
      </c>
      <c r="GK21" s="617">
        <v>8998429711.70084</v>
      </c>
      <c r="GL21" s="614">
        <f ca="1" t="shared" si="109"/>
        <v>988401.563243913</v>
      </c>
      <c r="GM21" s="614">
        <f ca="1" t="shared" si="110"/>
        <v>4.79686878140287e-11</v>
      </c>
      <c r="GN21" s="614">
        <f ca="1" t="shared" si="111"/>
        <v>3.53691860477274e-12</v>
      </c>
      <c r="GO21" s="614">
        <f ca="1" t="shared" si="112"/>
        <v>1.89639120288111e-12</v>
      </c>
      <c r="GP21" s="614">
        <f ca="1" t="shared" si="113"/>
        <v>5.06435256219511e-13</v>
      </c>
      <c r="GQ21" s="614">
        <f ca="1" t="shared" si="114"/>
        <v>15.1951776176244</v>
      </c>
      <c r="GR21" s="451">
        <f t="shared" si="115"/>
        <v>1.06355351616218e-8</v>
      </c>
      <c r="GS21" s="390">
        <f t="shared" si="116"/>
        <v>65172760.0000006</v>
      </c>
    </row>
    <row r="22" s="389" customFormat="1" spans="1:201">
      <c r="A22" s="430"/>
      <c r="B22" s="407" t="s">
        <v>276</v>
      </c>
      <c r="C22" s="434">
        <f>C19</f>
        <v>1e+20</v>
      </c>
      <c r="D22" s="410" t="s">
        <v>273</v>
      </c>
      <c r="E22" s="409" t="s">
        <v>274</v>
      </c>
      <c r="G22" s="411" t="s">
        <v>63</v>
      </c>
      <c r="H22" s="412">
        <f ca="1" t="shared" si="1"/>
        <v>2103572241825.15</v>
      </c>
      <c r="I22" s="412">
        <f ca="1" t="shared" si="2"/>
        <v>0.00966879818508601</v>
      </c>
      <c r="J22" s="412">
        <f ca="1" t="shared" si="3"/>
        <v>0.00967324204212531</v>
      </c>
      <c r="K22" s="412">
        <f ca="1" t="shared" si="4"/>
        <v>0.00985531958809132</v>
      </c>
      <c r="L22" s="412">
        <f ca="1" t="shared" si="5"/>
        <v>0.0213163806456765</v>
      </c>
      <c r="M22" s="412">
        <f ca="1" t="shared" si="6"/>
        <v>0.0133462616456075</v>
      </c>
      <c r="N22" s="412">
        <f ca="1" t="shared" si="7"/>
        <v>2103572241825.21</v>
      </c>
      <c r="O22" s="450">
        <f ca="1" t="shared" si="8"/>
        <v>2103572241825.15</v>
      </c>
      <c r="P22" s="451"/>
      <c r="Q22" s="477" t="str">
        <f t="shared" si="0"/>
        <v>Cs-137</v>
      </c>
      <c r="R22" s="412">
        <f ca="1" t="shared" si="9"/>
        <v>2103572241825.15</v>
      </c>
      <c r="S22" s="412">
        <f ca="1">I22*(1-过滤效率!$B19)</f>
        <v>9.66879818508602e-6</v>
      </c>
      <c r="T22" s="412">
        <f ca="1">J22*(1-过滤效率!$B19)</f>
        <v>9.67324204212532e-6</v>
      </c>
      <c r="U22" s="412">
        <f ca="1">K22*(1-过滤效率!$B19)</f>
        <v>9.85531958809133e-6</v>
      </c>
      <c r="V22" s="412">
        <f ca="1">L22*(1-过滤效率!$B19)</f>
        <v>2.13163806456765e-5</v>
      </c>
      <c r="W22" s="412">
        <f ca="1">M22*(1-过滤效率!$B19)</f>
        <v>1.33462616456075e-5</v>
      </c>
      <c r="X22" s="412">
        <f ca="1" t="shared" si="10"/>
        <v>2103572241825.15</v>
      </c>
      <c r="Y22" s="493"/>
      <c r="Z22" s="494">
        <f>VLOOKUP(G22,衰变常数!$A$1:$H$3800,7,FALSE)</f>
        <v>7.302030887879e-10</v>
      </c>
      <c r="AA22" s="495">
        <f>正常源项!C19</f>
        <v>1.74e+16</v>
      </c>
      <c r="AB22" s="496">
        <f>正常源项!F19</f>
        <v>0</v>
      </c>
      <c r="AC22" s="496">
        <f>正常源项!I19</f>
        <v>544000</v>
      </c>
      <c r="AD22" s="497"/>
      <c r="AE22" s="496">
        <f>正常源项!O19</f>
        <v>12400000000000</v>
      </c>
      <c r="AF22" s="498">
        <f t="shared" si="157"/>
        <v>0</v>
      </c>
      <c r="AG22" s="519">
        <f t="shared" si="185"/>
        <v>0</v>
      </c>
      <c r="AH22" s="523">
        <v>0.95</v>
      </c>
      <c r="AI22" s="519">
        <f t="shared" si="159"/>
        <v>11780000000000</v>
      </c>
      <c r="AJ22" s="521">
        <v>0.00066</v>
      </c>
      <c r="AK22" s="521">
        <v>0.001958</v>
      </c>
      <c r="AL22" s="525">
        <f>AA22*(AJ22)*0.00000209</f>
        <v>24001560</v>
      </c>
      <c r="AM22" s="520"/>
      <c r="AN22" s="519">
        <f ca="1">MAX(INDIRECT("'"&amp;$B$2&amp;"-事故进程'!Y"&amp;(ROW()+22)),INDIRECT("'"&amp;$B$2&amp;"-事故进程'!Z"&amp;(ROW()+22)),INDIRECT("'"&amp;$B$2&amp;"-事故进程'!AA"&amp;(ROW()+22)))</f>
        <v>2.35416e-11</v>
      </c>
      <c r="AO22" s="519">
        <f ca="1" t="shared" si="13"/>
        <v>4096238.74819687</v>
      </c>
      <c r="AP22" s="560">
        <f t="shared" si="14"/>
        <v>1.73999998729447e+16</v>
      </c>
      <c r="AQ22" s="561">
        <f ca="1">(AC22*$C$5+AD22*$C$8+AF22+AG22+AI22+(AL22+AM22)*$C$10)*EXP(-Z22*$C$12*3600)+AO22*$C$11</f>
        <v>11780004554220.8</v>
      </c>
      <c r="AR22" s="562">
        <f ca="1">AQ22*(1-AR$3)</f>
        <v>9676432312395.67</v>
      </c>
      <c r="AS22" s="563">
        <f ca="1" t="shared" si="15"/>
        <v>2103572241825.15</v>
      </c>
      <c r="AT22" s="562">
        <f ca="1">AS22*(1-AT$3)</f>
        <v>0</v>
      </c>
      <c r="AU22" s="564">
        <f ca="1" t="shared" si="16"/>
        <v>2103572241825.15</v>
      </c>
      <c r="AV22" s="565">
        <f>AV$3*3600</f>
        <v>7200</v>
      </c>
      <c r="AW22" s="580">
        <f>AP22*EXP(-Z22*AW$3*3600)</f>
        <v>1.73999998729447e+16</v>
      </c>
      <c r="AX22" s="580">
        <f ca="1" t="shared" si="17"/>
        <v>9676432312395.67</v>
      </c>
      <c r="AY22" s="581">
        <f ca="1" t="shared" si="18"/>
        <v>0</v>
      </c>
      <c r="AZ22" s="580">
        <v>0</v>
      </c>
      <c r="BA22" s="580">
        <f ca="1">MAX(INDIRECT("'"&amp;$B$2&amp;"-事故进程'!Y"&amp;(ROW()+22)),INDIRECT("'"&amp;$B$2&amp;"-事故进程'!Z"&amp;(ROW()+22)))</f>
        <v>2.002341425e-12</v>
      </c>
      <c r="BB22" s="580">
        <f>SUM(BA$3,-LN(1-BB$3)/AV22)</f>
        <v>1.38777878078145e-19</v>
      </c>
      <c r="BC22" s="580">
        <f>BC$3/24/3600</f>
        <v>1157407407407410</v>
      </c>
      <c r="BD22" s="582">
        <f ca="1" t="shared" si="19"/>
        <v>0.999994728134799</v>
      </c>
      <c r="BE22" s="582">
        <f t="shared" si="20"/>
        <v>0.99999474255158</v>
      </c>
      <c r="BF22" s="582">
        <f t="shared" si="21"/>
        <v>0</v>
      </c>
      <c r="BG22" s="582">
        <f ca="1" t="shared" si="22"/>
        <v>34860.1160605143</v>
      </c>
      <c r="BH22" s="582">
        <f ca="1" t="shared" si="23"/>
        <v>-1.16024377854044e-21</v>
      </c>
      <c r="BI22" s="582">
        <f ca="1" t="shared" si="24"/>
        <v>-6.93078043353843e-8</v>
      </c>
      <c r="BJ22" s="580">
        <f ca="1" t="shared" si="25"/>
        <v>1.73999081424908e+16</v>
      </c>
      <c r="BK22" s="580">
        <f ca="1" t="shared" si="26"/>
        <v>9676632291060</v>
      </c>
      <c r="BL22" s="586">
        <f ca="1" t="shared" si="27"/>
        <v>1.1602677568e-21</v>
      </c>
      <c r="BM22" s="594">
        <f ca="1" t="shared" si="28"/>
        <v>2</v>
      </c>
      <c r="BN22" s="580">
        <f ca="1" t="shared" si="29"/>
        <v>250852670.657261</v>
      </c>
      <c r="BO22" s="580">
        <f ca="1" t="shared" si="30"/>
        <v>0.00966879818508589</v>
      </c>
      <c r="BP22" s="595">
        <f ca="1" t="shared" si="31"/>
        <v>0.00966879818508601</v>
      </c>
      <c r="BQ22" s="596">
        <f>BQ$3*3600</f>
        <v>21600</v>
      </c>
      <c r="BR22" s="580">
        <f ca="1" t="shared" ref="BR22:BU22" si="202">BJ22</f>
        <v>1.73999081424908e+16</v>
      </c>
      <c r="BS22" s="580">
        <f ca="1" t="shared" si="202"/>
        <v>9676632291060</v>
      </c>
      <c r="BT22" s="581">
        <f ca="1" t="shared" si="202"/>
        <v>1.1602677568e-21</v>
      </c>
      <c r="BU22" s="580">
        <f ca="1" t="shared" si="202"/>
        <v>2</v>
      </c>
      <c r="BV22" s="580">
        <f ca="1">MAX(INDIRECT("'"&amp;$B$2&amp;"-事故进程'!Z"&amp;(ROW()+22)),INDIRECT("'"&amp;$B$2&amp;"-事故进程'!AA"&amp;(ROW()+22)))</f>
        <v>2.35416e-11</v>
      </c>
      <c r="BW22" s="580">
        <f ca="1">SUM(BV$3,-LN(1-BW$3)/BQ22)</f>
        <v>4.62592926927149e-20</v>
      </c>
      <c r="BX22" s="580">
        <f>BX$3/24/3600</f>
        <v>1157407407407410</v>
      </c>
      <c r="BY22" s="582">
        <f ca="1" t="shared" si="33"/>
        <v>0.999983719247255</v>
      </c>
      <c r="BZ22" s="582">
        <f ca="1" t="shared" si="34"/>
        <v>0.999984227737665</v>
      </c>
      <c r="CA22" s="582">
        <f t="shared" si="35"/>
        <v>0</v>
      </c>
      <c r="CB22" s="582">
        <f ca="1" t="shared" si="36"/>
        <v>409849.480933558</v>
      </c>
      <c r="CC22" s="582">
        <f ca="1" t="shared" si="37"/>
        <v>7.73511837866819e-22</v>
      </c>
      <c r="CD22" s="582">
        <f ca="1" t="shared" si="38"/>
        <v>-1.9650020722302e-9</v>
      </c>
      <c r="CE22" s="580">
        <f ca="1" t="shared" si="39"/>
        <v>1.73996248588886e+16</v>
      </c>
      <c r="CF22" s="580">
        <f ca="1" t="shared" si="40"/>
        <v>9685327355112</v>
      </c>
      <c r="CG22" s="586">
        <f ca="1" t="shared" si="41"/>
        <v>3.8710344350439e-22</v>
      </c>
      <c r="CH22" s="594">
        <f ca="1" t="shared" si="42"/>
        <v>2</v>
      </c>
      <c r="CI22" s="580">
        <f ca="1" t="shared" si="43"/>
        <v>8847756209.75887</v>
      </c>
      <c r="CJ22" s="580">
        <f ca="1" t="shared" si="44"/>
        <v>0.00967324204212525</v>
      </c>
      <c r="CK22" s="595">
        <f ca="1" t="shared" si="45"/>
        <v>0.00967324204212531</v>
      </c>
      <c r="CL22" s="596">
        <f>CL$3*3600</f>
        <v>57600</v>
      </c>
      <c r="CM22" s="580">
        <f ca="1" t="shared" ref="CM22:CP22" si="203">CE22</f>
        <v>1.73996248588886e+16</v>
      </c>
      <c r="CN22" s="580">
        <f ca="1" t="shared" si="203"/>
        <v>9685327355112</v>
      </c>
      <c r="CO22" s="581">
        <f ca="1" t="shared" si="203"/>
        <v>3.8710344350439e-22</v>
      </c>
      <c r="CP22" s="580">
        <f ca="1" t="shared" si="203"/>
        <v>2</v>
      </c>
      <c r="CQ22" s="580">
        <f ca="1">MAX(INDIRECT("'"&amp;$B$2&amp;"-事故进程'!AA"&amp;(ROW()+22)),INDIRECT("'"&amp;$B$2&amp;"-事故进程'!AB"&amp;(ROW()+22)))</f>
        <v>3.5538275e-10</v>
      </c>
      <c r="CR22" s="580">
        <f ca="1">SUM(CQ$3,-LN(1-CR$3)/CL22)</f>
        <v>1.73472347597681e-20</v>
      </c>
      <c r="CS22" s="580">
        <f>CS$3/24/3600</f>
        <v>1157407407407410</v>
      </c>
      <c r="CT22" s="582">
        <f ca="1" t="shared" si="47"/>
        <v>0.99993747221063</v>
      </c>
      <c r="CU22" s="582">
        <f ca="1" t="shared" si="48"/>
        <v>0.999957941186582</v>
      </c>
      <c r="CV22" s="582">
        <f t="shared" si="49"/>
        <v>0</v>
      </c>
      <c r="CW22" s="582">
        <f ca="1" t="shared" si="50"/>
        <v>6186968.52959013</v>
      </c>
      <c r="CX22" s="582">
        <f ca="1" t="shared" si="51"/>
        <v>2.41939652190247e-22</v>
      </c>
      <c r="CY22" s="582">
        <f ca="1" t="shared" si="52"/>
        <v>-4.88128215582069e-11</v>
      </c>
      <c r="CZ22" s="580">
        <f ca="1" t="shared" si="53"/>
        <v>1.73985368988103e+16</v>
      </c>
      <c r="DA22" s="580">
        <f ca="1" t="shared" si="54"/>
        <v>10041072504564</v>
      </c>
      <c r="DB22" s="586">
        <f ca="1" t="shared" si="55"/>
        <v>1.50495703467726e-22</v>
      </c>
      <c r="DC22" s="594">
        <f ca="1" t="shared" si="56"/>
        <v>2</v>
      </c>
      <c r="DD22" s="580">
        <f ca="1" t="shared" si="57"/>
        <v>356159992791.171</v>
      </c>
      <c r="DE22" s="580">
        <f ca="1" t="shared" si="58"/>
        <v>0.00985531958808913</v>
      </c>
      <c r="DF22" s="595">
        <f ca="1" t="shared" si="59"/>
        <v>0.00985531958809132</v>
      </c>
      <c r="DG22" s="596">
        <f>DG$3*3600</f>
        <v>86400</v>
      </c>
      <c r="DH22" s="580">
        <f ca="1" t="shared" ref="DH22:DK22" si="204">CZ22</f>
        <v>1.73985368988103e+16</v>
      </c>
      <c r="DI22" s="580">
        <f ca="1" t="shared" si="204"/>
        <v>10041072504564</v>
      </c>
      <c r="DJ22" s="581">
        <f ca="1" t="shared" si="204"/>
        <v>1.50495703467726e-22</v>
      </c>
      <c r="DK22" s="580">
        <f ca="1" t="shared" si="204"/>
        <v>2</v>
      </c>
      <c r="DL22" s="580">
        <f ca="1">MAX(INDIRECT("'"&amp;$B$2&amp;"-事故进程'!AB"&amp;(ROW()+22)),INDIRECT("'"&amp;$B$2&amp;"-事故进程'!AC"&amp;(ROW()+22)))</f>
        <v>3.5538275e-10</v>
      </c>
      <c r="DM22" s="580">
        <f ca="1">SUM(DL$3,-LN(1-DM$3)/DG22)</f>
        <v>1.15648231731787e-20</v>
      </c>
      <c r="DN22" s="580">
        <f>DN$3/24/3600</f>
        <v>1157407407407410</v>
      </c>
      <c r="DO22" s="582">
        <f ca="1" t="shared" si="61"/>
        <v>0.999906209782106</v>
      </c>
      <c r="DP22" s="582">
        <f ca="1" t="shared" si="62"/>
        <v>0.999936912443231</v>
      </c>
      <c r="DQ22" s="582">
        <f t="shared" si="63"/>
        <v>0</v>
      </c>
      <c r="DR22" s="582">
        <f ca="1" t="shared" si="64"/>
        <v>6186708.31303517</v>
      </c>
      <c r="DS22" s="582">
        <f ca="1" t="shared" si="65"/>
        <v>5.01652344892484e-23</v>
      </c>
      <c r="DT22" s="582">
        <f ca="1" t="shared" si="66"/>
        <v>-3.25418810382751e-11</v>
      </c>
      <c r="DU22" s="580">
        <f ca="1" t="shared" si="67"/>
        <v>1.73969050862435e+16</v>
      </c>
      <c r="DV22" s="580">
        <f ca="1" t="shared" si="68"/>
        <v>10574620420328</v>
      </c>
      <c r="DW22" s="586">
        <f ca="1" t="shared" si="69"/>
        <v>1.05661683605834e-22</v>
      </c>
      <c r="DX22" s="594">
        <f ca="1" t="shared" si="70"/>
        <v>-1.05661683605834e-22</v>
      </c>
      <c r="DY22" s="580">
        <f ca="1" t="shared" si="71"/>
        <v>534198233565.513</v>
      </c>
      <c r="DZ22" s="580">
        <f ca="1" t="shared" si="72"/>
        <v>0.0102996145927356</v>
      </c>
      <c r="EA22" s="595">
        <f ca="1" t="shared" si="73"/>
        <v>0.0102996145927352</v>
      </c>
      <c r="EB22" s="596">
        <f>EB$3*3600</f>
        <v>172800</v>
      </c>
      <c r="EC22" s="580">
        <f ca="1" t="shared" ref="EC22:EF22" si="205">DU22</f>
        <v>1.73969050862435e+16</v>
      </c>
      <c r="ED22" s="580">
        <f ca="1" t="shared" si="205"/>
        <v>10574620420328</v>
      </c>
      <c r="EE22" s="581">
        <f ca="1" t="shared" si="205"/>
        <v>1.05661683605834e-22</v>
      </c>
      <c r="EF22" s="580">
        <f ca="1" t="shared" si="205"/>
        <v>-1.05661683605834e-22</v>
      </c>
      <c r="EG22" s="580">
        <f ca="1">MAX(INDIRECT("'"&amp;$B$2&amp;"-事故进程'!AC"&amp;(ROW()+22)),INDIRECT("'"&amp;$B$2&amp;"-事故进程'!AD"&amp;(ROW()+22)),INDIRECT("'"&amp;$B$2&amp;"-事故进程'!AE"&amp;(ROW()+22)))</f>
        <v>3.004945e-10</v>
      </c>
      <c r="EH22" s="580">
        <f ca="1">SUM(EG$3,-LN(1-EH$3)/EB22)</f>
        <v>5.78241158658936e-21</v>
      </c>
      <c r="EI22" s="580">
        <f>EI$3/24/3600</f>
        <v>1157407407407410</v>
      </c>
      <c r="EJ22" s="582">
        <f ca="1" t="shared" si="75"/>
        <v>0.99982191131633</v>
      </c>
      <c r="EK22" s="582">
        <f ca="1" t="shared" si="76"/>
        <v>0.999873828866503</v>
      </c>
      <c r="EL22" s="582">
        <f t="shared" si="77"/>
        <v>0</v>
      </c>
      <c r="EM22" s="582">
        <f ca="1" t="shared" si="78"/>
        <v>5230851.91071403</v>
      </c>
      <c r="EN22" s="582">
        <f ca="1" t="shared" si="79"/>
        <v>5.28308418028965e-23</v>
      </c>
      <c r="EO22" s="582">
        <f ca="1" t="shared" si="80"/>
        <v>-1.92429864330317e-11</v>
      </c>
      <c r="EP22" s="580">
        <f ca="1" t="shared" si="81"/>
        <v>1.73938068943168e+16</v>
      </c>
      <c r="EQ22" s="580">
        <f ca="1" t="shared" si="82"/>
        <v>11476490901176</v>
      </c>
      <c r="ER22" s="586">
        <f ca="1" t="shared" si="83"/>
        <v>5.73365899817277e-23</v>
      </c>
      <c r="ES22" s="594">
        <f ca="1" t="shared" si="84"/>
        <v>2</v>
      </c>
      <c r="ET22" s="580">
        <f ca="1" t="shared" si="85"/>
        <v>903261678359.794</v>
      </c>
      <c r="EU22" s="580">
        <f ca="1" t="shared" si="86"/>
        <v>0.0110167660529421</v>
      </c>
      <c r="EV22" s="595">
        <f ca="1" t="shared" si="87"/>
        <v>0.0110167660529413</v>
      </c>
      <c r="EW22" s="596">
        <f>EW$3*3600</f>
        <v>2246400</v>
      </c>
      <c r="EX22" s="580">
        <f ca="1" t="shared" ref="EX22:FA22" si="206">EP22</f>
        <v>1.73938068943168e+16</v>
      </c>
      <c r="EY22" s="580">
        <f ca="1" t="shared" si="206"/>
        <v>11476490901176</v>
      </c>
      <c r="EZ22" s="581">
        <f ca="1" t="shared" si="206"/>
        <v>5.73365899817277e-23</v>
      </c>
      <c r="FA22" s="580">
        <f ca="1" t="shared" si="206"/>
        <v>2</v>
      </c>
      <c r="FB22" s="580">
        <f ca="1">INDIRECT("'"&amp;$B$2&amp;"-事故进程'!AE"&amp;(ROW()+22))</f>
        <v>9.6846275e-11</v>
      </c>
      <c r="FC22" s="580">
        <f ca="1">SUM(FB$3,-LN(1-FC$3)/EW22)</f>
        <v>4.44800891276105e-22</v>
      </c>
      <c r="FD22" s="580">
        <f>FD$3/24/3600</f>
        <v>1157407407407410</v>
      </c>
      <c r="FE22" s="582">
        <f ca="1" t="shared" si="89"/>
        <v>0.998143841106768</v>
      </c>
      <c r="FF22" s="582">
        <f ca="1" t="shared" si="90"/>
        <v>0.998361016384381</v>
      </c>
      <c r="FG22" s="582">
        <f t="shared" si="91"/>
        <v>0</v>
      </c>
      <c r="FH22" s="582">
        <f ca="1" t="shared" si="92"/>
        <v>1685636.86117774</v>
      </c>
      <c r="FI22" s="582">
        <f ca="1" t="shared" si="93"/>
        <v>5.29260830600554e-23</v>
      </c>
      <c r="FJ22" s="582">
        <f ca="1" t="shared" si="94"/>
        <v>-4.5928549268224e-12</v>
      </c>
      <c r="FK22" s="580">
        <f ca="1" t="shared" si="95"/>
        <v>1.73615212249627e+16</v>
      </c>
      <c r="FL22" s="580">
        <f ca="1" t="shared" si="96"/>
        <v>15235185961662</v>
      </c>
      <c r="FM22" s="586">
        <f ca="1" t="shared" si="97"/>
        <v>5.8550033904514e-24</v>
      </c>
      <c r="FN22" s="594">
        <f ca="1" t="shared" si="98"/>
        <v>2</v>
      </c>
      <c r="FO22" s="580">
        <f ca="1" t="shared" si="99"/>
        <v>3780604822063.4</v>
      </c>
      <c r="FP22" s="580">
        <f ca="1" t="shared" si="100"/>
        <v>0.0133462616456082</v>
      </c>
      <c r="FQ22" s="595">
        <f ca="1" t="shared" si="101"/>
        <v>0.0133462616456075</v>
      </c>
      <c r="FR22" s="608" t="str">
        <f t="shared" si="102"/>
        <v>Cs-137</v>
      </c>
      <c r="FS22" s="609">
        <v>4800000000</v>
      </c>
      <c r="FT22" s="610">
        <v>160000000</v>
      </c>
      <c r="FU22" s="610">
        <v>2210000000</v>
      </c>
      <c r="FV22" s="610">
        <v>7860000000</v>
      </c>
      <c r="FW22" s="610">
        <v>15000000000</v>
      </c>
      <c r="FX22" s="614">
        <f ca="1" t="shared" si="103"/>
        <v>438.244217046906</v>
      </c>
      <c r="FY22" s="614">
        <f ca="1" t="shared" si="104"/>
        <v>1.20887751420071e-10</v>
      </c>
      <c r="FZ22" s="614">
        <f ca="1" t="shared" si="105"/>
        <v>4.45942062809562e-12</v>
      </c>
      <c r="GA22" s="614">
        <f ca="1" t="shared" si="106"/>
        <v>2.71200771573492e-12</v>
      </c>
      <c r="GB22" s="614">
        <f ca="1" t="shared" si="107"/>
        <v>140.238149455013</v>
      </c>
      <c r="GC22" s="455">
        <f ca="1" t="shared" si="108"/>
        <v>140.238149455014</v>
      </c>
      <c r="GE22" s="609">
        <v>227252.597555914</v>
      </c>
      <c r="GF22" s="610">
        <v>212417376.915186</v>
      </c>
      <c r="GG22" s="610">
        <v>628318264.087984</v>
      </c>
      <c r="GH22" s="610">
        <v>1022851382.69255</v>
      </c>
      <c r="GI22" s="610">
        <v>2255281278.4136</v>
      </c>
      <c r="GJ22" s="610">
        <v>12982879176.6197</v>
      </c>
      <c r="GK22" s="617">
        <v>17101974731.3265</v>
      </c>
      <c r="GL22" s="614">
        <f ca="1" t="shared" si="109"/>
        <v>9256537.72255596</v>
      </c>
      <c r="GM22" s="614">
        <f ca="1" t="shared" si="110"/>
        <v>9.10567699691265e-11</v>
      </c>
      <c r="GN22" s="614">
        <f ca="1" t="shared" si="111"/>
        <v>1.56852349380556e-11</v>
      </c>
      <c r="GO22" s="614">
        <f ca="1" t="shared" si="112"/>
        <v>6.50259853684007e-12</v>
      </c>
      <c r="GP22" s="614">
        <f ca="1" t="shared" si="113"/>
        <v>1.02798935922027e-12</v>
      </c>
      <c r="GQ22" s="614">
        <f ca="1" t="shared" si="114"/>
        <v>123.001716168601</v>
      </c>
      <c r="GR22" s="451">
        <f t="shared" si="115"/>
        <v>7.302030887879e-10</v>
      </c>
      <c r="GS22" s="390">
        <f t="shared" si="116"/>
        <v>949252600</v>
      </c>
    </row>
    <row r="23" s="389" customFormat="1" spans="1:201">
      <c r="A23" s="432" t="s">
        <v>235</v>
      </c>
      <c r="B23" s="407" t="s">
        <v>267</v>
      </c>
      <c r="C23" s="428">
        <f>-LN(1-0%)/8/3600</f>
        <v>0</v>
      </c>
      <c r="D23" s="410" t="s">
        <v>268</v>
      </c>
      <c r="E23" s="409" t="s">
        <v>269</v>
      </c>
      <c r="G23" s="411" t="s">
        <v>64</v>
      </c>
      <c r="H23" s="412">
        <f ca="1" t="shared" si="1"/>
        <v>45321695638.1293</v>
      </c>
      <c r="I23" s="412">
        <f ca="1" t="shared" si="2"/>
        <v>0.000208624829544952</v>
      </c>
      <c r="J23" s="412">
        <f ca="1" t="shared" si="3"/>
        <v>0.000210123631517681</v>
      </c>
      <c r="K23" s="412">
        <f ca="1" t="shared" si="4"/>
        <v>0.000221054996494549</v>
      </c>
      <c r="L23" s="412">
        <f ca="1" t="shared" si="5"/>
        <v>0.00270255028895153</v>
      </c>
      <c r="M23" s="412">
        <f ca="1" t="shared" si="6"/>
        <v>0.0116846900265391</v>
      </c>
      <c r="N23" s="412">
        <f ca="1" t="shared" si="7"/>
        <v>45321695638.1443</v>
      </c>
      <c r="O23" s="450">
        <f ca="1" t="shared" si="8"/>
        <v>45321695638.1293</v>
      </c>
      <c r="P23" s="451"/>
      <c r="Q23" s="477" t="str">
        <f t="shared" si="0"/>
        <v>Ag-110m</v>
      </c>
      <c r="R23" s="412">
        <f ca="1" t="shared" si="9"/>
        <v>45321695638.1293</v>
      </c>
      <c r="S23" s="412">
        <f ca="1">I23*(1-过滤效率!$B20)</f>
        <v>2.08624829544953e-7</v>
      </c>
      <c r="T23" s="412">
        <f ca="1">J23*(1-过滤效率!$B20)</f>
        <v>2.10123631517681e-7</v>
      </c>
      <c r="U23" s="412">
        <f ca="1">K23*(1-过滤效率!$B20)</f>
        <v>2.21054996494549e-7</v>
      </c>
      <c r="V23" s="412">
        <f ca="1">L23*(1-过滤效率!$B20)</f>
        <v>2.70255028895154e-6</v>
      </c>
      <c r="W23" s="412">
        <f ca="1">M23*(1-过滤效率!$B20)</f>
        <v>1.16846900265391e-5</v>
      </c>
      <c r="X23" s="412">
        <f ca="1" t="shared" si="10"/>
        <v>45321695638.1293</v>
      </c>
      <c r="Y23" s="493"/>
      <c r="Z23" s="494">
        <f>VLOOKUP(G23,衰变常数!$A$1:$H$3800,7,FALSE)</f>
        <v>3.21209893462493e-8</v>
      </c>
      <c r="AA23" s="495">
        <f>正常源项!C20</f>
        <v>242000000000000</v>
      </c>
      <c r="AB23" s="496">
        <f>正常源项!F20</f>
        <v>0</v>
      </c>
      <c r="AC23" s="496">
        <f>正常源项!I20</f>
        <v>409000</v>
      </c>
      <c r="AD23" s="497"/>
      <c r="AE23" s="496">
        <f>正常源项!O20</f>
        <v>282000000000</v>
      </c>
      <c r="AF23" s="498">
        <f t="shared" si="157"/>
        <v>0</v>
      </c>
      <c r="AG23" s="519">
        <f t="shared" si="185"/>
        <v>0</v>
      </c>
      <c r="AH23" s="523">
        <v>0.9</v>
      </c>
      <c r="AI23" s="519">
        <f t="shared" si="159"/>
        <v>253800000000</v>
      </c>
      <c r="AJ23" s="521">
        <v>0.00066</v>
      </c>
      <c r="AK23" s="521">
        <v>5.457e-5</v>
      </c>
      <c r="AL23" s="526">
        <f>AA23*(AJ23-AK23)*0.00000209</f>
        <v>306214.3854</v>
      </c>
      <c r="AM23" s="520"/>
      <c r="AN23" s="519">
        <f ca="1">MAX(INDIRECT("'"&amp;$B$2&amp;"-事故进程'!Y"&amp;(ROW()+22)),INDIRECT("'"&amp;$B$2&amp;"-事故进程'!Z"&amp;(ROW()+22)),INDIRECT("'"&amp;$B$2&amp;"-事故进程'!AA"&amp;(ROW()+22)))</f>
        <v>4.8268475e-10</v>
      </c>
      <c r="AO23" s="519">
        <f ca="1" t="shared" si="13"/>
        <v>1168096.71335538</v>
      </c>
      <c r="AP23" s="560">
        <f t="shared" si="14"/>
        <v>241999922267218</v>
      </c>
      <c r="AQ23" s="561">
        <f ca="1">(AC23*$C$5+AD23*$C$8+AF23+AG23+AI23+(AL23+AM23)*$C$10)*EXP(-Z23*$C$12*3600)+AO23*$C$11</f>
        <v>253801495573.524</v>
      </c>
      <c r="AR23" s="562">
        <f ca="1">AQ23*(1-AR$3)</f>
        <v>208479799935.395</v>
      </c>
      <c r="AS23" s="563">
        <f ca="1" t="shared" si="15"/>
        <v>45321695638.1293</v>
      </c>
      <c r="AT23" s="562">
        <f ca="1">AS23*(1-AT$3)</f>
        <v>0</v>
      </c>
      <c r="AU23" s="564">
        <f ca="1" t="shared" si="16"/>
        <v>45321695638.1293</v>
      </c>
      <c r="AV23" s="565">
        <f>AV$3*3600</f>
        <v>7200</v>
      </c>
      <c r="AW23" s="580">
        <f>AP23*EXP(-Z23*AW$3*3600)</f>
        <v>241999922267218</v>
      </c>
      <c r="AX23" s="580">
        <f ca="1" t="shared" si="17"/>
        <v>208479799935.395</v>
      </c>
      <c r="AY23" s="581">
        <f ca="1" t="shared" si="18"/>
        <v>0</v>
      </c>
      <c r="AZ23" s="580">
        <v>0</v>
      </c>
      <c r="BA23" s="580">
        <f ca="1">MAX(INDIRECT("'"&amp;$B$2&amp;"-事故进程'!Y"&amp;(ROW()+22)),INDIRECT("'"&amp;$B$2&amp;"-事故进程'!Z"&amp;(ROW()+22)))</f>
        <v>3.85755562e-10</v>
      </c>
      <c r="BB23" s="580">
        <f>SUM(BA$3,-LN(1-BB$3)/AV23)</f>
        <v>1.38777878078145e-19</v>
      </c>
      <c r="BC23" s="580">
        <f>BC$3/24/3600</f>
        <v>1157407407407410</v>
      </c>
      <c r="BD23" s="582">
        <f ca="1" t="shared" si="19"/>
        <v>0.999765978823889</v>
      </c>
      <c r="BE23" s="582">
        <f t="shared" si="20"/>
        <v>0.999768755617811</v>
      </c>
      <c r="BF23" s="582">
        <f t="shared" si="21"/>
        <v>0</v>
      </c>
      <c r="BG23" s="582">
        <f ca="1" t="shared" si="22"/>
        <v>93433.2382605079</v>
      </c>
      <c r="BH23" s="582">
        <f ca="1" t="shared" si="23"/>
        <v>-2.49975799982123e-23</v>
      </c>
      <c r="BI23" s="582">
        <f ca="1" t="shared" si="24"/>
        <v>-3.59756000428247e-10</v>
      </c>
      <c r="BJ23" s="580">
        <f ca="1" t="shared" si="25"/>
        <v>241943289160791</v>
      </c>
      <c r="BK23" s="580">
        <f ca="1" t="shared" si="26"/>
        <v>209103574066.375</v>
      </c>
      <c r="BL23" s="586">
        <f ca="1" t="shared" si="27"/>
        <v>2.50723730656593e-23</v>
      </c>
      <c r="BM23" s="594">
        <f ca="1" t="shared" si="28"/>
        <v>-0.03125</v>
      </c>
      <c r="BN23" s="580">
        <f ca="1" t="shared" si="29"/>
        <v>672061624.733782</v>
      </c>
      <c r="BO23" s="580">
        <f ca="1" t="shared" si="30"/>
        <v>0.000208624829544981</v>
      </c>
      <c r="BP23" s="595">
        <f ca="1" t="shared" si="31"/>
        <v>0.000208624829544952</v>
      </c>
      <c r="BQ23" s="596">
        <f>BQ$3*3600</f>
        <v>21600</v>
      </c>
      <c r="BR23" s="580">
        <f ca="1" t="shared" ref="BR23:BU23" si="207">BJ23</f>
        <v>241943289160791</v>
      </c>
      <c r="BS23" s="580">
        <f ca="1" t="shared" si="207"/>
        <v>209103574066.375</v>
      </c>
      <c r="BT23" s="581">
        <f ca="1" t="shared" si="207"/>
        <v>2.50723730656593e-23</v>
      </c>
      <c r="BU23" s="580">
        <f ca="1" t="shared" si="207"/>
        <v>-0.03125</v>
      </c>
      <c r="BV23" s="580">
        <f ca="1">MAX(INDIRECT("'"&amp;$B$2&amp;"-事故进程'!Z"&amp;(ROW()+22)),INDIRECT("'"&amp;$B$2&amp;"-事故进程'!AA"&amp;(ROW()+22)))</f>
        <v>4.8268475e-10</v>
      </c>
      <c r="BW23" s="580">
        <f ca="1">SUM(BV$3,-LN(1-BW$3)/BQ23)</f>
        <v>4.62592926927149e-20</v>
      </c>
      <c r="BX23" s="580">
        <f>BX$3/24/3600</f>
        <v>1157407407407410</v>
      </c>
      <c r="BY23" s="582">
        <f ca="1" t="shared" si="33"/>
        <v>0.999296008557858</v>
      </c>
      <c r="BZ23" s="582">
        <f ca="1" t="shared" si="34"/>
        <v>0.999306427262961</v>
      </c>
      <c r="CA23" s="582">
        <f t="shared" si="35"/>
        <v>0</v>
      </c>
      <c r="CB23" s="582">
        <f ca="1" t="shared" si="36"/>
        <v>116883.267149117</v>
      </c>
      <c r="CC23" s="582">
        <f ca="1" t="shared" si="37"/>
        <v>1.67149153771028e-23</v>
      </c>
      <c r="CD23" s="582">
        <f ca="1" t="shared" si="38"/>
        <v>-9.5837485433605e-11</v>
      </c>
      <c r="CE23" s="580">
        <f ca="1" t="shared" si="39"/>
        <v>241772963155738</v>
      </c>
      <c r="CF23" s="580">
        <f ca="1" t="shared" si="40"/>
        <v>211479281309.969</v>
      </c>
      <c r="CG23" s="586">
        <f ca="1" t="shared" si="41"/>
        <v>8.45241002429466e-24</v>
      </c>
      <c r="CH23" s="594">
        <f ca="1" t="shared" si="42"/>
        <v>-0.0625</v>
      </c>
      <c r="CI23" s="580">
        <f ca="1" t="shared" si="43"/>
        <v>2521610445.64305</v>
      </c>
      <c r="CJ23" s="580">
        <f ca="1" t="shared" si="44"/>
        <v>0.000210123631517678</v>
      </c>
      <c r="CK23" s="595">
        <f ca="1" t="shared" si="45"/>
        <v>0.000210123631517681</v>
      </c>
      <c r="CL23" s="596">
        <f>CL$3*3600</f>
        <v>57600</v>
      </c>
      <c r="CM23" s="580">
        <f ca="1" t="shared" ref="CM23:CP23" si="208">CE23</f>
        <v>241772963155738</v>
      </c>
      <c r="CN23" s="580">
        <f ca="1" t="shared" si="208"/>
        <v>211479281309.969</v>
      </c>
      <c r="CO23" s="581">
        <f ca="1" t="shared" si="208"/>
        <v>8.45241002429466e-24</v>
      </c>
      <c r="CP23" s="580">
        <f ca="1" t="shared" si="208"/>
        <v>-0.0625</v>
      </c>
      <c r="CQ23" s="580">
        <f ca="1">MAX(INDIRECT("'"&amp;$B$2&amp;"-事故进程'!AA"&amp;(ROW()+22)),INDIRECT("'"&amp;$B$2&amp;"-事故进程'!AB"&amp;(ROW()+22)))</f>
        <v>1.4304925e-9</v>
      </c>
      <c r="CR23" s="580">
        <f ca="1">SUM(CQ$3,-LN(1-CR$3)/CL23)</f>
        <v>1.73472347597681e-20</v>
      </c>
      <c r="CS23" s="580">
        <f>CS$3/24/3600</f>
        <v>1157407407407410</v>
      </c>
      <c r="CT23" s="582">
        <f ca="1" t="shared" si="47"/>
        <v>0.998069300847701</v>
      </c>
      <c r="CU23" s="582">
        <f ca="1" t="shared" si="48"/>
        <v>0.998151541521222</v>
      </c>
      <c r="CV23" s="582">
        <f t="shared" si="49"/>
        <v>0</v>
      </c>
      <c r="CW23" s="582">
        <f ca="1" t="shared" si="50"/>
        <v>346156.930022875</v>
      </c>
      <c r="CX23" s="582">
        <f ca="1" t="shared" si="51"/>
        <v>5.2827562651843e-24</v>
      </c>
      <c r="CY23" s="582">
        <f ca="1" t="shared" si="52"/>
        <v>-1.21267568756763e-11</v>
      </c>
      <c r="CZ23" s="580">
        <f ca="1" t="shared" si="53"/>
        <v>241306172300724</v>
      </c>
      <c r="DA23" s="580">
        <f ca="1" t="shared" si="54"/>
        <v>230971941968.687</v>
      </c>
      <c r="DB23" s="586">
        <f ca="1" t="shared" si="55"/>
        <v>3.46180996821593e-24</v>
      </c>
      <c r="DC23" s="594">
        <f ca="1" t="shared" si="56"/>
        <v>-0.0625</v>
      </c>
      <c r="DD23" s="580">
        <f ca="1" t="shared" si="57"/>
        <v>19901976914.9232</v>
      </c>
      <c r="DE23" s="580">
        <f ca="1" t="shared" si="58"/>
        <v>0.000221054996494524</v>
      </c>
      <c r="DF23" s="595">
        <f ca="1" t="shared" si="59"/>
        <v>0.000221054996494549</v>
      </c>
      <c r="DG23" s="596">
        <f>DG$3*3600</f>
        <v>86400</v>
      </c>
      <c r="DH23" s="580">
        <f ca="1" t="shared" ref="DH23:DK23" si="209">CZ23</f>
        <v>241306172300724</v>
      </c>
      <c r="DI23" s="580">
        <f ca="1" t="shared" si="209"/>
        <v>230971941968.687</v>
      </c>
      <c r="DJ23" s="581">
        <f ca="1" t="shared" si="209"/>
        <v>3.46180996821593e-24</v>
      </c>
      <c r="DK23" s="580">
        <f ca="1" t="shared" si="209"/>
        <v>-0.0625</v>
      </c>
      <c r="DL23" s="580">
        <f ca="1">MAX(INDIRECT("'"&amp;$B$2&amp;"-事故进程'!AB"&amp;(ROW()+22)),INDIRECT("'"&amp;$B$2&amp;"-事故进程'!AC"&amp;(ROW()+22)))</f>
        <v>4.091969775e-8</v>
      </c>
      <c r="DM23" s="580">
        <f ca="1">SUM(DL$3,-LN(1-DM$3)/DG23)</f>
        <v>1.15648231731787e-20</v>
      </c>
      <c r="DN23" s="580">
        <f>DN$3/24/3600</f>
        <v>1157407407407410</v>
      </c>
      <c r="DO23" s="582">
        <f ca="1" t="shared" si="61"/>
        <v>0.993709155377587</v>
      </c>
      <c r="DP23" s="582">
        <f ca="1" t="shared" si="62"/>
        <v>0.997228593976376</v>
      </c>
      <c r="DQ23" s="582">
        <f t="shared" si="63"/>
        <v>0</v>
      </c>
      <c r="DR23" s="582">
        <f ca="1" t="shared" si="64"/>
        <v>9883626.93780914</v>
      </c>
      <c r="DS23" s="582">
        <f ca="1" t="shared" si="65"/>
        <v>1.15393665607172e-24</v>
      </c>
      <c r="DT23" s="582">
        <f ca="1" t="shared" si="66"/>
        <v>-2.82622399701913e-13</v>
      </c>
      <c r="DU23" s="580">
        <f ca="1" t="shared" si="67"/>
        <v>239788152664351</v>
      </c>
      <c r="DV23" s="580">
        <f ca="1" t="shared" si="68"/>
        <v>1079594081858.84</v>
      </c>
      <c r="DW23" s="586">
        <f ca="1" t="shared" si="69"/>
        <v>1.07873118623589e-23</v>
      </c>
      <c r="DX23" s="594">
        <f ca="1" t="shared" si="70"/>
        <v>-0.0625</v>
      </c>
      <c r="DY23" s="580">
        <f ca="1" t="shared" si="71"/>
        <v>850442502232.964</v>
      </c>
      <c r="DZ23" s="580">
        <f ca="1" t="shared" si="72"/>
        <v>0.000655402247384056</v>
      </c>
      <c r="EA23" s="595">
        <f ca="1" t="shared" si="73"/>
        <v>0.000655402247384057</v>
      </c>
      <c r="EB23" s="596">
        <f>EB$3*3600</f>
        <v>172800</v>
      </c>
      <c r="EC23" s="580">
        <f ca="1" t="shared" ref="EC23:EF23" si="210">DU23</f>
        <v>239788152664351</v>
      </c>
      <c r="ED23" s="580">
        <f ca="1" t="shared" si="210"/>
        <v>1079594081858.84</v>
      </c>
      <c r="EE23" s="581">
        <f ca="1" t="shared" si="210"/>
        <v>1.07873118623589e-23</v>
      </c>
      <c r="EF23" s="580">
        <f ca="1" t="shared" si="210"/>
        <v>-0.0625</v>
      </c>
      <c r="EG23" s="580">
        <f ca="1">MAX(INDIRECT("'"&amp;$B$2&amp;"-事故进程'!AC"&amp;(ROW()+22)),INDIRECT("'"&amp;$B$2&amp;"-事故进程'!AD"&amp;(ROW()+22)),INDIRECT("'"&amp;$B$2&amp;"-事故进程'!AE"&amp;(ROW()+22)))</f>
        <v>4.7227275e-8</v>
      </c>
      <c r="EH23" s="580">
        <f ca="1">SUM(EG$3,-LN(1-EH$3)/EB23)</f>
        <v>5.78241158658936e-21</v>
      </c>
      <c r="EI23" s="580">
        <f>EI$3/24/3600</f>
        <v>1157407407407410</v>
      </c>
      <c r="EJ23" s="582">
        <f ca="1" t="shared" si="75"/>
        <v>0.986382192733788</v>
      </c>
      <c r="EK23" s="582">
        <f ca="1" t="shared" si="76"/>
        <v>0.994464868644101</v>
      </c>
      <c r="EL23" s="582">
        <f t="shared" si="77"/>
        <v>0</v>
      </c>
      <c r="EM23" s="582">
        <f ca="1" t="shared" si="78"/>
        <v>11375527.3142136</v>
      </c>
      <c r="EN23" s="582">
        <f ca="1" t="shared" si="79"/>
        <v>5.39365593117953e-24</v>
      </c>
      <c r="EO23" s="582">
        <f ca="1" t="shared" si="80"/>
        <v>-1.22437968029916e-13</v>
      </c>
      <c r="EP23" s="580">
        <f ca="1" t="shared" si="81"/>
        <v>236522763816647</v>
      </c>
      <c r="EQ23" s="580">
        <f ca="1" t="shared" si="82"/>
        <v>3011748311923.59</v>
      </c>
      <c r="ER23" s="586">
        <f ca="1" t="shared" si="83"/>
        <v>1.5046705441231e-23</v>
      </c>
      <c r="ES23" s="594">
        <f ca="1" t="shared" si="84"/>
        <v>-0.03125</v>
      </c>
      <c r="ET23" s="580">
        <f ca="1" t="shared" si="85"/>
        <v>1943526028742.32</v>
      </c>
      <c r="EU23" s="580">
        <f ca="1" t="shared" si="86"/>
        <v>0.0020471480415675</v>
      </c>
      <c r="EV23" s="595">
        <f ca="1" t="shared" si="87"/>
        <v>0.00204714804156748</v>
      </c>
      <c r="EW23" s="596">
        <f>EW$3*3600</f>
        <v>2246400</v>
      </c>
      <c r="EX23" s="580">
        <f ca="1" t="shared" ref="EX23:FA23" si="211">EP23</f>
        <v>236522763816647</v>
      </c>
      <c r="EY23" s="580">
        <f ca="1" t="shared" si="211"/>
        <v>3011748311923.59</v>
      </c>
      <c r="EZ23" s="581">
        <f ca="1" t="shared" si="211"/>
        <v>1.5046705441231e-23</v>
      </c>
      <c r="FA23" s="580">
        <f ca="1" t="shared" si="211"/>
        <v>-0.03125</v>
      </c>
      <c r="FB23" s="580">
        <f ca="1">INDIRECT("'"&amp;$B$2&amp;"-事故进程'!AE"&amp;(ROW()+22))</f>
        <v>3.5632668e-8</v>
      </c>
      <c r="FC23" s="580">
        <f ca="1">SUM(FB$3,-LN(1-FC$3)/EW23)</f>
        <v>4.44800891276105e-22</v>
      </c>
      <c r="FD23" s="580">
        <f>FD$3/24/3600</f>
        <v>1157407407407410</v>
      </c>
      <c r="FE23" s="582">
        <f ca="1" t="shared" si="89"/>
        <v>0.858814940772236</v>
      </c>
      <c r="FF23" s="582">
        <f ca="1" t="shared" si="90"/>
        <v>0.930385194951267</v>
      </c>
      <c r="FG23" s="582">
        <f t="shared" si="91"/>
        <v>0</v>
      </c>
      <c r="FH23" s="582">
        <f ca="1" t="shared" si="92"/>
        <v>8535253.74521932</v>
      </c>
      <c r="FI23" s="582">
        <f ca="1" t="shared" si="93"/>
        <v>1.38892665611363e-23</v>
      </c>
      <c r="FJ23" s="582">
        <f ca="1" t="shared" si="94"/>
        <v>-1.24829521964538e-14</v>
      </c>
      <c r="FK23" s="580">
        <f ca="1" t="shared" si="95"/>
        <v>203129283398479</v>
      </c>
      <c r="FL23" s="580">
        <f ca="1" t="shared" si="96"/>
        <v>19730080365817.7</v>
      </c>
      <c r="FM23" s="586">
        <f ca="1" t="shared" si="97"/>
        <v>7.58242713455843e-24</v>
      </c>
      <c r="FN23" s="594">
        <f ca="1" t="shared" si="98"/>
        <v>-0.03125</v>
      </c>
      <c r="FO23" s="580">
        <f ca="1" t="shared" si="99"/>
        <v>17562133878975.6</v>
      </c>
      <c r="FP23" s="580">
        <f ca="1" t="shared" si="100"/>
        <v>0.0116846900265391</v>
      </c>
      <c r="FQ23" s="595">
        <f ca="1" t="shared" si="101"/>
        <v>0.0116846900265391</v>
      </c>
      <c r="FR23" s="608" t="str">
        <f t="shared" si="102"/>
        <v>Ag-110m</v>
      </c>
      <c r="FS23" s="609">
        <v>127000000</v>
      </c>
      <c r="FT23" s="610">
        <v>442000000</v>
      </c>
      <c r="FU23" s="610">
        <v>1160000000</v>
      </c>
      <c r="FV23" s="610">
        <v>3990000000</v>
      </c>
      <c r="FW23" s="610">
        <v>5720000000</v>
      </c>
      <c r="FX23" s="614">
        <f ca="1" t="shared" si="103"/>
        <v>356.863745182121</v>
      </c>
      <c r="FY23" s="614">
        <f ca="1" t="shared" si="104"/>
        <v>9.47394708286502e-13</v>
      </c>
      <c r="FZ23" s="614">
        <f ca="1" t="shared" si="105"/>
        <v>1.90564652150473e-13</v>
      </c>
      <c r="GA23" s="614">
        <f ca="1" t="shared" si="106"/>
        <v>6.773308994866e-13</v>
      </c>
      <c r="GB23" s="614">
        <f ca="1" t="shared" si="107"/>
        <v>7.9233733633099</v>
      </c>
      <c r="GC23" s="455">
        <f ca="1" t="shared" si="108"/>
        <v>7.92337336331195</v>
      </c>
      <c r="GE23" s="609">
        <v>119532.747822784</v>
      </c>
      <c r="GF23" s="610">
        <v>47625559.870575</v>
      </c>
      <c r="GG23" s="610">
        <v>232397824.418568</v>
      </c>
      <c r="GH23" s="610">
        <v>395119538.985329</v>
      </c>
      <c r="GI23" s="610">
        <v>1005803168.81349</v>
      </c>
      <c r="GJ23" s="610">
        <v>7934681196.38171</v>
      </c>
      <c r="GK23" s="617">
        <v>9615746821.21749</v>
      </c>
      <c r="GL23" s="614">
        <f ca="1" t="shared" si="109"/>
        <v>379157.147004786</v>
      </c>
      <c r="GM23" s="614">
        <f ca="1" t="shared" si="110"/>
        <v>8.79251524182823e-12</v>
      </c>
      <c r="GN23" s="614">
        <f ca="1" t="shared" si="111"/>
        <v>9.51192194021619e-13</v>
      </c>
      <c r="GO23" s="614">
        <f ca="1" t="shared" si="112"/>
        <v>1.92912162384596e-12</v>
      </c>
      <c r="GP23" s="614">
        <f ca="1" t="shared" si="113"/>
        <v>1.47260989286721e-12</v>
      </c>
      <c r="GQ23" s="614">
        <f ca="1" t="shared" si="114"/>
        <v>4.71327879995139</v>
      </c>
      <c r="GR23" s="451">
        <f t="shared" si="115"/>
        <v>3.21209893462493e-8</v>
      </c>
      <c r="GS23" s="390">
        <f t="shared" si="116"/>
        <v>21579260</v>
      </c>
    </row>
    <row r="24" spans="1:201">
      <c r="A24" s="430"/>
      <c r="B24" s="407" t="s">
        <v>270</v>
      </c>
      <c r="C24" s="433">
        <f ca="1">IF(8&lt;=$C$13-$C$12,MAX(1%,INDIRECT("'"&amp;$B$2&amp;"-事故进程'!$AB$23")*150%),0.000000000000001)</f>
        <v>1e-15</v>
      </c>
      <c r="D24" s="410"/>
      <c r="E24" s="409" t="s">
        <v>271</v>
      </c>
      <c r="G24" s="411" t="s">
        <v>65</v>
      </c>
      <c r="H24" s="412">
        <f t="shared" si="1"/>
        <v>2329285672758.43</v>
      </c>
      <c r="I24" s="412">
        <f ca="1" t="shared" si="2"/>
        <v>0.0107060813472777</v>
      </c>
      <c r="J24" s="412">
        <f ca="1" t="shared" si="3"/>
        <v>0.0107058064962463</v>
      </c>
      <c r="K24" s="412">
        <f ca="1" t="shared" si="4"/>
        <v>0.0107050506947443</v>
      </c>
      <c r="L24" s="412">
        <f ca="1" t="shared" si="5"/>
        <v>0.0214048804677322</v>
      </c>
      <c r="M24" s="412">
        <f ca="1" t="shared" si="6"/>
        <v>0.0106781584691411</v>
      </c>
      <c r="N24" s="412">
        <f ca="1" t="shared" si="7"/>
        <v>2329285672758.49</v>
      </c>
      <c r="O24" s="450">
        <f t="shared" si="8"/>
        <v>2329285672758.43</v>
      </c>
      <c r="P24" s="451"/>
      <c r="Q24" s="477" t="str">
        <f t="shared" si="0"/>
        <v>H-3</v>
      </c>
      <c r="R24" s="412">
        <f t="shared" si="9"/>
        <v>2329285672758.43</v>
      </c>
      <c r="S24" s="412">
        <f ca="1">I24*(1-过滤效率!$B21)</f>
        <v>0.0107060813472777</v>
      </c>
      <c r="T24" s="412">
        <f ca="1">J24*(1-过滤效率!$B21)</f>
        <v>0.0107058064962463</v>
      </c>
      <c r="U24" s="412">
        <f ca="1">K24*(1-过滤效率!$B21)</f>
        <v>0.0107050506947443</v>
      </c>
      <c r="V24" s="412">
        <f ca="1">L24*(1-过滤效率!$B21)</f>
        <v>0.0214048804677322</v>
      </c>
      <c r="W24" s="412">
        <f ca="1">M24*(1-过滤效率!$B21)</f>
        <v>0.0106781584691411</v>
      </c>
      <c r="X24" s="412">
        <f ca="1" t="shared" si="10"/>
        <v>2329285672758.49</v>
      </c>
      <c r="Y24" s="493"/>
      <c r="Z24" s="494">
        <f>VLOOKUP(G24,衰变常数!$A$1:$H$3800,7,FALSE)</f>
        <v>1.78283364719618e-9</v>
      </c>
      <c r="AA24" s="495">
        <f>正常源项!C21</f>
        <v>111000000000000</v>
      </c>
      <c r="AB24" s="496">
        <f>正常源项!F21</f>
        <v>0</v>
      </c>
      <c r="AC24" s="496">
        <f>正常源项!I21</f>
        <v>144000000000</v>
      </c>
      <c r="AD24" s="496">
        <f>正常源项!L21</f>
        <v>12900000000000</v>
      </c>
      <c r="AE24" s="496"/>
      <c r="AF24" s="498"/>
      <c r="AG24" s="483"/>
      <c r="AH24" s="523"/>
      <c r="AI24" s="519"/>
      <c r="AK24" s="527"/>
      <c r="AL24" s="527"/>
      <c r="AM24" s="528"/>
      <c r="AN24" s="527"/>
      <c r="AO24" s="527"/>
      <c r="AP24" s="560">
        <f t="shared" si="14"/>
        <v>110999998021055</v>
      </c>
      <c r="AQ24" s="561">
        <f>(AC24*$C$5+AD24*$C$8+AF24+AG24+AI24+(AL24+AM24)*$C$10)*EXP(-Z24*$C$12*3600)+AO24*$C$11</f>
        <v>13043999767447.2</v>
      </c>
      <c r="AR24" s="562">
        <f>AQ24*(1-AR$3)</f>
        <v>10714714094688.8</v>
      </c>
      <c r="AS24" s="563">
        <f t="shared" si="15"/>
        <v>2329285672758.43</v>
      </c>
      <c r="AT24" s="562">
        <f>AS24*(1-AT$3)</f>
        <v>0</v>
      </c>
      <c r="AU24" s="564">
        <f t="shared" si="16"/>
        <v>2329285672758.43</v>
      </c>
      <c r="AV24" s="565">
        <f>AV$3*3600</f>
        <v>7200</v>
      </c>
      <c r="AW24" s="580">
        <f>AP24*EXP(-Z24*AW$3*3600)</f>
        <v>110999998021055</v>
      </c>
      <c r="AX24" s="580">
        <f t="shared" si="17"/>
        <v>10714714094688.8</v>
      </c>
      <c r="AY24" s="581">
        <f t="shared" si="18"/>
        <v>0</v>
      </c>
      <c r="AZ24" s="580">
        <v>0</v>
      </c>
      <c r="BA24" s="580">
        <f ca="1">MAX(INDIRECT("'"&amp;$B$2&amp;"-事故进程'!Y"&amp;(ROW()+22)),INDIRECT("'"&amp;$B$2&amp;"-事故进程'!Z"&amp;(ROW()+22)))</f>
        <v>0</v>
      </c>
      <c r="BB24" s="580">
        <f>SUM(BA$3,-LN(1-BB$3)/AV24)</f>
        <v>1.38777878078145e-19</v>
      </c>
      <c r="BC24" s="580">
        <f>BC$3/24/3600</f>
        <v>1157407407407410</v>
      </c>
      <c r="BD24" s="582">
        <f ca="1" t="shared" si="19"/>
        <v>0.999987163680126</v>
      </c>
      <c r="BE24" s="582">
        <f t="shared" si="20"/>
        <v>0.999987163680125</v>
      </c>
      <c r="BF24" s="582">
        <f t="shared" si="21"/>
        <v>0</v>
      </c>
      <c r="BG24" s="582">
        <f ca="1" t="shared" si="22"/>
        <v>-1.48696528627489e-6</v>
      </c>
      <c r="BH24" s="582">
        <f ca="1" t="shared" si="23"/>
        <v>-1.28473800734151e-21</v>
      </c>
      <c r="BI24" s="582">
        <f ca="1" t="shared" si="24"/>
        <v>1</v>
      </c>
      <c r="BJ24" s="580">
        <f ca="1" t="shared" si="25"/>
        <v>110998573189574</v>
      </c>
      <c r="BK24" s="580">
        <f ca="1" t="shared" si="26"/>
        <v>10714576557191.3</v>
      </c>
      <c r="BL24" s="586">
        <f ca="1" t="shared" si="27"/>
        <v>1.28472151603349e-21</v>
      </c>
      <c r="BM24" s="594">
        <f ca="1" t="shared" si="28"/>
        <v>-1.28472151603349e-21</v>
      </c>
      <c r="BN24" s="580">
        <f ca="1" t="shared" si="29"/>
        <v>0</v>
      </c>
      <c r="BO24" s="580">
        <f ca="1" t="shared" si="30"/>
        <v>0.0107060813472777</v>
      </c>
      <c r="BP24" s="595">
        <f ca="1" t="shared" si="31"/>
        <v>0.0107060813472777</v>
      </c>
      <c r="BQ24" s="596">
        <f>BQ$3*3600</f>
        <v>21600</v>
      </c>
      <c r="BR24" s="580">
        <f ca="1" t="shared" ref="BR24:BU24" si="212">BJ24</f>
        <v>110998573189574</v>
      </c>
      <c r="BS24" s="580">
        <f ca="1" t="shared" si="212"/>
        <v>10714576557191.3</v>
      </c>
      <c r="BT24" s="581">
        <f ca="1" t="shared" si="212"/>
        <v>1.28472151603349e-21</v>
      </c>
      <c r="BU24" s="580">
        <f ca="1" t="shared" si="212"/>
        <v>-1.28472151603349e-21</v>
      </c>
      <c r="BV24" s="580">
        <f ca="1">MAX(INDIRECT("'"&amp;$B$2&amp;"-事故进程'!Z"&amp;(ROW()+22)),INDIRECT("'"&amp;$B$2&amp;"-事故进程'!AA"&amp;(ROW()+22)))</f>
        <v>0</v>
      </c>
      <c r="BW24" s="580">
        <f ca="1">SUM(BV$3,-LN(1-BW$3)/BQ24)</f>
        <v>4.62592926927149e-20</v>
      </c>
      <c r="BX24" s="580">
        <f>BX$3/24/3600</f>
        <v>1157407407407410</v>
      </c>
      <c r="BY24" s="582">
        <f ca="1" t="shared" si="33"/>
        <v>0.99996149153469</v>
      </c>
      <c r="BZ24" s="582">
        <f ca="1" t="shared" si="34"/>
        <v>0.999961491534689</v>
      </c>
      <c r="CA24" s="582">
        <f t="shared" si="35"/>
        <v>0</v>
      </c>
      <c r="CB24" s="582">
        <f ca="1" t="shared" si="36"/>
        <v>-4.95648733037612e-7</v>
      </c>
      <c r="CC24" s="582">
        <f ca="1" t="shared" si="37"/>
        <v>8.56481010688994e-22</v>
      </c>
      <c r="CD24" s="582">
        <f ca="1" t="shared" si="38"/>
        <v>1</v>
      </c>
      <c r="CE24" s="580">
        <f ca="1" t="shared" si="39"/>
        <v>110994298804869</v>
      </c>
      <c r="CF24" s="580">
        <f ca="1" t="shared" si="40"/>
        <v>10714163955291.6</v>
      </c>
      <c r="CG24" s="586">
        <f ca="1" t="shared" si="41"/>
        <v>4.28224014459852e-22</v>
      </c>
      <c r="CH24" s="594">
        <f ca="1" t="shared" si="42"/>
        <v>0.009765625</v>
      </c>
      <c r="CI24" s="580">
        <f ca="1" t="shared" si="43"/>
        <v>0</v>
      </c>
      <c r="CJ24" s="580">
        <f ca="1" t="shared" si="44"/>
        <v>0.0107058064962463</v>
      </c>
      <c r="CK24" s="595">
        <f ca="1" t="shared" si="45"/>
        <v>0.0107058064962463</v>
      </c>
      <c r="CL24" s="596">
        <f>CL$3*3600</f>
        <v>57600</v>
      </c>
      <c r="CM24" s="580">
        <f ca="1" t="shared" ref="CM24:CP24" si="213">CE24</f>
        <v>110994298804869</v>
      </c>
      <c r="CN24" s="580">
        <f ca="1" t="shared" si="213"/>
        <v>10714163955291.6</v>
      </c>
      <c r="CO24" s="581">
        <f ca="1" t="shared" si="213"/>
        <v>4.28224014459852e-22</v>
      </c>
      <c r="CP24" s="580">
        <f ca="1" t="shared" si="213"/>
        <v>0.009765625</v>
      </c>
      <c r="CQ24" s="580">
        <f ca="1">MAX(INDIRECT("'"&amp;$B$2&amp;"-事故进程'!AA"&amp;(ROW()+22)),INDIRECT("'"&amp;$B$2&amp;"-事故进程'!AB"&amp;(ROW()+22)))</f>
        <v>0</v>
      </c>
      <c r="CR24" s="580">
        <f ca="1">SUM(CQ$3,-LN(1-CR$3)/CL24)</f>
        <v>1.73472347597681e-20</v>
      </c>
      <c r="CS24" s="580">
        <f>CS$3/24/3600</f>
        <v>1157407407407410</v>
      </c>
      <c r="CT24" s="582">
        <f ca="1" t="shared" si="47"/>
        <v>0.999897314054484</v>
      </c>
      <c r="CU24" s="582">
        <f ca="1" t="shared" si="48"/>
        <v>0.999897314054483</v>
      </c>
      <c r="CV24" s="582">
        <f t="shared" si="49"/>
        <v>0</v>
      </c>
      <c r="CW24" s="582">
        <f ca="1" t="shared" si="50"/>
        <v>-1.85861117387089e-7</v>
      </c>
      <c r="CX24" s="582">
        <f ca="1" t="shared" si="51"/>
        <v>2.67640009037408e-22</v>
      </c>
      <c r="CY24" s="582">
        <f ca="1" t="shared" si="52"/>
        <v>1</v>
      </c>
      <c r="CZ24" s="580">
        <f ca="1" t="shared" si="53"/>
        <v>110982901250349</v>
      </c>
      <c r="DA24" s="580">
        <f ca="1" t="shared" si="54"/>
        <v>10713063761235.4</v>
      </c>
      <c r="DB24" s="586">
        <f ca="1" t="shared" si="55"/>
        <v>1.60567515702013e-22</v>
      </c>
      <c r="DC24" s="594">
        <f ca="1" t="shared" si="56"/>
        <v>0.025390625</v>
      </c>
      <c r="DD24" s="580">
        <f ca="1" t="shared" si="57"/>
        <v>0</v>
      </c>
      <c r="DE24" s="580">
        <f ca="1" t="shared" si="58"/>
        <v>0.0107050506947443</v>
      </c>
      <c r="DF24" s="595">
        <f ca="1" t="shared" si="59"/>
        <v>0.0107050506947443</v>
      </c>
      <c r="DG24" s="596">
        <f>DG$3*3600</f>
        <v>86400</v>
      </c>
      <c r="DH24" s="580">
        <f ca="1" t="shared" ref="DH24:DK24" si="214">CZ24</f>
        <v>110982901250349</v>
      </c>
      <c r="DI24" s="580">
        <f ca="1" t="shared" si="214"/>
        <v>10713063761235.4</v>
      </c>
      <c r="DJ24" s="581">
        <f ca="1" t="shared" si="214"/>
        <v>1.60567515702013e-22</v>
      </c>
      <c r="DK24" s="580">
        <f ca="1" t="shared" si="214"/>
        <v>0.025390625</v>
      </c>
      <c r="DL24" s="580">
        <f ca="1">MAX(INDIRECT("'"&amp;$B$2&amp;"-事故进程'!AB"&amp;(ROW()+22)),INDIRECT("'"&amp;$B$2&amp;"-事故进程'!AC"&amp;(ROW()+22)))</f>
        <v>0</v>
      </c>
      <c r="DM24" s="580">
        <f ca="1">SUM(DL$3,-LN(1-DM$3)/DG24)</f>
        <v>1.15648231731787e-20</v>
      </c>
      <c r="DN24" s="580">
        <f>DN$3/24/3600</f>
        <v>1157407407407410</v>
      </c>
      <c r="DO24" s="582">
        <f ca="1" t="shared" si="61"/>
        <v>0.999845975035945</v>
      </c>
      <c r="DP24" s="582">
        <f ca="1" t="shared" si="62"/>
        <v>0.999845975035944</v>
      </c>
      <c r="DQ24" s="582">
        <f t="shared" si="63"/>
        <v>0</v>
      </c>
      <c r="DR24" s="582">
        <f ca="1" t="shared" si="64"/>
        <v>-1.23894688041677e-7</v>
      </c>
      <c r="DS24" s="582">
        <f ca="1" t="shared" si="65"/>
        <v>5.35225052340043e-23</v>
      </c>
      <c r="DT24" s="582">
        <f ca="1" t="shared" si="66"/>
        <v>1</v>
      </c>
      <c r="DU24" s="580">
        <f ca="1" t="shared" si="67"/>
        <v>110965807112974</v>
      </c>
      <c r="DV24" s="580">
        <f ca="1" t="shared" si="68"/>
        <v>10711413681974.7</v>
      </c>
      <c r="DW24" s="586">
        <f ca="1" t="shared" si="69"/>
        <v>1.07028522864119e-22</v>
      </c>
      <c r="DX24" s="594">
        <f ca="1" t="shared" si="70"/>
        <v>0.02734375</v>
      </c>
      <c r="DY24" s="580">
        <f ca="1" t="shared" si="71"/>
        <v>0</v>
      </c>
      <c r="DZ24" s="580">
        <f ca="1" t="shared" si="72"/>
        <v>0.0107036766454416</v>
      </c>
      <c r="EA24" s="595">
        <f ca="1" t="shared" si="73"/>
        <v>0.0107036766454416</v>
      </c>
      <c r="EB24" s="596">
        <f>EB$3*3600</f>
        <v>172800</v>
      </c>
      <c r="EC24" s="580">
        <f ca="1" t="shared" ref="EC24:EF24" si="215">DU24</f>
        <v>110965807112974</v>
      </c>
      <c r="ED24" s="580">
        <f ca="1" t="shared" si="215"/>
        <v>10711413681974.7</v>
      </c>
      <c r="EE24" s="581">
        <f ca="1" t="shared" si="215"/>
        <v>1.07028522864119e-22</v>
      </c>
      <c r="EF24" s="580">
        <f ca="1" t="shared" si="215"/>
        <v>0.02734375</v>
      </c>
      <c r="EG24" s="580">
        <f ca="1">MAX(INDIRECT("'"&amp;$B$2&amp;"-事故进程'!AC"&amp;(ROW()+22)),INDIRECT("'"&amp;$B$2&amp;"-事故进程'!AD"&amp;(ROW()+22)),INDIRECT("'"&amp;$B$2&amp;"-事故进程'!AE"&amp;(ROW()+22)))</f>
        <v>0</v>
      </c>
      <c r="EH24" s="580">
        <f ca="1">SUM(EG$3,-LN(1-EH$3)/EB24)</f>
        <v>5.78241158658936e-21</v>
      </c>
      <c r="EI24" s="580">
        <f>EI$3/24/3600</f>
        <v>1157407407407410</v>
      </c>
      <c r="EJ24" s="582">
        <f ca="1" t="shared" si="75"/>
        <v>0.99969197379558</v>
      </c>
      <c r="EK24" s="582">
        <f ca="1" t="shared" si="76"/>
        <v>0.999691973795579</v>
      </c>
      <c r="EL24" s="582">
        <f t="shared" si="77"/>
        <v>0</v>
      </c>
      <c r="EM24" s="582">
        <f ca="1" t="shared" si="78"/>
        <v>-6.19378025834022e-8</v>
      </c>
      <c r="EN24" s="582">
        <f ca="1" t="shared" si="79"/>
        <v>5.35142614320595e-23</v>
      </c>
      <c r="EO24" s="582">
        <f ca="1" t="shared" si="80"/>
        <v>1</v>
      </c>
      <c r="EP24" s="580">
        <f ca="1" t="shared" si="81"/>
        <v>110931626736588</v>
      </c>
      <c r="EQ24" s="580">
        <f ca="1" t="shared" si="82"/>
        <v>10708114285874.2</v>
      </c>
      <c r="ER24" s="586">
        <f ca="1" t="shared" si="83"/>
        <v>5.34977776372282e-23</v>
      </c>
      <c r="ES24" s="594">
        <f ca="1" t="shared" si="84"/>
        <v>0.048828125</v>
      </c>
      <c r="ET24" s="580">
        <f ca="1" t="shared" si="85"/>
        <v>0</v>
      </c>
      <c r="EU24" s="580">
        <f ca="1" t="shared" si="86"/>
        <v>0.0107012038222905</v>
      </c>
      <c r="EV24" s="595">
        <f ca="1" t="shared" si="87"/>
        <v>0.0107012038222905</v>
      </c>
      <c r="EW24" s="596">
        <f>EW$3*3600</f>
        <v>2246400</v>
      </c>
      <c r="EX24" s="580">
        <f ca="1" t="shared" ref="EX24:FA24" si="216">EP24</f>
        <v>110931626736588</v>
      </c>
      <c r="EY24" s="580">
        <f ca="1" t="shared" si="216"/>
        <v>10708114285874.2</v>
      </c>
      <c r="EZ24" s="581">
        <f ca="1" t="shared" si="216"/>
        <v>5.34977776372282e-23</v>
      </c>
      <c r="FA24" s="580">
        <f ca="1" t="shared" si="216"/>
        <v>0.048828125</v>
      </c>
      <c r="FB24" s="580">
        <f ca="1">INDIRECT("'"&amp;$B$2&amp;"-事故进程'!AE"&amp;(ROW()+22))</f>
        <v>0</v>
      </c>
      <c r="FC24" s="580">
        <f ca="1">SUM(FB$3,-LN(1-FC$3)/EW24)</f>
        <v>4.44800891276105e-22</v>
      </c>
      <c r="FD24" s="580">
        <f>FD$3/24/3600</f>
        <v>1157407407407410</v>
      </c>
      <c r="FE24" s="582">
        <f ca="1" t="shared" si="89"/>
        <v>0.996003051641582</v>
      </c>
      <c r="FF24" s="582">
        <f ca="1" t="shared" si="90"/>
        <v>0.996003051641581</v>
      </c>
      <c r="FG24" s="582">
        <f t="shared" si="91"/>
        <v>0</v>
      </c>
      <c r="FH24" s="582">
        <f ca="1" t="shared" si="92"/>
        <v>-4.76297877824325e-9</v>
      </c>
      <c r="FI24" s="582">
        <f ca="1" t="shared" si="93"/>
        <v>4.9382563972826e-23</v>
      </c>
      <c r="FJ24" s="582">
        <f ca="1" t="shared" si="94"/>
        <v>1</v>
      </c>
      <c r="FK24" s="580">
        <f ca="1" t="shared" si="95"/>
        <v>110488238753207</v>
      </c>
      <c r="FL24" s="580">
        <f ca="1" t="shared" si="96"/>
        <v>10665314506057.5</v>
      </c>
      <c r="FM24" s="586">
        <f ca="1" t="shared" si="97"/>
        <v>4.09876536790169e-24</v>
      </c>
      <c r="FN24" s="594">
        <f ca="1" t="shared" si="98"/>
        <v>0.0625</v>
      </c>
      <c r="FO24" s="580">
        <f ca="1" t="shared" si="99"/>
        <v>0</v>
      </c>
      <c r="FP24" s="580">
        <f ca="1" t="shared" si="100"/>
        <v>0.0106781584691411</v>
      </c>
      <c r="FQ24" s="595">
        <f ca="1" t="shared" si="101"/>
        <v>0.0106781584691411</v>
      </c>
      <c r="FR24" s="608" t="str">
        <f t="shared" si="102"/>
        <v>H-3</v>
      </c>
      <c r="FS24" s="609">
        <v>7740000000000</v>
      </c>
      <c r="FT24" s="610">
        <v>0</v>
      </c>
      <c r="FU24" s="610">
        <v>0</v>
      </c>
      <c r="FV24" s="610">
        <v>0</v>
      </c>
      <c r="FW24" s="610">
        <v>7740000000000</v>
      </c>
      <c r="FX24" s="614">
        <f t="shared" si="103"/>
        <v>0.300941301389977</v>
      </c>
      <c r="FY24" s="614"/>
      <c r="FZ24" s="614"/>
      <c r="GA24" s="614"/>
      <c r="GB24" s="614">
        <f ca="1" t="shared" si="107"/>
        <v>0.300941301389984</v>
      </c>
      <c r="GC24" s="455">
        <f ca="1" t="shared" si="108"/>
        <v>0.300941301389986</v>
      </c>
      <c r="GE24" s="609">
        <v>2598482866976.27</v>
      </c>
      <c r="GF24" s="610">
        <v>340744870520.487</v>
      </c>
      <c r="GG24" s="610">
        <v>648293276966.639</v>
      </c>
      <c r="GH24" s="610">
        <v>894780329863.181</v>
      </c>
      <c r="GI24" s="610">
        <v>1541863130089.09</v>
      </c>
      <c r="GJ24" s="610">
        <v>6437907247922.24</v>
      </c>
      <c r="GK24" s="617">
        <v>12462071722337.9</v>
      </c>
      <c r="GL24" s="614">
        <f t="shared" si="109"/>
        <v>0.8964021669571</v>
      </c>
      <c r="GM24" s="614">
        <f ca="1" t="shared" si="110"/>
        <v>6.28384744598427e-14</v>
      </c>
      <c r="GN24" s="614">
        <f ca="1" t="shared" si="111"/>
        <v>1.65126665277684e-14</v>
      </c>
      <c r="GO24" s="614">
        <f ca="1" t="shared" si="112"/>
        <v>8.78457633196423e-15</v>
      </c>
      <c r="GP24" s="614">
        <f ca="1" t="shared" si="113"/>
        <v>1.65863813471177e-15</v>
      </c>
      <c r="GQ24" s="614">
        <f ca="1" t="shared" si="114"/>
        <v>0.186909987733686</v>
      </c>
      <c r="GR24" s="451">
        <f t="shared" si="115"/>
        <v>1.78283364719618e-9</v>
      </c>
      <c r="GS24" s="390">
        <f t="shared" si="116"/>
        <v>388789600.000001</v>
      </c>
    </row>
    <row r="25" spans="1:201">
      <c r="A25" s="430"/>
      <c r="B25" s="407" t="s">
        <v>276</v>
      </c>
      <c r="C25" s="434">
        <f>C22</f>
        <v>1e+20</v>
      </c>
      <c r="D25" s="410" t="s">
        <v>273</v>
      </c>
      <c r="E25" s="409" t="s">
        <v>274</v>
      </c>
      <c r="G25" s="411" t="s">
        <v>66</v>
      </c>
      <c r="H25" s="412">
        <f t="shared" si="1"/>
        <v>3376428571.29846</v>
      </c>
      <c r="I25" s="412">
        <f ca="1" t="shared" si="2"/>
        <v>1.55191571556611e-5</v>
      </c>
      <c r="J25" s="412">
        <f ca="1" t="shared" si="3"/>
        <v>1.55191563110803e-5</v>
      </c>
      <c r="K25" s="412">
        <f ca="1" t="shared" si="4"/>
        <v>1.55191539429408e-5</v>
      </c>
      <c r="L25" s="412">
        <f ca="1" t="shared" si="5"/>
        <v>3.10382915267304e-5</v>
      </c>
      <c r="M25" s="412">
        <f ca="1" t="shared" si="6"/>
        <v>1.55190695503097e-5</v>
      </c>
      <c r="N25" s="412">
        <f ca="1" t="shared" si="7"/>
        <v>3376428571.29856</v>
      </c>
      <c r="O25" s="450">
        <f t="shared" si="8"/>
        <v>3376428571.29846</v>
      </c>
      <c r="P25" s="451"/>
      <c r="Q25" s="477" t="str">
        <f t="shared" si="0"/>
        <v>C-14</v>
      </c>
      <c r="R25" s="412">
        <f t="shared" si="9"/>
        <v>3376428571.29846</v>
      </c>
      <c r="S25" s="412">
        <f ca="1">I25*(1-过滤效率!$B22)</f>
        <v>1.55191571556611e-5</v>
      </c>
      <c r="T25" s="412">
        <f ca="1">J25*(1-过滤效率!$B22)</f>
        <v>1.55191563110803e-5</v>
      </c>
      <c r="U25" s="412">
        <f ca="1">K25*(1-过滤效率!$B22)</f>
        <v>1.55191539429408e-5</v>
      </c>
      <c r="V25" s="412">
        <f ca="1">L25*(1-过滤效率!$B22)</f>
        <v>3.10382915267304e-5</v>
      </c>
      <c r="W25" s="412">
        <f ca="1">M25*(1-过滤效率!$B22)</f>
        <v>1.55190695503097e-5</v>
      </c>
      <c r="X25" s="412">
        <f ca="1" t="shared" si="10"/>
        <v>3376428571.29856</v>
      </c>
      <c r="Y25" s="493"/>
      <c r="Z25" s="494">
        <f>VLOOKUP(G25,衰变常数!$A$1:$H$3800,7,FALSE)</f>
        <v>3.8534294386192e-12</v>
      </c>
      <c r="AA25" s="495"/>
      <c r="AB25" s="496">
        <f>正常源项!F22</f>
        <v>0</v>
      </c>
      <c r="AC25" s="496">
        <f>正常源项!I22</f>
        <v>208000000</v>
      </c>
      <c r="AD25" s="496">
        <f>正常源项!L22</f>
        <v>18700000000</v>
      </c>
      <c r="AE25" s="496"/>
      <c r="AF25" s="498"/>
      <c r="AG25" s="519"/>
      <c r="AH25" s="523"/>
      <c r="AI25" s="519"/>
      <c r="AK25" s="527"/>
      <c r="AL25" s="527"/>
      <c r="AM25" s="528"/>
      <c r="AN25" s="527"/>
      <c r="AO25" s="527"/>
      <c r="AP25" s="560">
        <f t="shared" si="14"/>
        <v>0</v>
      </c>
      <c r="AQ25" s="561">
        <f>(AC25*$C$5+AD25*$C$8+AF25+AG25+AI25+(AL25+AM25)*$C$10)*EXP(-Z25*$C$12*3600)+AO25*$C$11</f>
        <v>18907999999.2714</v>
      </c>
      <c r="AR25" s="562">
        <f>AQ25*(1-AR$3)</f>
        <v>15531571427.9729</v>
      </c>
      <c r="AS25" s="563">
        <f t="shared" si="15"/>
        <v>3376428571.29846</v>
      </c>
      <c r="AT25" s="562">
        <f>AS25*(1-AT$3)</f>
        <v>0</v>
      </c>
      <c r="AU25" s="564">
        <f t="shared" si="16"/>
        <v>3376428571.29846</v>
      </c>
      <c r="AV25" s="565">
        <f>AV$3*3600</f>
        <v>7200</v>
      </c>
      <c r="AW25" s="580">
        <f>AP25*EXP(-Z25*AW$3*3600)</f>
        <v>0</v>
      </c>
      <c r="AX25" s="580">
        <f t="shared" si="17"/>
        <v>15531571427.9729</v>
      </c>
      <c r="AY25" s="581">
        <f t="shared" si="18"/>
        <v>0</v>
      </c>
      <c r="AZ25" s="580">
        <v>0</v>
      </c>
      <c r="BA25" s="580">
        <f ca="1">MAX(INDIRECT("'"&amp;$B$2&amp;"-事故进程'!Y"&amp;(ROW()+22)),INDIRECT("'"&amp;$B$2&amp;"-事故进程'!Z"&amp;(ROW()+22)))</f>
        <v>0</v>
      </c>
      <c r="BB25" s="580">
        <f>SUM(BA$3,-LN(1-BB$3)/AV25)</f>
        <v>1.38777878078145e-19</v>
      </c>
      <c r="BC25" s="580">
        <f>BC$3/24/3600</f>
        <v>1157407407407410</v>
      </c>
      <c r="BD25" s="582">
        <f ca="1" t="shared" si="19"/>
        <v>0.999999972255308</v>
      </c>
      <c r="BE25" s="582">
        <f t="shared" si="20"/>
        <v>0.999999972255307</v>
      </c>
      <c r="BF25" s="582">
        <f t="shared" si="21"/>
        <v>0</v>
      </c>
      <c r="BG25" s="582">
        <f ca="1" t="shared" si="22"/>
        <v>-2.15543852599322e-9</v>
      </c>
      <c r="BH25" s="582">
        <f ca="1" t="shared" si="23"/>
        <v>-1.86229888645814e-24</v>
      </c>
      <c r="BI25" s="582">
        <f ca="1" t="shared" si="24"/>
        <v>1</v>
      </c>
      <c r="BJ25" s="580">
        <f ca="1" t="shared" si="25"/>
        <v>0</v>
      </c>
      <c r="BK25" s="580">
        <f ca="1" t="shared" si="26"/>
        <v>15531570997.0543</v>
      </c>
      <c r="BL25" s="586">
        <f ca="1" t="shared" si="27"/>
        <v>1.86229883478923e-24</v>
      </c>
      <c r="BM25" s="594">
        <f ca="1" t="shared" si="28"/>
        <v>1.52587890625e-5</v>
      </c>
      <c r="BN25" s="580">
        <f ca="1" t="shared" si="29"/>
        <v>0</v>
      </c>
      <c r="BO25" s="580">
        <f ca="1" t="shared" si="30"/>
        <v>1.55191571556611e-5</v>
      </c>
      <c r="BP25" s="595">
        <f ca="1" t="shared" si="31"/>
        <v>1.55191571556611e-5</v>
      </c>
      <c r="BQ25" s="596">
        <f>BQ$3*3600</f>
        <v>21600</v>
      </c>
      <c r="BR25" s="580">
        <f ca="1" t="shared" ref="BR25:BU25" si="217">BJ25</f>
        <v>0</v>
      </c>
      <c r="BS25" s="580">
        <f ca="1" t="shared" si="217"/>
        <v>15531570997.0543</v>
      </c>
      <c r="BT25" s="581">
        <f ca="1" t="shared" si="217"/>
        <v>1.86229883478923e-24</v>
      </c>
      <c r="BU25" s="580">
        <f ca="1" t="shared" si="217"/>
        <v>1.52587890625e-5</v>
      </c>
      <c r="BV25" s="580">
        <f ca="1">MAX(INDIRECT("'"&amp;$B$2&amp;"-事故进程'!Z"&amp;(ROW()+22)),INDIRECT("'"&amp;$B$2&amp;"-事故进程'!AA"&amp;(ROW()+22)))</f>
        <v>0</v>
      </c>
      <c r="BW25" s="580">
        <f ca="1">SUM(BV$3,-LN(1-BW$3)/BQ25)</f>
        <v>4.62592926927149e-20</v>
      </c>
      <c r="BX25" s="580">
        <f>BX$3/24/3600</f>
        <v>1157407407407410</v>
      </c>
      <c r="BY25" s="582">
        <f ca="1" t="shared" si="33"/>
        <v>0.999999916765928</v>
      </c>
      <c r="BZ25" s="582">
        <f ca="1" t="shared" si="34"/>
        <v>0.999999916765927</v>
      </c>
      <c r="CA25" s="582">
        <f t="shared" si="35"/>
        <v>0</v>
      </c>
      <c r="CB25" s="582">
        <f ca="1" t="shared" si="36"/>
        <v>-7.18479488730414e-10</v>
      </c>
      <c r="CC25" s="582">
        <f ca="1" t="shared" si="37"/>
        <v>1.24153255652616e-24</v>
      </c>
      <c r="CD25" s="582">
        <f ca="1" t="shared" si="38"/>
        <v>1</v>
      </c>
      <c r="CE25" s="580">
        <f ca="1" t="shared" si="39"/>
        <v>0</v>
      </c>
      <c r="CF25" s="580">
        <f ca="1" t="shared" si="40"/>
        <v>15531569704.2983</v>
      </c>
      <c r="CG25" s="586">
        <f ca="1" t="shared" si="41"/>
        <v>6.20766226594172e-25</v>
      </c>
      <c r="CH25" s="594">
        <f ca="1" t="shared" si="42"/>
        <v>3.0517578125e-5</v>
      </c>
      <c r="CI25" s="580">
        <f ca="1" t="shared" si="43"/>
        <v>0</v>
      </c>
      <c r="CJ25" s="580">
        <f ca="1" t="shared" si="44"/>
        <v>1.55191563110803e-5</v>
      </c>
      <c r="CK25" s="595">
        <f ca="1" t="shared" si="45"/>
        <v>1.55191563110803e-5</v>
      </c>
      <c r="CL25" s="596">
        <f>CL$3*3600</f>
        <v>57600</v>
      </c>
      <c r="CM25" s="580">
        <f ca="1" t="shared" ref="CM25:CP25" si="218">CE25</f>
        <v>0</v>
      </c>
      <c r="CN25" s="580">
        <f ca="1" t="shared" si="218"/>
        <v>15531569704.2983</v>
      </c>
      <c r="CO25" s="581">
        <f ca="1" t="shared" si="218"/>
        <v>6.20766226594172e-25</v>
      </c>
      <c r="CP25" s="580">
        <f ca="1" t="shared" si="218"/>
        <v>3.0517578125e-5</v>
      </c>
      <c r="CQ25" s="580">
        <f ca="1">MAX(INDIRECT("'"&amp;$B$2&amp;"-事故进程'!AA"&amp;(ROW()+22)),INDIRECT("'"&amp;$B$2&amp;"-事故进程'!AB"&amp;(ROW()+22)))</f>
        <v>0</v>
      </c>
      <c r="CR25" s="580">
        <f ca="1">SUM(CQ$3,-LN(1-CR$3)/CL25)</f>
        <v>1.73472347597681e-20</v>
      </c>
      <c r="CS25" s="580">
        <f>CS$3/24/3600</f>
        <v>1157407407407410</v>
      </c>
      <c r="CT25" s="582">
        <f ca="1" t="shared" si="47"/>
        <v>0.999999778042489</v>
      </c>
      <c r="CU25" s="582">
        <f ca="1" t="shared" si="48"/>
        <v>0.999999778042488</v>
      </c>
      <c r="CV25" s="582">
        <f t="shared" si="49"/>
        <v>0</v>
      </c>
      <c r="CW25" s="582">
        <f ca="1" t="shared" si="50"/>
        <v>-2.69429785848165e-10</v>
      </c>
      <c r="CX25" s="582">
        <f ca="1" t="shared" si="51"/>
        <v>3.87978891621358e-25</v>
      </c>
      <c r="CY25" s="582">
        <f ca="1" t="shared" si="52"/>
        <v>1</v>
      </c>
      <c r="CZ25" s="580">
        <f ca="1" t="shared" si="53"/>
        <v>0</v>
      </c>
      <c r="DA25" s="580">
        <f ca="1" t="shared" si="54"/>
        <v>15531566256.9498</v>
      </c>
      <c r="DB25" s="586">
        <f ca="1" t="shared" si="55"/>
        <v>2.32787283303917e-25</v>
      </c>
      <c r="DC25" s="594">
        <f ca="1" t="shared" si="56"/>
        <v>4.57763671875e-5</v>
      </c>
      <c r="DD25" s="580">
        <f ca="1" t="shared" si="57"/>
        <v>0</v>
      </c>
      <c r="DE25" s="580">
        <f ca="1" t="shared" si="58"/>
        <v>1.55191539429408e-5</v>
      </c>
      <c r="DF25" s="595">
        <f ca="1" t="shared" si="59"/>
        <v>1.55191539429408e-5</v>
      </c>
      <c r="DG25" s="596">
        <f>DG$3*3600</f>
        <v>86400</v>
      </c>
      <c r="DH25" s="580">
        <f ca="1" t="shared" ref="DH25:DK25" si="219">CZ25</f>
        <v>0</v>
      </c>
      <c r="DI25" s="580">
        <f ca="1" t="shared" si="219"/>
        <v>15531566256.9498</v>
      </c>
      <c r="DJ25" s="581">
        <f ca="1" t="shared" si="219"/>
        <v>2.32787283303917e-25</v>
      </c>
      <c r="DK25" s="580">
        <f ca="1" t="shared" si="219"/>
        <v>4.57763671875e-5</v>
      </c>
      <c r="DL25" s="580">
        <f ca="1">MAX(INDIRECT("'"&amp;$B$2&amp;"-事故进程'!AB"&amp;(ROW()+22)),INDIRECT("'"&amp;$B$2&amp;"-事故进程'!AC"&amp;(ROW()+22)))</f>
        <v>0</v>
      </c>
      <c r="DM25" s="580">
        <f ca="1">SUM(DL$3,-LN(1-DM$3)/DG25)</f>
        <v>1.15648231731787e-20</v>
      </c>
      <c r="DN25" s="580">
        <f>DN$3/24/3600</f>
        <v>1157407407407410</v>
      </c>
      <c r="DO25" s="582">
        <f ca="1" t="shared" si="61"/>
        <v>0.999999667063752</v>
      </c>
      <c r="DP25" s="582">
        <f ca="1" t="shared" si="62"/>
        <v>0.999999667063751</v>
      </c>
      <c r="DQ25" s="582">
        <f t="shared" si="63"/>
        <v>0</v>
      </c>
      <c r="DR25" s="582">
        <f ca="1" t="shared" si="64"/>
        <v>-1.79619817364133e-10</v>
      </c>
      <c r="DS25" s="582">
        <f ca="1" t="shared" si="65"/>
        <v>7.75957611013056e-26</v>
      </c>
      <c r="DT25" s="582">
        <f ca="1" t="shared" si="66"/>
        <v>1</v>
      </c>
      <c r="DU25" s="580">
        <f ca="1" t="shared" si="67"/>
        <v>0</v>
      </c>
      <c r="DV25" s="580">
        <f ca="1" t="shared" si="68"/>
        <v>15531561085.9284</v>
      </c>
      <c r="DW25" s="586">
        <f ca="1" t="shared" si="69"/>
        <v>1.55191470533728e-25</v>
      </c>
      <c r="DX25" s="594">
        <f ca="1" t="shared" si="70"/>
        <v>6.103515625e-5</v>
      </c>
      <c r="DY25" s="580">
        <f ca="1" t="shared" si="71"/>
        <v>0</v>
      </c>
      <c r="DZ25" s="580">
        <f ca="1" t="shared" si="72"/>
        <v>1.55191496392847e-5</v>
      </c>
      <c r="EA25" s="595">
        <f ca="1" t="shared" si="73"/>
        <v>1.55191496392847e-5</v>
      </c>
      <c r="EB25" s="596">
        <f>EB$3*3600</f>
        <v>172800</v>
      </c>
      <c r="EC25" s="580">
        <f ca="1" t="shared" ref="EC25:EF25" si="220">DU25</f>
        <v>0</v>
      </c>
      <c r="ED25" s="580">
        <f ca="1" t="shared" si="220"/>
        <v>15531561085.9284</v>
      </c>
      <c r="EE25" s="581">
        <f ca="1" t="shared" si="220"/>
        <v>1.55191470533728e-25</v>
      </c>
      <c r="EF25" s="580">
        <f ca="1" t="shared" si="220"/>
        <v>6.103515625e-5</v>
      </c>
      <c r="EG25" s="580">
        <f ca="1">MAX(INDIRECT("'"&amp;$B$2&amp;"-事故进程'!AC"&amp;(ROW()+22)),INDIRECT("'"&amp;$B$2&amp;"-事故进程'!AD"&amp;(ROW()+22)),INDIRECT("'"&amp;$B$2&amp;"-事故进程'!AE"&amp;(ROW()+22)))</f>
        <v>0</v>
      </c>
      <c r="EH25" s="580">
        <f ca="1">SUM(EG$3,-LN(1-EH$3)/EB25)</f>
        <v>5.78241158658936e-21</v>
      </c>
      <c r="EI25" s="580">
        <f>EI$3/24/3600</f>
        <v>1157407407407410</v>
      </c>
      <c r="EJ25" s="582">
        <f ca="1" t="shared" si="75"/>
        <v>0.999999334127615</v>
      </c>
      <c r="EK25" s="582">
        <f ca="1" t="shared" si="76"/>
        <v>0.999999334127614</v>
      </c>
      <c r="EL25" s="582">
        <f t="shared" si="77"/>
        <v>0</v>
      </c>
      <c r="EM25" s="582">
        <f ca="1" t="shared" si="78"/>
        <v>-8.98098787810925e-11</v>
      </c>
      <c r="EN25" s="582">
        <f ca="1" t="shared" si="79"/>
        <v>7.7595735266864e-26</v>
      </c>
      <c r="EO25" s="582">
        <f ca="1" t="shared" si="80"/>
        <v>1</v>
      </c>
      <c r="EP25" s="580">
        <f ca="1" t="shared" si="81"/>
        <v>0</v>
      </c>
      <c r="EQ25" s="580">
        <f ca="1" t="shared" si="82"/>
        <v>15531550743.8907</v>
      </c>
      <c r="ER25" s="586">
        <f ca="1" t="shared" si="83"/>
        <v>7.75956835980065e-26</v>
      </c>
      <c r="ES25" s="594">
        <f ca="1" t="shared" si="84"/>
        <v>7.62939453125e-5</v>
      </c>
      <c r="ET25" s="580">
        <f ca="1" t="shared" si="85"/>
        <v>0</v>
      </c>
      <c r="EU25" s="580">
        <f ca="1" t="shared" si="86"/>
        <v>1.55191418874457e-5</v>
      </c>
      <c r="EV25" s="595">
        <f ca="1" t="shared" si="87"/>
        <v>1.55191418874457e-5</v>
      </c>
      <c r="EW25" s="596">
        <f>EW$3*3600</f>
        <v>2246400</v>
      </c>
      <c r="EX25" s="580">
        <f ca="1" t="shared" ref="EX25:FA25" si="221">EP25</f>
        <v>0</v>
      </c>
      <c r="EY25" s="580">
        <f ca="1" t="shared" si="221"/>
        <v>15531550743.8907</v>
      </c>
      <c r="EZ25" s="581">
        <f ca="1" t="shared" si="221"/>
        <v>7.75956835980065e-26</v>
      </c>
      <c r="FA25" s="580">
        <f ca="1" t="shared" si="221"/>
        <v>7.62939453125e-5</v>
      </c>
      <c r="FB25" s="580">
        <f ca="1">INDIRECT("'"&amp;$B$2&amp;"-事故进程'!AE"&amp;(ROW()+22))</f>
        <v>0</v>
      </c>
      <c r="FC25" s="580">
        <f ca="1">SUM(FB$3,-LN(1-FC$3)/EW25)</f>
        <v>4.44800891276105e-22</v>
      </c>
      <c r="FD25" s="580">
        <f>FD$3/24/3600</f>
        <v>1157407407407410</v>
      </c>
      <c r="FE25" s="582">
        <f ca="1" t="shared" si="89"/>
        <v>0.999991343693575</v>
      </c>
      <c r="FF25" s="582">
        <f ca="1" t="shared" si="90"/>
        <v>0.999991343693574</v>
      </c>
      <c r="FG25" s="582">
        <f t="shared" si="91"/>
        <v>0</v>
      </c>
      <c r="FH25" s="582">
        <f ca="1" t="shared" si="92"/>
        <v>-6.90844761378263e-12</v>
      </c>
      <c r="FI25" s="582">
        <f ca="1" t="shared" si="93"/>
        <v>7.16267848596983e-26</v>
      </c>
      <c r="FJ25" s="582">
        <f ca="1" t="shared" si="94"/>
        <v>1</v>
      </c>
      <c r="FK25" s="580">
        <f ca="1" t="shared" si="95"/>
        <v>0</v>
      </c>
      <c r="FL25" s="580">
        <f ca="1" t="shared" si="96"/>
        <v>15531416298.0282</v>
      </c>
      <c r="FM25" s="586">
        <f ca="1" t="shared" si="97"/>
        <v>5.96884706969169e-27</v>
      </c>
      <c r="FN25" s="594">
        <f ca="1" t="shared" si="98"/>
        <v>9.1552734375e-5</v>
      </c>
      <c r="FO25" s="580">
        <f ca="1" t="shared" si="99"/>
        <v>0</v>
      </c>
      <c r="FP25" s="580">
        <f ca="1" t="shared" si="100"/>
        <v>1.55190695503097e-5</v>
      </c>
      <c r="FQ25" s="595">
        <f ca="1" t="shared" si="101"/>
        <v>1.55190695503097e-5</v>
      </c>
      <c r="FR25" s="608" t="str">
        <f t="shared" si="102"/>
        <v>C-14</v>
      </c>
      <c r="FS25" s="609">
        <v>4940000000</v>
      </c>
      <c r="FT25" s="610">
        <v>0</v>
      </c>
      <c r="FU25" s="610">
        <v>0</v>
      </c>
      <c r="FV25" s="610">
        <v>0</v>
      </c>
      <c r="FW25" s="610">
        <v>4940000000</v>
      </c>
      <c r="FX25" s="614">
        <f t="shared" si="103"/>
        <v>0.683487565040175</v>
      </c>
      <c r="FY25" s="614"/>
      <c r="FZ25" s="614"/>
      <c r="GA25" s="614"/>
      <c r="GB25" s="614">
        <f ca="1" t="shared" si="107"/>
        <v>0.683487565040191</v>
      </c>
      <c r="GC25" s="455">
        <f ca="1" t="shared" si="108"/>
        <v>0.683487565040194</v>
      </c>
      <c r="GE25" s="609">
        <v>3837456881.37195</v>
      </c>
      <c r="GF25" s="610">
        <v>504669667.114012</v>
      </c>
      <c r="GG25" s="610">
        <v>960246468.180332</v>
      </c>
      <c r="GH25" s="610">
        <v>1325510494.87155</v>
      </c>
      <c r="GI25" s="610">
        <v>2284606584.31661</v>
      </c>
      <c r="GJ25" s="610">
        <v>9552339972.24301</v>
      </c>
      <c r="GK25" s="617">
        <v>18464830068.0975</v>
      </c>
      <c r="GL25" s="614">
        <f t="shared" si="109"/>
        <v>0.879860979725546</v>
      </c>
      <c r="GM25" s="614">
        <f ca="1" t="shared" si="110"/>
        <v>6.15022369864947e-14</v>
      </c>
      <c r="GN25" s="614">
        <f ca="1" t="shared" si="111"/>
        <v>1.61616360561572e-14</v>
      </c>
      <c r="GO25" s="614">
        <f ca="1" t="shared" si="112"/>
        <v>8.59758585273092e-15</v>
      </c>
      <c r="GP25" s="614">
        <f ca="1" t="shared" si="113"/>
        <v>1.62463538728779e-15</v>
      </c>
      <c r="GQ25" s="614">
        <f ca="1" t="shared" si="114"/>
        <v>0.182857278341931</v>
      </c>
      <c r="GR25" s="451">
        <f t="shared" si="115"/>
        <v>3.8534294386192e-12</v>
      </c>
      <c r="GS25" s="390">
        <f t="shared" si="116"/>
        <v>179878000000</v>
      </c>
    </row>
    <row r="26" spans="1:201">
      <c r="A26" s="432" t="s">
        <v>277</v>
      </c>
      <c r="B26" s="407" t="s">
        <v>267</v>
      </c>
      <c r="C26" s="428">
        <f>-LN(1-0%)/8/3600</f>
        <v>0</v>
      </c>
      <c r="D26" s="410" t="s">
        <v>268</v>
      </c>
      <c r="E26" s="409" t="s">
        <v>269</v>
      </c>
      <c r="G26" s="435" t="s">
        <v>67</v>
      </c>
      <c r="H26" s="412">
        <f t="shared" si="1"/>
        <v>378571609.225128</v>
      </c>
      <c r="I26" s="412">
        <f ca="1" t="shared" si="2"/>
        <v>1.74001141445986e-6</v>
      </c>
      <c r="J26" s="412">
        <f ca="1" t="shared" si="3"/>
        <v>1.73990701044949e-6</v>
      </c>
      <c r="K26" s="412">
        <f ca="1" t="shared" si="4"/>
        <v>1.73961993387092e-6</v>
      </c>
      <c r="L26" s="412">
        <f ca="1" t="shared" si="5"/>
        <v>3.47725729893317e-6</v>
      </c>
      <c r="M26" s="412">
        <f ca="1" t="shared" si="6"/>
        <v>1.7294266127424e-6</v>
      </c>
      <c r="N26" s="412">
        <f ca="1" t="shared" si="7"/>
        <v>378571609.225138</v>
      </c>
      <c r="O26" s="450">
        <f t="shared" si="8"/>
        <v>378571609.225128</v>
      </c>
      <c r="P26" s="451"/>
      <c r="Q26" s="477" t="str">
        <f t="shared" si="0"/>
        <v>Co-60</v>
      </c>
      <c r="R26" s="412">
        <f t="shared" si="9"/>
        <v>378571609.225128</v>
      </c>
      <c r="S26" s="412">
        <f ca="1">I26*(1-过滤效率!$B23)</f>
        <v>1.74001141445986e-9</v>
      </c>
      <c r="T26" s="412">
        <f ca="1">J26*(1-过滤效率!$B23)</f>
        <v>1.73990701044949e-9</v>
      </c>
      <c r="U26" s="412">
        <f ca="1">K26*(1-过滤效率!$B23)</f>
        <v>1.73961993387092e-9</v>
      </c>
      <c r="V26" s="412">
        <f ca="1">L26*(1-过滤效率!$B23)</f>
        <v>3.47725729893317e-9</v>
      </c>
      <c r="W26" s="412">
        <f ca="1">M26*(1-过滤效率!$B23)</f>
        <v>1.7294266127424e-9</v>
      </c>
      <c r="X26" s="412">
        <f ca="1" t="shared" si="10"/>
        <v>378571609.225128</v>
      </c>
      <c r="Y26" s="493"/>
      <c r="Z26" s="494">
        <f>VLOOKUP(G26,衰变常数!$A$1:$H$3800,7,FALSE)</f>
        <v>4.16694528910503e-9</v>
      </c>
      <c r="AA26" s="495"/>
      <c r="AB26" s="496">
        <f>正常源项!F23</f>
        <v>0</v>
      </c>
      <c r="AC26" s="496">
        <f>正常源项!I23</f>
        <v>1100</v>
      </c>
      <c r="AD26" s="497"/>
      <c r="AE26" s="496">
        <f>正常源项!O23</f>
        <v>2120000000</v>
      </c>
      <c r="AF26" s="498">
        <f>AC26*$C$6</f>
        <v>0</v>
      </c>
      <c r="AG26" s="519">
        <f>AE26*MIN(100%,$C$7/500)</f>
        <v>0</v>
      </c>
      <c r="AH26" s="523">
        <v>1</v>
      </c>
      <c r="AI26" s="519">
        <f>AE26*AH26*$C$9</f>
        <v>2120000000</v>
      </c>
      <c r="AK26" s="527"/>
      <c r="AL26" s="527"/>
      <c r="AM26" s="528"/>
      <c r="AN26" s="527"/>
      <c r="AO26" s="527"/>
      <c r="AP26" s="560">
        <f t="shared" si="14"/>
        <v>0</v>
      </c>
      <c r="AQ26" s="561">
        <f>(AC26*$C$5+AD26*$C$8+AF26+AG26+AI26+(AL26+AM26)*$C$10)*EXP(-Z26*$C$12*3600)+AO26*$C$11</f>
        <v>2120001011.66072</v>
      </c>
      <c r="AR26" s="562">
        <f>AQ26*(1-AR$3)</f>
        <v>1741429402.43559</v>
      </c>
      <c r="AS26" s="563">
        <f t="shared" si="15"/>
        <v>378571609.225128</v>
      </c>
      <c r="AT26" s="562">
        <f>AS26*(1-AT$3)</f>
        <v>0</v>
      </c>
      <c r="AU26" s="564">
        <f t="shared" si="16"/>
        <v>378571609.225128</v>
      </c>
      <c r="AV26" s="565">
        <f>AV$3*3600</f>
        <v>7200</v>
      </c>
      <c r="AW26" s="580">
        <f>AP26*EXP(-Z26*AW$3*3600)</f>
        <v>0</v>
      </c>
      <c r="AX26" s="580">
        <f t="shared" si="17"/>
        <v>1741429402.43559</v>
      </c>
      <c r="AY26" s="581">
        <f t="shared" si="18"/>
        <v>0</v>
      </c>
      <c r="AZ26" s="580">
        <v>0</v>
      </c>
      <c r="BA26" s="580">
        <f ca="1">MAX(INDIRECT("'"&amp;$B$2&amp;"-事故进程'!Y"&amp;(ROW()+22)),INDIRECT("'"&amp;$B$2&amp;"-事故进程'!Z"&amp;(ROW()+22)))</f>
        <v>0</v>
      </c>
      <c r="BB26" s="580">
        <f>SUM(BA$3,-LN(1-BB$3)/AV26)</f>
        <v>1.38777878078145e-19</v>
      </c>
      <c r="BC26" s="580">
        <f>BC$3/24/3600</f>
        <v>1157407407407410</v>
      </c>
      <c r="BD26" s="582">
        <f ca="1" t="shared" si="19"/>
        <v>0.999969998443974</v>
      </c>
      <c r="BE26" s="582">
        <f t="shared" si="20"/>
        <v>0.999969998443973</v>
      </c>
      <c r="BF26" s="582">
        <f t="shared" si="21"/>
        <v>0</v>
      </c>
      <c r="BG26" s="582">
        <f ca="1" t="shared" si="22"/>
        <v>-2.41671877292902e-10</v>
      </c>
      <c r="BH26" s="582">
        <f ca="1" t="shared" si="23"/>
        <v>-2.08804501981068e-25</v>
      </c>
      <c r="BI26" s="582">
        <f ca="1" t="shared" si="24"/>
        <v>1</v>
      </c>
      <c r="BJ26" s="580">
        <f ca="1" t="shared" si="25"/>
        <v>0</v>
      </c>
      <c r="BK26" s="580">
        <f ca="1" t="shared" si="26"/>
        <v>1741377156.8438</v>
      </c>
      <c r="BL26" s="586">
        <f ca="1" t="shared" si="27"/>
        <v>2.08798237521103e-25</v>
      </c>
      <c r="BM26" s="594">
        <f ca="1" t="shared" si="28"/>
        <v>1.66893005371094e-6</v>
      </c>
      <c r="BN26" s="580">
        <f ca="1" t="shared" si="29"/>
        <v>0</v>
      </c>
      <c r="BO26" s="580">
        <f ca="1" t="shared" si="30"/>
        <v>1.74001141445986e-6</v>
      </c>
      <c r="BP26" s="595">
        <f ca="1" t="shared" si="31"/>
        <v>1.74001141445986e-6</v>
      </c>
      <c r="BQ26" s="596">
        <f>BQ$3*3600</f>
        <v>21600</v>
      </c>
      <c r="BR26" s="580">
        <f ca="1" t="shared" ref="BR26:BU26" si="222">BJ26</f>
        <v>0</v>
      </c>
      <c r="BS26" s="580">
        <f ca="1" t="shared" si="222"/>
        <v>1741377156.8438</v>
      </c>
      <c r="BT26" s="581">
        <f ca="1" t="shared" si="222"/>
        <v>2.08798237521103e-25</v>
      </c>
      <c r="BU26" s="580">
        <f ca="1" t="shared" si="222"/>
        <v>1.66893005371094e-6</v>
      </c>
      <c r="BV26" s="580">
        <f ca="1">MAX(INDIRECT("'"&amp;$B$2&amp;"-事故进程'!Z"&amp;(ROW()+22)),INDIRECT("'"&amp;$B$2&amp;"-事故进程'!AA"&amp;(ROW()+22)))</f>
        <v>0</v>
      </c>
      <c r="BW26" s="580">
        <f ca="1">SUM(BV$3,-LN(1-BW$3)/BQ26)</f>
        <v>4.62592926927149e-20</v>
      </c>
      <c r="BX26" s="580">
        <f>BX$3/24/3600</f>
        <v>1157407407407410</v>
      </c>
      <c r="BY26" s="582">
        <f ca="1" t="shared" si="33"/>
        <v>0.999909998032176</v>
      </c>
      <c r="BZ26" s="582">
        <f ca="1" t="shared" si="34"/>
        <v>0.999909998032175</v>
      </c>
      <c r="CA26" s="582">
        <f t="shared" si="35"/>
        <v>0</v>
      </c>
      <c r="CB26" s="582">
        <f ca="1" t="shared" si="36"/>
        <v>-8.05548755868452e-11</v>
      </c>
      <c r="CC26" s="582">
        <f ca="1" t="shared" si="37"/>
        <v>1.39198825014068e-25</v>
      </c>
      <c r="CD26" s="582">
        <f ca="1" t="shared" si="38"/>
        <v>1</v>
      </c>
      <c r="CE26" s="580">
        <f ca="1" t="shared" si="39"/>
        <v>0</v>
      </c>
      <c r="CF26" s="580">
        <f ca="1" t="shared" si="40"/>
        <v>1741220429.47296</v>
      </c>
      <c r="CG26" s="586">
        <f ca="1" t="shared" si="41"/>
        <v>6.95931484229491e-26</v>
      </c>
      <c r="CH26" s="594">
        <f ca="1" t="shared" si="42"/>
        <v>3.33786010742187e-6</v>
      </c>
      <c r="CI26" s="580">
        <f ca="1" t="shared" si="43"/>
        <v>0</v>
      </c>
      <c r="CJ26" s="580">
        <f ca="1" t="shared" si="44"/>
        <v>1.73990701044949e-6</v>
      </c>
      <c r="CK26" s="595">
        <f ca="1" t="shared" si="45"/>
        <v>1.73990701044949e-6</v>
      </c>
      <c r="CL26" s="596">
        <f>CL$3*3600</f>
        <v>57600</v>
      </c>
      <c r="CM26" s="580">
        <f ca="1" t="shared" ref="CM26:CP26" si="223">CE26</f>
        <v>0</v>
      </c>
      <c r="CN26" s="580">
        <f ca="1" t="shared" si="223"/>
        <v>1741220429.47296</v>
      </c>
      <c r="CO26" s="581">
        <f ca="1" t="shared" si="223"/>
        <v>6.95931484229491e-26</v>
      </c>
      <c r="CP26" s="580">
        <f ca="1" t="shared" si="223"/>
        <v>3.33786010742187e-6</v>
      </c>
      <c r="CQ26" s="580">
        <f ca="1">MAX(INDIRECT("'"&amp;$B$2&amp;"-事故进程'!AA"&amp;(ROW()+22)),INDIRECT("'"&amp;$B$2&amp;"-事故进程'!AB"&amp;(ROW()+22)))</f>
        <v>0</v>
      </c>
      <c r="CR26" s="580">
        <f ca="1">SUM(CQ$3,-LN(1-CR$3)/CL26)</f>
        <v>1.73472347597681e-20</v>
      </c>
      <c r="CS26" s="580">
        <f>CS$3/24/3600</f>
        <v>1157407407407410</v>
      </c>
      <c r="CT26" s="582">
        <f ca="1" t="shared" si="47"/>
        <v>0.999760012752895</v>
      </c>
      <c r="CU26" s="582">
        <f ca="1" t="shared" si="48"/>
        <v>0.999760012752894</v>
      </c>
      <c r="CV26" s="582">
        <f t="shared" si="49"/>
        <v>0</v>
      </c>
      <c r="CW26" s="582">
        <f ca="1" t="shared" si="50"/>
        <v>-3.02053595585717e-11</v>
      </c>
      <c r="CX26" s="582">
        <f ca="1" t="shared" si="51"/>
        <v>4.34957177643432e-26</v>
      </c>
      <c r="CY26" s="582">
        <f ca="1" t="shared" si="52"/>
        <v>1</v>
      </c>
      <c r="CZ26" s="580">
        <f ca="1" t="shared" si="53"/>
        <v>0</v>
      </c>
      <c r="DA26" s="580">
        <f ca="1" t="shared" si="54"/>
        <v>1740802558.77549</v>
      </c>
      <c r="DB26" s="586">
        <f ca="1" t="shared" si="55"/>
        <v>2.60911676080656e-26</v>
      </c>
      <c r="DC26" s="594">
        <f ca="1" t="shared" si="56"/>
        <v>5.00679016113281e-6</v>
      </c>
      <c r="DD26" s="580">
        <f ca="1" t="shared" si="57"/>
        <v>0</v>
      </c>
      <c r="DE26" s="580">
        <f ca="1" t="shared" si="58"/>
        <v>1.73961993387092e-6</v>
      </c>
      <c r="DF26" s="595">
        <f ca="1" t="shared" si="59"/>
        <v>1.73961993387092e-6</v>
      </c>
      <c r="DG26" s="596">
        <f>DG$3*3600</f>
        <v>86400</v>
      </c>
      <c r="DH26" s="580">
        <f ca="1" t="shared" ref="DH26:DK26" si="224">CZ26</f>
        <v>0</v>
      </c>
      <c r="DI26" s="580">
        <f ca="1" t="shared" si="224"/>
        <v>1740802558.77549</v>
      </c>
      <c r="DJ26" s="581">
        <f ca="1" t="shared" si="224"/>
        <v>2.60911676080656e-26</v>
      </c>
      <c r="DK26" s="580">
        <f ca="1" t="shared" si="224"/>
        <v>5.00679016113281e-6</v>
      </c>
      <c r="DL26" s="580">
        <f ca="1">MAX(INDIRECT("'"&amp;$B$2&amp;"-事故进程'!AB"&amp;(ROW()+22)),INDIRECT("'"&amp;$B$2&amp;"-事故进程'!AC"&amp;(ROW()+22)))</f>
        <v>0</v>
      </c>
      <c r="DM26" s="580">
        <f ca="1">SUM(DL$3,-LN(1-DM$3)/DG26)</f>
        <v>1.15648231731787e-20</v>
      </c>
      <c r="DN26" s="580">
        <f>DN$3/24/3600</f>
        <v>1157407407407410</v>
      </c>
      <c r="DO26" s="582">
        <f ca="1" t="shared" si="61"/>
        <v>0.999640040727911</v>
      </c>
      <c r="DP26" s="582">
        <f ca="1" t="shared" si="62"/>
        <v>0.99964004072791</v>
      </c>
      <c r="DQ26" s="582">
        <f t="shared" si="63"/>
        <v>0</v>
      </c>
      <c r="DR26" s="582">
        <f ca="1" t="shared" si="64"/>
        <v>-2.01320737716556e-11</v>
      </c>
      <c r="DS26" s="582">
        <f ca="1" t="shared" si="65"/>
        <v>8.6970558693552e-27</v>
      </c>
      <c r="DT26" s="582">
        <f ca="1" t="shared" si="66"/>
        <v>1</v>
      </c>
      <c r="DU26" s="580">
        <f ca="1" t="shared" si="67"/>
        <v>0</v>
      </c>
      <c r="DV26" s="580">
        <f ca="1" t="shared" si="68"/>
        <v>1740175940.75358</v>
      </c>
      <c r="DW26" s="586">
        <f ca="1" t="shared" si="69"/>
        <v>1.73878505669103e-26</v>
      </c>
      <c r="DX26" s="594">
        <f ca="1" t="shared" si="70"/>
        <v>6.67572021484375e-6</v>
      </c>
      <c r="DY26" s="580">
        <f ca="1" t="shared" si="71"/>
        <v>0</v>
      </c>
      <c r="DZ26" s="580">
        <f ca="1" t="shared" si="72"/>
        <v>1.73909809649632e-6</v>
      </c>
      <c r="EA26" s="595">
        <f ca="1" t="shared" si="73"/>
        <v>1.73909809649632e-6</v>
      </c>
      <c r="EB26" s="596">
        <f>EB$3*3600</f>
        <v>172800</v>
      </c>
      <c r="EC26" s="580">
        <f ca="1" t="shared" ref="EC26:EF26" si="225">DU26</f>
        <v>0</v>
      </c>
      <c r="ED26" s="580">
        <f ca="1" t="shared" si="225"/>
        <v>1740175940.75358</v>
      </c>
      <c r="EE26" s="581">
        <f ca="1" t="shared" si="225"/>
        <v>1.73878505669103e-26</v>
      </c>
      <c r="EF26" s="580">
        <f ca="1" t="shared" si="225"/>
        <v>6.67572021484375e-6</v>
      </c>
      <c r="EG26" s="580">
        <f ca="1">MAX(INDIRECT("'"&amp;$B$2&amp;"-事故进程'!AC"&amp;(ROW()+22)),INDIRECT("'"&amp;$B$2&amp;"-事故进程'!AD"&amp;(ROW()+22)),INDIRECT("'"&amp;$B$2&amp;"-事故进程'!AE"&amp;(ROW()+22)))</f>
        <v>0</v>
      </c>
      <c r="EH26" s="580">
        <f ca="1">SUM(EG$3,-LN(1-EH$3)/EB26)</f>
        <v>5.78241158658936e-21</v>
      </c>
      <c r="EI26" s="580">
        <f>EI$3/24/3600</f>
        <v>1157407407407410</v>
      </c>
      <c r="EJ26" s="582">
        <f ca="1" t="shared" si="75"/>
        <v>0.9992802110265</v>
      </c>
      <c r="EK26" s="582">
        <f ca="1" t="shared" si="76"/>
        <v>0.999280211026499</v>
      </c>
      <c r="EL26" s="582">
        <f t="shared" si="77"/>
        <v>0</v>
      </c>
      <c r="EM26" s="582">
        <f ca="1" t="shared" si="78"/>
        <v>-1.00624135225175e-11</v>
      </c>
      <c r="EN26" s="582">
        <f ca="1" t="shared" si="79"/>
        <v>8.69392528345515e-27</v>
      </c>
      <c r="EO26" s="582">
        <f ca="1" t="shared" si="80"/>
        <v>1</v>
      </c>
      <c r="EP26" s="580">
        <f ca="1" t="shared" si="81"/>
        <v>0</v>
      </c>
      <c r="EQ26" s="580">
        <f ca="1" t="shared" si="82"/>
        <v>1738923381.29947</v>
      </c>
      <c r="ER26" s="586">
        <f ca="1" t="shared" si="83"/>
        <v>8.68766749189967e-27</v>
      </c>
      <c r="ES26" s="594">
        <f ca="1" t="shared" si="84"/>
        <v>8.58306884765625e-6</v>
      </c>
      <c r="ET26" s="580">
        <f ca="1" t="shared" si="85"/>
        <v>0</v>
      </c>
      <c r="EU26" s="580">
        <f ca="1" t="shared" si="86"/>
        <v>1.73815920243685e-6</v>
      </c>
      <c r="EV26" s="595">
        <f ca="1" t="shared" si="87"/>
        <v>1.73815920243685e-6</v>
      </c>
      <c r="EW26" s="596">
        <f>EW$3*3600</f>
        <v>2246400</v>
      </c>
      <c r="EX26" s="580">
        <f ca="1" t="shared" ref="EX26:FA26" si="226">EP26</f>
        <v>0</v>
      </c>
      <c r="EY26" s="580">
        <f ca="1" t="shared" si="226"/>
        <v>1738923381.29947</v>
      </c>
      <c r="EZ26" s="581">
        <f ca="1" t="shared" si="226"/>
        <v>8.68766749189967e-27</v>
      </c>
      <c r="FA26" s="580">
        <f ca="1" t="shared" si="226"/>
        <v>8.58306884765625e-6</v>
      </c>
      <c r="FB26" s="580">
        <f ca="1">INDIRECT("'"&amp;$B$2&amp;"-事故进程'!AE"&amp;(ROW()+22))</f>
        <v>0</v>
      </c>
      <c r="FC26" s="580">
        <f ca="1">SUM(FB$3,-LN(1-FC$3)/EW26)</f>
        <v>4.44800891276105e-22</v>
      </c>
      <c r="FD26" s="580">
        <f>FD$3/24/3600</f>
        <v>1157407407407410</v>
      </c>
      <c r="FE26" s="582">
        <f ca="1" t="shared" si="89"/>
        <v>0.990683048382053</v>
      </c>
      <c r="FF26" s="582">
        <f ca="1" t="shared" si="90"/>
        <v>0.990683048382052</v>
      </c>
      <c r="FG26" s="582">
        <f t="shared" si="91"/>
        <v>0</v>
      </c>
      <c r="FH26" s="582">
        <f ca="1" t="shared" si="92"/>
        <v>-7.73474669862862e-13</v>
      </c>
      <c r="FI26" s="582">
        <f ca="1" t="shared" si="93"/>
        <v>8.01938537713816e-27</v>
      </c>
      <c r="FJ26" s="582">
        <f ca="1" t="shared" si="94"/>
        <v>1</v>
      </c>
      <c r="FK26" s="580">
        <f ca="1" t="shared" si="95"/>
        <v>0</v>
      </c>
      <c r="FL26" s="580">
        <f ca="1" t="shared" si="96"/>
        <v>1722721916.28859</v>
      </c>
      <c r="FM26" s="586">
        <f ca="1" t="shared" si="97"/>
        <v>6.6205576263114e-28</v>
      </c>
      <c r="FN26" s="594">
        <f ca="1" t="shared" si="98"/>
        <v>1.02519989013672e-5</v>
      </c>
      <c r="FO26" s="580">
        <f ca="1" t="shared" si="99"/>
        <v>0</v>
      </c>
      <c r="FP26" s="580">
        <f ca="1" t="shared" si="100"/>
        <v>1.7294266127424e-6</v>
      </c>
      <c r="FQ26" s="595">
        <f ca="1" t="shared" si="101"/>
        <v>1.7294266127424e-6</v>
      </c>
      <c r="FR26" s="608" t="str">
        <f t="shared" si="102"/>
        <v>Co-60</v>
      </c>
      <c r="FS26" s="609">
        <v>172000000</v>
      </c>
      <c r="FT26" s="610">
        <v>0</v>
      </c>
      <c r="FU26" s="610">
        <v>0</v>
      </c>
      <c r="FV26" s="610">
        <v>0</v>
      </c>
      <c r="FW26" s="610">
        <v>172000000</v>
      </c>
      <c r="FX26" s="614">
        <f t="shared" si="103"/>
        <v>2.20099772805307</v>
      </c>
      <c r="FY26" s="614"/>
      <c r="FZ26" s="614"/>
      <c r="GA26" s="614"/>
      <c r="GB26" s="614">
        <f ca="1" t="shared" si="107"/>
        <v>2.20099772805312</v>
      </c>
      <c r="GC26" s="455">
        <f ca="1" t="shared" si="108"/>
        <v>2.20099772805313</v>
      </c>
      <c r="GE26" s="609">
        <v>11430.4546063246</v>
      </c>
      <c r="GF26" s="610">
        <v>5639990.43821344</v>
      </c>
      <c r="GG26" s="610">
        <v>10729403.9250134</v>
      </c>
      <c r="GH26" s="610">
        <v>14806266.6574133</v>
      </c>
      <c r="GI26" s="610">
        <v>25505954.5046211</v>
      </c>
      <c r="GJ26" s="610">
        <v>106299770.702725</v>
      </c>
      <c r="GK26" s="617">
        <v>162992816.682593</v>
      </c>
      <c r="GL26" s="614">
        <f t="shared" si="109"/>
        <v>33119.5584308309</v>
      </c>
      <c r="GM26" s="614">
        <f ca="1" t="shared" si="110"/>
        <v>6.17007858972838e-13</v>
      </c>
      <c r="GN26" s="614">
        <f ca="1" t="shared" si="111"/>
        <v>1.62135748269795e-13</v>
      </c>
      <c r="GO26" s="614">
        <f ca="1" t="shared" si="112"/>
        <v>8.62581420397646e-14</v>
      </c>
      <c r="GP26" s="614">
        <f ca="1" t="shared" si="113"/>
        <v>1.62693353081529e-14</v>
      </c>
      <c r="GQ26" s="614">
        <f ca="1" t="shared" si="114"/>
        <v>2.32262756684766</v>
      </c>
      <c r="GR26" s="451">
        <f t="shared" si="115"/>
        <v>4.16694528910503e-9</v>
      </c>
      <c r="GS26" s="390">
        <f t="shared" si="116"/>
        <v>166344200</v>
      </c>
    </row>
    <row r="27" s="390" customFormat="1" ht="13.5" spans="1:201">
      <c r="A27" s="430"/>
      <c r="B27" s="407" t="s">
        <v>278</v>
      </c>
      <c r="C27" s="433">
        <f ca="1">IF(24&lt;=$C$13-$C$12,MAX(1%,INDIRECT("'"&amp;$B$2&amp;"-事故进程'!$AC$23")*150%),0.000000000000001)</f>
        <v>1e-15</v>
      </c>
      <c r="D27" s="410"/>
      <c r="E27" s="409" t="s">
        <v>271</v>
      </c>
      <c r="G27" s="411" t="s">
        <v>68</v>
      </c>
      <c r="H27" s="412">
        <f t="shared" si="1"/>
        <v>0</v>
      </c>
      <c r="I27" s="412">
        <f ca="1" t="shared" si="2"/>
        <v>0</v>
      </c>
      <c r="J27" s="412">
        <f ca="1" t="shared" si="3"/>
        <v>0</v>
      </c>
      <c r="K27" s="412">
        <f ca="1" t="shared" si="4"/>
        <v>0</v>
      </c>
      <c r="L27" s="412">
        <f ca="1" t="shared" si="5"/>
        <v>0</v>
      </c>
      <c r="M27" s="412">
        <f ca="1" t="shared" si="6"/>
        <v>0</v>
      </c>
      <c r="N27" s="412">
        <f ca="1" t="shared" si="7"/>
        <v>0</v>
      </c>
      <c r="O27" s="450">
        <f t="shared" si="8"/>
        <v>0</v>
      </c>
      <c r="P27" s="451"/>
      <c r="Q27" s="477" t="str">
        <f t="shared" si="0"/>
        <v>Ar-41</v>
      </c>
      <c r="R27" s="412">
        <f t="shared" si="9"/>
        <v>0</v>
      </c>
      <c r="S27" s="412">
        <f ca="1">I27*(1-过滤效率!$B24)</f>
        <v>0</v>
      </c>
      <c r="T27" s="412">
        <f ca="1">J27*(1-过滤效率!$B24)</f>
        <v>0</v>
      </c>
      <c r="U27" s="412">
        <f ca="1">K27*(1-过滤效率!$B24)</f>
        <v>0</v>
      </c>
      <c r="V27" s="412">
        <f ca="1">L27*(1-过滤效率!$B24)</f>
        <v>0</v>
      </c>
      <c r="W27" s="412">
        <f ca="1">M27*(1-过滤效率!$B24)</f>
        <v>0</v>
      </c>
      <c r="X27" s="412">
        <f ca="1" t="shared" si="10"/>
        <v>0</v>
      </c>
      <c r="Y27" s="499"/>
      <c r="Z27" s="500">
        <f>VLOOKUP(G27,衰变常数!$A$1:$H$3800,7,FALSE)</f>
        <v>0.000105395976729608</v>
      </c>
      <c r="AA27" s="501"/>
      <c r="AB27" s="502">
        <f>正常源项!F24</f>
        <v>0</v>
      </c>
      <c r="AC27" s="502"/>
      <c r="AD27" s="502"/>
      <c r="AE27" s="503"/>
      <c r="AF27" s="504"/>
      <c r="AG27" s="529"/>
      <c r="AH27" s="530"/>
      <c r="AI27" s="531"/>
      <c r="AJ27" s="529"/>
      <c r="AK27" s="531"/>
      <c r="AL27" s="531"/>
      <c r="AM27" s="532"/>
      <c r="AN27" s="531"/>
      <c r="AO27" s="531"/>
      <c r="AP27" s="566">
        <f t="shared" si="14"/>
        <v>0</v>
      </c>
      <c r="AQ27" s="567">
        <f>(AC27*$C$5+AD27*$C$8+AF27+AG27+AI27+(AL27+AM27)*$C$10)*EXP(-Z27*$C$12*3600)+AO27*$C$11</f>
        <v>0</v>
      </c>
      <c r="AR27" s="568">
        <f>AQ27*(1-AR$3)</f>
        <v>0</v>
      </c>
      <c r="AS27" s="569">
        <f t="shared" si="15"/>
        <v>0</v>
      </c>
      <c r="AT27" s="568">
        <f>AS27*(1-AT$3)</f>
        <v>0</v>
      </c>
      <c r="AU27" s="570">
        <f t="shared" si="16"/>
        <v>0</v>
      </c>
      <c r="AV27" s="571">
        <f>AV$3*3600</f>
        <v>7200</v>
      </c>
      <c r="AW27" s="583">
        <f>AP27*EXP(-Z27*AW$3*3600)</f>
        <v>0</v>
      </c>
      <c r="AX27" s="583">
        <f t="shared" si="17"/>
        <v>0</v>
      </c>
      <c r="AY27" s="584">
        <f t="shared" si="18"/>
        <v>0</v>
      </c>
      <c r="AZ27" s="583">
        <v>0</v>
      </c>
      <c r="BA27" s="583">
        <f ca="1">MAX(INDIRECT("'"&amp;$B$2&amp;"-事故进程'!Y"&amp;(ROW()+22)),INDIRECT("'"&amp;$B$2&amp;"-事故进程'!Z"&amp;(ROW()+22)))</f>
        <v>0</v>
      </c>
      <c r="BB27" s="583">
        <f>SUM(BA$3,-LN(1-BB$3)/AV27)</f>
        <v>1.38777878078145e-19</v>
      </c>
      <c r="BC27" s="583">
        <f>BC$3/24/3600</f>
        <v>1157407407407410</v>
      </c>
      <c r="BD27" s="585">
        <f ca="1" t="shared" si="19"/>
        <v>0.468204069364945</v>
      </c>
      <c r="BE27" s="585">
        <f t="shared" si="20"/>
        <v>0.468204069364944</v>
      </c>
      <c r="BF27" s="585">
        <f t="shared" si="21"/>
        <v>0</v>
      </c>
      <c r="BG27" s="585">
        <f ca="1" t="shared" si="22"/>
        <v>0</v>
      </c>
      <c r="BH27" s="585">
        <f ca="1" t="shared" si="23"/>
        <v>0</v>
      </c>
      <c r="BI27" s="585">
        <f ca="1" t="shared" si="24"/>
        <v>1</v>
      </c>
      <c r="BJ27" s="583">
        <f ca="1" t="shared" si="25"/>
        <v>0</v>
      </c>
      <c r="BK27" s="583">
        <f ca="1" t="shared" si="26"/>
        <v>0</v>
      </c>
      <c r="BL27" s="587">
        <f ca="1" t="shared" si="27"/>
        <v>0</v>
      </c>
      <c r="BM27" s="597">
        <f ca="1" t="shared" si="28"/>
        <v>0</v>
      </c>
      <c r="BN27" s="583">
        <f ca="1" t="shared" si="29"/>
        <v>0</v>
      </c>
      <c r="BO27" s="583">
        <f ca="1" t="shared" si="30"/>
        <v>0</v>
      </c>
      <c r="BP27" s="598">
        <f ca="1" t="shared" si="31"/>
        <v>0</v>
      </c>
      <c r="BQ27" s="599">
        <f>BQ$3*3600</f>
        <v>21600</v>
      </c>
      <c r="BR27" s="583">
        <f ca="1" t="shared" ref="BR27:BU27" si="227">BJ27</f>
        <v>0</v>
      </c>
      <c r="BS27" s="583">
        <f ca="1" t="shared" si="227"/>
        <v>0</v>
      </c>
      <c r="BT27" s="584">
        <f ca="1" t="shared" si="227"/>
        <v>0</v>
      </c>
      <c r="BU27" s="583">
        <f ca="1" t="shared" si="227"/>
        <v>0</v>
      </c>
      <c r="BV27" s="583">
        <f ca="1">MAX(INDIRECT("'"&amp;$B$2&amp;"-事故进程'!Z"&amp;(ROW()+22)),INDIRECT("'"&amp;$B$2&amp;"-事故进程'!AA"&amp;(ROW()+22)))</f>
        <v>0</v>
      </c>
      <c r="BW27" s="583">
        <f ca="1">SUM(BV$3,-LN(1-BW$3)/BQ27)</f>
        <v>4.62592926927149e-20</v>
      </c>
      <c r="BX27" s="583">
        <f>BX$3/24/3600</f>
        <v>1157407407407410</v>
      </c>
      <c r="BY27" s="585">
        <f ca="1" t="shared" si="33"/>
        <v>0.102637378742866</v>
      </c>
      <c r="BZ27" s="585">
        <f ca="1" t="shared" si="34"/>
        <v>0.102637378742866</v>
      </c>
      <c r="CA27" s="585">
        <f t="shared" si="35"/>
        <v>0</v>
      </c>
      <c r="CB27" s="585">
        <f ca="1" t="shared" si="36"/>
        <v>0</v>
      </c>
      <c r="CC27" s="585">
        <f ca="1" t="shared" si="37"/>
        <v>0</v>
      </c>
      <c r="CD27" s="585">
        <f ca="1" t="shared" si="38"/>
        <v>1</v>
      </c>
      <c r="CE27" s="583">
        <f ca="1" t="shared" si="39"/>
        <v>0</v>
      </c>
      <c r="CF27" s="583">
        <f ca="1" t="shared" si="40"/>
        <v>0</v>
      </c>
      <c r="CG27" s="587">
        <f ca="1" t="shared" si="41"/>
        <v>0</v>
      </c>
      <c r="CH27" s="597">
        <f ca="1" t="shared" si="42"/>
        <v>0</v>
      </c>
      <c r="CI27" s="583">
        <f ca="1" t="shared" si="43"/>
        <v>0</v>
      </c>
      <c r="CJ27" s="583">
        <f ca="1" t="shared" si="44"/>
        <v>0</v>
      </c>
      <c r="CK27" s="598">
        <f ca="1" t="shared" si="45"/>
        <v>0</v>
      </c>
      <c r="CL27" s="599">
        <f>CL$3*3600</f>
        <v>57600</v>
      </c>
      <c r="CM27" s="583">
        <f ca="1" t="shared" ref="CM27:CP27" si="228">CE27</f>
        <v>0</v>
      </c>
      <c r="CN27" s="583">
        <f ca="1" t="shared" si="228"/>
        <v>0</v>
      </c>
      <c r="CO27" s="584">
        <f ca="1" t="shared" si="228"/>
        <v>0</v>
      </c>
      <c r="CP27" s="583">
        <f ca="1" t="shared" si="228"/>
        <v>0</v>
      </c>
      <c r="CQ27" s="583">
        <f ca="1">MAX(INDIRECT("'"&amp;$B$2&amp;"-事故进程'!AA"&amp;(ROW()+22)),INDIRECT("'"&amp;$B$2&amp;"-事故进程'!AB"&amp;(ROW()+22)))</f>
        <v>0</v>
      </c>
      <c r="CR27" s="583">
        <f ca="1">SUM(CQ$3,-LN(1-CR$3)/CL27)</f>
        <v>1.73472347597681e-20</v>
      </c>
      <c r="CS27" s="583">
        <f>CS$3/24/3600</f>
        <v>1157407407407410</v>
      </c>
      <c r="CT27" s="585">
        <f ca="1" t="shared" si="47"/>
        <v>0.0023093059373311</v>
      </c>
      <c r="CU27" s="585">
        <f ca="1" t="shared" si="48"/>
        <v>0.0023093059373311</v>
      </c>
      <c r="CV27" s="585">
        <f t="shared" si="49"/>
        <v>0</v>
      </c>
      <c r="CW27" s="585">
        <f ca="1" t="shared" si="50"/>
        <v>0</v>
      </c>
      <c r="CX27" s="585">
        <f ca="1" t="shared" si="51"/>
        <v>0</v>
      </c>
      <c r="CY27" s="585">
        <f ca="1" t="shared" si="52"/>
        <v>1</v>
      </c>
      <c r="CZ27" s="583">
        <f ca="1" t="shared" si="53"/>
        <v>0</v>
      </c>
      <c r="DA27" s="583">
        <f ca="1" t="shared" si="54"/>
        <v>0</v>
      </c>
      <c r="DB27" s="587">
        <f ca="1" t="shared" si="55"/>
        <v>0</v>
      </c>
      <c r="DC27" s="597">
        <f ca="1" t="shared" si="56"/>
        <v>0</v>
      </c>
      <c r="DD27" s="583">
        <f ca="1" t="shared" si="57"/>
        <v>0</v>
      </c>
      <c r="DE27" s="583">
        <f ca="1" t="shared" si="58"/>
        <v>0</v>
      </c>
      <c r="DF27" s="598">
        <f ca="1" t="shared" si="59"/>
        <v>0</v>
      </c>
      <c r="DG27" s="599">
        <f>DG$3*3600</f>
        <v>86400</v>
      </c>
      <c r="DH27" s="583">
        <f ca="1" t="shared" ref="DH27:DK27" si="229">CZ27</f>
        <v>0</v>
      </c>
      <c r="DI27" s="583">
        <f ca="1" t="shared" si="229"/>
        <v>0</v>
      </c>
      <c r="DJ27" s="584">
        <f ca="1" t="shared" si="229"/>
        <v>0</v>
      </c>
      <c r="DK27" s="583">
        <f ca="1" t="shared" si="229"/>
        <v>0</v>
      </c>
      <c r="DL27" s="583">
        <f ca="1">MAX(INDIRECT("'"&amp;$B$2&amp;"-事故进程'!AB"&amp;(ROW()+22)),INDIRECT("'"&amp;$B$2&amp;"-事故进程'!AC"&amp;(ROW()+22)))</f>
        <v>0</v>
      </c>
      <c r="DM27" s="583">
        <f ca="1">SUM(DL$3,-LN(1-DM$3)/DG27)</f>
        <v>1.15648231731787e-20</v>
      </c>
      <c r="DN27" s="583">
        <f>DN$3/24/3600</f>
        <v>1157407407407410</v>
      </c>
      <c r="DO27" s="585">
        <f ca="1" t="shared" si="61"/>
        <v>0.000110974247348578</v>
      </c>
      <c r="DP27" s="585">
        <f ca="1" t="shared" si="62"/>
        <v>0.000110974247348578</v>
      </c>
      <c r="DQ27" s="585">
        <f t="shared" si="63"/>
        <v>0</v>
      </c>
      <c r="DR27" s="585">
        <f ca="1" t="shared" si="64"/>
        <v>0</v>
      </c>
      <c r="DS27" s="585">
        <f ca="1" t="shared" si="65"/>
        <v>0</v>
      </c>
      <c r="DT27" s="585">
        <f ca="1" t="shared" si="66"/>
        <v>1</v>
      </c>
      <c r="DU27" s="583">
        <f ca="1" t="shared" si="67"/>
        <v>0</v>
      </c>
      <c r="DV27" s="583">
        <f ca="1" t="shared" si="68"/>
        <v>0</v>
      </c>
      <c r="DW27" s="587">
        <f ca="1" t="shared" si="69"/>
        <v>0</v>
      </c>
      <c r="DX27" s="597">
        <f ca="1" t="shared" si="70"/>
        <v>0</v>
      </c>
      <c r="DY27" s="583">
        <f ca="1" t="shared" si="71"/>
        <v>0</v>
      </c>
      <c r="DZ27" s="583">
        <f ca="1" t="shared" si="72"/>
        <v>0</v>
      </c>
      <c r="EA27" s="598">
        <f ca="1" t="shared" si="73"/>
        <v>0</v>
      </c>
      <c r="EB27" s="599">
        <f>EB$3*3600</f>
        <v>172800</v>
      </c>
      <c r="EC27" s="583">
        <f ca="1" t="shared" ref="EC27:EF27" si="230">DU27</f>
        <v>0</v>
      </c>
      <c r="ED27" s="583">
        <f ca="1" t="shared" si="230"/>
        <v>0</v>
      </c>
      <c r="EE27" s="584">
        <f ca="1" t="shared" si="230"/>
        <v>0</v>
      </c>
      <c r="EF27" s="583">
        <f ca="1" t="shared" si="230"/>
        <v>0</v>
      </c>
      <c r="EG27" s="583">
        <f ca="1">MAX(INDIRECT("'"&amp;$B$2&amp;"-事故进程'!AC"&amp;(ROW()+22)),INDIRECT("'"&amp;$B$2&amp;"-事故进程'!AD"&amp;(ROW()+22)),INDIRECT("'"&amp;$B$2&amp;"-事故进程'!AE"&amp;(ROW()+22)))</f>
        <v>0</v>
      </c>
      <c r="EH27" s="583">
        <f ca="1">SUM(EG$3,-LN(1-EH$3)/EB27)</f>
        <v>5.78241158658936e-21</v>
      </c>
      <c r="EI27" s="583">
        <f>EI$3/24/3600</f>
        <v>1157407407407410</v>
      </c>
      <c r="EJ27" s="585">
        <f ca="1" t="shared" si="75"/>
        <v>1.23152835745834e-8</v>
      </c>
      <c r="EK27" s="585">
        <f ca="1" t="shared" si="76"/>
        <v>1.23152835745834e-8</v>
      </c>
      <c r="EL27" s="585">
        <f t="shared" si="77"/>
        <v>0</v>
      </c>
      <c r="EM27" s="585">
        <f ca="1" t="shared" si="78"/>
        <v>0</v>
      </c>
      <c r="EN27" s="585">
        <f ca="1" t="shared" si="79"/>
        <v>0</v>
      </c>
      <c r="EO27" s="585">
        <f ca="1" t="shared" si="80"/>
        <v>1</v>
      </c>
      <c r="EP27" s="583">
        <f ca="1" t="shared" si="81"/>
        <v>0</v>
      </c>
      <c r="EQ27" s="583">
        <f ca="1" t="shared" si="82"/>
        <v>0</v>
      </c>
      <c r="ER27" s="587">
        <f ca="1" t="shared" si="83"/>
        <v>0</v>
      </c>
      <c r="ES27" s="597">
        <f ca="1" t="shared" si="84"/>
        <v>0</v>
      </c>
      <c r="ET27" s="583">
        <f ca="1" t="shared" si="85"/>
        <v>0</v>
      </c>
      <c r="EU27" s="583">
        <f ca="1" t="shared" si="86"/>
        <v>0</v>
      </c>
      <c r="EV27" s="598">
        <f ca="1" t="shared" si="87"/>
        <v>0</v>
      </c>
      <c r="EW27" s="599">
        <f>EW$3*3600</f>
        <v>2246400</v>
      </c>
      <c r="EX27" s="583">
        <f ca="1" t="shared" ref="EX27:FA27" si="231">EP27</f>
        <v>0</v>
      </c>
      <c r="EY27" s="583">
        <f ca="1" t="shared" si="231"/>
        <v>0</v>
      </c>
      <c r="EZ27" s="584">
        <f ca="1" t="shared" si="231"/>
        <v>0</v>
      </c>
      <c r="FA27" s="583">
        <f ca="1" t="shared" si="231"/>
        <v>0</v>
      </c>
      <c r="FB27" s="583">
        <f ca="1">INDIRECT("'"&amp;$B$2&amp;"-事故进程'!AE"&amp;(ROW()+22))</f>
        <v>0</v>
      </c>
      <c r="FC27" s="583">
        <f ca="1">SUM(FB$3,-LN(1-FC$3)/EW27)</f>
        <v>4.44800891276105e-22</v>
      </c>
      <c r="FD27" s="583">
        <f>FD$3/24/3600</f>
        <v>1157407407407410</v>
      </c>
      <c r="FE27" s="585">
        <f ca="1" t="shared" si="89"/>
        <v>1.49891640890916e-103</v>
      </c>
      <c r="FF27" s="585">
        <f ca="1" t="shared" si="90"/>
        <v>1.49891640890916e-103</v>
      </c>
      <c r="FG27" s="585">
        <f t="shared" si="91"/>
        <v>0</v>
      </c>
      <c r="FH27" s="585">
        <f ca="1" t="shared" si="92"/>
        <v>0</v>
      </c>
      <c r="FI27" s="585">
        <f ca="1" t="shared" si="93"/>
        <v>0</v>
      </c>
      <c r="FJ27" s="585">
        <f ca="1" t="shared" si="94"/>
        <v>1</v>
      </c>
      <c r="FK27" s="583">
        <f ca="1" t="shared" si="95"/>
        <v>0</v>
      </c>
      <c r="FL27" s="583">
        <f ca="1" t="shared" si="96"/>
        <v>0</v>
      </c>
      <c r="FM27" s="587">
        <f ca="1" t="shared" si="97"/>
        <v>0</v>
      </c>
      <c r="FN27" s="597">
        <f ca="1" t="shared" si="98"/>
        <v>0</v>
      </c>
      <c r="FO27" s="583">
        <f ca="1" t="shared" si="99"/>
        <v>0</v>
      </c>
      <c r="FP27" s="583">
        <f ca="1" t="shared" si="100"/>
        <v>0</v>
      </c>
      <c r="FQ27" s="598">
        <f ca="1" t="shared" si="101"/>
        <v>0</v>
      </c>
      <c r="FR27" s="608" t="str">
        <f t="shared" si="102"/>
        <v>Ar-41</v>
      </c>
      <c r="FS27" s="609"/>
      <c r="FT27" s="610"/>
      <c r="FU27" s="610"/>
      <c r="FV27" s="610"/>
      <c r="FW27" s="610"/>
      <c r="FX27" s="615"/>
      <c r="FY27" s="615"/>
      <c r="FZ27" s="615"/>
      <c r="GA27" s="615"/>
      <c r="GB27" s="615"/>
      <c r="GC27" s="455"/>
      <c r="GE27" s="609">
        <v>9981776543.449</v>
      </c>
      <c r="GF27" s="610">
        <v>411553901.319185</v>
      </c>
      <c r="GG27" s="610">
        <v>19657763.9071776</v>
      </c>
      <c r="GH27" s="610">
        <v>41097.7900978501</v>
      </c>
      <c r="GI27" s="610">
        <v>3.91730897966321</v>
      </c>
      <c r="GJ27" s="610">
        <v>3.55830990489314e-8</v>
      </c>
      <c r="GK27" s="617">
        <v>10413029310.3828</v>
      </c>
      <c r="GL27" s="614">
        <f t="shared" si="109"/>
        <v>0</v>
      </c>
      <c r="GM27" s="614">
        <f ca="1" t="shared" si="110"/>
        <v>0</v>
      </c>
      <c r="GN27" s="614">
        <f ca="1" t="shared" si="111"/>
        <v>0</v>
      </c>
      <c r="GO27" s="614">
        <f ca="1" t="shared" si="112"/>
        <v>0</v>
      </c>
      <c r="GP27" s="614">
        <f ca="1" t="shared" si="113"/>
        <v>0</v>
      </c>
      <c r="GQ27" s="614">
        <f ca="1" t="shared" si="114"/>
        <v>0</v>
      </c>
      <c r="GR27" s="451">
        <f t="shared" si="115"/>
        <v>0.000105395976729608</v>
      </c>
      <c r="GS27" s="390">
        <f t="shared" si="116"/>
        <v>6576.60000000005</v>
      </c>
    </row>
    <row r="28" spans="1:173">
      <c r="A28" s="430"/>
      <c r="B28" s="407" t="s">
        <v>276</v>
      </c>
      <c r="C28" s="434">
        <f>C25</f>
        <v>1e+20</v>
      </c>
      <c r="D28" s="410" t="s">
        <v>273</v>
      </c>
      <c r="E28" s="409" t="s">
        <v>274</v>
      </c>
      <c r="G28" s="436" t="s">
        <v>73</v>
      </c>
      <c r="AA28" s="390">
        <f t="shared" ref="AA28:AG28" si="232">SUM(AA5:AA27)</f>
        <v>3.190513e+18</v>
      </c>
      <c r="AB28" s="390">
        <f t="shared" si="232"/>
        <v>0</v>
      </c>
      <c r="AC28" s="390">
        <f t="shared" si="232"/>
        <v>490140141999.4</v>
      </c>
      <c r="AD28" s="390">
        <f t="shared" si="232"/>
        <v>13434246000000</v>
      </c>
      <c r="AE28" s="390">
        <f t="shared" si="232"/>
        <v>14488800000000</v>
      </c>
      <c r="AF28" s="390">
        <f t="shared" si="232"/>
        <v>0</v>
      </c>
      <c r="AG28" s="390">
        <f t="shared" si="232"/>
        <v>0</v>
      </c>
      <c r="AI28" s="390">
        <f t="shared" ref="AI28:AM28" si="233">SUM(AI5:AI27)</f>
        <v>13799911000000</v>
      </c>
      <c r="AL28" s="390">
        <f t="shared" si="233"/>
        <v>687814609.14826</v>
      </c>
      <c r="AM28" s="390">
        <f t="shared" si="233"/>
        <v>12293040000000</v>
      </c>
      <c r="AO28" s="390">
        <f ca="1" t="shared" ref="AO28:AQ28" si="234">SUM(AO5:AO27)</f>
        <v>2652963466.23711</v>
      </c>
      <c r="AP28" s="390">
        <f t="shared" si="234"/>
        <v>3.18851521231628e+18</v>
      </c>
      <c r="AQ28" s="390">
        <f ca="1" t="shared" si="234"/>
        <v>27726579752771.4</v>
      </c>
      <c r="AS28" s="390">
        <f ca="1" t="shared" ref="AS28:AZ28" si="235">SUM(AS5:AS27)</f>
        <v>4951174955852.04</v>
      </c>
      <c r="AU28" s="390">
        <f ca="1" t="shared" si="235"/>
        <v>4951174955852.04</v>
      </c>
      <c r="AW28" s="390">
        <f t="shared" si="235"/>
        <v>3.18851521231628e+18</v>
      </c>
      <c r="AX28" s="390">
        <f ca="1" t="shared" si="235"/>
        <v>22775404796919.4</v>
      </c>
      <c r="AY28" s="390">
        <f ca="1" t="shared" si="235"/>
        <v>0</v>
      </c>
      <c r="AZ28" s="390">
        <f t="shared" si="235"/>
        <v>0</v>
      </c>
      <c r="BB28" s="580"/>
      <c r="BC28" s="580"/>
      <c r="BD28" s="521"/>
      <c r="BE28" s="521"/>
      <c r="BF28" s="521"/>
      <c r="BG28" s="521"/>
      <c r="BH28" s="521"/>
      <c r="BI28" s="521"/>
      <c r="BJ28" s="390">
        <f ca="1" t="shared" ref="BJ28:BL28" si="236">SUM(BJ5:BJ27)</f>
        <v>2.30825734541851e+18</v>
      </c>
      <c r="BK28" s="390">
        <f ca="1" t="shared" si="236"/>
        <v>22935531528320.8</v>
      </c>
      <c r="BL28" s="390">
        <f ca="1" t="shared" si="236"/>
        <v>2.75006395996218e-21</v>
      </c>
      <c r="BM28" s="390"/>
      <c r="BN28" s="390">
        <f ca="1" t="shared" ref="BN28:BP28" si="237">SUM(BN5:BN27)</f>
        <v>431259386600.761</v>
      </c>
      <c r="BO28" s="390">
        <f ca="1" t="shared" si="237"/>
        <v>0.022863661630051</v>
      </c>
      <c r="BP28" s="451">
        <f ca="1" t="shared" si="237"/>
        <v>0.0228636616300243</v>
      </c>
      <c r="BR28" s="390">
        <f ca="1" t="shared" ref="BR28:BU28" si="238">SUM(BR5:BR27)</f>
        <v>2.30825734541851e+18</v>
      </c>
      <c r="BS28" s="390">
        <f ca="1" t="shared" si="238"/>
        <v>22935531528320.8</v>
      </c>
      <c r="BT28" s="390">
        <f ca="1" t="shared" si="238"/>
        <v>2.75006395996218e-21</v>
      </c>
      <c r="BU28" s="390">
        <f ca="1" t="shared" si="238"/>
        <v>104.468766927719</v>
      </c>
      <c r="BW28" s="580"/>
      <c r="BX28" s="580"/>
      <c r="BY28" s="521"/>
      <c r="BZ28" s="521"/>
      <c r="CA28" s="521"/>
      <c r="CB28" s="521"/>
      <c r="CC28" s="521"/>
      <c r="CD28" s="521"/>
      <c r="CE28" s="390">
        <f ca="1" t="shared" ref="CE28:CG28" si="239">SUM(CE5:CE27)</f>
        <v>1.60411961681552e+18</v>
      </c>
      <c r="CF28" s="390">
        <f ca="1" t="shared" si="239"/>
        <v>23696320440611</v>
      </c>
      <c r="CG28" s="390">
        <f ca="1" t="shared" si="239"/>
        <v>9.47095219875941e-22</v>
      </c>
      <c r="CH28" s="390"/>
      <c r="CI28" s="390">
        <f ca="1" t="shared" ref="CI28:CK28" si="240">SUM(CI5:CI27)</f>
        <v>1713072012290.99</v>
      </c>
      <c r="CJ28" s="390">
        <f ca="1" t="shared" si="240"/>
        <v>0.0234114052840827</v>
      </c>
      <c r="CK28" s="390">
        <f ca="1" t="shared" si="240"/>
        <v>0.0234114052840741</v>
      </c>
      <c r="CM28" s="390">
        <f ca="1" t="shared" ref="CM28:CP28" si="241">SUM(CM5:CM27)</f>
        <v>1.60411961681552e+18</v>
      </c>
      <c r="CN28" s="390">
        <f ca="1" t="shared" si="241"/>
        <v>23696320440611</v>
      </c>
      <c r="CO28" s="390">
        <f ca="1" t="shared" si="241"/>
        <v>9.47095219875941e-22</v>
      </c>
      <c r="CP28" s="390">
        <f ca="1" t="shared" si="241"/>
        <v>77.8222994804382</v>
      </c>
      <c r="CR28" s="580"/>
      <c r="CS28" s="580"/>
      <c r="CT28" s="521"/>
      <c r="CU28" s="521"/>
      <c r="CV28" s="521"/>
      <c r="CW28" s="521"/>
      <c r="CX28" s="521"/>
      <c r="CY28" s="521"/>
      <c r="CZ28" s="390">
        <f ca="1" t="shared" ref="CZ28:DB28" si="242">SUM(CZ5:CZ27)</f>
        <v>1.15658913784447e+18</v>
      </c>
      <c r="DA28" s="390">
        <f ca="1" t="shared" si="242"/>
        <v>25801358392654.1</v>
      </c>
      <c r="DB28" s="390">
        <f ca="1" t="shared" si="242"/>
        <v>3.86711039081372e-22</v>
      </c>
      <c r="DC28" s="390"/>
      <c r="DD28" s="390">
        <f ca="1" t="shared" ref="DD28:DF28" si="243">SUM(DD5:DD27)</f>
        <v>4068408171544.39</v>
      </c>
      <c r="DE28" s="390">
        <f ca="1" t="shared" si="243"/>
        <v>0.0249043308352553</v>
      </c>
      <c r="DF28" s="390">
        <f ca="1" t="shared" si="243"/>
        <v>0.0249043308352228</v>
      </c>
      <c r="DH28" s="390">
        <f ca="1" t="shared" ref="DH28:DJ28" si="244">SUM(DH5:DH27)</f>
        <v>1.15658913784447e+18</v>
      </c>
      <c r="DI28" s="390">
        <f ca="1" t="shared" si="244"/>
        <v>25801358392654.1</v>
      </c>
      <c r="DJ28" s="390">
        <f ca="1" t="shared" si="244"/>
        <v>3.86711039081372e-22</v>
      </c>
      <c r="DK28" s="390"/>
      <c r="DM28" s="580"/>
      <c r="DN28" s="580"/>
      <c r="DO28" s="521"/>
      <c r="DP28" s="521"/>
      <c r="DQ28" s="521"/>
      <c r="DR28" s="521"/>
      <c r="DS28" s="521"/>
      <c r="DT28" s="521"/>
      <c r="DU28" s="390">
        <f ca="1" t="shared" ref="DU28:DW28" si="245">SUM(DU5:DU27)</f>
        <v>9.26802820676304e+17</v>
      </c>
      <c r="DV28" s="390">
        <f ca="1" t="shared" si="245"/>
        <v>30679099645584.1</v>
      </c>
      <c r="DW28" s="390">
        <f ca="1" t="shared" si="245"/>
        <v>3.06545785210785e-22</v>
      </c>
      <c r="DX28" s="390"/>
      <c r="DY28" s="390">
        <f ca="1" t="shared" ref="DY28:EA28" si="246">SUM(DY5:DY27)</f>
        <v>7574503609335.76</v>
      </c>
      <c r="DZ28" s="390">
        <f ca="1" t="shared" si="246"/>
        <v>0.0284917920861859</v>
      </c>
      <c r="EA28" s="390">
        <f ca="1" t="shared" si="246"/>
        <v>0.0284917920861632</v>
      </c>
      <c r="EC28" s="390">
        <f ca="1" t="shared" ref="EC28:EE28" si="247">SUM(EC5:EC27)</f>
        <v>9.26802820676304e+17</v>
      </c>
      <c r="ED28" s="390">
        <f ca="1" t="shared" si="247"/>
        <v>30679099645584.1</v>
      </c>
      <c r="EE28" s="390">
        <f ca="1" t="shared" si="247"/>
        <v>3.06545785210785e-22</v>
      </c>
      <c r="EF28" s="390"/>
      <c r="EH28" s="580"/>
      <c r="EI28" s="580"/>
      <c r="EJ28" s="521"/>
      <c r="EK28" s="521"/>
      <c r="EL28" s="521"/>
      <c r="EM28" s="521"/>
      <c r="EN28" s="521"/>
      <c r="EO28" s="521"/>
      <c r="EP28" s="390">
        <f ca="1" t="shared" ref="EP28:ER28" si="248">SUM(EP5:EP27)</f>
        <v>7.26503569358257e+17</v>
      </c>
      <c r="EQ28" s="390">
        <f ca="1" t="shared" si="248"/>
        <v>36470616971650.6</v>
      </c>
      <c r="ER28" s="390">
        <f ca="1" t="shared" si="248"/>
        <v>1.8220733407921e-22</v>
      </c>
      <c r="ES28" s="390"/>
      <c r="ET28" s="390">
        <f ca="1" t="shared" ref="ET28:EV28" si="249">SUM(ET5:ET27)</f>
        <v>10092054838107.1</v>
      </c>
      <c r="EU28" s="390">
        <f ca="1" t="shared" si="249"/>
        <v>0.0337204608300764</v>
      </c>
      <c r="EV28" s="390">
        <f ca="1" t="shared" si="249"/>
        <v>0.0337204608300972</v>
      </c>
      <c r="EX28" s="390">
        <f ca="1" t="shared" ref="EX28:EZ28" si="250">SUM(EX5:EX27)</f>
        <v>7.26503569358257e+17</v>
      </c>
      <c r="EY28" s="390">
        <f ca="1" t="shared" si="250"/>
        <v>36470616971650.6</v>
      </c>
      <c r="EZ28" s="390">
        <f ca="1" t="shared" si="250"/>
        <v>1.8220733407921e-22</v>
      </c>
      <c r="FA28" s="390"/>
      <c r="FC28" s="580"/>
      <c r="FD28" s="580"/>
      <c r="FE28" s="521"/>
      <c r="FF28" s="521"/>
      <c r="FG28" s="521"/>
      <c r="FH28" s="521"/>
      <c r="FI28" s="521"/>
      <c r="FJ28" s="521"/>
      <c r="FK28" s="390">
        <f ca="1" t="shared" ref="FK28:FM28" si="251">SUM(FK5:FK27)</f>
        <v>2.29389952655733e+17</v>
      </c>
      <c r="FL28" s="390">
        <f ca="1" t="shared" si="251"/>
        <v>52944069068146.9</v>
      </c>
      <c r="FM28" s="390">
        <f ca="1" t="shared" si="251"/>
        <v>2.03468277104385e-23</v>
      </c>
      <c r="FN28" s="390"/>
      <c r="FO28" s="390">
        <f ca="1" t="shared" ref="FO28:FQ28" si="252">SUM(FO5:FO27)</f>
        <v>34065288865588.7</v>
      </c>
      <c r="FP28" s="390">
        <f ca="1" t="shared" si="252"/>
        <v>0.044701995428786</v>
      </c>
      <c r="FQ28" s="390">
        <f ca="1" t="shared" si="252"/>
        <v>0.0447019954287758</v>
      </c>
    </row>
    <row r="29" spans="1:189">
      <c r="A29" s="432" t="s">
        <v>279</v>
      </c>
      <c r="B29" s="407" t="s">
        <v>267</v>
      </c>
      <c r="C29" s="428">
        <f>-LN(1-0%)/8/3600</f>
        <v>0</v>
      </c>
      <c r="D29" s="410" t="s">
        <v>268</v>
      </c>
      <c r="E29" s="409" t="s">
        <v>269</v>
      </c>
      <c r="H29" s="390" t="s">
        <v>280</v>
      </c>
      <c r="J29" s="390" t="s">
        <v>281</v>
      </c>
      <c r="R29" s="390" t="s">
        <v>280</v>
      </c>
      <c r="T29" s="390" t="s">
        <v>281</v>
      </c>
      <c r="AN29" s="390" t="s">
        <v>282</v>
      </c>
      <c r="BA29" s="394" t="s">
        <v>283</v>
      </c>
      <c r="BB29" s="580"/>
      <c r="BC29" s="580"/>
      <c r="BD29" s="580"/>
      <c r="BE29" s="580"/>
      <c r="BF29" s="580"/>
      <c r="BG29" s="580"/>
      <c r="BH29" s="580"/>
      <c r="BI29" s="580"/>
      <c r="BJ29" s="580"/>
      <c r="BK29" s="580"/>
      <c r="BL29" s="580"/>
      <c r="BM29" s="580"/>
      <c r="BN29" s="580"/>
      <c r="BO29" s="600"/>
      <c r="BP29" s="601"/>
      <c r="BS29" s="580"/>
      <c r="BT29" s="521"/>
      <c r="BV29" s="394" t="s">
        <v>284</v>
      </c>
      <c r="BW29" s="580"/>
      <c r="BX29" s="580"/>
      <c r="BY29" s="580"/>
      <c r="BZ29" s="580"/>
      <c r="CA29" s="580"/>
      <c r="CB29" s="580"/>
      <c r="CC29" s="580"/>
      <c r="CD29" s="580"/>
      <c r="CE29" s="580"/>
      <c r="CF29" s="580"/>
      <c r="CG29" s="580"/>
      <c r="CH29" s="580"/>
      <c r="CI29" s="580"/>
      <c r="CJ29" s="600"/>
      <c r="CN29" s="580"/>
      <c r="CO29" s="580"/>
      <c r="CQ29" s="394" t="s">
        <v>285</v>
      </c>
      <c r="CR29" s="580"/>
      <c r="CS29" s="580"/>
      <c r="CT29" s="580"/>
      <c r="CU29" s="580"/>
      <c r="CV29" s="580"/>
      <c r="CW29" s="580"/>
      <c r="CX29" s="580"/>
      <c r="CY29" s="580"/>
      <c r="CZ29" s="580"/>
      <c r="DA29" s="580"/>
      <c r="DB29" s="580"/>
      <c r="DC29" s="580"/>
      <c r="DD29" s="580"/>
      <c r="DE29" s="580"/>
      <c r="DI29" s="580"/>
      <c r="DJ29" s="580"/>
      <c r="DK29" s="521"/>
      <c r="DL29" s="394" t="s">
        <v>286</v>
      </c>
      <c r="DM29" s="580"/>
      <c r="DN29" s="580"/>
      <c r="DO29" s="580"/>
      <c r="DP29" s="580"/>
      <c r="DQ29" s="580"/>
      <c r="DR29" s="580"/>
      <c r="DS29" s="580"/>
      <c r="DT29" s="580"/>
      <c r="DU29" s="580"/>
      <c r="DV29" s="580"/>
      <c r="DW29" s="580"/>
      <c r="DX29" s="580"/>
      <c r="DY29" s="580"/>
      <c r="DZ29" s="600"/>
      <c r="ED29" s="580"/>
      <c r="EE29" s="580"/>
      <c r="EF29" s="521"/>
      <c r="EG29" s="394" t="s">
        <v>287</v>
      </c>
      <c r="EJ29" s="580"/>
      <c r="EK29" s="580"/>
      <c r="EL29" s="580"/>
      <c r="EM29" s="580"/>
      <c r="EN29" s="580"/>
      <c r="EO29" s="580"/>
      <c r="EP29" s="580"/>
      <c r="EQ29" s="580"/>
      <c r="ER29" s="580"/>
      <c r="ES29" s="580"/>
      <c r="ET29" s="580"/>
      <c r="EU29" s="603"/>
      <c r="EY29" s="580"/>
      <c r="EZ29" s="580"/>
      <c r="FA29" s="521"/>
      <c r="FB29" s="394" t="s">
        <v>288</v>
      </c>
      <c r="FE29" s="580"/>
      <c r="FF29" s="580"/>
      <c r="FG29" s="580"/>
      <c r="FH29" s="580"/>
      <c r="FI29" s="580"/>
      <c r="FJ29" s="580"/>
      <c r="FK29" s="580"/>
      <c r="FL29" s="580"/>
      <c r="FM29" s="580"/>
      <c r="FN29" s="580"/>
      <c r="FO29" s="580"/>
      <c r="FP29" s="603"/>
      <c r="FS29" s="390" t="s">
        <v>280</v>
      </c>
      <c r="FU29" s="390" t="s">
        <v>281</v>
      </c>
      <c r="GD29" s="392"/>
      <c r="GE29" s="390" t="s">
        <v>280</v>
      </c>
      <c r="GG29" s="390" t="s">
        <v>281</v>
      </c>
    </row>
    <row r="30" spans="1:192">
      <c r="A30" s="430"/>
      <c r="B30" s="407" t="s">
        <v>270</v>
      </c>
      <c r="C30" s="437">
        <f ca="1">IF(48&lt;=$C$13-$C$12,MAX(1%,INDIRECT("'"&amp;$B$2&amp;"-事故进程'!$AD$23")*150%),0.000000000000001)</f>
        <v>1e-15</v>
      </c>
      <c r="D30" s="410"/>
      <c r="E30" s="409" t="s">
        <v>271</v>
      </c>
      <c r="G30" s="438" t="s">
        <v>289</v>
      </c>
      <c r="H30" s="439" t="s">
        <v>290</v>
      </c>
      <c r="I30" s="439" t="s">
        <v>291</v>
      </c>
      <c r="J30" s="452" t="s">
        <v>290</v>
      </c>
      <c r="K30" s="452" t="s">
        <v>291</v>
      </c>
      <c r="L30" s="452" t="s">
        <v>292</v>
      </c>
      <c r="M30" s="452" t="s">
        <v>292</v>
      </c>
      <c r="Q30" s="438" t="s">
        <v>289</v>
      </c>
      <c r="R30" s="439" t="s">
        <v>290</v>
      </c>
      <c r="S30" s="439" t="s">
        <v>291</v>
      </c>
      <c r="T30" s="452" t="s">
        <v>290</v>
      </c>
      <c r="U30" s="452" t="s">
        <v>291</v>
      </c>
      <c r="V30" s="452" t="s">
        <v>292</v>
      </c>
      <c r="W30" s="452" t="s">
        <v>292</v>
      </c>
      <c r="AD30" s="451"/>
      <c r="AN30" s="533"/>
      <c r="AS30" s="572"/>
      <c r="BO30" s="600"/>
      <c r="BP30" s="601"/>
      <c r="CJ30" s="600"/>
      <c r="DZ30" s="602"/>
      <c r="EU30" s="603"/>
      <c r="FP30" s="603"/>
      <c r="FS30" s="439" t="s">
        <v>290</v>
      </c>
      <c r="FT30" s="439" t="s">
        <v>291</v>
      </c>
      <c r="FU30" s="452" t="s">
        <v>290</v>
      </c>
      <c r="FV30" s="452" t="s">
        <v>291</v>
      </c>
      <c r="FW30" s="452" t="s">
        <v>292</v>
      </c>
      <c r="FX30" s="452" t="s">
        <v>292</v>
      </c>
      <c r="GD30" s="438" t="s">
        <v>289</v>
      </c>
      <c r="GE30" s="439" t="s">
        <v>290</v>
      </c>
      <c r="GF30" s="439" t="s">
        <v>291</v>
      </c>
      <c r="GG30" s="439" t="s">
        <v>290</v>
      </c>
      <c r="GH30" s="439" t="s">
        <v>291</v>
      </c>
      <c r="GI30" s="439" t="s">
        <v>292</v>
      </c>
      <c r="GJ30" s="439" t="s">
        <v>292</v>
      </c>
    </row>
    <row r="31" spans="1:192">
      <c r="A31" s="430"/>
      <c r="B31" s="407" t="s">
        <v>276</v>
      </c>
      <c r="C31" s="434">
        <f>C28</f>
        <v>1e+20</v>
      </c>
      <c r="D31" s="410" t="s">
        <v>273</v>
      </c>
      <c r="E31" s="409" t="s">
        <v>274</v>
      </c>
      <c r="G31" s="440">
        <f>后果有效剂量!$P5</f>
        <v>0</v>
      </c>
      <c r="H31" s="441">
        <f ca="1">SUMPRODUCT(H$5:H$27,后果有效剂量!$I$5:$I$27)*后果有效剂量!$Q5+SUMPRODUCT(I$5:I$27,后果有效剂量!$I$5:$I$27)*后果有效剂量!$Q5+SUMPRODUCT(J$5:J$27,后果有效剂量!$I$5:$I$27)*后果有效剂量!$R5+SUMPRODUCT(K$5:K$27,后果有效剂量!$I$5:$I$27)*后果有效剂量!$S5+SUMPRODUCT(L$5:L$27,后果有效剂量!$I$5:$I$27)*后果有效剂量!$T5+SUMPRODUCT(M$5:M$27,后果有效剂量!$I$5:$I$27)*后果有效剂量!$U5+SUMPRODUCT(H$5:H$27,后果有效剂量!$J$5:$J$27)*后果有效剂量!$Q5*后果有效剂量!$Q$3+SUMPRODUCT(I$5:I$27,后果有效剂量!$J$5:$J$27)*后果有效剂量!$Q5*后果有效剂量!$Q$3+SUMPRODUCT(J$5:J$27,后果有效剂量!$J$5:$J$27)*后果有效剂量!$R5*后果有效剂量!$R$3+SUMPRODUCT(K$5:K$27,后果有效剂量!$J$5:$J$27)*后果有效剂量!$S5*后果有效剂量!$S$3+SUMPRODUCT(L$5:L$27,后果有效剂量!$J$5:$J$27)*后果有效剂量!$T5*后果有效剂量!$T$3+SUMPRODUCT(M$5:M$27,后果有效剂量!$J$5:$J$27)*后果有效剂量!$U5*后果有效剂量!$U$3+SUMPRODUCT(H$5:H$27,后果有效剂量!$K$5:$K$27)*后果有效剂量!$Q5+SUMPRODUCT(I$5:I$27,后果有效剂量!$K$5:$K$27)*后果有效剂量!$Q5+SUMPRODUCT(J$5:J$27,后果有效剂量!$K$5:$K$27)*后果有效剂量!$R5+SUMPRODUCT(K$5:K$27,后果有效剂量!$K$5:$K$27)*后果有效剂量!$S5+SUMPRODUCT(L$5:L$27,后果有效剂量!$K$5:$K$27)*后果有效剂量!$T5+SUMPRODUCT(M$5:M$27,后果有效剂量!$K$5:$K$27)*后果有效剂量!$U5</f>
        <v>0</v>
      </c>
      <c r="I31" s="453">
        <f ca="1">SUMPRODUCT(H$5:H$27,后果甲状腺剂量!$I$5:$I$27)*后果甲状腺剂量!$Q5+SUMPRODUCT(I$5:I$27,后果甲状腺剂量!$I$5:$I$27)*后果甲状腺剂量!$Q5+SUMPRODUCT(J$5:J$27,后果甲状腺剂量!$I$5:$I$27)*后果甲状腺剂量!$R5+SUMPRODUCT(K$5:K$27,后果甲状腺剂量!$I$5:$I$27)*后果甲状腺剂量!$S5+SUMPRODUCT(L$5:L$27,后果甲状腺剂量!$I$5:$I$27)*后果甲状腺剂量!$T5+SUMPRODUCT(M$5:M$27,后果甲状腺剂量!$I$5:$I$27)*后果甲状腺剂量!$U5+SUMPRODUCT(H$5:H$27,后果甲状腺剂量!$J$5:$J$27)*后果甲状腺剂量!$Q5*后果甲状腺剂量!$Q$3+SUMPRODUCT(I$5:I$27,后果甲状腺剂量!$J$5:$J$27)*后果甲状腺剂量!$Q5*后果甲状腺剂量!$Q$3+SUMPRODUCT(J$5:J$27,后果甲状腺剂量!$J$5:$J$27)*后果甲状腺剂量!$R5*后果甲状腺剂量!$R$3+SUMPRODUCT(K$5:K$27,后果甲状腺剂量!$J$5:$J$27)*后果甲状腺剂量!$S5*后果甲状腺剂量!$S$3+SUMPRODUCT(L$5:L$27,后果甲状腺剂量!$J$5:$J$27)*后果甲状腺剂量!$T5*后果甲状腺剂量!$T$3+SUMPRODUCT(M$5:M$27,后果甲状腺剂量!$J$5:$J$27)*后果甲状腺剂量!$U5*后果甲状腺剂量!$U$3+SUMPRODUCT(H$5:H$27,后果甲状腺剂量!$K$5:$K$27)*后果甲状腺剂量!$Q5+SUMPRODUCT(I$5:I$27,后果甲状腺剂量!$K$5:$K$27)*后果甲状腺剂量!$Q5+SUMPRODUCT(J$5:J$27,后果甲状腺剂量!$K$5:$K$27)*后果甲状腺剂量!$R5+SUMPRODUCT(K$5:K$27,后果甲状腺剂量!$K$5:$K$27)*后果甲状腺剂量!$S5+SUMPRODUCT(L$5:L$27,后果甲状腺剂量!$K$5:$K$27)*后果甲状腺剂量!$T5+SUMPRODUCT(M$5:M$27,后果甲状腺剂量!$K$5:$K$27)*后果甲状腺剂量!$U5</f>
        <v>0</v>
      </c>
      <c r="J31" s="454">
        <f ca="1" t="shared" ref="J31:J56" si="253">H31*1000</f>
        <v>0</v>
      </c>
      <c r="K31" s="454">
        <f ca="1" t="shared" ref="K31:K56" si="254">I31*1000</f>
        <v>0</v>
      </c>
      <c r="L31" s="436"/>
      <c r="M31" s="436"/>
      <c r="N31" s="455"/>
      <c r="Q31" s="440">
        <f>后果有效剂量!$P5</f>
        <v>0</v>
      </c>
      <c r="R31" s="441">
        <f ca="1">SUMPRODUCT(R$5:R$27,后果有效剂量!$I$5:$I$27)*后果有效剂量!$Q5+SUMPRODUCT(S$5:S$27,后果有效剂量!$I$5:$I$27)*后果有效剂量!$Q5+SUMPRODUCT(T$5:T$27,后果有效剂量!$I$5:$I$27)*后果有效剂量!$R5+SUMPRODUCT(U$5:U$27,后果有效剂量!$I$5:$I$27)*后果有效剂量!$S5+SUMPRODUCT(V$5:V$27,后果有效剂量!$I$5:$I$27)*后果有效剂量!$T5+SUMPRODUCT(W$5:W$27,后果有效剂量!$I$5:$I$27)*后果有效剂量!$U5+SUMPRODUCT(R$5:R$27,后果有效剂量!$J$5:$J$27)*后果有效剂量!$Q5*后果有效剂量!$Q$3+SUMPRODUCT(S$5:S$27,后果有效剂量!$J$5:$J$27)*后果有效剂量!$Q5*后果有效剂量!$Q$3+SUMPRODUCT(T$5:T$27,后果有效剂量!$J$5:$J$27)*后果有效剂量!$R5*后果有效剂量!$R$3+SUMPRODUCT(U$5:U$27,后果有效剂量!$J$5:$J$27)*后果有效剂量!$S5*后果有效剂量!$S$3+SUMPRODUCT(V$5:V$27,后果有效剂量!$J$5:$J$27)*后果有效剂量!$T5*后果有效剂量!$T$3+SUMPRODUCT(W$5:W$27,后果有效剂量!$J$5:$J$27)*后果有效剂量!$U5*后果有效剂量!$U$3+SUMPRODUCT(R$5:R$27,后果有效剂量!$K$5:$K$27)*后果有效剂量!$Q5+SUMPRODUCT(S$5:S$27,后果有效剂量!$K$5:$K$27)*后果有效剂量!$Q5+SUMPRODUCT(T$5:T$27,后果有效剂量!$K$5:$K$27)*后果有效剂量!$R5+SUMPRODUCT(U$5:U$27,后果有效剂量!$K$5:$K$27)*后果有效剂量!$S5+SUMPRODUCT(V$5:V$27,后果有效剂量!$K$5:$K$27)*后果有效剂量!$T5+SUMPRODUCT(W$5:W$27,后果有效剂量!$K$5:$K$27)*后果有效剂量!$U5</f>
        <v>0</v>
      </c>
      <c r="S31" s="453">
        <f ca="1">SUMPRODUCT(R$5:R$27,后果甲状腺剂量!$I$5:$I$27)*后果甲状腺剂量!$Q5+SUMPRODUCT(S$5:S$27,后果甲状腺剂量!$I$5:$I$27)*后果甲状腺剂量!$Q5+SUMPRODUCT(T$5:T$27,后果甲状腺剂量!$I$5:$I$27)*后果甲状腺剂量!$R5+SUMPRODUCT(U$5:U$27,后果甲状腺剂量!$I$5:$I$27)*后果甲状腺剂量!$S5+SUMPRODUCT(V$5:V$27,后果甲状腺剂量!$I$5:$I$27)*后果甲状腺剂量!$T5+SUMPRODUCT(W$5:W$27,后果甲状腺剂量!$I$5:$I$27)*后果甲状腺剂量!$U5+SUMPRODUCT(R$5:R$27,后果甲状腺剂量!$J$5:$J$27)*后果甲状腺剂量!$Q5*后果甲状腺剂量!$Q$3+SUMPRODUCT(S$5:S$27,后果甲状腺剂量!$J$5:$J$27)*后果甲状腺剂量!$Q5*后果甲状腺剂量!$Q$3+SUMPRODUCT(T$5:T$27,后果甲状腺剂量!$J$5:$J$27)*后果甲状腺剂量!$R5*后果甲状腺剂量!$R$3+SUMPRODUCT(U$5:U$27,后果甲状腺剂量!$J$5:$J$27)*后果甲状腺剂量!$S5*后果甲状腺剂量!$S$3+SUMPRODUCT(V$5:V$27,后果甲状腺剂量!$J$5:$J$27)*后果甲状腺剂量!$T5*后果甲状腺剂量!$T$3+SUMPRODUCT(W$5:W$27,后果甲状腺剂量!$J$5:$J$27)*后果甲状腺剂量!$U5*后果甲状腺剂量!$U$3+SUMPRODUCT(R$5:R$27,后果甲状腺剂量!$K$5:$K$27)*后果甲状腺剂量!$Q5+SUMPRODUCT(S$5:S$27,后果甲状腺剂量!$K$5:$K$27)*后果甲状腺剂量!$Q5+SUMPRODUCT(T$5:T$27,后果甲状腺剂量!$K$5:$K$27)*后果甲状腺剂量!$R5+SUMPRODUCT(U$5:U$27,后果甲状腺剂量!$K$5:$K$27)*后果甲状腺剂量!$S5+SUMPRODUCT(V$5:V$27,后果甲状腺剂量!$K$5:$K$27)*后果甲状腺剂量!$T5+SUMPRODUCT(W$5:W$27,后果甲状腺剂量!$K$5:$K$27)*后果甲状腺剂量!$U5</f>
        <v>0</v>
      </c>
      <c r="T31" s="454">
        <f ca="1" t="shared" ref="T31:T56" si="255">R31*1000</f>
        <v>0</v>
      </c>
      <c r="U31" s="454">
        <f ca="1" t="shared" ref="U31:U56" si="256">S31*1000</f>
        <v>0</v>
      </c>
      <c r="V31" s="436"/>
      <c r="W31" s="436"/>
      <c r="AN31" s="533"/>
      <c r="AS31" s="572"/>
      <c r="BO31" s="600"/>
      <c r="BP31" s="600"/>
      <c r="CJ31" s="600"/>
      <c r="DZ31" s="600"/>
      <c r="EU31" s="603"/>
      <c r="FP31" s="603"/>
      <c r="FS31" s="441">
        <f>SUMPRODUCT(FS$5:FS$27,后果有效剂量!$I$5:$I$27)*后果有效剂量!$Q5+SUMPRODUCT(FT$5:FT$27,后果有效剂量!$I$5:$I$27)*后果有效剂量!$R5+SUMPRODUCT(FU$5:FU$27,后果有效剂量!$I$5:$I$27)*后果有效剂量!$S5+SUMPRODUCT(FV$5:FV$27,后果有效剂量!$I$5:$I$27)*后果有效剂量!$T5+SUMPRODUCT(FS$5:FS$27,后果有效剂量!$J$5:$J$27)*后果有效剂量!$Q5*后果有效剂量!$Q$3+SUMPRODUCT(FT$5:FT$27,后果有效剂量!$J$5:$J$27)*后果有效剂量!$R5*后果有效剂量!$R$3+SUMPRODUCT(FU$5:FU$27,后果有效剂量!$J$5:$J$27)*后果有效剂量!$S5*后果有效剂量!$S$3+SUMPRODUCT(FV$5:FV$27,后果有效剂量!$J$5:$J$27)*后果有效剂量!$T5*后果有效剂量!$T$3+SUMPRODUCT(FS$5:FS$27,后果有效剂量!$K$5:$K$27)*后果有效剂量!$Q5+SUMPRODUCT(FT$5:FT$27,后果有效剂量!$K$5:$K$27)*后果有效剂量!$R5+SUMPRODUCT(FU$5:FU$27,后果有效剂量!$K$5:$K$27)*后果有效剂量!$S5+SUMPRODUCT(FV$5:FV$27,后果有效剂量!$K$5:$K$27)*后果有效剂量!$T5</f>
        <v>0</v>
      </c>
      <c r="FT31" s="441">
        <f>SUMPRODUCT(FS$5:FS$27,后果甲状腺剂量!$I$5:$I$27)*后果甲状腺剂量!$Q5+SUMPRODUCT(FT$5:FT$27,后果甲状腺剂量!$I$5:$I$27)*后果甲状腺剂量!$R5+SUMPRODUCT(FU$5:FU$27,后果甲状腺剂量!$I$5:$I$27)*后果甲状腺剂量!$S5+SUMPRODUCT(FV$5:FV$27,后果甲状腺剂量!$I$5:$I$27)*后果甲状腺剂量!$T5+SUMPRODUCT(FS$5:FS$27,后果甲状腺剂量!$J$5:$J$27)*后果甲状腺剂量!$Q5*后果甲状腺剂量!$Q$3+SUMPRODUCT(FT$5:FT$27,后果甲状腺剂量!$J$5:$J$27)*后果甲状腺剂量!$R5*后果甲状腺剂量!$R$3+SUMPRODUCT(FU$5:FU$27,后果甲状腺剂量!$J$5:$J$27)*后果甲状腺剂量!$S5*后果甲状腺剂量!$S$3+SUMPRODUCT(FV$5:FV$27,后果甲状腺剂量!$J$5:$J$27)*后果甲状腺剂量!$T5*后果甲状腺剂量!$T$3+SUMPRODUCT(FS$5:FS$27,后果甲状腺剂量!$K$5:$K$27)*后果甲状腺剂量!$Q5+SUMPRODUCT(FT$5:FT$27,后果甲状腺剂量!$K$5:$K$27)*后果甲状腺剂量!$R5+SUMPRODUCT(FU$5:FU$27,后果甲状腺剂量!$K$5:$K$27)*后果甲状腺剂量!$S5+SUMPRODUCT(FV$5:FV$27,后果甲状腺剂量!$K$5:$K$27)*后果甲状腺剂量!$T5</f>
        <v>0</v>
      </c>
      <c r="FU31" s="454">
        <f t="shared" ref="FU31:FU56" si="257">FS31*1000</f>
        <v>0</v>
      </c>
      <c r="FV31" s="454">
        <f t="shared" ref="FV31:FV56" si="258">FT31*1000</f>
        <v>0</v>
      </c>
      <c r="FW31" s="436"/>
      <c r="FX31" s="436"/>
      <c r="GD31" s="440">
        <f>后果有效剂量!$P5</f>
        <v>0</v>
      </c>
      <c r="GE31" s="441">
        <f>SUMPRODUCT(GE$5:GE$27,后果有效剂量!$I$5:$I$27)*后果有效剂量!$Q5+SUMPRODUCT(GF$5:GF$27,后果有效剂量!$I$5:$I$27)*后果有效剂量!$R5+SUMPRODUCT(GG$5:GG$27,后果有效剂量!$I$5:$I$27)*后果有效剂量!$S5+(SUMPRODUCT(GH$5:GH$27,后果有效剂量!$I$5:$I$27)+SUMPRODUCT(GI$5:GI$27,后果有效剂量!$I$5:$I$27))*后果有效剂量!$T5+SUMPRODUCT(GJ$5:GJ$27,后果有效剂量!$I$5:$I$27)*后果有效剂量!$U5+SUMPRODUCT(GE$5:GE$27,后果有效剂量!$J$5:$J$27)*后果有效剂量!$Q5*后果有效剂量!$Q$3+SUMPRODUCT(GF$5:GF$27,后果有效剂量!$J$5:$J$27)*后果有效剂量!$R5*后果有效剂量!$R$3+SUMPRODUCT(GG$5:GG$27,后果有效剂量!$J$5:$J$27)*后果有效剂量!$S5*后果有效剂量!$S$3+(SUMPRODUCT(GH$5:GH$27,后果有效剂量!$J$5:$J$27)+SUMPRODUCT(GI$5:GI$27,后果有效剂量!$J$5:$J$27))*后果有效剂量!$T5*后果有效剂量!$T$3+SUMPRODUCT(GJ$5:GJ$27,后果有效剂量!$J$5:$J$27)*后果有效剂量!$U5*后果有效剂量!$U$3+SUMPRODUCT(GE$5:GE$27,后果有效剂量!$K$5:$K$27)*后果有效剂量!$Q5+SUMPRODUCT(GF$5:GF$27,后果有效剂量!$K$5:$K$27)*后果有效剂量!$R5+SUMPRODUCT(GG$5:GG$27,后果有效剂量!$K$5:$K$27)*后果有效剂量!$S5+(SUMPRODUCT(GH$5:GH$27,后果有效剂量!$K$5:$K$27)+SUMPRODUCT(GI$5:GI$27,后果有效剂量!$K$5:$K$27))*后果有效剂量!$T5+SUMPRODUCT(GJ$5:GJ$27,后果有效剂量!$K$5:$K$27)*后果有效剂量!$U5</f>
        <v>0</v>
      </c>
      <c r="GF31" s="453">
        <f>SUMPRODUCT(GE$5:GE$27,后果甲状腺剂量!$I$5:$I$27)*后果甲状腺剂量!$Q5+SUMPRODUCT(GF$5:GF$27,后果甲状腺剂量!$I$5:$I$27)*后果甲状腺剂量!$R5+SUMPRODUCT(GG$5:GG$27,后果甲状腺剂量!$I$5:$I$27)*后果甲状腺剂量!$S5+(SUMPRODUCT(GH$5:GH$27,后果甲状腺剂量!$I$5:$I$27)+SUMPRODUCT(GI$5:GI$27,后果甲状腺剂量!$I$5:$I$27))*后果甲状腺剂量!$T5+SUMPRODUCT(GJ$5:GJ$27,后果甲状腺剂量!$I$5:$I$27)*后果甲状腺剂量!$U5+SUMPRODUCT(GE$5:GE$27,后果甲状腺剂量!$J$5:$J$27)*后果甲状腺剂量!$Q5*后果甲状腺剂量!$Q$3+SUMPRODUCT(GF$5:GF$27,后果甲状腺剂量!$J$5:$J$27)*后果甲状腺剂量!$R5*后果甲状腺剂量!$R$3+SUMPRODUCT(GG$5:GG$27,后果甲状腺剂量!$J$5:$J$27)*后果甲状腺剂量!$S5*后果甲状腺剂量!$S$3+(SUMPRODUCT(GH$5:GH$27,后果甲状腺剂量!$J$5:$J$27)+SUMPRODUCT(GI$5:GI$27,后果甲状腺剂量!$J$5:$J$27))*后果甲状腺剂量!$T5*后果甲状腺剂量!$T$3+SUMPRODUCT(GJ$5:GJ$27,后果甲状腺剂量!$J$5:$J$27)*后果甲状腺剂量!$U5*后果甲状腺剂量!$U$3+SUMPRODUCT(GE$5:GE$27,后果甲状腺剂量!$K$5:$K$27)*后果甲状腺剂量!$Q5+SUMPRODUCT(GF$5:GF$27,后果甲状腺剂量!$K$5:$K$27)*后果甲状腺剂量!$R5+SUMPRODUCT(GG$5:GG$27,后果甲状腺剂量!$K$5:$K$27)*后果甲状腺剂量!$S5+(SUMPRODUCT(GH$5:GH$27,后果甲状腺剂量!$K$5:$K$27)+SUMPRODUCT(GI$5:GI$27,后果甲状腺剂量!$K$5:$K$27))*后果甲状腺剂量!$T5+SUMPRODUCT(GJ$5:GJ$27,后果甲状腺剂量!$K$5:$K$27)*后果甲状腺剂量!$U5</f>
        <v>0</v>
      </c>
      <c r="GG31" s="454">
        <f t="shared" ref="GG31:GG56" si="259">GE31*1000</f>
        <v>0</v>
      </c>
      <c r="GH31" s="454">
        <f t="shared" ref="GH31:GH56" si="260">GF31*1000</f>
        <v>0</v>
      </c>
      <c r="GI31" s="436"/>
      <c r="GJ31" s="436"/>
    </row>
    <row r="32" spans="1:192">
      <c r="A32" s="432" t="s">
        <v>293</v>
      </c>
      <c r="B32" s="407" t="s">
        <v>267</v>
      </c>
      <c r="C32" s="428">
        <f>-LN(1-0%)/8/3600</f>
        <v>0</v>
      </c>
      <c r="D32" s="410" t="s">
        <v>268</v>
      </c>
      <c r="E32" s="409" t="s">
        <v>269</v>
      </c>
      <c r="G32" s="440">
        <f>后果有效剂量!$P6</f>
        <v>0</v>
      </c>
      <c r="H32" s="441">
        <f ca="1">SUMPRODUCT(H$5:H$27,后果有效剂量!$I$5:$I$27)*后果有效剂量!$Q6+SUMPRODUCT(I$5:I$27,后果有效剂量!$I$5:$I$27)*后果有效剂量!$Q6+SUMPRODUCT(J$5:J$27,后果有效剂量!$I$5:$I$27)*后果有效剂量!$R6+SUMPRODUCT(K$5:K$27,后果有效剂量!$I$5:$I$27)*后果有效剂量!$S6+SUMPRODUCT(L$5:L$27,后果有效剂量!$I$5:$I$27)*后果有效剂量!$T6+SUMPRODUCT(M$5:M$27,后果有效剂量!$I$5:$I$27)*后果有效剂量!$U6+SUMPRODUCT(H$5:H$27,后果有效剂量!$J$5:$J$27)*后果有效剂量!$Q6*后果有效剂量!$Q$3+SUMPRODUCT(I$5:I$27,后果有效剂量!$J$5:$J$27)*后果有效剂量!$Q6*后果有效剂量!$Q$3+SUMPRODUCT(J$5:J$27,后果有效剂量!$J$5:$J$27)*后果有效剂量!$R6*后果有效剂量!$R$3+SUMPRODUCT(K$5:K$27,后果有效剂量!$J$5:$J$27)*后果有效剂量!$S6*后果有效剂量!$S$3+SUMPRODUCT(L$5:L$27,后果有效剂量!$J$5:$J$27)*后果有效剂量!$T6*后果有效剂量!$T$3+SUMPRODUCT(M$5:M$27,后果有效剂量!$J$5:$J$27)*后果有效剂量!$U6*后果有效剂量!$U$3+SUMPRODUCT(H$5:H$27,后果有效剂量!$K$5:$K$27)*后果有效剂量!$Q6+SUMPRODUCT(I$5:I$27,后果有效剂量!$K$5:$K$27)*后果有效剂量!$Q6+SUMPRODUCT(J$5:J$27,后果有效剂量!$K$5:$K$27)*后果有效剂量!$R6+SUMPRODUCT(K$5:K$27,后果有效剂量!$K$5:$K$27)*后果有效剂量!$S6+SUMPRODUCT(L$5:L$27,后果有效剂量!$K$5:$K$27)*后果有效剂量!$T6+SUMPRODUCT(M$5:M$27,后果有效剂量!$K$5:$K$27)*后果有效剂量!$U6</f>
        <v>0</v>
      </c>
      <c r="I32" s="453">
        <f ca="1">SUMPRODUCT(H$5:H$27,后果甲状腺剂量!$I$5:$I$27)*后果甲状腺剂量!$Q6+SUMPRODUCT(I$5:I$27,后果甲状腺剂量!$I$5:$I$27)*后果甲状腺剂量!$Q6+SUMPRODUCT(J$5:J$27,后果甲状腺剂量!$I$5:$I$27)*后果甲状腺剂量!$R6+SUMPRODUCT(K$5:K$27,后果甲状腺剂量!$I$5:$I$27)*后果甲状腺剂量!$S6+SUMPRODUCT(L$5:L$27,后果甲状腺剂量!$I$5:$I$27)*后果甲状腺剂量!$T6+SUMPRODUCT(M$5:M$27,后果甲状腺剂量!$I$5:$I$27)*后果甲状腺剂量!$U6+SUMPRODUCT(H$5:H$27,后果甲状腺剂量!$J$5:$J$27)*后果甲状腺剂量!$Q6*后果甲状腺剂量!$Q$3+SUMPRODUCT(I$5:I$27,后果甲状腺剂量!$J$5:$J$27)*后果甲状腺剂量!$Q6*后果甲状腺剂量!$Q$3+SUMPRODUCT(J$5:J$27,后果甲状腺剂量!$J$5:$J$27)*后果甲状腺剂量!$R6*后果甲状腺剂量!$R$3+SUMPRODUCT(K$5:K$27,后果甲状腺剂量!$J$5:$J$27)*后果甲状腺剂量!$S6*后果甲状腺剂量!$S$3+SUMPRODUCT(L$5:L$27,后果甲状腺剂量!$J$5:$J$27)*后果甲状腺剂量!$T6*后果甲状腺剂量!$T$3+SUMPRODUCT(M$5:M$27,后果甲状腺剂量!$J$5:$J$27)*后果甲状腺剂量!$U6*后果甲状腺剂量!$U$3+SUMPRODUCT(H$5:H$27,后果甲状腺剂量!$K$5:$K$27)*后果甲状腺剂量!$Q6+SUMPRODUCT(I$5:I$27,后果甲状腺剂量!$K$5:$K$27)*后果甲状腺剂量!$Q6+SUMPRODUCT(J$5:J$27,后果甲状腺剂量!$K$5:$K$27)*后果甲状腺剂量!$R6+SUMPRODUCT(K$5:K$27,后果甲状腺剂量!$K$5:$K$27)*后果甲状腺剂量!$S6+SUMPRODUCT(L$5:L$27,后果甲状腺剂量!$K$5:$K$27)*后果甲状腺剂量!$T6+SUMPRODUCT(M$5:M$27,后果甲状腺剂量!$K$5:$K$27)*后果甲状腺剂量!$U6</f>
        <v>0</v>
      </c>
      <c r="J32" s="454">
        <f ca="1" t="shared" si="253"/>
        <v>0</v>
      </c>
      <c r="K32" s="454">
        <f ca="1" t="shared" si="254"/>
        <v>0</v>
      </c>
      <c r="L32" s="436"/>
      <c r="M32" s="436"/>
      <c r="N32" s="455"/>
      <c r="Q32" s="440">
        <f>后果有效剂量!$P6</f>
        <v>0</v>
      </c>
      <c r="R32" s="441">
        <f ca="1">SUMPRODUCT(R$5:R$27,后果有效剂量!$I$5:$I$27)*后果有效剂量!$Q6+SUMPRODUCT(S$5:S$27,后果有效剂量!$I$5:$I$27)*后果有效剂量!$Q6+SUMPRODUCT(T$5:T$27,后果有效剂量!$I$5:$I$27)*后果有效剂量!$R6+SUMPRODUCT(U$5:U$27,后果有效剂量!$I$5:$I$27)*后果有效剂量!$S6+SUMPRODUCT(V$5:V$27,后果有效剂量!$I$5:$I$27)*后果有效剂量!$T6+SUMPRODUCT(W$5:W$27,后果有效剂量!$I$5:$I$27)*后果有效剂量!$U6+SUMPRODUCT(R$5:R$27,后果有效剂量!$J$5:$J$27)*后果有效剂量!$Q6*后果有效剂量!$Q$3+SUMPRODUCT(S$5:S$27,后果有效剂量!$J$5:$J$27)*后果有效剂量!$Q6*后果有效剂量!$Q$3+SUMPRODUCT(T$5:T$27,后果有效剂量!$J$5:$J$27)*后果有效剂量!$R6*后果有效剂量!$R$3+SUMPRODUCT(U$5:U$27,后果有效剂量!$J$5:$J$27)*后果有效剂量!$S6*后果有效剂量!$S$3+SUMPRODUCT(V$5:V$27,后果有效剂量!$J$5:$J$27)*后果有效剂量!$T6*后果有效剂量!$T$3+SUMPRODUCT(W$5:W$27,后果有效剂量!$J$5:$J$27)*后果有效剂量!$U6*后果有效剂量!$U$3+SUMPRODUCT(R$5:R$27,后果有效剂量!$K$5:$K$27)*后果有效剂量!$Q6+SUMPRODUCT(S$5:S$27,后果有效剂量!$K$5:$K$27)*后果有效剂量!$Q6+SUMPRODUCT(T$5:T$27,后果有效剂量!$K$5:$K$27)*后果有效剂量!$R6+SUMPRODUCT(U$5:U$27,后果有效剂量!$K$5:$K$27)*后果有效剂量!$S6+SUMPRODUCT(V$5:V$27,后果有效剂量!$K$5:$K$27)*后果有效剂量!$T6+SUMPRODUCT(W$5:W$27,后果有效剂量!$K$5:$K$27)*后果有效剂量!$U6</f>
        <v>0</v>
      </c>
      <c r="S32" s="453">
        <f ca="1">SUMPRODUCT(R$5:R$27,后果甲状腺剂量!$I$5:$I$27)*后果甲状腺剂量!$Q6+SUMPRODUCT(S$5:S$27,后果甲状腺剂量!$I$5:$I$27)*后果甲状腺剂量!$Q6+SUMPRODUCT(T$5:T$27,后果甲状腺剂量!$I$5:$I$27)*后果甲状腺剂量!$R6+SUMPRODUCT(U$5:U$27,后果甲状腺剂量!$I$5:$I$27)*后果甲状腺剂量!$S6+SUMPRODUCT(V$5:V$27,后果甲状腺剂量!$I$5:$I$27)*后果甲状腺剂量!$T6+SUMPRODUCT(W$5:W$27,后果甲状腺剂量!$I$5:$I$27)*后果甲状腺剂量!$U6+SUMPRODUCT(R$5:R$27,后果甲状腺剂量!$J$5:$J$27)*后果甲状腺剂量!$Q6*后果甲状腺剂量!$Q$3+SUMPRODUCT(S$5:S$27,后果甲状腺剂量!$J$5:$J$27)*后果甲状腺剂量!$Q6*后果甲状腺剂量!$Q$3+SUMPRODUCT(T$5:T$27,后果甲状腺剂量!$J$5:$J$27)*后果甲状腺剂量!$R6*后果甲状腺剂量!$R$3+SUMPRODUCT(U$5:U$27,后果甲状腺剂量!$J$5:$J$27)*后果甲状腺剂量!$S6*后果甲状腺剂量!$S$3+SUMPRODUCT(V$5:V$27,后果甲状腺剂量!$J$5:$J$27)*后果甲状腺剂量!$T6*后果甲状腺剂量!$T$3+SUMPRODUCT(W$5:W$27,后果甲状腺剂量!$J$5:$J$27)*后果甲状腺剂量!$U6*后果甲状腺剂量!$U$3+SUMPRODUCT(R$5:R$27,后果甲状腺剂量!$K$5:$K$27)*后果甲状腺剂量!$Q6+SUMPRODUCT(S$5:S$27,后果甲状腺剂量!$K$5:$K$27)*后果甲状腺剂量!$Q6+SUMPRODUCT(T$5:T$27,后果甲状腺剂量!$K$5:$K$27)*后果甲状腺剂量!$R6+SUMPRODUCT(U$5:U$27,后果甲状腺剂量!$K$5:$K$27)*后果甲状腺剂量!$S6+SUMPRODUCT(V$5:V$27,后果甲状腺剂量!$K$5:$K$27)*后果甲状腺剂量!$T6+SUMPRODUCT(W$5:W$27,后果甲状腺剂量!$K$5:$K$27)*后果甲状腺剂量!$U6</f>
        <v>0</v>
      </c>
      <c r="T32" s="454">
        <f ca="1" t="shared" si="255"/>
        <v>0</v>
      </c>
      <c r="U32" s="454">
        <f ca="1" t="shared" si="256"/>
        <v>0</v>
      </c>
      <c r="V32" s="436"/>
      <c r="W32" s="436"/>
      <c r="AN32" s="533"/>
      <c r="AS32" s="572"/>
      <c r="BO32" s="600"/>
      <c r="BP32" s="600"/>
      <c r="CJ32" s="600"/>
      <c r="DZ32" s="600"/>
      <c r="EU32" s="603"/>
      <c r="FP32" s="603"/>
      <c r="FS32" s="441">
        <f>SUMPRODUCT(FS$5:FS$27,后果有效剂量!$I$5:$I$27)*后果有效剂量!$Q6+SUMPRODUCT(FT$5:FT$27,后果有效剂量!$I$5:$I$27)*后果有效剂量!$R6+SUMPRODUCT(FU$5:FU$27,后果有效剂量!$I$5:$I$27)*后果有效剂量!$S6+SUMPRODUCT(FV$5:FV$27,后果有效剂量!$I$5:$I$27)*后果有效剂量!$T6+SUMPRODUCT(FS$5:FS$27,后果有效剂量!$J$5:$J$27)*后果有效剂量!$Q6*后果有效剂量!$Q$3+SUMPRODUCT(FT$5:FT$27,后果有效剂量!$J$5:$J$27)*后果有效剂量!$R6*后果有效剂量!$R$3+SUMPRODUCT(FU$5:FU$27,后果有效剂量!$J$5:$J$27)*后果有效剂量!$S6*后果有效剂量!$S$3+SUMPRODUCT(FV$5:FV$27,后果有效剂量!$J$5:$J$27)*后果有效剂量!$T6*后果有效剂量!$T$3+SUMPRODUCT(FS$5:FS$27,后果有效剂量!$K$5:$K$27)*后果有效剂量!$Q6+SUMPRODUCT(FT$5:FT$27,后果有效剂量!$K$5:$K$27)*后果有效剂量!$R6+SUMPRODUCT(FU$5:FU$27,后果有效剂量!$K$5:$K$27)*后果有效剂量!$S6+SUMPRODUCT(FV$5:FV$27,后果有效剂量!$K$5:$K$27)*后果有效剂量!$T6</f>
        <v>0</v>
      </c>
      <c r="FT32" s="453">
        <f>SUMPRODUCT(FS$5:FS$27,后果甲状腺剂量!$I$5:$I$27)*后果甲状腺剂量!$Q6+SUMPRODUCT(FT$5:FT$27,后果甲状腺剂量!$I$5:$I$27)*后果甲状腺剂量!$R6+SUMPRODUCT(FU$5:FU$27,后果甲状腺剂量!$I$5:$I$27)*后果甲状腺剂量!$S6+SUMPRODUCT(FV$5:FV$27,后果甲状腺剂量!$I$5:$I$27)*后果甲状腺剂量!$T6+SUMPRODUCT(FS$5:FS$27,后果甲状腺剂量!$J$5:$J$27)*后果甲状腺剂量!$Q6*后果甲状腺剂量!$Q$3+SUMPRODUCT(FT$5:FT$27,后果甲状腺剂量!$J$5:$J$27)*后果甲状腺剂量!$R6*后果甲状腺剂量!$R$3+SUMPRODUCT(FU$5:FU$27,后果甲状腺剂量!$J$5:$J$27)*后果甲状腺剂量!$S6*后果甲状腺剂量!$S$3+SUMPRODUCT(FV$5:FV$27,后果甲状腺剂量!$J$5:$J$27)*后果甲状腺剂量!$T6*后果甲状腺剂量!$T$3+SUMPRODUCT(FS$5:FS$27,后果甲状腺剂量!$K$5:$K$27)*后果甲状腺剂量!$Q6+SUMPRODUCT(FT$5:FT$27,后果甲状腺剂量!$K$5:$K$27)*后果甲状腺剂量!$R6+SUMPRODUCT(FU$5:FU$27,后果甲状腺剂量!$K$5:$K$27)*后果甲状腺剂量!$S6+SUMPRODUCT(FV$5:FV$27,后果甲状腺剂量!$K$5:$K$27)*后果甲状腺剂量!$T6</f>
        <v>0</v>
      </c>
      <c r="FU32" s="454">
        <f t="shared" si="257"/>
        <v>0</v>
      </c>
      <c r="FV32" s="454">
        <f t="shared" si="258"/>
        <v>0</v>
      </c>
      <c r="FW32" s="436"/>
      <c r="FX32" s="436"/>
      <c r="GD32" s="440">
        <f>后果有效剂量!$P6</f>
        <v>0</v>
      </c>
      <c r="GE32" s="441">
        <f>SUMPRODUCT(GE$5:GE$27,后果有效剂量!$I$5:$I$27)*后果有效剂量!$Q6+SUMPRODUCT(GF$5:GF$27,后果有效剂量!$I$5:$I$27)*后果有效剂量!$R6+SUMPRODUCT(GG$5:GG$27,后果有效剂量!$I$5:$I$27)*后果有效剂量!$S6+(SUMPRODUCT(GH$5:GH$27,后果有效剂量!$I$5:$I$27)+SUMPRODUCT(GI$5:GI$27,后果有效剂量!$I$5:$I$27))*后果有效剂量!$T6+SUMPRODUCT(GJ$5:GJ$27,后果有效剂量!$I$5:$I$27)*后果有效剂量!$U6+SUMPRODUCT(GE$5:GE$27,后果有效剂量!$J$5:$J$27)*后果有效剂量!$Q6*后果有效剂量!$Q$3+SUMPRODUCT(GF$5:GF$27,后果有效剂量!$J$5:$J$27)*后果有效剂量!$R6*后果有效剂量!$R$3+SUMPRODUCT(GG$5:GG$27,后果有效剂量!$J$5:$J$27)*后果有效剂量!$S6*后果有效剂量!$S$3+(SUMPRODUCT(GH$5:GH$27,后果有效剂量!$J$5:$J$27)+SUMPRODUCT(GI$5:GI$27,后果有效剂量!$J$5:$J$27))*后果有效剂量!$T6*后果有效剂量!$T$3+SUMPRODUCT(GJ$5:GJ$27,后果有效剂量!$J$5:$J$27)*后果有效剂量!$U6*后果有效剂量!$U$3+SUMPRODUCT(GE$5:GE$27,后果有效剂量!$K$5:$K$27)*后果有效剂量!$Q6+SUMPRODUCT(GF$5:GF$27,后果有效剂量!$K$5:$K$27)*后果有效剂量!$R6+SUMPRODUCT(GG$5:GG$27,后果有效剂量!$K$5:$K$27)*后果有效剂量!$S6+(SUMPRODUCT(GH$5:GH$27,后果有效剂量!$K$5:$K$27)+SUMPRODUCT(GI$5:GI$27,后果有效剂量!$K$5:$K$27))*后果有效剂量!$T6+SUMPRODUCT(GJ$5:GJ$27,后果有效剂量!$K$5:$K$27)*后果有效剂量!$U6</f>
        <v>0</v>
      </c>
      <c r="GF32" s="453">
        <f>SUMPRODUCT(GE$5:GE$27,后果甲状腺剂量!$I$5:$I$27)*后果甲状腺剂量!$Q6+SUMPRODUCT(GF$5:GF$27,后果甲状腺剂量!$I$5:$I$27)*后果甲状腺剂量!$R6+SUMPRODUCT(GG$5:GG$27,后果甲状腺剂量!$I$5:$I$27)*后果甲状腺剂量!$S6+(SUMPRODUCT(GH$5:GH$27,后果甲状腺剂量!$I$5:$I$27)+SUMPRODUCT(GI$5:GI$27,后果甲状腺剂量!$I$5:$I$27))*后果甲状腺剂量!$T6+SUMPRODUCT(GJ$5:GJ$27,后果甲状腺剂量!$I$5:$I$27)*后果甲状腺剂量!$U6+SUMPRODUCT(GE$5:GE$27,后果甲状腺剂量!$J$5:$J$27)*后果甲状腺剂量!$Q6*后果甲状腺剂量!$Q$3+SUMPRODUCT(GF$5:GF$27,后果甲状腺剂量!$J$5:$J$27)*后果甲状腺剂量!$R6*后果甲状腺剂量!$R$3+SUMPRODUCT(GG$5:GG$27,后果甲状腺剂量!$J$5:$J$27)*后果甲状腺剂量!$S6*后果甲状腺剂量!$S$3+(SUMPRODUCT(GH$5:GH$27,后果甲状腺剂量!$J$5:$J$27)+SUMPRODUCT(GI$5:GI$27,后果甲状腺剂量!$J$5:$J$27))*后果甲状腺剂量!$T6*后果甲状腺剂量!$T$3+SUMPRODUCT(GJ$5:GJ$27,后果甲状腺剂量!$J$5:$J$27)*后果甲状腺剂量!$U6*后果甲状腺剂量!$U$3+SUMPRODUCT(GE$5:GE$27,后果甲状腺剂量!$K$5:$K$27)*后果甲状腺剂量!$Q6+SUMPRODUCT(GF$5:GF$27,后果甲状腺剂量!$K$5:$K$27)*后果甲状腺剂量!$R6+SUMPRODUCT(GG$5:GG$27,后果甲状腺剂量!$K$5:$K$27)*后果甲状腺剂量!$S6+(SUMPRODUCT(GH$5:GH$27,后果甲状腺剂量!$K$5:$K$27)+SUMPRODUCT(GI$5:GI$27,后果甲状腺剂量!$K$5:$K$27))*后果甲状腺剂量!$T6+SUMPRODUCT(GJ$5:GJ$27,后果甲状腺剂量!$K$5:$K$27)*后果甲状腺剂量!$U6</f>
        <v>0</v>
      </c>
      <c r="GG32" s="454">
        <f t="shared" si="259"/>
        <v>0</v>
      </c>
      <c r="GH32" s="454">
        <f t="shared" si="260"/>
        <v>0</v>
      </c>
      <c r="GI32" s="436"/>
      <c r="GJ32" s="436"/>
    </row>
    <row r="33" spans="1:192">
      <c r="A33" s="430"/>
      <c r="B33" s="407" t="s">
        <v>270</v>
      </c>
      <c r="C33" s="437">
        <f ca="1">IF(96&lt;=$C$13-$C$12,MAX(1%,INDIRECT("'"&amp;$B$2&amp;"-事故进程'!$AE$23")*150%),0.000000000000001)</f>
        <v>1e-15</v>
      </c>
      <c r="D33" s="410"/>
      <c r="E33" s="409" t="s">
        <v>271</v>
      </c>
      <c r="G33" s="440">
        <f>后果有效剂量!$P7</f>
        <v>0</v>
      </c>
      <c r="H33" s="441">
        <f ca="1">SUMPRODUCT(H$5:H$27,后果有效剂量!$I$5:$I$27)*后果有效剂量!$Q7+SUMPRODUCT(I$5:I$27,后果有效剂量!$I$5:$I$27)*后果有效剂量!$Q7+SUMPRODUCT(J$5:J$27,后果有效剂量!$I$5:$I$27)*后果有效剂量!$R7+SUMPRODUCT(K$5:K$27,后果有效剂量!$I$5:$I$27)*后果有效剂量!$S7+SUMPRODUCT(L$5:L$27,后果有效剂量!$I$5:$I$27)*后果有效剂量!$T7+SUMPRODUCT(M$5:M$27,后果有效剂量!$I$5:$I$27)*后果有效剂量!$U7+SUMPRODUCT(H$5:H$27,后果有效剂量!$J$5:$J$27)*后果有效剂量!$Q7*后果有效剂量!$Q$3+SUMPRODUCT(I$5:I$27,后果有效剂量!$J$5:$J$27)*后果有效剂量!$Q7*后果有效剂量!$Q$3+SUMPRODUCT(J$5:J$27,后果有效剂量!$J$5:$J$27)*后果有效剂量!$R7*后果有效剂量!$R$3+SUMPRODUCT(K$5:K$27,后果有效剂量!$J$5:$J$27)*后果有效剂量!$S7*后果有效剂量!$S$3+SUMPRODUCT(L$5:L$27,后果有效剂量!$J$5:$J$27)*后果有效剂量!$T7*后果有效剂量!$T$3+SUMPRODUCT(M$5:M$27,后果有效剂量!$J$5:$J$27)*后果有效剂量!$U7*后果有效剂量!$U$3+SUMPRODUCT(H$5:H$27,后果有效剂量!$K$5:$K$27)*后果有效剂量!$Q7+SUMPRODUCT(I$5:I$27,后果有效剂量!$K$5:$K$27)*后果有效剂量!$Q7+SUMPRODUCT(J$5:J$27,后果有效剂量!$K$5:$K$27)*后果有效剂量!$R7+SUMPRODUCT(K$5:K$27,后果有效剂量!$K$5:$K$27)*后果有效剂量!$S7+SUMPRODUCT(L$5:L$27,后果有效剂量!$K$5:$K$27)*后果有效剂量!$T7+SUMPRODUCT(M$5:M$27,后果有效剂量!$K$5:$K$27)*后果有效剂量!$U7</f>
        <v>0</v>
      </c>
      <c r="I33" s="453">
        <f ca="1">SUMPRODUCT(H$5:H$27,后果甲状腺剂量!$I$5:$I$27)*后果甲状腺剂量!$Q7+SUMPRODUCT(I$5:I$27,后果甲状腺剂量!$I$5:$I$27)*后果甲状腺剂量!$Q7+SUMPRODUCT(J$5:J$27,后果甲状腺剂量!$I$5:$I$27)*后果甲状腺剂量!$R7+SUMPRODUCT(K$5:K$27,后果甲状腺剂量!$I$5:$I$27)*后果甲状腺剂量!$S7+SUMPRODUCT(L$5:L$27,后果甲状腺剂量!$I$5:$I$27)*后果甲状腺剂量!$T7+SUMPRODUCT(M$5:M$27,后果甲状腺剂量!$I$5:$I$27)*后果甲状腺剂量!$U7+SUMPRODUCT(H$5:H$27,后果甲状腺剂量!$J$5:$J$27)*后果甲状腺剂量!$Q7*后果甲状腺剂量!$Q$3+SUMPRODUCT(I$5:I$27,后果甲状腺剂量!$J$5:$J$27)*后果甲状腺剂量!$Q7*后果甲状腺剂量!$Q$3+SUMPRODUCT(J$5:J$27,后果甲状腺剂量!$J$5:$J$27)*后果甲状腺剂量!$R7*后果甲状腺剂量!$R$3+SUMPRODUCT(K$5:K$27,后果甲状腺剂量!$J$5:$J$27)*后果甲状腺剂量!$S7*后果甲状腺剂量!$S$3+SUMPRODUCT(L$5:L$27,后果甲状腺剂量!$J$5:$J$27)*后果甲状腺剂量!$T7*后果甲状腺剂量!$T$3+SUMPRODUCT(M$5:M$27,后果甲状腺剂量!$J$5:$J$27)*后果甲状腺剂量!$U7*后果甲状腺剂量!$U$3+SUMPRODUCT(H$5:H$27,后果甲状腺剂量!$K$5:$K$27)*后果甲状腺剂量!$Q7+SUMPRODUCT(I$5:I$27,后果甲状腺剂量!$K$5:$K$27)*后果甲状腺剂量!$Q7+SUMPRODUCT(J$5:J$27,后果甲状腺剂量!$K$5:$K$27)*后果甲状腺剂量!$R7+SUMPRODUCT(K$5:K$27,后果甲状腺剂量!$K$5:$K$27)*后果甲状腺剂量!$S7+SUMPRODUCT(L$5:L$27,后果甲状腺剂量!$K$5:$K$27)*后果甲状腺剂量!$T7+SUMPRODUCT(M$5:M$27,后果甲状腺剂量!$K$5:$K$27)*后果甲状腺剂量!$U7</f>
        <v>0</v>
      </c>
      <c r="J33" s="454">
        <f ca="1" t="shared" si="253"/>
        <v>0</v>
      </c>
      <c r="K33" s="454">
        <f ca="1" t="shared" si="254"/>
        <v>0</v>
      </c>
      <c r="L33" s="436"/>
      <c r="M33" s="436"/>
      <c r="N33" s="455"/>
      <c r="Q33" s="440">
        <f>后果有效剂量!$P7</f>
        <v>0</v>
      </c>
      <c r="R33" s="441">
        <f ca="1">SUMPRODUCT(R$5:R$27,后果有效剂量!$I$5:$I$27)*后果有效剂量!$Q7+SUMPRODUCT(S$5:S$27,后果有效剂量!$I$5:$I$27)*后果有效剂量!$Q7+SUMPRODUCT(T$5:T$27,后果有效剂量!$I$5:$I$27)*后果有效剂量!$R7+SUMPRODUCT(U$5:U$27,后果有效剂量!$I$5:$I$27)*后果有效剂量!$S7+SUMPRODUCT(V$5:V$27,后果有效剂量!$I$5:$I$27)*后果有效剂量!$T7+SUMPRODUCT(W$5:W$27,后果有效剂量!$I$5:$I$27)*后果有效剂量!$U7+SUMPRODUCT(R$5:R$27,后果有效剂量!$J$5:$J$27)*后果有效剂量!$Q7*后果有效剂量!$Q$3+SUMPRODUCT(S$5:S$27,后果有效剂量!$J$5:$J$27)*后果有效剂量!$Q7*后果有效剂量!$Q$3+SUMPRODUCT(T$5:T$27,后果有效剂量!$J$5:$J$27)*后果有效剂量!$R7*后果有效剂量!$R$3+SUMPRODUCT(U$5:U$27,后果有效剂量!$J$5:$J$27)*后果有效剂量!$S7*后果有效剂量!$S$3+SUMPRODUCT(V$5:V$27,后果有效剂量!$J$5:$J$27)*后果有效剂量!$T7*后果有效剂量!$T$3+SUMPRODUCT(W$5:W$27,后果有效剂量!$J$5:$J$27)*后果有效剂量!$U7*后果有效剂量!$U$3+SUMPRODUCT(R$5:R$27,后果有效剂量!$K$5:$K$27)*后果有效剂量!$Q7+SUMPRODUCT(S$5:S$27,后果有效剂量!$K$5:$K$27)*后果有效剂量!$Q7+SUMPRODUCT(T$5:T$27,后果有效剂量!$K$5:$K$27)*后果有效剂量!$R7+SUMPRODUCT(U$5:U$27,后果有效剂量!$K$5:$K$27)*后果有效剂量!$S7+SUMPRODUCT(V$5:V$27,后果有效剂量!$K$5:$K$27)*后果有效剂量!$T7+SUMPRODUCT(W$5:W$27,后果有效剂量!$K$5:$K$27)*后果有效剂量!$U7</f>
        <v>0</v>
      </c>
      <c r="S33" s="453">
        <f ca="1">SUMPRODUCT(R$5:R$27,后果甲状腺剂量!$I$5:$I$27)*后果甲状腺剂量!$Q7+SUMPRODUCT(S$5:S$27,后果甲状腺剂量!$I$5:$I$27)*后果甲状腺剂量!$Q7+SUMPRODUCT(T$5:T$27,后果甲状腺剂量!$I$5:$I$27)*后果甲状腺剂量!$R7+SUMPRODUCT(U$5:U$27,后果甲状腺剂量!$I$5:$I$27)*后果甲状腺剂量!$S7+SUMPRODUCT(V$5:V$27,后果甲状腺剂量!$I$5:$I$27)*后果甲状腺剂量!$T7+SUMPRODUCT(W$5:W$27,后果甲状腺剂量!$I$5:$I$27)*后果甲状腺剂量!$U7+SUMPRODUCT(R$5:R$27,后果甲状腺剂量!$J$5:$J$27)*后果甲状腺剂量!$Q7*后果甲状腺剂量!$Q$3+SUMPRODUCT(S$5:S$27,后果甲状腺剂量!$J$5:$J$27)*后果甲状腺剂量!$Q7*后果甲状腺剂量!$Q$3+SUMPRODUCT(T$5:T$27,后果甲状腺剂量!$J$5:$J$27)*后果甲状腺剂量!$R7*后果甲状腺剂量!$R$3+SUMPRODUCT(U$5:U$27,后果甲状腺剂量!$J$5:$J$27)*后果甲状腺剂量!$S7*后果甲状腺剂量!$S$3+SUMPRODUCT(V$5:V$27,后果甲状腺剂量!$J$5:$J$27)*后果甲状腺剂量!$T7*后果甲状腺剂量!$T$3+SUMPRODUCT(W$5:W$27,后果甲状腺剂量!$J$5:$J$27)*后果甲状腺剂量!$U7*后果甲状腺剂量!$U$3+SUMPRODUCT(R$5:R$27,后果甲状腺剂量!$K$5:$K$27)*后果甲状腺剂量!$Q7+SUMPRODUCT(S$5:S$27,后果甲状腺剂量!$K$5:$K$27)*后果甲状腺剂量!$Q7+SUMPRODUCT(T$5:T$27,后果甲状腺剂量!$K$5:$K$27)*后果甲状腺剂量!$R7+SUMPRODUCT(U$5:U$27,后果甲状腺剂量!$K$5:$K$27)*后果甲状腺剂量!$S7+SUMPRODUCT(V$5:V$27,后果甲状腺剂量!$K$5:$K$27)*后果甲状腺剂量!$T7+SUMPRODUCT(W$5:W$27,后果甲状腺剂量!$K$5:$K$27)*后果甲状腺剂量!$U7</f>
        <v>0</v>
      </c>
      <c r="T33" s="454">
        <f ca="1" t="shared" si="255"/>
        <v>0</v>
      </c>
      <c r="U33" s="454">
        <f ca="1" t="shared" si="256"/>
        <v>0</v>
      </c>
      <c r="V33" s="436"/>
      <c r="W33" s="436"/>
      <c r="AN33" s="533"/>
      <c r="AS33" s="572"/>
      <c r="BO33" s="600"/>
      <c r="BP33" s="600"/>
      <c r="CJ33" s="600"/>
      <c r="DZ33" s="600"/>
      <c r="EU33" s="603"/>
      <c r="FP33" s="603"/>
      <c r="FS33" s="441">
        <f>SUMPRODUCT(FS$5:FS$27,后果有效剂量!$I$5:$I$27)*后果有效剂量!$Q7+SUMPRODUCT(FT$5:FT$27,后果有效剂量!$I$5:$I$27)*后果有效剂量!$R7+SUMPRODUCT(FU$5:FU$27,后果有效剂量!$I$5:$I$27)*后果有效剂量!$S7+SUMPRODUCT(FV$5:FV$27,后果有效剂量!$I$5:$I$27)*后果有效剂量!$T7+SUMPRODUCT(FS$5:FS$27,后果有效剂量!$J$5:$J$27)*后果有效剂量!$Q7*后果有效剂量!$Q$3+SUMPRODUCT(FT$5:FT$27,后果有效剂量!$J$5:$J$27)*后果有效剂量!$R7*后果有效剂量!$R$3+SUMPRODUCT(FU$5:FU$27,后果有效剂量!$J$5:$J$27)*后果有效剂量!$S7*后果有效剂量!$S$3+SUMPRODUCT(FV$5:FV$27,后果有效剂量!$J$5:$J$27)*后果有效剂量!$T7*后果有效剂量!$T$3+SUMPRODUCT(FS$5:FS$27,后果有效剂量!$K$5:$K$27)*后果有效剂量!$Q7+SUMPRODUCT(FT$5:FT$27,后果有效剂量!$K$5:$K$27)*后果有效剂量!$R7+SUMPRODUCT(FU$5:FU$27,后果有效剂量!$K$5:$K$27)*后果有效剂量!$S7+SUMPRODUCT(FV$5:FV$27,后果有效剂量!$K$5:$K$27)*后果有效剂量!$T7</f>
        <v>0</v>
      </c>
      <c r="FT33" s="453">
        <f>SUMPRODUCT(FS$5:FS$27,后果甲状腺剂量!$I$5:$I$27)*后果甲状腺剂量!$Q7+SUMPRODUCT(FT$5:FT$27,后果甲状腺剂量!$I$5:$I$27)*后果甲状腺剂量!$R7+SUMPRODUCT(FU$5:FU$27,后果甲状腺剂量!$I$5:$I$27)*后果甲状腺剂量!$S7+SUMPRODUCT(FV$5:FV$27,后果甲状腺剂量!$I$5:$I$27)*后果甲状腺剂量!$T7+SUMPRODUCT(FS$5:FS$27,后果甲状腺剂量!$J$5:$J$27)*后果甲状腺剂量!$Q7*后果甲状腺剂量!$Q$3+SUMPRODUCT(FT$5:FT$27,后果甲状腺剂量!$J$5:$J$27)*后果甲状腺剂量!$R7*后果甲状腺剂量!$R$3+SUMPRODUCT(FU$5:FU$27,后果甲状腺剂量!$J$5:$J$27)*后果甲状腺剂量!$S7*后果甲状腺剂量!$S$3+SUMPRODUCT(FV$5:FV$27,后果甲状腺剂量!$J$5:$J$27)*后果甲状腺剂量!$T7*后果甲状腺剂量!$T$3+SUMPRODUCT(FS$5:FS$27,后果甲状腺剂量!$K$5:$K$27)*后果甲状腺剂量!$Q7+SUMPRODUCT(FT$5:FT$27,后果甲状腺剂量!$K$5:$K$27)*后果甲状腺剂量!$R7+SUMPRODUCT(FU$5:FU$27,后果甲状腺剂量!$K$5:$K$27)*后果甲状腺剂量!$S7+SUMPRODUCT(FV$5:FV$27,后果甲状腺剂量!$K$5:$K$27)*后果甲状腺剂量!$T7</f>
        <v>0</v>
      </c>
      <c r="FU33" s="454">
        <f t="shared" si="257"/>
        <v>0</v>
      </c>
      <c r="FV33" s="454">
        <f t="shared" si="258"/>
        <v>0</v>
      </c>
      <c r="FW33" s="436"/>
      <c r="FX33" s="436"/>
      <c r="GD33" s="440">
        <f>后果有效剂量!$P7</f>
        <v>0</v>
      </c>
      <c r="GE33" s="441">
        <f>SUMPRODUCT(GE$5:GE$27,后果有效剂量!$I$5:$I$27)*后果有效剂量!$Q7+SUMPRODUCT(GF$5:GF$27,后果有效剂量!$I$5:$I$27)*后果有效剂量!$R7+SUMPRODUCT(GG$5:GG$27,后果有效剂量!$I$5:$I$27)*后果有效剂量!$S7+(SUMPRODUCT(GH$5:GH$27,后果有效剂量!$I$5:$I$27)+SUMPRODUCT(GI$5:GI$27,后果有效剂量!$I$5:$I$27))*后果有效剂量!$T7+SUMPRODUCT(GJ$5:GJ$27,后果有效剂量!$I$5:$I$27)*后果有效剂量!$U7+SUMPRODUCT(GE$5:GE$27,后果有效剂量!$J$5:$J$27)*后果有效剂量!$Q7*后果有效剂量!$Q$3+SUMPRODUCT(GF$5:GF$27,后果有效剂量!$J$5:$J$27)*后果有效剂量!$R7*后果有效剂量!$R$3+SUMPRODUCT(GG$5:GG$27,后果有效剂量!$J$5:$J$27)*后果有效剂量!$S7*后果有效剂量!$S$3+(SUMPRODUCT(GH$5:GH$27,后果有效剂量!$J$5:$J$27)+SUMPRODUCT(GI$5:GI$27,后果有效剂量!$J$5:$J$27))*后果有效剂量!$T7*后果有效剂量!$T$3+SUMPRODUCT(GJ$5:GJ$27,后果有效剂量!$J$5:$J$27)*后果有效剂量!$U7*后果有效剂量!$U$3+SUMPRODUCT(GE$5:GE$27,后果有效剂量!$K$5:$K$27)*后果有效剂量!$Q7+SUMPRODUCT(GF$5:GF$27,后果有效剂量!$K$5:$K$27)*后果有效剂量!$R7+SUMPRODUCT(GG$5:GG$27,后果有效剂量!$K$5:$K$27)*后果有效剂量!$S7+(SUMPRODUCT(GH$5:GH$27,后果有效剂量!$K$5:$K$27)+SUMPRODUCT(GI$5:GI$27,后果有效剂量!$K$5:$K$27))*后果有效剂量!$T7+SUMPRODUCT(GJ$5:GJ$27,后果有效剂量!$K$5:$K$27)*后果有效剂量!$U7</f>
        <v>0</v>
      </c>
      <c r="GF33" s="453">
        <f>SUMPRODUCT(GE$5:GE$27,后果甲状腺剂量!$I$5:$I$27)*后果甲状腺剂量!$Q7+SUMPRODUCT(GF$5:GF$27,后果甲状腺剂量!$I$5:$I$27)*后果甲状腺剂量!$R7+SUMPRODUCT(GG$5:GG$27,后果甲状腺剂量!$I$5:$I$27)*后果甲状腺剂量!$S7+(SUMPRODUCT(GH$5:GH$27,后果甲状腺剂量!$I$5:$I$27)+SUMPRODUCT(GI$5:GI$27,后果甲状腺剂量!$I$5:$I$27))*后果甲状腺剂量!$T7+SUMPRODUCT(GJ$5:GJ$27,后果甲状腺剂量!$I$5:$I$27)*后果甲状腺剂量!$U7+SUMPRODUCT(GE$5:GE$27,后果甲状腺剂量!$J$5:$J$27)*后果甲状腺剂量!$Q7*后果甲状腺剂量!$Q$3+SUMPRODUCT(GF$5:GF$27,后果甲状腺剂量!$J$5:$J$27)*后果甲状腺剂量!$R7*后果甲状腺剂量!$R$3+SUMPRODUCT(GG$5:GG$27,后果甲状腺剂量!$J$5:$J$27)*后果甲状腺剂量!$S7*后果甲状腺剂量!$S$3+(SUMPRODUCT(GH$5:GH$27,后果甲状腺剂量!$J$5:$J$27)+SUMPRODUCT(GI$5:GI$27,后果甲状腺剂量!$J$5:$J$27))*后果甲状腺剂量!$T7*后果甲状腺剂量!$T$3+SUMPRODUCT(GJ$5:GJ$27,后果甲状腺剂量!$J$5:$J$27)*后果甲状腺剂量!$U7*后果甲状腺剂量!$U$3+SUMPRODUCT(GE$5:GE$27,后果甲状腺剂量!$K$5:$K$27)*后果甲状腺剂量!$Q7+SUMPRODUCT(GF$5:GF$27,后果甲状腺剂量!$K$5:$K$27)*后果甲状腺剂量!$R7+SUMPRODUCT(GG$5:GG$27,后果甲状腺剂量!$K$5:$K$27)*后果甲状腺剂量!$S7+(SUMPRODUCT(GH$5:GH$27,后果甲状腺剂量!$K$5:$K$27)+SUMPRODUCT(GI$5:GI$27,后果甲状腺剂量!$K$5:$K$27))*后果甲状腺剂量!$T7+SUMPRODUCT(GJ$5:GJ$27,后果甲状腺剂量!$K$5:$K$27)*后果甲状腺剂量!$U7</f>
        <v>0</v>
      </c>
      <c r="GG33" s="454">
        <f t="shared" si="259"/>
        <v>0</v>
      </c>
      <c r="GH33" s="454">
        <f t="shared" si="260"/>
        <v>0</v>
      </c>
      <c r="GI33" s="436"/>
      <c r="GJ33" s="436"/>
    </row>
    <row r="34" spans="1:192">
      <c r="A34" s="442"/>
      <c r="B34" s="407" t="s">
        <v>276</v>
      </c>
      <c r="C34" s="434">
        <f>C31</f>
        <v>1e+20</v>
      </c>
      <c r="D34" s="410" t="s">
        <v>273</v>
      </c>
      <c r="E34" s="409" t="s">
        <v>274</v>
      </c>
      <c r="G34" s="440" t="str">
        <f>后果有效剂量!$P8</f>
        <v>500m</v>
      </c>
      <c r="H34" s="443">
        <f ca="1">SUMPRODUCT(H$5:H$27,后果有效剂量!$I$5:$I$27)*后果有效剂量!$Q8+SUMPRODUCT(I$5:I$27,后果有效剂量!$I$5:$I$27)*后果有效剂量!$Q8+SUMPRODUCT(J$5:J$27,后果有效剂量!$I$5:$I$27)*后果有效剂量!$R8+SUMPRODUCT(K$5:K$27,后果有效剂量!$I$5:$I$27)*后果有效剂量!$S8+SUMPRODUCT(L$5:L$27,后果有效剂量!$I$5:$I$27)*后果有效剂量!$T8+SUMPRODUCT(M$5:M$27,后果有效剂量!$I$5:$I$27)*后果有效剂量!$U8+SUMPRODUCT(H$5:H$27,后果有效剂量!$J$5:$J$27)*后果有效剂量!$Q8*后果有效剂量!$Q$3+SUMPRODUCT(I$5:I$27,后果有效剂量!$J$5:$J$27)*后果有效剂量!$Q8*后果有效剂量!$Q$3+SUMPRODUCT(J$5:J$27,后果有效剂量!$J$5:$J$27)*后果有效剂量!$R8*后果有效剂量!$R$3+SUMPRODUCT(K$5:K$27,后果有效剂量!$J$5:$J$27)*后果有效剂量!$S8*后果有效剂量!$S$3+SUMPRODUCT(L$5:L$27,后果有效剂量!$J$5:$J$27)*后果有效剂量!$T8*后果有效剂量!$T$3+SUMPRODUCT(M$5:M$27,后果有效剂量!$J$5:$J$27)*后果有效剂量!$U8*后果有效剂量!$U$3+SUMPRODUCT(H$5:H$27,后果有效剂量!$K$5:$K$27)*后果有效剂量!$Q8+SUMPRODUCT(I$5:I$27,后果有效剂量!$K$5:$K$27)*后果有效剂量!$Q8+SUMPRODUCT(J$5:J$27,后果有效剂量!$K$5:$K$27)*后果有效剂量!$R8+SUMPRODUCT(K$5:K$27,后果有效剂量!$K$5:$K$27)*后果有效剂量!$S8+SUMPRODUCT(L$5:L$27,后果有效剂量!$K$5:$K$27)*后果有效剂量!$T8+SUMPRODUCT(M$5:M$27,后果有效剂量!$K$5:$K$27)*后果有效剂量!$U8</f>
        <v>0.00477860520271798</v>
      </c>
      <c r="I34" s="456">
        <f ca="1">SUMPRODUCT(H$5:H$27,后果甲状腺剂量!$I$5:$I$27)*后果甲状腺剂量!$Q8+SUMPRODUCT(I$5:I$27,后果甲状腺剂量!$I$5:$I$27)*后果甲状腺剂量!$Q8+SUMPRODUCT(J$5:J$27,后果甲状腺剂量!$I$5:$I$27)*后果甲状腺剂量!$R8+SUMPRODUCT(K$5:K$27,后果甲状腺剂量!$I$5:$I$27)*后果甲状腺剂量!$S8+SUMPRODUCT(L$5:L$27,后果甲状腺剂量!$I$5:$I$27)*后果甲状腺剂量!$T8+SUMPRODUCT(M$5:M$27,后果甲状腺剂量!$I$5:$I$27)*后果甲状腺剂量!$U8+SUMPRODUCT(H$5:H$27,后果甲状腺剂量!$J$5:$J$27)*后果甲状腺剂量!$Q8*后果甲状腺剂量!$Q$3+SUMPRODUCT(I$5:I$27,后果甲状腺剂量!$J$5:$J$27)*后果甲状腺剂量!$Q8*后果甲状腺剂量!$Q$3+SUMPRODUCT(J$5:J$27,后果甲状腺剂量!$J$5:$J$27)*后果甲状腺剂量!$R8*后果甲状腺剂量!$R$3+SUMPRODUCT(K$5:K$27,后果甲状腺剂量!$J$5:$J$27)*后果甲状腺剂量!$S8*后果甲状腺剂量!$S$3+SUMPRODUCT(L$5:L$27,后果甲状腺剂量!$J$5:$J$27)*后果甲状腺剂量!$T8*后果甲状腺剂量!$T$3+SUMPRODUCT(M$5:M$27,后果甲状腺剂量!$J$5:$J$27)*后果甲状腺剂量!$U8*后果甲状腺剂量!$U$3+SUMPRODUCT(H$5:H$27,后果甲状腺剂量!$K$5:$K$27)*后果甲状腺剂量!$Q8+SUMPRODUCT(I$5:I$27,后果甲状腺剂量!$K$5:$K$27)*后果甲状腺剂量!$Q8+SUMPRODUCT(J$5:J$27,后果甲状腺剂量!$K$5:$K$27)*后果甲状腺剂量!$R8+SUMPRODUCT(K$5:K$27,后果甲状腺剂量!$K$5:$K$27)*后果甲状腺剂量!$S8+SUMPRODUCT(L$5:L$27,后果甲状腺剂量!$K$5:$K$27)*后果甲状腺剂量!$T8+SUMPRODUCT(M$5:M$27,后果甲状腺剂量!$K$5:$K$27)*后果甲状腺剂量!$U8</f>
        <v>0.0479692815471126</v>
      </c>
      <c r="J34" s="457">
        <f ca="1" t="shared" si="253"/>
        <v>4.77860520271798</v>
      </c>
      <c r="K34" s="457">
        <f ca="1" t="shared" si="254"/>
        <v>47.9692815471126</v>
      </c>
      <c r="L34" s="458">
        <f ca="1">J34/$C$35</f>
        <v>0.477860520271798</v>
      </c>
      <c r="M34" s="458">
        <f ca="1">K34/$C$36</f>
        <v>0.479692815471126</v>
      </c>
      <c r="N34" s="455"/>
      <c r="Q34" s="440" t="str">
        <f>后果有效剂量!$P8</f>
        <v>500m</v>
      </c>
      <c r="R34" s="443">
        <f ca="1">SUMPRODUCT(R$5:R$27,后果有效剂量!$I$5:$I$27)*后果有效剂量!$Q8+SUMPRODUCT(S$5:S$27,后果有效剂量!$I$5:$I$27)*后果有效剂量!$Q8+SUMPRODUCT(T$5:T$27,后果有效剂量!$I$5:$I$27)*后果有效剂量!$R8+SUMPRODUCT(U$5:U$27,后果有效剂量!$I$5:$I$27)*后果有效剂量!$S8+SUMPRODUCT(V$5:V$27,后果有效剂量!$I$5:$I$27)*后果有效剂量!$T8+SUMPRODUCT(W$5:W$27,后果有效剂量!$I$5:$I$27)*后果有效剂量!$U8+SUMPRODUCT(R$5:R$27,后果有效剂量!$J$5:$J$27)*后果有效剂量!$Q8*后果有效剂量!$Q$3+SUMPRODUCT(S$5:S$27,后果有效剂量!$J$5:$J$27)*后果有效剂量!$Q8*后果有效剂量!$Q$3+SUMPRODUCT(T$5:T$27,后果有效剂量!$J$5:$J$27)*后果有效剂量!$R8*后果有效剂量!$R$3+SUMPRODUCT(U$5:U$27,后果有效剂量!$J$5:$J$27)*后果有效剂量!$S8*后果有效剂量!$S$3+SUMPRODUCT(V$5:V$27,后果有效剂量!$J$5:$J$27)*后果有效剂量!$T8*后果有效剂量!$T$3+SUMPRODUCT(W$5:W$27,后果有效剂量!$J$5:$J$27)*后果有效剂量!$U8*后果有效剂量!$U$3+SUMPRODUCT(R$5:R$27,后果有效剂量!$K$5:$K$27)*后果有效剂量!$Q8+SUMPRODUCT(S$5:S$27,后果有效剂量!$K$5:$K$27)*后果有效剂量!$Q8+SUMPRODUCT(T$5:T$27,后果有效剂量!$K$5:$K$27)*后果有效剂量!$R8+SUMPRODUCT(U$5:U$27,后果有效剂量!$K$5:$K$27)*后果有效剂量!$S8+SUMPRODUCT(V$5:V$27,后果有效剂量!$K$5:$K$27)*后果有效剂量!$T8+SUMPRODUCT(W$5:W$27,后果有效剂量!$K$5:$K$27)*后果有效剂量!$U8</f>
        <v>0.00477860520271789</v>
      </c>
      <c r="S34" s="456">
        <f ca="1">SUMPRODUCT(R$5:R$27,后果甲状腺剂量!$I$5:$I$27)*后果甲状腺剂量!$Q8+SUMPRODUCT(S$5:S$27,后果甲状腺剂量!$I$5:$I$27)*后果甲状腺剂量!$Q8+SUMPRODUCT(T$5:T$27,后果甲状腺剂量!$I$5:$I$27)*后果甲状腺剂量!$R8+SUMPRODUCT(U$5:U$27,后果甲状腺剂量!$I$5:$I$27)*后果甲状腺剂量!$S8+SUMPRODUCT(V$5:V$27,后果甲状腺剂量!$I$5:$I$27)*后果甲状腺剂量!$T8+SUMPRODUCT(W$5:W$27,后果甲状腺剂量!$I$5:$I$27)*后果甲状腺剂量!$U8+SUMPRODUCT(R$5:R$27,后果甲状腺剂量!$J$5:$J$27)*后果甲状腺剂量!$Q8*后果甲状腺剂量!$Q$3+SUMPRODUCT(S$5:S$27,后果甲状腺剂量!$J$5:$J$27)*后果甲状腺剂量!$Q8*后果甲状腺剂量!$Q$3+SUMPRODUCT(T$5:T$27,后果甲状腺剂量!$J$5:$J$27)*后果甲状腺剂量!$R8*后果甲状腺剂量!$R$3+SUMPRODUCT(U$5:U$27,后果甲状腺剂量!$J$5:$J$27)*后果甲状腺剂量!$S8*后果甲状腺剂量!$S$3+SUMPRODUCT(V$5:V$27,后果甲状腺剂量!$J$5:$J$27)*后果甲状腺剂量!$T8*后果甲状腺剂量!$T$3+SUMPRODUCT(W$5:W$27,后果甲状腺剂量!$J$5:$J$27)*后果甲状腺剂量!$U8*后果甲状腺剂量!$U$3+SUMPRODUCT(R$5:R$27,后果甲状腺剂量!$K$5:$K$27)*后果甲状腺剂量!$Q8+SUMPRODUCT(S$5:S$27,后果甲状腺剂量!$K$5:$K$27)*后果甲状腺剂量!$Q8+SUMPRODUCT(T$5:T$27,后果甲状腺剂量!$K$5:$K$27)*后果甲状腺剂量!$R8+SUMPRODUCT(U$5:U$27,后果甲状腺剂量!$K$5:$K$27)*后果甲状腺剂量!$S8+SUMPRODUCT(V$5:V$27,后果甲状腺剂量!$K$5:$K$27)*后果甲状腺剂量!$T8+SUMPRODUCT(W$5:W$27,后果甲状腺剂量!$K$5:$K$27)*后果甲状腺剂量!$U8</f>
        <v>0.0479692815471118</v>
      </c>
      <c r="T34" s="457">
        <f ca="1" t="shared" si="255"/>
        <v>4.77860520271789</v>
      </c>
      <c r="U34" s="457">
        <f ca="1" t="shared" si="256"/>
        <v>47.9692815471118</v>
      </c>
      <c r="V34" s="458">
        <f ca="1">T34/$C$35</f>
        <v>0.477860520271789</v>
      </c>
      <c r="W34" s="458">
        <f ca="1">U34/$C$36</f>
        <v>0.479692815471118</v>
      </c>
      <c r="AN34" s="533"/>
      <c r="AS34" s="572"/>
      <c r="BO34" s="600"/>
      <c r="BP34" s="600"/>
      <c r="CJ34" s="600"/>
      <c r="DZ34" s="600"/>
      <c r="EU34" s="603"/>
      <c r="FP34" s="603"/>
      <c r="FS34" s="443">
        <f>SUMPRODUCT(FS$5:FS$27,后果有效剂量!$I$5:$I$27)*后果有效剂量!$Q8+SUMPRODUCT(FT$5:FT$27,后果有效剂量!$I$5:$I$27)*后果有效剂量!$R8+SUMPRODUCT(FU$5:FU$27,后果有效剂量!$I$5:$I$27)*后果有效剂量!$S8+SUMPRODUCT(FV$5:FV$27,后果有效剂量!$I$5:$I$27)*后果有效剂量!$T8+SUMPRODUCT(FS$5:FS$27,后果有效剂量!$J$5:$J$27)*后果有效剂量!$Q8*后果有效剂量!$Q$3+SUMPRODUCT(FT$5:FT$27,后果有效剂量!$J$5:$J$27)*后果有效剂量!$R8*后果有效剂量!$R$3+SUMPRODUCT(FU$5:FU$27,后果有效剂量!$J$5:$J$27)*后果有效剂量!$S8*后果有效剂量!$S$3+SUMPRODUCT(FV$5:FV$27,后果有效剂量!$J$5:$J$27)*后果有效剂量!$T8*后果有效剂量!$T$3+SUMPRODUCT(FS$5:FS$27,后果有效剂量!$K$5:$K$27)*后果有效剂量!$Q8+SUMPRODUCT(FT$5:FT$27,后果有效剂量!$K$5:$K$27)*后果有效剂量!$R8+SUMPRODUCT(FU$5:FU$27,后果有效剂量!$K$5:$K$27)*后果有效剂量!$S8+SUMPRODUCT(FV$5:FV$27,后果有效剂量!$K$5:$K$27)*后果有效剂量!$T8</f>
        <v>0.000430699305079664</v>
      </c>
      <c r="FT34" s="456">
        <f>SUMPRODUCT(FS$5:FS$27,后果甲状腺剂量!$I$5:$I$27)*后果甲状腺剂量!$Q8+SUMPRODUCT(FT$5:FT$27,后果甲状腺剂量!$I$5:$I$27)*后果甲状腺剂量!$R8+SUMPRODUCT(FU$5:FU$27,后果甲状腺剂量!$I$5:$I$27)*后果甲状腺剂量!$S8+SUMPRODUCT(FV$5:FV$27,后果甲状腺剂量!$I$5:$I$27)*后果甲状腺剂量!$T8+SUMPRODUCT(FS$5:FS$27,后果甲状腺剂量!$J$5:$J$27)*后果甲状腺剂量!$Q8*后果甲状腺剂量!$Q$3+SUMPRODUCT(FT$5:FT$27,后果甲状腺剂量!$J$5:$J$27)*后果甲状腺剂量!$R8*后果甲状腺剂量!$R$3+SUMPRODUCT(FU$5:FU$27,后果甲状腺剂量!$J$5:$J$27)*后果甲状腺剂量!$S8*后果甲状腺剂量!$S$3+SUMPRODUCT(FV$5:FV$27,后果甲状腺剂量!$J$5:$J$27)*后果甲状腺剂量!$T8*后果甲状腺剂量!$T$3+SUMPRODUCT(FS$5:FS$27,后果甲状腺剂量!$K$5:$K$27)*后果甲状腺剂量!$Q8+SUMPRODUCT(FT$5:FT$27,后果甲状腺剂量!$K$5:$K$27)*后果甲状腺剂量!$R8+SUMPRODUCT(FU$5:FU$27,后果甲状腺剂量!$K$5:$K$27)*后果甲状腺剂量!$S8+SUMPRODUCT(FV$5:FV$27,后果甲状腺剂量!$K$5:$K$27)*后果甲状腺剂量!$T8</f>
        <v>0.0235018831581312</v>
      </c>
      <c r="FU34" s="457">
        <f t="shared" si="257"/>
        <v>0.430699305079664</v>
      </c>
      <c r="FV34" s="457">
        <f t="shared" si="258"/>
        <v>23.5018831581312</v>
      </c>
      <c r="FW34" s="459">
        <f>FU34/10*100</f>
        <v>4.30699305079664</v>
      </c>
      <c r="FX34" s="459">
        <f>FV34/100*100</f>
        <v>23.5018831581312</v>
      </c>
      <c r="GD34" s="440" t="str">
        <f>后果有效剂量!$P8</f>
        <v>500m</v>
      </c>
      <c r="GE34" s="443">
        <f>SUMPRODUCT(GE$5:GE$27,后果有效剂量!$I$5:$I$27)*后果有效剂量!$Q8+SUMPRODUCT(GF$5:GF$27,后果有效剂量!$I$5:$I$27)*后果有效剂量!$R8+SUMPRODUCT(GG$5:GG$27,后果有效剂量!$I$5:$I$27)*后果有效剂量!$S8+(SUMPRODUCT(GH$5:GH$27,后果有效剂量!$I$5:$I$27)+SUMPRODUCT(GI$5:GI$27,后果有效剂量!$I$5:$I$27))*后果有效剂量!$T8+SUMPRODUCT(GJ$5:GJ$27,后果有效剂量!$I$5:$I$27)*后果有效剂量!$U8+SUMPRODUCT(GE$5:GE$27,后果有效剂量!$J$5:$J$27)*后果有效剂量!$Q8*后果有效剂量!$Q$3+SUMPRODUCT(GF$5:GF$27,后果有效剂量!$J$5:$J$27)*后果有效剂量!$R8*后果有效剂量!$R$3+SUMPRODUCT(GG$5:GG$27,后果有效剂量!$J$5:$J$27)*后果有效剂量!$S8*后果有效剂量!$S$3+(SUMPRODUCT(GH$5:GH$27,后果有效剂量!$J$5:$J$27)+SUMPRODUCT(GI$5:GI$27,后果有效剂量!$J$5:$J$27))*后果有效剂量!$T8*后果有效剂量!$T$3+SUMPRODUCT(GJ$5:GJ$27,后果有效剂量!$J$5:$J$27)*后果有效剂量!$U8*后果有效剂量!$U$3+SUMPRODUCT(GE$5:GE$27,后果有效剂量!$K$5:$K$27)*后果有效剂量!$Q8+SUMPRODUCT(GF$5:GF$27,后果有效剂量!$K$5:$K$27)*后果有效剂量!$R8+SUMPRODUCT(GG$5:GG$27,后果有效剂量!$K$5:$K$27)*后果有效剂量!$S8+(SUMPRODUCT(GH$5:GH$27,后果有效剂量!$K$5:$K$27)+SUMPRODUCT(GI$5:GI$27,后果有效剂量!$K$5:$K$27))*后果有效剂量!$T8+SUMPRODUCT(GJ$5:GJ$27,后果有效剂量!$K$5:$K$27)*后果有效剂量!$U8</f>
        <v>0.000177662497114534</v>
      </c>
      <c r="GF34" s="456">
        <f>SUMPRODUCT(GE$5:GE$27,后果甲状腺剂量!$I$5:$I$27)*后果甲状腺剂量!$Q8+SUMPRODUCT(GF$5:GF$27,后果甲状腺剂量!$I$5:$I$27)*后果甲状腺剂量!$R8+SUMPRODUCT(GG$5:GG$27,后果甲状腺剂量!$I$5:$I$27)*后果甲状腺剂量!$S8+(SUMPRODUCT(GH$5:GH$27,后果甲状腺剂量!$I$5:$I$27)+SUMPRODUCT(GI$5:GI$27,后果甲状腺剂量!$I$5:$I$27))*后果甲状腺剂量!$T8+SUMPRODUCT(GJ$5:GJ$27,后果甲状腺剂量!$I$5:$I$27)*后果甲状腺剂量!$U8+SUMPRODUCT(GE$5:GE$27,后果甲状腺剂量!$J$5:$J$27)*后果甲状腺剂量!$Q8*后果甲状腺剂量!$Q$3+SUMPRODUCT(GF$5:GF$27,后果甲状腺剂量!$J$5:$J$27)*后果甲状腺剂量!$R8*后果甲状腺剂量!$R$3+SUMPRODUCT(GG$5:GG$27,后果甲状腺剂量!$J$5:$J$27)*后果甲状腺剂量!$S8*后果甲状腺剂量!$S$3+(SUMPRODUCT(GH$5:GH$27,后果甲状腺剂量!$J$5:$J$27)+SUMPRODUCT(GI$5:GI$27,后果甲状腺剂量!$J$5:$J$27))*后果甲状腺剂量!$T8*后果甲状腺剂量!$T$3+SUMPRODUCT(GJ$5:GJ$27,后果甲状腺剂量!$J$5:$J$27)*后果甲状腺剂量!$U8*后果甲状腺剂量!$U$3+SUMPRODUCT(GE$5:GE$27,后果甲状腺剂量!$K$5:$K$27)*后果甲状腺剂量!$Q8+SUMPRODUCT(GF$5:GF$27,后果甲状腺剂量!$K$5:$K$27)*后果甲状腺剂量!$R8+SUMPRODUCT(GG$5:GG$27,后果甲状腺剂量!$K$5:$K$27)*后果甲状腺剂量!$S8+(SUMPRODUCT(GH$5:GH$27,后果甲状腺剂量!$K$5:$K$27)+SUMPRODUCT(GI$5:GI$27,后果甲状腺剂量!$K$5:$K$27))*后果甲状腺剂量!$T8+SUMPRODUCT(GJ$5:GJ$27,后果甲状腺剂量!$K$5:$K$27)*后果甲状腺剂量!$U8</f>
        <v>0.00783546060769133</v>
      </c>
      <c r="GG34" s="457">
        <f t="shared" si="259"/>
        <v>0.177662497114534</v>
      </c>
      <c r="GH34" s="457">
        <f t="shared" si="260"/>
        <v>7.83546060769133</v>
      </c>
      <c r="GI34" s="459">
        <f>GG34/10*100</f>
        <v>1.77662497114534</v>
      </c>
      <c r="GJ34" s="459">
        <f>GH34/100*100</f>
        <v>7.83546060769132</v>
      </c>
    </row>
    <row r="35" spans="1:192">
      <c r="A35" s="444" t="s">
        <v>294</v>
      </c>
      <c r="B35" s="445" t="s">
        <v>290</v>
      </c>
      <c r="C35" s="422">
        <v>10</v>
      </c>
      <c r="D35" s="410" t="s">
        <v>281</v>
      </c>
      <c r="E35" s="409" t="s">
        <v>295</v>
      </c>
      <c r="G35" s="440" t="str">
        <f>后果有效剂量!$P9</f>
        <v>1500m</v>
      </c>
      <c r="H35" s="441">
        <f ca="1">SUMPRODUCT(H$5:H$27,后果有效剂量!$I$5:$I$27)*后果有效剂量!$Q9+SUMPRODUCT(I$5:I$27,后果有效剂量!$I$5:$I$27)*后果有效剂量!$Q9+SUMPRODUCT(J$5:J$27,后果有效剂量!$I$5:$I$27)*后果有效剂量!$R9+SUMPRODUCT(K$5:K$27,后果有效剂量!$I$5:$I$27)*后果有效剂量!$S9+SUMPRODUCT(L$5:L$27,后果有效剂量!$I$5:$I$27)*后果有效剂量!$T9+SUMPRODUCT(M$5:M$27,后果有效剂量!$I$5:$I$27)*后果有效剂量!$U9+SUMPRODUCT(H$5:H$27,后果有效剂量!$J$5:$J$27)*后果有效剂量!$Q9*后果有效剂量!$Q$3+SUMPRODUCT(I$5:I$27,后果有效剂量!$J$5:$J$27)*后果有效剂量!$Q9*后果有效剂量!$Q$3+SUMPRODUCT(J$5:J$27,后果有效剂量!$J$5:$J$27)*后果有效剂量!$R9*后果有效剂量!$R$3+SUMPRODUCT(K$5:K$27,后果有效剂量!$J$5:$J$27)*后果有效剂量!$S9*后果有效剂量!$S$3+SUMPRODUCT(L$5:L$27,后果有效剂量!$J$5:$J$27)*后果有效剂量!$T9*后果有效剂量!$T$3+SUMPRODUCT(M$5:M$27,后果有效剂量!$J$5:$J$27)*后果有效剂量!$U9*后果有效剂量!$U$3+SUMPRODUCT(H$5:H$27,后果有效剂量!$K$5:$K$27)*后果有效剂量!$Q9+SUMPRODUCT(I$5:I$27,后果有效剂量!$K$5:$K$27)*后果有效剂量!$Q9+SUMPRODUCT(J$5:J$27,后果有效剂量!$K$5:$K$27)*后果有效剂量!$R9+SUMPRODUCT(K$5:K$27,后果有效剂量!$K$5:$K$27)*后果有效剂量!$S9+SUMPRODUCT(L$5:L$27,后果有效剂量!$K$5:$K$27)*后果有效剂量!$T9+SUMPRODUCT(M$5:M$27,后果有效剂量!$K$5:$K$27)*后果有效剂量!$U9</f>
        <v>0.00160370424036793</v>
      </c>
      <c r="I35" s="453">
        <f ca="1">SUMPRODUCT(H$5:H$27,后果甲状腺剂量!$I$5:$I$27)*后果甲状腺剂量!$Q9+SUMPRODUCT(I$5:I$27,后果甲状腺剂量!$I$5:$I$27)*后果甲状腺剂量!$Q9+SUMPRODUCT(J$5:J$27,后果甲状腺剂量!$I$5:$I$27)*后果甲状腺剂量!$R9+SUMPRODUCT(K$5:K$27,后果甲状腺剂量!$I$5:$I$27)*后果甲状腺剂量!$S9+SUMPRODUCT(L$5:L$27,后果甲状腺剂量!$I$5:$I$27)*后果甲状腺剂量!$T9+SUMPRODUCT(M$5:M$27,后果甲状腺剂量!$I$5:$I$27)*后果甲状腺剂量!$U9+SUMPRODUCT(H$5:H$27,后果甲状腺剂量!$J$5:$J$27)*后果甲状腺剂量!$Q9*后果甲状腺剂量!$Q$3+SUMPRODUCT(I$5:I$27,后果甲状腺剂量!$J$5:$J$27)*后果甲状腺剂量!$Q9*后果甲状腺剂量!$Q$3+SUMPRODUCT(J$5:J$27,后果甲状腺剂量!$J$5:$J$27)*后果甲状腺剂量!$R9*后果甲状腺剂量!$R$3+SUMPRODUCT(K$5:K$27,后果甲状腺剂量!$J$5:$J$27)*后果甲状腺剂量!$S9*后果甲状腺剂量!$S$3+SUMPRODUCT(L$5:L$27,后果甲状腺剂量!$J$5:$J$27)*后果甲状腺剂量!$T9*后果甲状腺剂量!$T$3+SUMPRODUCT(M$5:M$27,后果甲状腺剂量!$J$5:$J$27)*后果甲状腺剂量!$U9*后果甲状腺剂量!$U$3+SUMPRODUCT(H$5:H$27,后果甲状腺剂量!$K$5:$K$27)*后果甲状腺剂量!$Q9+SUMPRODUCT(I$5:I$27,后果甲状腺剂量!$K$5:$K$27)*后果甲状腺剂量!$Q9+SUMPRODUCT(J$5:J$27,后果甲状腺剂量!$K$5:$K$27)*后果甲状腺剂量!$R9+SUMPRODUCT(K$5:K$27,后果甲状腺剂量!$K$5:$K$27)*后果甲状腺剂量!$S9+SUMPRODUCT(L$5:L$27,后果甲状腺剂量!$K$5:$K$27)*后果甲状腺剂量!$T9+SUMPRODUCT(M$5:M$27,后果甲状腺剂量!$K$5:$K$27)*后果甲状腺剂量!$U9</f>
        <v>0.0176149492894315</v>
      </c>
      <c r="J35" s="454">
        <f ca="1" t="shared" si="253"/>
        <v>1.60370424036793</v>
      </c>
      <c r="K35" s="454">
        <f ca="1" t="shared" si="254"/>
        <v>17.6149492894315</v>
      </c>
      <c r="L35" s="436"/>
      <c r="M35" s="436"/>
      <c r="N35" s="455"/>
      <c r="Q35" s="440" t="str">
        <f>后果有效剂量!$P9</f>
        <v>1500m</v>
      </c>
      <c r="R35" s="441">
        <f ca="1">SUMPRODUCT(R$5:R$27,后果有效剂量!$I$5:$I$27)*后果有效剂量!$Q9+SUMPRODUCT(S$5:S$27,后果有效剂量!$I$5:$I$27)*后果有效剂量!$Q9+SUMPRODUCT(T$5:T$27,后果有效剂量!$I$5:$I$27)*后果有效剂量!$R9+SUMPRODUCT(U$5:U$27,后果有效剂量!$I$5:$I$27)*后果有效剂量!$S9+SUMPRODUCT(V$5:V$27,后果有效剂量!$I$5:$I$27)*后果有效剂量!$T9+SUMPRODUCT(W$5:W$27,后果有效剂量!$I$5:$I$27)*后果有效剂量!$U9+SUMPRODUCT(R$5:R$27,后果有效剂量!$J$5:$J$27)*后果有效剂量!$Q9*后果有效剂量!$Q$3+SUMPRODUCT(S$5:S$27,后果有效剂量!$J$5:$J$27)*后果有效剂量!$Q9*后果有效剂量!$Q$3+SUMPRODUCT(T$5:T$27,后果有效剂量!$J$5:$J$27)*后果有效剂量!$R9*后果有效剂量!$R$3+SUMPRODUCT(U$5:U$27,后果有效剂量!$J$5:$J$27)*后果有效剂量!$S9*后果有效剂量!$S$3+SUMPRODUCT(V$5:V$27,后果有效剂量!$J$5:$J$27)*后果有效剂量!$T9*后果有效剂量!$T$3+SUMPRODUCT(W$5:W$27,后果有效剂量!$J$5:$J$27)*后果有效剂量!$U9*后果有效剂量!$U$3+SUMPRODUCT(R$5:R$27,后果有效剂量!$K$5:$K$27)*后果有效剂量!$Q9+SUMPRODUCT(S$5:S$27,后果有效剂量!$K$5:$K$27)*后果有效剂量!$Q9+SUMPRODUCT(T$5:T$27,后果有效剂量!$K$5:$K$27)*后果有效剂量!$R9+SUMPRODUCT(U$5:U$27,后果有效剂量!$K$5:$K$27)*后果有效剂量!$S9+SUMPRODUCT(V$5:V$27,后果有效剂量!$K$5:$K$27)*后果有效剂量!$T9+SUMPRODUCT(W$5:W$27,后果有效剂量!$K$5:$K$27)*后果有效剂量!$U9</f>
        <v>0.00160370424036791</v>
      </c>
      <c r="S35" s="453">
        <f ca="1">SUMPRODUCT(R$5:R$27,后果甲状腺剂量!$I$5:$I$27)*后果甲状腺剂量!$Q9+SUMPRODUCT(S$5:S$27,后果甲状腺剂量!$I$5:$I$27)*后果甲状腺剂量!$Q9+SUMPRODUCT(T$5:T$27,后果甲状腺剂量!$I$5:$I$27)*后果甲状腺剂量!$R9+SUMPRODUCT(U$5:U$27,后果甲状腺剂量!$I$5:$I$27)*后果甲状腺剂量!$S9+SUMPRODUCT(V$5:V$27,后果甲状腺剂量!$I$5:$I$27)*后果甲状腺剂量!$T9+SUMPRODUCT(W$5:W$27,后果甲状腺剂量!$I$5:$I$27)*后果甲状腺剂量!$U9+SUMPRODUCT(R$5:R$27,后果甲状腺剂量!$J$5:$J$27)*后果甲状腺剂量!$Q9*后果甲状腺剂量!$Q$3+SUMPRODUCT(S$5:S$27,后果甲状腺剂量!$J$5:$J$27)*后果甲状腺剂量!$Q9*后果甲状腺剂量!$Q$3+SUMPRODUCT(T$5:T$27,后果甲状腺剂量!$J$5:$J$27)*后果甲状腺剂量!$R9*后果甲状腺剂量!$R$3+SUMPRODUCT(U$5:U$27,后果甲状腺剂量!$J$5:$J$27)*后果甲状腺剂量!$S9*后果甲状腺剂量!$S$3+SUMPRODUCT(V$5:V$27,后果甲状腺剂量!$J$5:$J$27)*后果甲状腺剂量!$T9*后果甲状腺剂量!$T$3+SUMPRODUCT(W$5:W$27,后果甲状腺剂量!$J$5:$J$27)*后果甲状腺剂量!$U9*后果甲状腺剂量!$U$3+SUMPRODUCT(R$5:R$27,后果甲状腺剂量!$K$5:$K$27)*后果甲状腺剂量!$Q9+SUMPRODUCT(S$5:S$27,后果甲状腺剂量!$K$5:$K$27)*后果甲状腺剂量!$Q9+SUMPRODUCT(T$5:T$27,后果甲状腺剂量!$K$5:$K$27)*后果甲状腺剂量!$R9+SUMPRODUCT(U$5:U$27,后果甲状腺剂量!$K$5:$K$27)*后果甲状腺剂量!$S9+SUMPRODUCT(V$5:V$27,后果甲状腺剂量!$K$5:$K$27)*后果甲状腺剂量!$T9+SUMPRODUCT(W$5:W$27,后果甲状腺剂量!$K$5:$K$27)*后果甲状腺剂量!$U9</f>
        <v>0.0176149492894312</v>
      </c>
      <c r="T35" s="454">
        <f ca="1" t="shared" si="255"/>
        <v>1.60370424036791</v>
      </c>
      <c r="U35" s="454">
        <f ca="1" t="shared" si="256"/>
        <v>17.6149492894312</v>
      </c>
      <c r="V35" s="436"/>
      <c r="W35" s="436"/>
      <c r="AN35" s="533"/>
      <c r="AS35" s="572"/>
      <c r="BO35" s="600"/>
      <c r="BP35" s="600"/>
      <c r="CJ35" s="600"/>
      <c r="DZ35" s="600"/>
      <c r="EU35" s="603"/>
      <c r="FP35" s="603"/>
      <c r="FS35" s="441">
        <f>SUMPRODUCT(FS$5:FS$27,后果有效剂量!$I$5:$I$27)*后果有效剂量!$Q9+SUMPRODUCT(FT$5:FT$27,后果有效剂量!$I$5:$I$27)*后果有效剂量!$R9+SUMPRODUCT(FU$5:FU$27,后果有效剂量!$I$5:$I$27)*后果有效剂量!$S9+SUMPRODUCT(FV$5:FV$27,后果有效剂量!$I$5:$I$27)*后果有效剂量!$T9+SUMPRODUCT(FS$5:FS$27,后果有效剂量!$J$5:$J$27)*后果有效剂量!$Q9*后果有效剂量!$Q$3+SUMPRODUCT(FT$5:FT$27,后果有效剂量!$J$5:$J$27)*后果有效剂量!$R9*后果有效剂量!$R$3+SUMPRODUCT(FU$5:FU$27,后果有效剂量!$J$5:$J$27)*后果有效剂量!$S9*后果有效剂量!$S$3+SUMPRODUCT(FV$5:FV$27,后果有效剂量!$J$5:$J$27)*后果有效剂量!$T9*后果有效剂量!$T$3+SUMPRODUCT(FS$5:FS$27,后果有效剂量!$K$5:$K$27)*后果有效剂量!$Q9+SUMPRODUCT(FT$5:FT$27,后果有效剂量!$K$5:$K$27)*后果有效剂量!$R9+SUMPRODUCT(FU$5:FU$27,后果有效剂量!$K$5:$K$27)*后果有效剂量!$S9+SUMPRODUCT(FV$5:FV$27,后果有效剂量!$K$5:$K$27)*后果有效剂量!$T9</f>
        <v>0.000122787235560545</v>
      </c>
      <c r="FT35" s="453">
        <f>SUMPRODUCT(FS$5:FS$27,后果甲状腺剂量!$I$5:$I$27)*后果甲状腺剂量!$Q9+SUMPRODUCT(FT$5:FT$27,后果甲状腺剂量!$I$5:$I$27)*后果甲状腺剂量!$R9+SUMPRODUCT(FU$5:FU$27,后果甲状腺剂量!$I$5:$I$27)*后果甲状腺剂量!$S9+SUMPRODUCT(FV$5:FV$27,后果甲状腺剂量!$I$5:$I$27)*后果甲状腺剂量!$T9+SUMPRODUCT(FS$5:FS$27,后果甲状腺剂量!$J$5:$J$27)*后果甲状腺剂量!$Q9*后果甲状腺剂量!$Q$3+SUMPRODUCT(FT$5:FT$27,后果甲状腺剂量!$J$5:$J$27)*后果甲状腺剂量!$R9*后果甲状腺剂量!$R$3+SUMPRODUCT(FU$5:FU$27,后果甲状腺剂量!$J$5:$J$27)*后果甲状腺剂量!$S9*后果甲状腺剂量!$S$3+SUMPRODUCT(FV$5:FV$27,后果甲状腺剂量!$J$5:$J$27)*后果甲状腺剂量!$T9*后果甲状腺剂量!$T$3+SUMPRODUCT(FS$5:FS$27,后果甲状腺剂量!$K$5:$K$27)*后果甲状腺剂量!$Q9+SUMPRODUCT(FT$5:FT$27,后果甲状腺剂量!$K$5:$K$27)*后果甲状腺剂量!$R9+SUMPRODUCT(FU$5:FU$27,后果甲状腺剂量!$K$5:$K$27)*后果甲状腺剂量!$S9+SUMPRODUCT(FV$5:FV$27,后果甲状腺剂量!$K$5:$K$27)*后果甲状腺剂量!$T9</f>
        <v>0.00717817440586791</v>
      </c>
      <c r="FU35" s="454">
        <f t="shared" si="257"/>
        <v>0.122787235560545</v>
      </c>
      <c r="FV35" s="454">
        <f t="shared" si="258"/>
        <v>7.17817440586791</v>
      </c>
      <c r="FW35" s="436"/>
      <c r="FX35" s="436"/>
      <c r="GD35" s="440" t="str">
        <f>后果有效剂量!$P9</f>
        <v>1500m</v>
      </c>
      <c r="GE35" s="441">
        <f>SUMPRODUCT(GE$5:GE$27,后果有效剂量!$I$5:$I$27)*后果有效剂量!$Q9+SUMPRODUCT(GF$5:GF$27,后果有效剂量!$I$5:$I$27)*后果有效剂量!$R9+SUMPRODUCT(GG$5:GG$27,后果有效剂量!$I$5:$I$27)*后果有效剂量!$S9+(SUMPRODUCT(GH$5:GH$27,后果有效剂量!$I$5:$I$27)+SUMPRODUCT(GI$5:GI$27,后果有效剂量!$I$5:$I$27))*后果有效剂量!$T9+SUMPRODUCT(GJ$5:GJ$27,后果有效剂量!$I$5:$I$27)*后果有效剂量!$U9+SUMPRODUCT(GE$5:GE$27,后果有效剂量!$J$5:$J$27)*后果有效剂量!$Q9*后果有效剂量!$Q$3+SUMPRODUCT(GF$5:GF$27,后果有效剂量!$J$5:$J$27)*后果有效剂量!$R9*后果有效剂量!$R$3+SUMPRODUCT(GG$5:GG$27,后果有效剂量!$J$5:$J$27)*后果有效剂量!$S9*后果有效剂量!$S$3+(SUMPRODUCT(GH$5:GH$27,后果有效剂量!$J$5:$J$27)+SUMPRODUCT(GI$5:GI$27,后果有效剂量!$J$5:$J$27))*后果有效剂量!$T9*后果有效剂量!$T$3+SUMPRODUCT(GJ$5:GJ$27,后果有效剂量!$J$5:$J$27)*后果有效剂量!$U9*后果有效剂量!$U$3+SUMPRODUCT(GE$5:GE$27,后果有效剂量!$K$5:$K$27)*后果有效剂量!$Q9+SUMPRODUCT(GF$5:GF$27,后果有效剂量!$K$5:$K$27)*后果有效剂量!$R9+SUMPRODUCT(GG$5:GG$27,后果有效剂量!$K$5:$K$27)*后果有效剂量!$S9+(SUMPRODUCT(GH$5:GH$27,后果有效剂量!$K$5:$K$27)+SUMPRODUCT(GI$5:GI$27,后果有效剂量!$K$5:$K$27))*后果有效剂量!$T9+SUMPRODUCT(GJ$5:GJ$27,后果有效剂量!$K$5:$K$27)*后果有效剂量!$U9</f>
        <v>4.31227309385956e-5</v>
      </c>
      <c r="GF35" s="453">
        <f>SUMPRODUCT(GE$5:GE$27,后果甲状腺剂量!$I$5:$I$27)*后果甲状腺剂量!$Q9+SUMPRODUCT(GF$5:GF$27,后果甲状腺剂量!$I$5:$I$27)*后果甲状腺剂量!$R9+SUMPRODUCT(GG$5:GG$27,后果甲状腺剂量!$I$5:$I$27)*后果甲状腺剂量!$S9+(SUMPRODUCT(GH$5:GH$27,后果甲状腺剂量!$I$5:$I$27)+SUMPRODUCT(GI$5:GI$27,后果甲状腺剂量!$I$5:$I$27))*后果甲状腺剂量!$T9+SUMPRODUCT(GJ$5:GJ$27,后果甲状腺剂量!$I$5:$I$27)*后果甲状腺剂量!$U9+SUMPRODUCT(GE$5:GE$27,后果甲状腺剂量!$J$5:$J$27)*后果甲状腺剂量!$Q9*后果甲状腺剂量!$Q$3+SUMPRODUCT(GF$5:GF$27,后果甲状腺剂量!$J$5:$J$27)*后果甲状腺剂量!$R9*后果甲状腺剂量!$R$3+SUMPRODUCT(GG$5:GG$27,后果甲状腺剂量!$J$5:$J$27)*后果甲状腺剂量!$S9*后果甲状腺剂量!$S$3+(SUMPRODUCT(GH$5:GH$27,后果甲状腺剂量!$J$5:$J$27)+SUMPRODUCT(GI$5:GI$27,后果甲状腺剂量!$J$5:$J$27))*后果甲状腺剂量!$T9*后果甲状腺剂量!$T$3+SUMPRODUCT(GJ$5:GJ$27,后果甲状腺剂量!$J$5:$J$27)*后果甲状腺剂量!$U9*后果甲状腺剂量!$U$3+SUMPRODUCT(GE$5:GE$27,后果甲状腺剂量!$K$5:$K$27)*后果甲状腺剂量!$Q9+SUMPRODUCT(GF$5:GF$27,后果甲状腺剂量!$K$5:$K$27)*后果甲状腺剂量!$R9+SUMPRODUCT(GG$5:GG$27,后果甲状腺剂量!$K$5:$K$27)*后果甲状腺剂量!$S9+(SUMPRODUCT(GH$5:GH$27,后果甲状腺剂量!$K$5:$K$27)+SUMPRODUCT(GI$5:GI$27,后果甲状腺剂量!$K$5:$K$27))*后果甲状腺剂量!$T9+SUMPRODUCT(GJ$5:GJ$27,后果甲状腺剂量!$K$5:$K$27)*后果甲状腺剂量!$U9</f>
        <v>0.00196417473419171</v>
      </c>
      <c r="GG35" s="454">
        <f t="shared" si="259"/>
        <v>0.0431227309385956</v>
      </c>
      <c r="GH35" s="454">
        <f t="shared" si="260"/>
        <v>1.96417473419171</v>
      </c>
      <c r="GI35" s="436"/>
      <c r="GJ35" s="436"/>
    </row>
    <row r="36" spans="1:192">
      <c r="A36" s="446"/>
      <c r="B36" s="445" t="s">
        <v>291</v>
      </c>
      <c r="C36" s="422">
        <v>100</v>
      </c>
      <c r="D36" s="410" t="s">
        <v>281</v>
      </c>
      <c r="E36" s="410"/>
      <c r="G36" s="440" t="str">
        <f>后果有效剂量!$P10</f>
        <v>2500m</v>
      </c>
      <c r="H36" s="441">
        <f ca="1">SUMPRODUCT(H$5:H$27,后果有效剂量!$I$5:$I$27)*后果有效剂量!$Q10+SUMPRODUCT(I$5:I$27,后果有效剂量!$I$5:$I$27)*后果有效剂量!$Q10+SUMPRODUCT(J$5:J$27,后果有效剂量!$I$5:$I$27)*后果有效剂量!$R10+SUMPRODUCT(K$5:K$27,后果有效剂量!$I$5:$I$27)*后果有效剂量!$S10+SUMPRODUCT(L$5:L$27,后果有效剂量!$I$5:$I$27)*后果有效剂量!$T10+SUMPRODUCT(M$5:M$27,后果有效剂量!$I$5:$I$27)*后果有效剂量!$U10+SUMPRODUCT(H$5:H$27,后果有效剂量!$J$5:$J$27)*后果有效剂量!$Q10*后果有效剂量!$Q$3+SUMPRODUCT(I$5:I$27,后果有效剂量!$J$5:$J$27)*后果有效剂量!$Q10*后果有效剂量!$Q$3+SUMPRODUCT(J$5:J$27,后果有效剂量!$J$5:$J$27)*后果有效剂量!$R10*后果有效剂量!$R$3+SUMPRODUCT(K$5:K$27,后果有效剂量!$J$5:$J$27)*后果有效剂量!$S10*后果有效剂量!$S$3+SUMPRODUCT(L$5:L$27,后果有效剂量!$J$5:$J$27)*后果有效剂量!$T10*后果有效剂量!$T$3+SUMPRODUCT(M$5:M$27,后果有效剂量!$J$5:$J$27)*后果有效剂量!$U10*后果有效剂量!$U$3+SUMPRODUCT(H$5:H$27,后果有效剂量!$K$5:$K$27)*后果有效剂量!$Q10+SUMPRODUCT(I$5:I$27,后果有效剂量!$K$5:$K$27)*后果有效剂量!$Q10+SUMPRODUCT(J$5:J$27,后果有效剂量!$K$5:$K$27)*后果有效剂量!$R10+SUMPRODUCT(K$5:K$27,后果有效剂量!$K$5:$K$27)*后果有效剂量!$S10+SUMPRODUCT(L$5:L$27,后果有效剂量!$K$5:$K$27)*后果有效剂量!$T10+SUMPRODUCT(M$5:M$27,后果有效剂量!$K$5:$K$27)*后果有效剂量!$U10</f>
        <v>0.00108358394619455</v>
      </c>
      <c r="I36" s="453">
        <f ca="1">SUMPRODUCT(H$5:H$27,后果甲状腺剂量!$I$5:$I$27)*后果甲状腺剂量!$Q10+SUMPRODUCT(I$5:I$27,后果甲状腺剂量!$I$5:$I$27)*后果甲状腺剂量!$Q10+SUMPRODUCT(J$5:J$27,后果甲状腺剂量!$I$5:$I$27)*后果甲状腺剂量!$R10+SUMPRODUCT(K$5:K$27,后果甲状腺剂量!$I$5:$I$27)*后果甲状腺剂量!$S10+SUMPRODUCT(L$5:L$27,后果甲状腺剂量!$I$5:$I$27)*后果甲状腺剂量!$T10+SUMPRODUCT(M$5:M$27,后果甲状腺剂量!$I$5:$I$27)*后果甲状腺剂量!$U10+SUMPRODUCT(H$5:H$27,后果甲状腺剂量!$J$5:$J$27)*后果甲状腺剂量!$Q10*后果甲状腺剂量!$Q$3+SUMPRODUCT(I$5:I$27,后果甲状腺剂量!$J$5:$J$27)*后果甲状腺剂量!$Q10*后果甲状腺剂量!$Q$3+SUMPRODUCT(J$5:J$27,后果甲状腺剂量!$J$5:$J$27)*后果甲状腺剂量!$R10*后果甲状腺剂量!$R$3+SUMPRODUCT(K$5:K$27,后果甲状腺剂量!$J$5:$J$27)*后果甲状腺剂量!$S10*后果甲状腺剂量!$S$3+SUMPRODUCT(L$5:L$27,后果甲状腺剂量!$J$5:$J$27)*后果甲状腺剂量!$T10*后果甲状腺剂量!$T$3+SUMPRODUCT(M$5:M$27,后果甲状腺剂量!$J$5:$J$27)*后果甲状腺剂量!$U10*后果甲状腺剂量!$U$3+SUMPRODUCT(H$5:H$27,后果甲状腺剂量!$K$5:$K$27)*后果甲状腺剂量!$Q10+SUMPRODUCT(I$5:I$27,后果甲状腺剂量!$K$5:$K$27)*后果甲状腺剂量!$Q10+SUMPRODUCT(J$5:J$27,后果甲状腺剂量!$K$5:$K$27)*后果甲状腺剂量!$R10+SUMPRODUCT(K$5:K$27,后果甲状腺剂量!$K$5:$K$27)*后果甲状腺剂量!$S10+SUMPRODUCT(L$5:L$27,后果甲状腺剂量!$K$5:$K$27)*后果甲状腺剂量!$T10+SUMPRODUCT(M$5:M$27,后果甲状腺剂量!$K$5:$K$27)*后果甲状腺剂量!$U10</f>
        <v>0.0130067527342498</v>
      </c>
      <c r="J36" s="454">
        <f ca="1" t="shared" si="253"/>
        <v>1.08358394619455</v>
      </c>
      <c r="K36" s="454">
        <f ca="1" t="shared" si="254"/>
        <v>13.0067527342498</v>
      </c>
      <c r="L36" s="436"/>
      <c r="M36" s="436"/>
      <c r="N36" s="455"/>
      <c r="Q36" s="440" t="str">
        <f>后果有效剂量!$P10</f>
        <v>2500m</v>
      </c>
      <c r="R36" s="441">
        <f ca="1">SUMPRODUCT(R$5:R$27,后果有效剂量!$I$5:$I$27)*后果有效剂量!$Q10+SUMPRODUCT(S$5:S$27,后果有效剂量!$I$5:$I$27)*后果有效剂量!$Q10+SUMPRODUCT(T$5:T$27,后果有效剂量!$I$5:$I$27)*后果有效剂量!$R10+SUMPRODUCT(U$5:U$27,后果有效剂量!$I$5:$I$27)*后果有效剂量!$S10+SUMPRODUCT(V$5:V$27,后果有效剂量!$I$5:$I$27)*后果有效剂量!$T10+SUMPRODUCT(W$5:W$27,后果有效剂量!$I$5:$I$27)*后果有效剂量!$U10+SUMPRODUCT(R$5:R$27,后果有效剂量!$J$5:$J$27)*后果有效剂量!$Q10*后果有效剂量!$Q$3+SUMPRODUCT(S$5:S$27,后果有效剂量!$J$5:$J$27)*后果有效剂量!$Q10*后果有效剂量!$Q$3+SUMPRODUCT(T$5:T$27,后果有效剂量!$J$5:$J$27)*后果有效剂量!$R10*后果有效剂量!$R$3+SUMPRODUCT(U$5:U$27,后果有效剂量!$J$5:$J$27)*后果有效剂量!$S10*后果有效剂量!$S$3+SUMPRODUCT(V$5:V$27,后果有效剂量!$J$5:$J$27)*后果有效剂量!$T10*后果有效剂量!$T$3+SUMPRODUCT(W$5:W$27,后果有效剂量!$J$5:$J$27)*后果有效剂量!$U10*后果有效剂量!$U$3+SUMPRODUCT(R$5:R$27,后果有效剂量!$K$5:$K$27)*后果有效剂量!$Q10+SUMPRODUCT(S$5:S$27,后果有效剂量!$K$5:$K$27)*后果有效剂量!$Q10+SUMPRODUCT(T$5:T$27,后果有效剂量!$K$5:$K$27)*后果有效剂量!$R10+SUMPRODUCT(U$5:U$27,后果有效剂量!$K$5:$K$27)*后果有效剂量!$S10+SUMPRODUCT(V$5:V$27,后果有效剂量!$K$5:$K$27)*后果有效剂量!$T10+SUMPRODUCT(W$5:W$27,后果有效剂量!$K$5:$K$27)*后果有效剂量!$U10</f>
        <v>0.00108358394619453</v>
      </c>
      <c r="S36" s="453">
        <f ca="1">SUMPRODUCT(R$5:R$27,后果甲状腺剂量!$I$5:$I$27)*后果甲状腺剂量!$Q10+SUMPRODUCT(S$5:S$27,后果甲状腺剂量!$I$5:$I$27)*后果甲状腺剂量!$Q10+SUMPRODUCT(T$5:T$27,后果甲状腺剂量!$I$5:$I$27)*后果甲状腺剂量!$R10+SUMPRODUCT(U$5:U$27,后果甲状腺剂量!$I$5:$I$27)*后果甲状腺剂量!$S10+SUMPRODUCT(V$5:V$27,后果甲状腺剂量!$I$5:$I$27)*后果甲状腺剂量!$T10+SUMPRODUCT(W$5:W$27,后果甲状腺剂量!$I$5:$I$27)*后果甲状腺剂量!$U10+SUMPRODUCT(R$5:R$27,后果甲状腺剂量!$J$5:$J$27)*后果甲状腺剂量!$Q10*后果甲状腺剂量!$Q$3+SUMPRODUCT(S$5:S$27,后果甲状腺剂量!$J$5:$J$27)*后果甲状腺剂量!$Q10*后果甲状腺剂量!$Q$3+SUMPRODUCT(T$5:T$27,后果甲状腺剂量!$J$5:$J$27)*后果甲状腺剂量!$R10*后果甲状腺剂量!$R$3+SUMPRODUCT(U$5:U$27,后果甲状腺剂量!$J$5:$J$27)*后果甲状腺剂量!$S10*后果甲状腺剂量!$S$3+SUMPRODUCT(V$5:V$27,后果甲状腺剂量!$J$5:$J$27)*后果甲状腺剂量!$T10*后果甲状腺剂量!$T$3+SUMPRODUCT(W$5:W$27,后果甲状腺剂量!$J$5:$J$27)*后果甲状腺剂量!$U10*后果甲状腺剂量!$U$3+SUMPRODUCT(R$5:R$27,后果甲状腺剂量!$K$5:$K$27)*后果甲状腺剂量!$Q10+SUMPRODUCT(S$5:S$27,后果甲状腺剂量!$K$5:$K$27)*后果甲状腺剂量!$Q10+SUMPRODUCT(T$5:T$27,后果甲状腺剂量!$K$5:$K$27)*后果甲状腺剂量!$R10+SUMPRODUCT(U$5:U$27,后果甲状腺剂量!$K$5:$K$27)*后果甲状腺剂量!$S10+SUMPRODUCT(V$5:V$27,后果甲状腺剂量!$K$5:$K$27)*后果甲状腺剂量!$T10+SUMPRODUCT(W$5:W$27,后果甲状腺剂量!$K$5:$K$27)*后果甲状腺剂量!$U10</f>
        <v>0.0130067527342496</v>
      </c>
      <c r="T36" s="454">
        <f ca="1" t="shared" si="255"/>
        <v>1.08358394619453</v>
      </c>
      <c r="U36" s="454">
        <f ca="1" t="shared" si="256"/>
        <v>13.0067527342496</v>
      </c>
      <c r="V36" s="436"/>
      <c r="W36" s="436"/>
      <c r="AN36" s="533"/>
      <c r="AS36" s="572"/>
      <c r="BO36" s="600"/>
      <c r="CJ36" s="600"/>
      <c r="DZ36" s="600"/>
      <c r="EU36" s="603"/>
      <c r="FP36" s="603"/>
      <c r="FS36" s="441">
        <f>SUMPRODUCT(FS$5:FS$27,后果有效剂量!$I$5:$I$27)*后果有效剂量!$Q10+SUMPRODUCT(FT$5:FT$27,后果有效剂量!$I$5:$I$27)*后果有效剂量!$R10+SUMPRODUCT(FU$5:FU$27,后果有效剂量!$I$5:$I$27)*后果有效剂量!$S10+SUMPRODUCT(FV$5:FV$27,后果有效剂量!$I$5:$I$27)*后果有效剂量!$T10+SUMPRODUCT(FS$5:FS$27,后果有效剂量!$J$5:$J$27)*后果有效剂量!$Q10*后果有效剂量!$Q$3+SUMPRODUCT(FT$5:FT$27,后果有效剂量!$J$5:$J$27)*后果有效剂量!$R10*后果有效剂量!$R$3+SUMPRODUCT(FU$5:FU$27,后果有效剂量!$J$5:$J$27)*后果有效剂量!$S10*后果有效剂量!$S$3+SUMPRODUCT(FV$5:FV$27,后果有效剂量!$J$5:$J$27)*后果有效剂量!$T10*后果有效剂量!$T$3+SUMPRODUCT(FS$5:FS$27,后果有效剂量!$K$5:$K$27)*后果有效剂量!$Q10+SUMPRODUCT(FT$5:FT$27,后果有效剂量!$K$5:$K$27)*后果有效剂量!$R10+SUMPRODUCT(FU$5:FU$27,后果有效剂量!$K$5:$K$27)*后果有效剂量!$S10+SUMPRODUCT(FV$5:FV$27,后果有效剂量!$K$5:$K$27)*后果有效剂量!$T10</f>
        <v>7.43271850862798e-5</v>
      </c>
      <c r="FT36" s="453">
        <f>SUMPRODUCT(FS$5:FS$27,后果甲状腺剂量!$I$5:$I$27)*后果甲状腺剂量!$Q10+SUMPRODUCT(FT$5:FT$27,后果甲状腺剂量!$I$5:$I$27)*后果甲状腺剂量!$R10+SUMPRODUCT(FU$5:FU$27,后果甲状腺剂量!$I$5:$I$27)*后果甲状腺剂量!$S10+SUMPRODUCT(FV$5:FV$27,后果甲状腺剂量!$I$5:$I$27)*后果甲状腺剂量!$T10+SUMPRODUCT(FS$5:FS$27,后果甲状腺剂量!$J$5:$J$27)*后果甲状腺剂量!$Q10*后果甲状腺剂量!$Q$3+SUMPRODUCT(FT$5:FT$27,后果甲状腺剂量!$J$5:$J$27)*后果甲状腺剂量!$R10*后果甲状腺剂量!$R$3+SUMPRODUCT(FU$5:FU$27,后果甲状腺剂量!$J$5:$J$27)*后果甲状腺剂量!$S10*后果甲状腺剂量!$S$3+SUMPRODUCT(FV$5:FV$27,后果甲状腺剂量!$J$5:$J$27)*后果甲状腺剂量!$T10*后果甲状腺剂量!$T$3+SUMPRODUCT(FS$5:FS$27,后果甲状腺剂量!$K$5:$K$27)*后果甲状腺剂量!$Q10+SUMPRODUCT(FT$5:FT$27,后果甲状腺剂量!$K$5:$K$27)*后果甲状腺剂量!$R10+SUMPRODUCT(FU$5:FU$27,后果甲状腺剂量!$K$5:$K$27)*后果甲状腺剂量!$S10+SUMPRODUCT(FV$5:FV$27,后果甲状腺剂量!$K$5:$K$27)*后果甲状腺剂量!$T10</f>
        <v>0.00447460799875152</v>
      </c>
      <c r="FU36" s="454">
        <f t="shared" si="257"/>
        <v>0.0743271850862798</v>
      </c>
      <c r="FV36" s="454">
        <f t="shared" si="258"/>
        <v>4.47460799875152</v>
      </c>
      <c r="FW36" s="436"/>
      <c r="FX36" s="436"/>
      <c r="GD36" s="440" t="str">
        <f>后果有效剂量!$P10</f>
        <v>2500m</v>
      </c>
      <c r="GE36" s="441">
        <f>SUMPRODUCT(GE$5:GE$27,后果有效剂量!$I$5:$I$27)*后果有效剂量!$Q10+SUMPRODUCT(GF$5:GF$27,后果有效剂量!$I$5:$I$27)*后果有效剂量!$R10+SUMPRODUCT(GG$5:GG$27,后果有效剂量!$I$5:$I$27)*后果有效剂量!$S10+(SUMPRODUCT(GH$5:GH$27,后果有效剂量!$I$5:$I$27)+SUMPRODUCT(GI$5:GI$27,后果有效剂量!$I$5:$I$27))*后果有效剂量!$T10+SUMPRODUCT(GJ$5:GJ$27,后果有效剂量!$I$5:$I$27)*后果有效剂量!$U10+SUMPRODUCT(GE$5:GE$27,后果有效剂量!$J$5:$J$27)*后果有效剂量!$Q10*后果有效剂量!$Q$3+SUMPRODUCT(GF$5:GF$27,后果有效剂量!$J$5:$J$27)*后果有效剂量!$R10*后果有效剂量!$R$3+SUMPRODUCT(GG$5:GG$27,后果有效剂量!$J$5:$J$27)*后果有效剂量!$S10*后果有效剂量!$S$3+(SUMPRODUCT(GH$5:GH$27,后果有效剂量!$J$5:$J$27)+SUMPRODUCT(GI$5:GI$27,后果有效剂量!$J$5:$J$27))*后果有效剂量!$T10*后果有效剂量!$T$3+SUMPRODUCT(GJ$5:GJ$27,后果有效剂量!$J$5:$J$27)*后果有效剂量!$U10*后果有效剂量!$U$3+SUMPRODUCT(GE$5:GE$27,后果有效剂量!$K$5:$K$27)*后果有效剂量!$Q10+SUMPRODUCT(GF$5:GF$27,后果有效剂量!$K$5:$K$27)*后果有效剂量!$R10+SUMPRODUCT(GG$5:GG$27,后果有效剂量!$K$5:$K$27)*后果有效剂量!$S10+(SUMPRODUCT(GH$5:GH$27,后果有效剂量!$K$5:$K$27)+SUMPRODUCT(GI$5:GI$27,后果有效剂量!$K$5:$K$27))*后果有效剂量!$T10+SUMPRODUCT(GJ$5:GJ$27,后果有效剂量!$K$5:$K$27)*后果有效剂量!$U10</f>
        <v>2.30543802500546e-5</v>
      </c>
      <c r="GF36" s="453">
        <f>SUMPRODUCT(GE$5:GE$27,后果甲状腺剂量!$I$5:$I$27)*后果甲状腺剂量!$Q10+SUMPRODUCT(GF$5:GF$27,后果甲状腺剂量!$I$5:$I$27)*后果甲状腺剂量!$R10+SUMPRODUCT(GG$5:GG$27,后果甲状腺剂量!$I$5:$I$27)*后果甲状腺剂量!$S10+(SUMPRODUCT(GH$5:GH$27,后果甲状腺剂量!$I$5:$I$27)+SUMPRODUCT(GI$5:GI$27,后果甲状腺剂量!$I$5:$I$27))*后果甲状腺剂量!$T10+SUMPRODUCT(GJ$5:GJ$27,后果甲状腺剂量!$I$5:$I$27)*后果甲状腺剂量!$U10+SUMPRODUCT(GE$5:GE$27,后果甲状腺剂量!$J$5:$J$27)*后果甲状腺剂量!$Q10*后果甲状腺剂量!$Q$3+SUMPRODUCT(GF$5:GF$27,后果甲状腺剂量!$J$5:$J$27)*后果甲状腺剂量!$R10*后果甲状腺剂量!$R$3+SUMPRODUCT(GG$5:GG$27,后果甲状腺剂量!$J$5:$J$27)*后果甲状腺剂量!$S10*后果甲状腺剂量!$S$3+(SUMPRODUCT(GH$5:GH$27,后果甲状腺剂量!$J$5:$J$27)+SUMPRODUCT(GI$5:GI$27,后果甲状腺剂量!$J$5:$J$27))*后果甲状腺剂量!$T10*后果甲状腺剂量!$T$3+SUMPRODUCT(GJ$5:GJ$27,后果甲状腺剂量!$J$5:$J$27)*后果甲状腺剂量!$U10*后果甲状腺剂量!$U$3+SUMPRODUCT(GE$5:GE$27,后果甲状腺剂量!$K$5:$K$27)*后果甲状腺剂量!$Q10+SUMPRODUCT(GF$5:GF$27,后果甲状腺剂量!$K$5:$K$27)*后果甲状腺剂量!$R10+SUMPRODUCT(GG$5:GG$27,后果甲状腺剂量!$K$5:$K$27)*后果甲状腺剂量!$S10+(SUMPRODUCT(GH$5:GH$27,后果甲状腺剂量!$K$5:$K$27)+SUMPRODUCT(GI$5:GI$27,后果甲状腺剂量!$K$5:$K$27))*后果甲状腺剂量!$T10+SUMPRODUCT(GJ$5:GJ$27,后果甲状腺剂量!$K$5:$K$27)*后果甲状腺剂量!$U10</f>
        <v>0.00101005182774948</v>
      </c>
      <c r="GG36" s="454">
        <f t="shared" si="259"/>
        <v>0.0230543802500546</v>
      </c>
      <c r="GH36" s="454">
        <f t="shared" si="260"/>
        <v>1.01005182774948</v>
      </c>
      <c r="GI36" s="436"/>
      <c r="GJ36" s="436"/>
    </row>
    <row r="37" spans="7:192">
      <c r="G37" s="440" t="str">
        <f>后果有效剂量!$P11</f>
        <v>4000m</v>
      </c>
      <c r="H37" s="441">
        <f ca="1">SUMPRODUCT(H$5:H$27,后果有效剂量!$I$5:$I$27)*后果有效剂量!$Q11+SUMPRODUCT(I$5:I$27,后果有效剂量!$I$5:$I$27)*后果有效剂量!$Q11+SUMPRODUCT(J$5:J$27,后果有效剂量!$I$5:$I$27)*后果有效剂量!$R11+SUMPRODUCT(K$5:K$27,后果有效剂量!$I$5:$I$27)*后果有效剂量!$S11+SUMPRODUCT(L$5:L$27,后果有效剂量!$I$5:$I$27)*后果有效剂量!$T11+SUMPRODUCT(M$5:M$27,后果有效剂量!$I$5:$I$27)*后果有效剂量!$U11+SUMPRODUCT(H$5:H$27,后果有效剂量!$J$5:$J$27)*后果有效剂量!$Q11*后果有效剂量!$Q$3+SUMPRODUCT(I$5:I$27,后果有效剂量!$J$5:$J$27)*后果有效剂量!$Q11*后果有效剂量!$Q$3+SUMPRODUCT(J$5:J$27,后果有效剂量!$J$5:$J$27)*后果有效剂量!$R11*后果有效剂量!$R$3+SUMPRODUCT(K$5:K$27,后果有效剂量!$J$5:$J$27)*后果有效剂量!$S11*后果有效剂量!$S$3+SUMPRODUCT(L$5:L$27,后果有效剂量!$J$5:$J$27)*后果有效剂量!$T11*后果有效剂量!$T$3+SUMPRODUCT(M$5:M$27,后果有效剂量!$J$5:$J$27)*后果有效剂量!$U11*后果有效剂量!$U$3+SUMPRODUCT(H$5:H$27,后果有效剂量!$K$5:$K$27)*后果有效剂量!$Q11+SUMPRODUCT(I$5:I$27,后果有效剂量!$K$5:$K$27)*后果有效剂量!$Q11+SUMPRODUCT(J$5:J$27,后果有效剂量!$K$5:$K$27)*后果有效剂量!$R11+SUMPRODUCT(K$5:K$27,后果有效剂量!$K$5:$K$27)*后果有效剂量!$S11+SUMPRODUCT(L$5:L$27,后果有效剂量!$K$5:$K$27)*后果有效剂量!$T11+SUMPRODUCT(M$5:M$27,后果有效剂量!$K$5:$K$27)*后果有效剂量!$U11</f>
        <v>0.00624144353008057</v>
      </c>
      <c r="I37" s="453">
        <f ca="1">SUMPRODUCT(H$5:H$27,后果甲状腺剂量!$I$5:$I$27)*后果甲状腺剂量!$Q11+SUMPRODUCT(I$5:I$27,后果甲状腺剂量!$I$5:$I$27)*后果甲状腺剂量!$Q11+SUMPRODUCT(J$5:J$27,后果甲状腺剂量!$I$5:$I$27)*后果甲状腺剂量!$R11+SUMPRODUCT(K$5:K$27,后果甲状腺剂量!$I$5:$I$27)*后果甲状腺剂量!$S11+SUMPRODUCT(L$5:L$27,后果甲状腺剂量!$I$5:$I$27)*后果甲状腺剂量!$T11+SUMPRODUCT(M$5:M$27,后果甲状腺剂量!$I$5:$I$27)*后果甲状腺剂量!$U11+SUMPRODUCT(H$5:H$27,后果甲状腺剂量!$J$5:$J$27)*后果甲状腺剂量!$Q11*后果甲状腺剂量!$Q$3+SUMPRODUCT(I$5:I$27,后果甲状腺剂量!$J$5:$J$27)*后果甲状腺剂量!$Q11*后果甲状腺剂量!$Q$3+SUMPRODUCT(J$5:J$27,后果甲状腺剂量!$J$5:$J$27)*后果甲状腺剂量!$R11*后果甲状腺剂量!$R$3+SUMPRODUCT(K$5:K$27,后果甲状腺剂量!$J$5:$J$27)*后果甲状腺剂量!$S11*后果甲状腺剂量!$S$3+SUMPRODUCT(L$5:L$27,后果甲状腺剂量!$J$5:$J$27)*后果甲状腺剂量!$T11*后果甲状腺剂量!$T$3+SUMPRODUCT(M$5:M$27,后果甲状腺剂量!$J$5:$J$27)*后果甲状腺剂量!$U11*后果甲状腺剂量!$U$3+SUMPRODUCT(H$5:H$27,后果甲状腺剂量!$K$5:$K$27)*后果甲状腺剂量!$Q11+SUMPRODUCT(I$5:I$27,后果甲状腺剂量!$K$5:$K$27)*后果甲状腺剂量!$Q11+SUMPRODUCT(J$5:J$27,后果甲状腺剂量!$K$5:$K$27)*后果甲状腺剂量!$R11+SUMPRODUCT(K$5:K$27,后果甲状腺剂量!$K$5:$K$27)*后果甲状腺剂量!$S11+SUMPRODUCT(L$5:L$27,后果甲状腺剂量!$K$5:$K$27)*后果甲状腺剂量!$T11+SUMPRODUCT(M$5:M$27,后果甲状腺剂量!$K$5:$K$27)*后果甲状腺剂量!$U11</f>
        <v>0.00905911677742185</v>
      </c>
      <c r="J37" s="454">
        <f ca="1" t="shared" si="253"/>
        <v>6.24144353008057</v>
      </c>
      <c r="K37" s="454">
        <f ca="1" t="shared" si="254"/>
        <v>9.05911677742185</v>
      </c>
      <c r="L37" s="436"/>
      <c r="M37" s="436"/>
      <c r="N37" s="455"/>
      <c r="Q37" s="440" t="str">
        <f>后果有效剂量!$P11</f>
        <v>4000m</v>
      </c>
      <c r="R37" s="441">
        <f ca="1">SUMPRODUCT(R$5:R$27,后果有效剂量!$I$5:$I$27)*后果有效剂量!$Q11+SUMPRODUCT(S$5:S$27,后果有效剂量!$I$5:$I$27)*后果有效剂量!$Q11+SUMPRODUCT(T$5:T$27,后果有效剂量!$I$5:$I$27)*后果有效剂量!$R11+SUMPRODUCT(U$5:U$27,后果有效剂量!$I$5:$I$27)*后果有效剂量!$S11+SUMPRODUCT(V$5:V$27,后果有效剂量!$I$5:$I$27)*后果有效剂量!$T11+SUMPRODUCT(W$5:W$27,后果有效剂量!$I$5:$I$27)*后果有效剂量!$U11+SUMPRODUCT(R$5:R$27,后果有效剂量!$J$5:$J$27)*后果有效剂量!$Q11*后果有效剂量!$Q$3+SUMPRODUCT(S$5:S$27,后果有效剂量!$J$5:$J$27)*后果有效剂量!$Q11*后果有效剂量!$Q$3+SUMPRODUCT(T$5:T$27,后果有效剂量!$J$5:$J$27)*后果有效剂量!$R11*后果有效剂量!$R$3+SUMPRODUCT(U$5:U$27,后果有效剂量!$J$5:$J$27)*后果有效剂量!$S11*后果有效剂量!$S$3+SUMPRODUCT(V$5:V$27,后果有效剂量!$J$5:$J$27)*后果有效剂量!$T11*后果有效剂量!$T$3+SUMPRODUCT(W$5:W$27,后果有效剂量!$J$5:$J$27)*后果有效剂量!$U11*后果有效剂量!$U$3+SUMPRODUCT(R$5:R$27,后果有效剂量!$K$5:$K$27)*后果有效剂量!$Q11+SUMPRODUCT(S$5:S$27,后果有效剂量!$K$5:$K$27)*后果有效剂量!$Q11+SUMPRODUCT(T$5:T$27,后果有效剂量!$K$5:$K$27)*后果有效剂量!$R11+SUMPRODUCT(U$5:U$27,后果有效剂量!$K$5:$K$27)*后果有效剂量!$S11+SUMPRODUCT(V$5:V$27,后果有效剂量!$K$5:$K$27)*后果有效剂量!$T11+SUMPRODUCT(W$5:W$27,后果有效剂量!$K$5:$K$27)*后果有效剂量!$U11</f>
        <v>0.00624144353008051</v>
      </c>
      <c r="S37" s="453">
        <f ca="1">SUMPRODUCT(R$5:R$27,后果甲状腺剂量!$I$5:$I$27)*后果甲状腺剂量!$Q11+SUMPRODUCT(S$5:S$27,后果甲状腺剂量!$I$5:$I$27)*后果甲状腺剂量!$Q11+SUMPRODUCT(T$5:T$27,后果甲状腺剂量!$I$5:$I$27)*后果甲状腺剂量!$R11+SUMPRODUCT(U$5:U$27,后果甲状腺剂量!$I$5:$I$27)*后果甲状腺剂量!$S11+SUMPRODUCT(V$5:V$27,后果甲状腺剂量!$I$5:$I$27)*后果甲状腺剂量!$T11+SUMPRODUCT(W$5:W$27,后果甲状腺剂量!$I$5:$I$27)*后果甲状腺剂量!$U11+SUMPRODUCT(R$5:R$27,后果甲状腺剂量!$J$5:$J$27)*后果甲状腺剂量!$Q11*后果甲状腺剂量!$Q$3+SUMPRODUCT(S$5:S$27,后果甲状腺剂量!$J$5:$J$27)*后果甲状腺剂量!$Q11*后果甲状腺剂量!$Q$3+SUMPRODUCT(T$5:T$27,后果甲状腺剂量!$J$5:$J$27)*后果甲状腺剂量!$R11*后果甲状腺剂量!$R$3+SUMPRODUCT(U$5:U$27,后果甲状腺剂量!$J$5:$J$27)*后果甲状腺剂量!$S11*后果甲状腺剂量!$S$3+SUMPRODUCT(V$5:V$27,后果甲状腺剂量!$J$5:$J$27)*后果甲状腺剂量!$T11*后果甲状腺剂量!$T$3+SUMPRODUCT(W$5:W$27,后果甲状腺剂量!$J$5:$J$27)*后果甲状腺剂量!$U11*后果甲状腺剂量!$U$3+SUMPRODUCT(R$5:R$27,后果甲状腺剂量!$K$5:$K$27)*后果甲状腺剂量!$Q11+SUMPRODUCT(S$5:S$27,后果甲状腺剂量!$K$5:$K$27)*后果甲状腺剂量!$Q11+SUMPRODUCT(T$5:T$27,后果甲状腺剂量!$K$5:$K$27)*后果甲状腺剂量!$R11+SUMPRODUCT(U$5:U$27,后果甲状腺剂量!$K$5:$K$27)*后果甲状腺剂量!$S11+SUMPRODUCT(V$5:V$27,后果甲状腺剂量!$K$5:$K$27)*后果甲状腺剂量!$T11+SUMPRODUCT(W$5:W$27,后果甲状腺剂量!$K$5:$K$27)*后果甲状腺剂量!$U11</f>
        <v>0.00905911677742176</v>
      </c>
      <c r="T37" s="454">
        <f ca="1" t="shared" si="255"/>
        <v>6.24144353008051</v>
      </c>
      <c r="U37" s="454">
        <f ca="1" t="shared" si="256"/>
        <v>9.05911677742176</v>
      </c>
      <c r="V37" s="436"/>
      <c r="W37" s="436"/>
      <c r="AN37" s="533"/>
      <c r="AS37" s="572"/>
      <c r="BO37" s="600"/>
      <c r="CJ37" s="600"/>
      <c r="DZ37" s="600"/>
      <c r="EU37" s="603"/>
      <c r="FP37" s="603"/>
      <c r="FS37" s="441">
        <f>SUMPRODUCT(FS$5:FS$27,后果有效剂量!$I$5:$I$27)*后果有效剂量!$Q11+SUMPRODUCT(FT$5:FT$27,后果有效剂量!$I$5:$I$27)*后果有效剂量!$R11+SUMPRODUCT(FU$5:FU$27,后果有效剂量!$I$5:$I$27)*后果有效剂量!$S11+SUMPRODUCT(FV$5:FV$27,后果有效剂量!$I$5:$I$27)*后果有效剂量!$T11+SUMPRODUCT(FS$5:FS$27,后果有效剂量!$J$5:$J$27)*后果有效剂量!$Q11*后果有效剂量!$Q$3+SUMPRODUCT(FT$5:FT$27,后果有效剂量!$J$5:$J$27)*后果有效剂量!$R11*后果有效剂量!$R$3+SUMPRODUCT(FU$5:FU$27,后果有效剂量!$J$5:$J$27)*后果有效剂量!$S11*后果有效剂量!$S$3+SUMPRODUCT(FV$5:FV$27,后果有效剂量!$J$5:$J$27)*后果有效剂量!$T11*后果有效剂量!$T$3+SUMPRODUCT(FS$5:FS$27,后果有效剂量!$K$5:$K$27)*后果有效剂量!$Q11+SUMPRODUCT(FT$5:FT$27,后果有效剂量!$K$5:$K$27)*后果有效剂量!$R11+SUMPRODUCT(FU$5:FU$27,后果有效剂量!$K$5:$K$27)*后果有效剂量!$S11+SUMPRODUCT(FV$5:FV$27,后果有效剂量!$K$5:$K$27)*后果有效剂量!$T11</f>
        <v>0.000364720194815751</v>
      </c>
      <c r="FT37" s="453">
        <f>SUMPRODUCT(FS$5:FS$27,后果甲状腺剂量!$I$5:$I$27)*后果甲状腺剂量!$Q11+SUMPRODUCT(FT$5:FT$27,后果甲状腺剂量!$I$5:$I$27)*后果甲状腺剂量!$R11+SUMPRODUCT(FU$5:FU$27,后果甲状腺剂量!$I$5:$I$27)*后果甲状腺剂量!$S11+SUMPRODUCT(FV$5:FV$27,后果甲状腺剂量!$I$5:$I$27)*后果甲状腺剂量!$T11+SUMPRODUCT(FS$5:FS$27,后果甲状腺剂量!$J$5:$J$27)*后果甲状腺剂量!$Q11*后果甲状腺剂量!$Q$3+SUMPRODUCT(FT$5:FT$27,后果甲状腺剂量!$J$5:$J$27)*后果甲状腺剂量!$R11*后果甲状腺剂量!$R$3+SUMPRODUCT(FU$5:FU$27,后果甲状腺剂量!$J$5:$J$27)*后果甲状腺剂量!$S11*后果甲状腺剂量!$S$3+SUMPRODUCT(FV$5:FV$27,后果甲状腺剂量!$J$5:$J$27)*后果甲状腺剂量!$T11*后果甲状腺剂量!$T$3+SUMPRODUCT(FS$5:FS$27,后果甲状腺剂量!$K$5:$K$27)*后果甲状腺剂量!$Q11+SUMPRODUCT(FT$5:FT$27,后果甲状腺剂量!$K$5:$K$27)*后果甲状腺剂量!$R11+SUMPRODUCT(FU$5:FU$27,后果甲状腺剂量!$K$5:$K$27)*后果甲状腺剂量!$S11+SUMPRODUCT(FV$5:FV$27,后果甲状腺剂量!$K$5:$K$27)*后果甲状腺剂量!$T11</f>
        <v>0.00275749363591398</v>
      </c>
      <c r="FU37" s="454">
        <f t="shared" si="257"/>
        <v>0.364720194815751</v>
      </c>
      <c r="FV37" s="454">
        <f t="shared" si="258"/>
        <v>2.75749363591398</v>
      </c>
      <c r="FW37" s="436"/>
      <c r="FX37" s="436"/>
      <c r="GD37" s="440" t="str">
        <f>后果有效剂量!$P11</f>
        <v>4000m</v>
      </c>
      <c r="GE37" s="441">
        <f>SUMPRODUCT(GE$5:GE$27,后果有效剂量!$I$5:$I$27)*后果有效剂量!$Q11+SUMPRODUCT(GF$5:GF$27,后果有效剂量!$I$5:$I$27)*后果有效剂量!$R11+SUMPRODUCT(GG$5:GG$27,后果有效剂量!$I$5:$I$27)*后果有效剂量!$S11+(SUMPRODUCT(GH$5:GH$27,后果有效剂量!$I$5:$I$27)+SUMPRODUCT(GI$5:GI$27,后果有效剂量!$I$5:$I$27))*后果有效剂量!$T11+SUMPRODUCT(GJ$5:GJ$27,后果有效剂量!$I$5:$I$27)*后果有效剂量!$U11+SUMPRODUCT(GE$5:GE$27,后果有效剂量!$J$5:$J$27)*后果有效剂量!$Q11*后果有效剂量!$Q$3+SUMPRODUCT(GF$5:GF$27,后果有效剂量!$J$5:$J$27)*后果有效剂量!$R11*后果有效剂量!$R$3+SUMPRODUCT(GG$5:GG$27,后果有效剂量!$J$5:$J$27)*后果有效剂量!$S11*后果有效剂量!$S$3+(SUMPRODUCT(GH$5:GH$27,后果有效剂量!$J$5:$J$27)+SUMPRODUCT(GI$5:GI$27,后果有效剂量!$J$5:$J$27))*后果有效剂量!$T11*后果有效剂量!$T$3+SUMPRODUCT(GJ$5:GJ$27,后果有效剂量!$J$5:$J$27)*后果有效剂量!$U11*后果有效剂量!$U$3+SUMPRODUCT(GE$5:GE$27,后果有效剂量!$K$5:$K$27)*后果有效剂量!$Q11+SUMPRODUCT(GF$5:GF$27,后果有效剂量!$K$5:$K$27)*后果有效剂量!$R11+SUMPRODUCT(GG$5:GG$27,后果有效剂量!$K$5:$K$27)*后果有效剂量!$S11+(SUMPRODUCT(GH$5:GH$27,后果有效剂量!$K$5:$K$27)+SUMPRODUCT(GI$5:GI$27,后果有效剂量!$K$5:$K$27))*后果有效剂量!$T11+SUMPRODUCT(GJ$5:GJ$27,后果有效剂量!$K$5:$K$27)*后果有效剂量!$U11</f>
        <v>8.91871700666406e-5</v>
      </c>
      <c r="GF37" s="453">
        <f>SUMPRODUCT(GE$5:GE$27,后果甲状腺剂量!$I$5:$I$27)*后果甲状腺剂量!$Q11+SUMPRODUCT(GF$5:GF$27,后果甲状腺剂量!$I$5:$I$27)*后果甲状腺剂量!$R11+SUMPRODUCT(GG$5:GG$27,后果甲状腺剂量!$I$5:$I$27)*后果甲状腺剂量!$S11+(SUMPRODUCT(GH$5:GH$27,后果甲状腺剂量!$I$5:$I$27)+SUMPRODUCT(GI$5:GI$27,后果甲状腺剂量!$I$5:$I$27))*后果甲状腺剂量!$T11+SUMPRODUCT(GJ$5:GJ$27,后果甲状腺剂量!$I$5:$I$27)*后果甲状腺剂量!$U11+SUMPRODUCT(GE$5:GE$27,后果甲状腺剂量!$J$5:$J$27)*后果甲状腺剂量!$Q11*后果甲状腺剂量!$Q$3+SUMPRODUCT(GF$5:GF$27,后果甲状腺剂量!$J$5:$J$27)*后果甲状腺剂量!$R11*后果甲状腺剂量!$R$3+SUMPRODUCT(GG$5:GG$27,后果甲状腺剂量!$J$5:$J$27)*后果甲状腺剂量!$S11*后果甲状腺剂量!$S$3+(SUMPRODUCT(GH$5:GH$27,后果甲状腺剂量!$J$5:$J$27)+SUMPRODUCT(GI$5:GI$27,后果甲状腺剂量!$J$5:$J$27))*后果甲状腺剂量!$T11*后果甲状腺剂量!$T$3+SUMPRODUCT(GJ$5:GJ$27,后果甲状腺剂量!$J$5:$J$27)*后果甲状腺剂量!$U11*后果甲状腺剂量!$U$3+SUMPRODUCT(GE$5:GE$27,后果甲状腺剂量!$K$5:$K$27)*后果甲状腺剂量!$Q11+SUMPRODUCT(GF$5:GF$27,后果甲状腺剂量!$K$5:$K$27)*后果甲状腺剂量!$R11+SUMPRODUCT(GG$5:GG$27,后果甲状腺剂量!$K$5:$K$27)*后果甲状腺剂量!$S11+(SUMPRODUCT(GH$5:GH$27,后果甲状腺剂量!$K$5:$K$27)+SUMPRODUCT(GI$5:GI$27,后果甲状腺剂量!$K$5:$K$27))*后果甲状腺剂量!$T11+SUMPRODUCT(GJ$5:GJ$27,后果甲状腺剂量!$K$5:$K$27)*后果甲状腺剂量!$U11</f>
        <v>0.000539068281266805</v>
      </c>
      <c r="GG37" s="454">
        <f t="shared" si="259"/>
        <v>0.0891871700666406</v>
      </c>
      <c r="GH37" s="454">
        <f t="shared" si="260"/>
        <v>0.539068281266805</v>
      </c>
      <c r="GI37" s="436"/>
      <c r="GJ37" s="436"/>
    </row>
    <row r="38" spans="7:192">
      <c r="G38" s="440" t="str">
        <f>后果有效剂量!$P12</f>
        <v>5000m</v>
      </c>
      <c r="H38" s="441">
        <f ca="1">SUMPRODUCT(H$5:H$27,后果有效剂量!$I$5:$I$27)*后果有效剂量!$Q12+SUMPRODUCT(I$5:I$27,后果有效剂量!$I$5:$I$27)*后果有效剂量!$Q12+SUMPRODUCT(J$5:J$27,后果有效剂量!$I$5:$I$27)*后果有效剂量!$R12+SUMPRODUCT(K$5:K$27,后果有效剂量!$I$5:$I$27)*后果有效剂量!$S12+SUMPRODUCT(L$5:L$27,后果有效剂量!$I$5:$I$27)*后果有效剂量!$T12+SUMPRODUCT(M$5:M$27,后果有效剂量!$I$5:$I$27)*后果有效剂量!$U12+SUMPRODUCT(H$5:H$27,后果有效剂量!$J$5:$J$27)*后果有效剂量!$Q12*后果有效剂量!$Q$3+SUMPRODUCT(I$5:I$27,后果有效剂量!$J$5:$J$27)*后果有效剂量!$Q12*后果有效剂量!$Q$3+SUMPRODUCT(J$5:J$27,后果有效剂量!$J$5:$J$27)*后果有效剂量!$R12*后果有效剂量!$R$3+SUMPRODUCT(K$5:K$27,后果有效剂量!$J$5:$J$27)*后果有效剂量!$S12*后果有效剂量!$S$3+SUMPRODUCT(L$5:L$27,后果有效剂量!$J$5:$J$27)*后果有效剂量!$T12*后果有效剂量!$T$3+SUMPRODUCT(M$5:M$27,后果有效剂量!$J$5:$J$27)*后果有效剂量!$U12*后果有效剂量!$U$3+SUMPRODUCT(H$5:H$27,后果有效剂量!$K$5:$K$27)*后果有效剂量!$Q12+SUMPRODUCT(I$5:I$27,后果有效剂量!$K$5:$K$27)*后果有效剂量!$Q12+SUMPRODUCT(J$5:J$27,后果有效剂量!$K$5:$K$27)*后果有效剂量!$R12+SUMPRODUCT(K$5:K$27,后果有效剂量!$K$5:$K$27)*后果有效剂量!$S12+SUMPRODUCT(L$5:L$27,后果有效剂量!$K$5:$K$27)*后果有效剂量!$T12+SUMPRODUCT(M$5:M$27,后果有效剂量!$K$5:$K$27)*后果有效剂量!$U12</f>
        <v>0.000591636834622222</v>
      </c>
      <c r="I38" s="453">
        <f ca="1">SUMPRODUCT(H$5:H$27,后果甲状腺剂量!$I$5:$I$27)*后果甲状腺剂量!$Q12+SUMPRODUCT(I$5:I$27,后果甲状腺剂量!$I$5:$I$27)*后果甲状腺剂量!$Q12+SUMPRODUCT(J$5:J$27,后果甲状腺剂量!$I$5:$I$27)*后果甲状腺剂量!$R12+SUMPRODUCT(K$5:K$27,后果甲状腺剂量!$I$5:$I$27)*后果甲状腺剂量!$S12+SUMPRODUCT(L$5:L$27,后果甲状腺剂量!$I$5:$I$27)*后果甲状腺剂量!$T12+SUMPRODUCT(M$5:M$27,后果甲状腺剂量!$I$5:$I$27)*后果甲状腺剂量!$U12+SUMPRODUCT(H$5:H$27,后果甲状腺剂量!$J$5:$J$27)*后果甲状腺剂量!$Q12*后果甲状腺剂量!$Q$3+SUMPRODUCT(I$5:I$27,后果甲状腺剂量!$J$5:$J$27)*后果甲状腺剂量!$Q12*后果甲状腺剂量!$Q$3+SUMPRODUCT(J$5:J$27,后果甲状腺剂量!$J$5:$J$27)*后果甲状腺剂量!$R12*后果甲状腺剂量!$R$3+SUMPRODUCT(K$5:K$27,后果甲状腺剂量!$J$5:$J$27)*后果甲状腺剂量!$S12*后果甲状腺剂量!$S$3+SUMPRODUCT(L$5:L$27,后果甲状腺剂量!$J$5:$J$27)*后果甲状腺剂量!$T12*后果甲状腺剂量!$T$3+SUMPRODUCT(M$5:M$27,后果甲状腺剂量!$J$5:$J$27)*后果甲状腺剂量!$U12*后果甲状腺剂量!$U$3+SUMPRODUCT(H$5:H$27,后果甲状腺剂量!$K$5:$K$27)*后果甲状腺剂量!$Q12+SUMPRODUCT(I$5:I$27,后果甲状腺剂量!$K$5:$K$27)*后果甲状腺剂量!$Q12+SUMPRODUCT(J$5:J$27,后果甲状腺剂量!$K$5:$K$27)*后果甲状腺剂量!$R12+SUMPRODUCT(K$5:K$27,后果甲状腺剂量!$K$5:$K$27)*后果甲状腺剂量!$S12+SUMPRODUCT(L$5:L$27,后果甲状腺剂量!$K$5:$K$27)*后果甲状腺剂量!$T12+SUMPRODUCT(M$5:M$27,后果甲状腺剂量!$K$5:$K$27)*后果甲状腺剂量!$U12</f>
        <v>0.00718752841541976</v>
      </c>
      <c r="J38" s="454">
        <f ca="1" t="shared" si="253"/>
        <v>0.591636834622222</v>
      </c>
      <c r="K38" s="454">
        <f ca="1" t="shared" si="254"/>
        <v>7.18752841541976</v>
      </c>
      <c r="L38" s="436"/>
      <c r="M38" s="436"/>
      <c r="N38" s="455"/>
      <c r="Q38" s="440" t="str">
        <f>后果有效剂量!$P12</f>
        <v>5000m</v>
      </c>
      <c r="R38" s="441">
        <f ca="1">SUMPRODUCT(R$5:R$27,后果有效剂量!$I$5:$I$27)*后果有效剂量!$Q12+SUMPRODUCT(S$5:S$27,后果有效剂量!$I$5:$I$27)*后果有效剂量!$Q12+SUMPRODUCT(T$5:T$27,后果有效剂量!$I$5:$I$27)*后果有效剂量!$R12+SUMPRODUCT(U$5:U$27,后果有效剂量!$I$5:$I$27)*后果有效剂量!$S12+SUMPRODUCT(V$5:V$27,后果有效剂量!$I$5:$I$27)*后果有效剂量!$T12+SUMPRODUCT(W$5:W$27,后果有效剂量!$I$5:$I$27)*后果有效剂量!$U12+SUMPRODUCT(R$5:R$27,后果有效剂量!$J$5:$J$27)*后果有效剂量!$Q12*后果有效剂量!$Q$3+SUMPRODUCT(S$5:S$27,后果有效剂量!$J$5:$J$27)*后果有效剂量!$Q12*后果有效剂量!$Q$3+SUMPRODUCT(T$5:T$27,后果有效剂量!$J$5:$J$27)*后果有效剂量!$R12*后果有效剂量!$R$3+SUMPRODUCT(U$5:U$27,后果有效剂量!$J$5:$J$27)*后果有效剂量!$S12*后果有效剂量!$S$3+SUMPRODUCT(V$5:V$27,后果有效剂量!$J$5:$J$27)*后果有效剂量!$T12*后果有效剂量!$T$3+SUMPRODUCT(W$5:W$27,后果有效剂量!$J$5:$J$27)*后果有效剂量!$U12*后果有效剂量!$U$3+SUMPRODUCT(R$5:R$27,后果有效剂量!$K$5:$K$27)*后果有效剂量!$Q12+SUMPRODUCT(S$5:S$27,后果有效剂量!$K$5:$K$27)*后果有效剂量!$Q12+SUMPRODUCT(T$5:T$27,后果有效剂量!$K$5:$K$27)*后果有效剂量!$R12+SUMPRODUCT(U$5:U$27,后果有效剂量!$K$5:$K$27)*后果有效剂量!$S12+SUMPRODUCT(V$5:V$27,后果有效剂量!$K$5:$K$27)*后果有效剂量!$T12+SUMPRODUCT(W$5:W$27,后果有效剂量!$K$5:$K$27)*后果有效剂量!$U12</f>
        <v>0.000591636834622215</v>
      </c>
      <c r="S38" s="453">
        <f ca="1">SUMPRODUCT(R$5:R$27,后果甲状腺剂量!$I$5:$I$27)*后果甲状腺剂量!$Q12+SUMPRODUCT(S$5:S$27,后果甲状腺剂量!$I$5:$I$27)*后果甲状腺剂量!$Q12+SUMPRODUCT(T$5:T$27,后果甲状腺剂量!$I$5:$I$27)*后果甲状腺剂量!$R12+SUMPRODUCT(U$5:U$27,后果甲状腺剂量!$I$5:$I$27)*后果甲状腺剂量!$S12+SUMPRODUCT(V$5:V$27,后果甲状腺剂量!$I$5:$I$27)*后果甲状腺剂量!$T12+SUMPRODUCT(W$5:W$27,后果甲状腺剂量!$I$5:$I$27)*后果甲状腺剂量!$U12+SUMPRODUCT(R$5:R$27,后果甲状腺剂量!$J$5:$J$27)*后果甲状腺剂量!$Q12*后果甲状腺剂量!$Q$3+SUMPRODUCT(S$5:S$27,后果甲状腺剂量!$J$5:$J$27)*后果甲状腺剂量!$Q12*后果甲状腺剂量!$Q$3+SUMPRODUCT(T$5:T$27,后果甲状腺剂量!$J$5:$J$27)*后果甲状腺剂量!$R12*后果甲状腺剂量!$R$3+SUMPRODUCT(U$5:U$27,后果甲状腺剂量!$J$5:$J$27)*后果甲状腺剂量!$S12*后果甲状腺剂量!$S$3+SUMPRODUCT(V$5:V$27,后果甲状腺剂量!$J$5:$J$27)*后果甲状腺剂量!$T12*后果甲状腺剂量!$T$3+SUMPRODUCT(W$5:W$27,后果甲状腺剂量!$J$5:$J$27)*后果甲状腺剂量!$U12*后果甲状腺剂量!$U$3+SUMPRODUCT(R$5:R$27,后果甲状腺剂量!$K$5:$K$27)*后果甲状腺剂量!$Q12+SUMPRODUCT(S$5:S$27,后果甲状腺剂量!$K$5:$K$27)*后果甲状腺剂量!$Q12+SUMPRODUCT(T$5:T$27,后果甲状腺剂量!$K$5:$K$27)*后果甲状腺剂量!$R12+SUMPRODUCT(U$5:U$27,后果甲状腺剂量!$K$5:$K$27)*后果甲状腺剂量!$S12+SUMPRODUCT(V$5:V$27,后果甲状腺剂量!$K$5:$K$27)*后果甲状腺剂量!$T12+SUMPRODUCT(W$5:W$27,后果甲状腺剂量!$K$5:$K$27)*后果甲状腺剂量!$U12</f>
        <v>0.00718752841541969</v>
      </c>
      <c r="T38" s="454">
        <f ca="1" t="shared" si="255"/>
        <v>0.591636834622215</v>
      </c>
      <c r="U38" s="454">
        <f ca="1" t="shared" si="256"/>
        <v>7.18752841541969</v>
      </c>
      <c r="V38" s="436"/>
      <c r="W38" s="436"/>
      <c r="AN38" s="533"/>
      <c r="AS38" s="572"/>
      <c r="BO38" s="600"/>
      <c r="CJ38" s="600"/>
      <c r="DZ38" s="600"/>
      <c r="EU38" s="603"/>
      <c r="FP38" s="603"/>
      <c r="FS38" s="441">
        <f>SUMPRODUCT(FS$5:FS$27,后果有效剂量!$I$5:$I$27)*后果有效剂量!$Q12+SUMPRODUCT(FT$5:FT$27,后果有效剂量!$I$5:$I$27)*后果有效剂量!$R12+SUMPRODUCT(FU$5:FU$27,后果有效剂量!$I$5:$I$27)*后果有效剂量!$S12+SUMPRODUCT(FV$5:FV$27,后果有效剂量!$I$5:$I$27)*后果有效剂量!$T12+SUMPRODUCT(FS$5:FS$27,后果有效剂量!$J$5:$J$27)*后果有效剂量!$Q12*后果有效剂量!$Q$3+SUMPRODUCT(FT$5:FT$27,后果有效剂量!$J$5:$J$27)*后果有效剂量!$R12*后果有效剂量!$R$3+SUMPRODUCT(FU$5:FU$27,后果有效剂量!$J$5:$J$27)*后果有效剂量!$S12*后果有效剂量!$S$3+SUMPRODUCT(FV$5:FV$27,后果有效剂量!$J$5:$J$27)*后果有效剂量!$T12*后果有效剂量!$T$3+SUMPRODUCT(FS$5:FS$27,后果有效剂量!$K$5:$K$27)*后果有效剂量!$Q12+SUMPRODUCT(FT$5:FT$27,后果有效剂量!$K$5:$K$27)*后果有效剂量!$R12+SUMPRODUCT(FU$5:FU$27,后果有效剂量!$K$5:$K$27)*后果有效剂量!$S12+SUMPRODUCT(FV$5:FV$27,后果有效剂量!$K$5:$K$27)*后果有效剂量!$T12</f>
        <v>3.76124270740873e-5</v>
      </c>
      <c r="FT38" s="453">
        <f>SUMPRODUCT(FS$5:FS$27,后果甲状腺剂量!$I$5:$I$27)*后果甲状腺剂量!$Q12+SUMPRODUCT(FT$5:FT$27,后果甲状腺剂量!$I$5:$I$27)*后果甲状腺剂量!$R12+SUMPRODUCT(FU$5:FU$27,后果甲状腺剂量!$I$5:$I$27)*后果甲状腺剂量!$S12+SUMPRODUCT(FV$5:FV$27,后果甲状腺剂量!$I$5:$I$27)*后果甲状腺剂量!$T12+SUMPRODUCT(FS$5:FS$27,后果甲状腺剂量!$J$5:$J$27)*后果甲状腺剂量!$Q12*后果甲状腺剂量!$Q$3+SUMPRODUCT(FT$5:FT$27,后果甲状腺剂量!$J$5:$J$27)*后果甲状腺剂量!$R12*后果甲状腺剂量!$R$3+SUMPRODUCT(FU$5:FU$27,后果甲状腺剂量!$J$5:$J$27)*后果甲状腺剂量!$S12*后果甲状腺剂量!$S$3+SUMPRODUCT(FV$5:FV$27,后果甲状腺剂量!$J$5:$J$27)*后果甲状腺剂量!$T12*后果甲状腺剂量!$T$3+SUMPRODUCT(FS$5:FS$27,后果甲状腺剂量!$K$5:$K$27)*后果甲状腺剂量!$Q12+SUMPRODUCT(FT$5:FT$27,后果甲状腺剂量!$K$5:$K$27)*后果甲状腺剂量!$R12+SUMPRODUCT(FU$5:FU$27,后果甲状腺剂量!$K$5:$K$27)*后果甲状腺剂量!$S12+SUMPRODUCT(FV$5:FV$27,后果甲状腺剂量!$K$5:$K$27)*后果甲状腺剂量!$T12</f>
        <v>0.00209817268079309</v>
      </c>
      <c r="FU38" s="454">
        <f t="shared" si="257"/>
        <v>0.0376124270740873</v>
      </c>
      <c r="FV38" s="454">
        <f t="shared" si="258"/>
        <v>2.09817268079309</v>
      </c>
      <c r="FW38" s="436"/>
      <c r="FX38" s="436"/>
      <c r="GD38" s="440" t="str">
        <f>后果有效剂量!$P12</f>
        <v>5000m</v>
      </c>
      <c r="GE38" s="441">
        <f>SUMPRODUCT(GE$5:GE$27,后果有效剂量!$I$5:$I$27)*后果有效剂量!$Q12+SUMPRODUCT(GF$5:GF$27,后果有效剂量!$I$5:$I$27)*后果有效剂量!$R12+SUMPRODUCT(GG$5:GG$27,后果有效剂量!$I$5:$I$27)*后果有效剂量!$S12+(SUMPRODUCT(GH$5:GH$27,后果有效剂量!$I$5:$I$27)+SUMPRODUCT(GI$5:GI$27,后果有效剂量!$I$5:$I$27))*后果有效剂量!$T12+SUMPRODUCT(GJ$5:GJ$27,后果有效剂量!$I$5:$I$27)*后果有效剂量!$U12+SUMPRODUCT(GE$5:GE$27,后果有效剂量!$J$5:$J$27)*后果有效剂量!$Q12*后果有效剂量!$Q$3+SUMPRODUCT(GF$5:GF$27,后果有效剂量!$J$5:$J$27)*后果有效剂量!$R12*后果有效剂量!$R$3+SUMPRODUCT(GG$5:GG$27,后果有效剂量!$J$5:$J$27)*后果有效剂量!$S12*后果有效剂量!$S$3+(SUMPRODUCT(GH$5:GH$27,后果有效剂量!$J$5:$J$27)+SUMPRODUCT(GI$5:GI$27,后果有效剂量!$J$5:$J$27))*后果有效剂量!$T12*后果有效剂量!$T$3+SUMPRODUCT(GJ$5:GJ$27,后果有效剂量!$J$5:$J$27)*后果有效剂量!$U12*后果有效剂量!$U$3+SUMPRODUCT(GE$5:GE$27,后果有效剂量!$K$5:$K$27)*后果有效剂量!$Q12+SUMPRODUCT(GF$5:GF$27,后果有效剂量!$K$5:$K$27)*后果有效剂量!$R12+SUMPRODUCT(GG$5:GG$27,后果有效剂量!$K$5:$K$27)*后果有效剂量!$S12+(SUMPRODUCT(GH$5:GH$27,后果有效剂量!$K$5:$K$27)+SUMPRODUCT(GI$5:GI$27,后果有效剂量!$K$5:$K$27))*后果有效剂量!$T12+SUMPRODUCT(GJ$5:GJ$27,后果有效剂量!$K$5:$K$27)*后果有效剂量!$U12</f>
        <v>9.96698491087919e-6</v>
      </c>
      <c r="GF38" s="453">
        <f>SUMPRODUCT(GE$5:GE$27,后果甲状腺剂量!$I$5:$I$27)*后果甲状腺剂量!$Q12+SUMPRODUCT(GF$5:GF$27,后果甲状腺剂量!$I$5:$I$27)*后果甲状腺剂量!$R12+SUMPRODUCT(GG$5:GG$27,后果甲状腺剂量!$I$5:$I$27)*后果甲状腺剂量!$S12+(SUMPRODUCT(GH$5:GH$27,后果甲状腺剂量!$I$5:$I$27)+SUMPRODUCT(GI$5:GI$27,后果甲状腺剂量!$I$5:$I$27))*后果甲状腺剂量!$T12+SUMPRODUCT(GJ$5:GJ$27,后果甲状腺剂量!$I$5:$I$27)*后果甲状腺剂量!$U12+SUMPRODUCT(GE$5:GE$27,后果甲状腺剂量!$J$5:$J$27)*后果甲状腺剂量!$Q12*后果甲状腺剂量!$Q$3+SUMPRODUCT(GF$5:GF$27,后果甲状腺剂量!$J$5:$J$27)*后果甲状腺剂量!$R12*后果甲状腺剂量!$R$3+SUMPRODUCT(GG$5:GG$27,后果甲状腺剂量!$J$5:$J$27)*后果甲状腺剂量!$S12*后果甲状腺剂量!$S$3+(SUMPRODUCT(GH$5:GH$27,后果甲状腺剂量!$J$5:$J$27)+SUMPRODUCT(GI$5:GI$27,后果甲状腺剂量!$J$5:$J$27))*后果甲状腺剂量!$T12*后果甲状腺剂量!$T$3+SUMPRODUCT(GJ$5:GJ$27,后果甲状腺剂量!$J$5:$J$27)*后果甲状腺剂量!$U12*后果甲状腺剂量!$U$3+SUMPRODUCT(GE$5:GE$27,后果甲状腺剂量!$K$5:$K$27)*后果甲状腺剂量!$Q12+SUMPRODUCT(GF$5:GF$27,后果甲状腺剂量!$K$5:$K$27)*后果甲状腺剂量!$R12+SUMPRODUCT(GG$5:GG$27,后果甲状腺剂量!$K$5:$K$27)*后果甲状腺剂量!$S12+(SUMPRODUCT(GH$5:GH$27,后果甲状腺剂量!$K$5:$K$27)+SUMPRODUCT(GI$5:GI$27,后果甲状腺剂量!$K$5:$K$27))*后果甲状腺剂量!$T12+SUMPRODUCT(GJ$5:GJ$27,后果甲状腺剂量!$K$5:$K$27)*后果甲状腺剂量!$U12</f>
        <v>0.000390031853238463</v>
      </c>
      <c r="GG38" s="454">
        <f t="shared" si="259"/>
        <v>0.00996698491087919</v>
      </c>
      <c r="GH38" s="454">
        <f t="shared" si="260"/>
        <v>0.390031853238463</v>
      </c>
      <c r="GI38" s="436"/>
      <c r="GJ38" s="436"/>
    </row>
    <row r="39" spans="7:192">
      <c r="G39" s="440" t="str">
        <f>后果有效剂量!$P13</f>
        <v>7500m</v>
      </c>
      <c r="H39" s="441">
        <f ca="1">SUMPRODUCT(H$5:H$27,后果有效剂量!$I$5:$I$27)*后果有效剂量!$Q13+SUMPRODUCT(I$5:I$27,后果有效剂量!$I$5:$I$27)*后果有效剂量!$Q13+SUMPRODUCT(J$5:J$27,后果有效剂量!$I$5:$I$27)*后果有效剂量!$R13+SUMPRODUCT(K$5:K$27,后果有效剂量!$I$5:$I$27)*后果有效剂量!$S13+SUMPRODUCT(L$5:L$27,后果有效剂量!$I$5:$I$27)*后果有效剂量!$T13+SUMPRODUCT(M$5:M$27,后果有效剂量!$I$5:$I$27)*后果有效剂量!$U13+SUMPRODUCT(H$5:H$27,后果有效剂量!$J$5:$J$27)*后果有效剂量!$Q13*后果有效剂量!$Q$3+SUMPRODUCT(I$5:I$27,后果有效剂量!$J$5:$J$27)*后果有效剂量!$Q13*后果有效剂量!$Q$3+SUMPRODUCT(J$5:J$27,后果有效剂量!$J$5:$J$27)*后果有效剂量!$R13*后果有效剂量!$R$3+SUMPRODUCT(K$5:K$27,后果有效剂量!$J$5:$J$27)*后果有效剂量!$S13*后果有效剂量!$S$3+SUMPRODUCT(L$5:L$27,后果有效剂量!$J$5:$J$27)*后果有效剂量!$T13*后果有效剂量!$T$3+SUMPRODUCT(M$5:M$27,后果有效剂量!$J$5:$J$27)*后果有效剂量!$U13*后果有效剂量!$U$3+SUMPRODUCT(H$5:H$27,后果有效剂量!$K$5:$K$27)*后果有效剂量!$Q13+SUMPRODUCT(I$5:I$27,后果有效剂量!$K$5:$K$27)*后果有效剂量!$Q13+SUMPRODUCT(J$5:J$27,后果有效剂量!$K$5:$K$27)*后果有效剂量!$R13+SUMPRODUCT(K$5:K$27,后果有效剂量!$K$5:$K$27)*后果有效剂量!$S13+SUMPRODUCT(L$5:L$27,后果有效剂量!$K$5:$K$27)*后果有效剂量!$T13+SUMPRODUCT(M$5:M$27,后果有效剂量!$K$5:$K$27)*后果有效剂量!$U13</f>
        <v>0.00339161775158892</v>
      </c>
      <c r="I39" s="453">
        <f ca="1">SUMPRODUCT(H$5:H$27,后果甲状腺剂量!$I$5:$I$27)*后果甲状腺剂量!$Q13+SUMPRODUCT(I$5:I$27,后果甲状腺剂量!$I$5:$I$27)*后果甲状腺剂量!$Q13+SUMPRODUCT(J$5:J$27,后果甲状腺剂量!$I$5:$I$27)*后果甲状腺剂量!$R13+SUMPRODUCT(K$5:K$27,后果甲状腺剂量!$I$5:$I$27)*后果甲状腺剂量!$S13+SUMPRODUCT(L$5:L$27,后果甲状腺剂量!$I$5:$I$27)*后果甲状腺剂量!$T13+SUMPRODUCT(M$5:M$27,后果甲状腺剂量!$I$5:$I$27)*后果甲状腺剂量!$U13+SUMPRODUCT(H$5:H$27,后果甲状腺剂量!$J$5:$J$27)*后果甲状腺剂量!$Q13*后果甲状腺剂量!$Q$3+SUMPRODUCT(I$5:I$27,后果甲状腺剂量!$J$5:$J$27)*后果甲状腺剂量!$Q13*后果甲状腺剂量!$Q$3+SUMPRODUCT(J$5:J$27,后果甲状腺剂量!$J$5:$J$27)*后果甲状腺剂量!$R13*后果甲状腺剂量!$R$3+SUMPRODUCT(K$5:K$27,后果甲状腺剂量!$J$5:$J$27)*后果甲状腺剂量!$S13*后果甲状腺剂量!$S$3+SUMPRODUCT(L$5:L$27,后果甲状腺剂量!$J$5:$J$27)*后果甲状腺剂量!$T13*后果甲状腺剂量!$T$3+SUMPRODUCT(M$5:M$27,后果甲状腺剂量!$J$5:$J$27)*后果甲状腺剂量!$U13*后果甲状腺剂量!$U$3+SUMPRODUCT(H$5:H$27,后果甲状腺剂量!$K$5:$K$27)*后果甲状腺剂量!$Q13+SUMPRODUCT(I$5:I$27,后果甲状腺剂量!$K$5:$K$27)*后果甲状腺剂量!$Q13+SUMPRODUCT(J$5:J$27,后果甲状腺剂量!$K$5:$K$27)*后果甲状腺剂量!$R13+SUMPRODUCT(K$5:K$27,后果甲状腺剂量!$K$5:$K$27)*后果甲状腺剂量!$S13+SUMPRODUCT(L$5:L$27,后果甲状腺剂量!$K$5:$K$27)*后果甲状腺剂量!$T13+SUMPRODUCT(M$5:M$27,后果甲状腺剂量!$K$5:$K$27)*后果甲状腺剂量!$U13</f>
        <v>0.0049227492210643</v>
      </c>
      <c r="J39" s="454">
        <f ca="1" t="shared" si="253"/>
        <v>3.39161775158892</v>
      </c>
      <c r="K39" s="454">
        <f ca="1" t="shared" si="254"/>
        <v>4.9227492210643</v>
      </c>
      <c r="L39" s="436"/>
      <c r="M39" s="436"/>
      <c r="N39" s="455"/>
      <c r="Q39" s="440" t="str">
        <f>后果有效剂量!$P13</f>
        <v>7500m</v>
      </c>
      <c r="R39" s="441">
        <f ca="1">SUMPRODUCT(R$5:R$27,后果有效剂量!$I$5:$I$27)*后果有效剂量!$Q13+SUMPRODUCT(S$5:S$27,后果有效剂量!$I$5:$I$27)*后果有效剂量!$Q13+SUMPRODUCT(T$5:T$27,后果有效剂量!$I$5:$I$27)*后果有效剂量!$R13+SUMPRODUCT(U$5:U$27,后果有效剂量!$I$5:$I$27)*后果有效剂量!$S13+SUMPRODUCT(V$5:V$27,后果有效剂量!$I$5:$I$27)*后果有效剂量!$T13+SUMPRODUCT(W$5:W$27,后果有效剂量!$I$5:$I$27)*后果有效剂量!$U13+SUMPRODUCT(R$5:R$27,后果有效剂量!$J$5:$J$27)*后果有效剂量!$Q13*后果有效剂量!$Q$3+SUMPRODUCT(S$5:S$27,后果有效剂量!$J$5:$J$27)*后果有效剂量!$Q13*后果有效剂量!$Q$3+SUMPRODUCT(T$5:T$27,后果有效剂量!$J$5:$J$27)*后果有效剂量!$R13*后果有效剂量!$R$3+SUMPRODUCT(U$5:U$27,后果有效剂量!$J$5:$J$27)*后果有效剂量!$S13*后果有效剂量!$S$3+SUMPRODUCT(V$5:V$27,后果有效剂量!$J$5:$J$27)*后果有效剂量!$T13*后果有效剂量!$T$3+SUMPRODUCT(W$5:W$27,后果有效剂量!$J$5:$J$27)*后果有效剂量!$U13*后果有效剂量!$U$3+SUMPRODUCT(R$5:R$27,后果有效剂量!$K$5:$K$27)*后果有效剂量!$Q13+SUMPRODUCT(S$5:S$27,后果有效剂量!$K$5:$K$27)*后果有效剂量!$Q13+SUMPRODUCT(T$5:T$27,后果有效剂量!$K$5:$K$27)*后果有效剂量!$R13+SUMPRODUCT(U$5:U$27,后果有效剂量!$K$5:$K$27)*后果有效剂量!$S13+SUMPRODUCT(V$5:V$27,后果有效剂量!$K$5:$K$27)*后果有效剂量!$T13+SUMPRODUCT(W$5:W$27,后果有效剂量!$K$5:$K$27)*后果有效剂量!$U13</f>
        <v>0.00339161775158889</v>
      </c>
      <c r="S39" s="453">
        <f ca="1">SUMPRODUCT(R$5:R$27,后果甲状腺剂量!$I$5:$I$27)*后果甲状腺剂量!$Q13+SUMPRODUCT(S$5:S$27,后果甲状腺剂量!$I$5:$I$27)*后果甲状腺剂量!$Q13+SUMPRODUCT(T$5:T$27,后果甲状腺剂量!$I$5:$I$27)*后果甲状腺剂量!$R13+SUMPRODUCT(U$5:U$27,后果甲状腺剂量!$I$5:$I$27)*后果甲状腺剂量!$S13+SUMPRODUCT(V$5:V$27,后果甲状腺剂量!$I$5:$I$27)*后果甲状腺剂量!$T13+SUMPRODUCT(W$5:W$27,后果甲状腺剂量!$I$5:$I$27)*后果甲状腺剂量!$U13+SUMPRODUCT(R$5:R$27,后果甲状腺剂量!$J$5:$J$27)*后果甲状腺剂量!$Q13*后果甲状腺剂量!$Q$3+SUMPRODUCT(S$5:S$27,后果甲状腺剂量!$J$5:$J$27)*后果甲状腺剂量!$Q13*后果甲状腺剂量!$Q$3+SUMPRODUCT(T$5:T$27,后果甲状腺剂量!$J$5:$J$27)*后果甲状腺剂量!$R13*后果甲状腺剂量!$R$3+SUMPRODUCT(U$5:U$27,后果甲状腺剂量!$J$5:$J$27)*后果甲状腺剂量!$S13*后果甲状腺剂量!$S$3+SUMPRODUCT(V$5:V$27,后果甲状腺剂量!$J$5:$J$27)*后果甲状腺剂量!$T13*后果甲状腺剂量!$T$3+SUMPRODUCT(W$5:W$27,后果甲状腺剂量!$J$5:$J$27)*后果甲状腺剂量!$U13*后果甲状腺剂量!$U$3+SUMPRODUCT(R$5:R$27,后果甲状腺剂量!$K$5:$K$27)*后果甲状腺剂量!$Q13+SUMPRODUCT(S$5:S$27,后果甲状腺剂量!$K$5:$K$27)*后果甲状腺剂量!$Q13+SUMPRODUCT(T$5:T$27,后果甲状腺剂量!$K$5:$K$27)*后果甲状腺剂量!$R13+SUMPRODUCT(U$5:U$27,后果甲状腺剂量!$K$5:$K$27)*后果甲状腺剂量!$S13+SUMPRODUCT(V$5:V$27,后果甲状腺剂量!$K$5:$K$27)*后果甲状腺剂量!$T13+SUMPRODUCT(W$5:W$27,后果甲状腺剂量!$K$5:$K$27)*后果甲状腺剂量!$U13</f>
        <v>0.00492274922106425</v>
      </c>
      <c r="T39" s="454">
        <f ca="1" t="shared" si="255"/>
        <v>3.39161775158889</v>
      </c>
      <c r="U39" s="454">
        <f ca="1" t="shared" si="256"/>
        <v>4.92274922106425</v>
      </c>
      <c r="V39" s="436"/>
      <c r="W39" s="436"/>
      <c r="AN39" s="533"/>
      <c r="AS39" s="572"/>
      <c r="BO39" s="600"/>
      <c r="CJ39" s="600"/>
      <c r="DZ39" s="600"/>
      <c r="EU39" s="603"/>
      <c r="FP39" s="603"/>
      <c r="FS39" s="441">
        <f>SUMPRODUCT(FS$5:FS$27,后果有效剂量!$I$5:$I$27)*后果有效剂量!$Q13+SUMPRODUCT(FT$5:FT$27,后果有效剂量!$I$5:$I$27)*后果有效剂量!$R13+SUMPRODUCT(FU$5:FU$27,后果有效剂量!$I$5:$I$27)*后果有效剂量!$S13+SUMPRODUCT(FV$5:FV$27,后果有效剂量!$I$5:$I$27)*后果有效剂量!$T13+SUMPRODUCT(FS$5:FS$27,后果有效剂量!$J$5:$J$27)*后果有效剂量!$Q13*后果有效剂量!$Q$3+SUMPRODUCT(FT$5:FT$27,后果有效剂量!$J$5:$J$27)*后果有效剂量!$R13*后果有效剂量!$R$3+SUMPRODUCT(FU$5:FU$27,后果有效剂量!$J$5:$J$27)*后果有效剂量!$S13*后果有效剂量!$S$3+SUMPRODUCT(FV$5:FV$27,后果有效剂量!$J$5:$J$27)*后果有效剂量!$T13*后果有效剂量!$T$3+SUMPRODUCT(FS$5:FS$27,后果有效剂量!$K$5:$K$27)*后果有效剂量!$Q13+SUMPRODUCT(FT$5:FT$27,后果有效剂量!$K$5:$K$27)*后果有效剂量!$R13+SUMPRODUCT(FU$5:FU$27,后果有效剂量!$K$5:$K$27)*后果有效剂量!$S13+SUMPRODUCT(FV$5:FV$27,后果有效剂量!$K$5:$K$27)*后果有效剂量!$T13</f>
        <v>0.000180207217422311</v>
      </c>
      <c r="FT39" s="453">
        <f>SUMPRODUCT(FS$5:FS$27,后果甲状腺剂量!$I$5:$I$27)*后果甲状腺剂量!$Q13+SUMPRODUCT(FT$5:FT$27,后果甲状腺剂量!$I$5:$I$27)*后果甲状腺剂量!$R13+SUMPRODUCT(FU$5:FU$27,后果甲状腺剂量!$I$5:$I$27)*后果甲状腺剂量!$S13+SUMPRODUCT(FV$5:FV$27,后果甲状腺剂量!$I$5:$I$27)*后果甲状腺剂量!$T13+SUMPRODUCT(FS$5:FS$27,后果甲状腺剂量!$J$5:$J$27)*后果甲状腺剂量!$Q13*后果甲状腺剂量!$Q$3+SUMPRODUCT(FT$5:FT$27,后果甲状腺剂量!$J$5:$J$27)*后果甲状腺剂量!$R13*后果甲状腺剂量!$R$3+SUMPRODUCT(FU$5:FU$27,后果甲状腺剂量!$J$5:$J$27)*后果甲状腺剂量!$S13*后果甲状腺剂量!$S$3+SUMPRODUCT(FV$5:FV$27,后果甲状腺剂量!$J$5:$J$27)*后果甲状腺剂量!$T13*后果甲状腺剂量!$T$3+SUMPRODUCT(FS$5:FS$27,后果甲状腺剂量!$K$5:$K$27)*后果甲状腺剂量!$Q13+SUMPRODUCT(FT$5:FT$27,后果甲状腺剂量!$K$5:$K$27)*后果甲状腺剂量!$R13+SUMPRODUCT(FU$5:FU$27,后果甲状腺剂量!$K$5:$K$27)*后果甲状腺剂量!$S13+SUMPRODUCT(FV$5:FV$27,后果甲状腺剂量!$K$5:$K$27)*后果甲状腺剂量!$T13</f>
        <v>0.00133466805666965</v>
      </c>
      <c r="FU39" s="454">
        <f t="shared" si="257"/>
        <v>0.180207217422311</v>
      </c>
      <c r="FV39" s="454">
        <f t="shared" si="258"/>
        <v>1.33466805666965</v>
      </c>
      <c r="FW39" s="436"/>
      <c r="FX39" s="436"/>
      <c r="GD39" s="440" t="str">
        <f>后果有效剂量!$P13</f>
        <v>7500m</v>
      </c>
      <c r="GE39" s="441">
        <f>SUMPRODUCT(GE$5:GE$27,后果有效剂量!$I$5:$I$27)*后果有效剂量!$Q13+SUMPRODUCT(GF$5:GF$27,后果有效剂量!$I$5:$I$27)*后果有效剂量!$R13+SUMPRODUCT(GG$5:GG$27,后果有效剂量!$I$5:$I$27)*后果有效剂量!$S13+(SUMPRODUCT(GH$5:GH$27,后果有效剂量!$I$5:$I$27)+SUMPRODUCT(GI$5:GI$27,后果有效剂量!$I$5:$I$27))*后果有效剂量!$T13+SUMPRODUCT(GJ$5:GJ$27,后果有效剂量!$I$5:$I$27)*后果有效剂量!$U13+SUMPRODUCT(GE$5:GE$27,后果有效剂量!$J$5:$J$27)*后果有效剂量!$Q13*后果有效剂量!$Q$3+SUMPRODUCT(GF$5:GF$27,后果有效剂量!$J$5:$J$27)*后果有效剂量!$R13*后果有效剂量!$R$3+SUMPRODUCT(GG$5:GG$27,后果有效剂量!$J$5:$J$27)*后果有效剂量!$S13*后果有效剂量!$S$3+(SUMPRODUCT(GH$5:GH$27,后果有效剂量!$J$5:$J$27)+SUMPRODUCT(GI$5:GI$27,后果有效剂量!$J$5:$J$27))*后果有效剂量!$T13*后果有效剂量!$T$3+SUMPRODUCT(GJ$5:GJ$27,后果有效剂量!$J$5:$J$27)*后果有效剂量!$U13*后果有效剂量!$U$3+SUMPRODUCT(GE$5:GE$27,后果有效剂量!$K$5:$K$27)*后果有效剂量!$Q13+SUMPRODUCT(GF$5:GF$27,后果有效剂量!$K$5:$K$27)*后果有效剂量!$R13+SUMPRODUCT(GG$5:GG$27,后果有效剂量!$K$5:$K$27)*后果有效剂量!$S13+(SUMPRODUCT(GH$5:GH$27,后果有效剂量!$K$5:$K$27)+SUMPRODUCT(GI$5:GI$27,后果有效剂量!$K$5:$K$27))*后果有效剂量!$T13+SUMPRODUCT(GJ$5:GJ$27,后果有效剂量!$K$5:$K$27)*后果有效剂量!$U13</f>
        <v>4.04510808112764e-5</v>
      </c>
      <c r="GF39" s="453">
        <f>SUMPRODUCT(GE$5:GE$27,后果甲状腺剂量!$I$5:$I$27)*后果甲状腺剂量!$Q13+SUMPRODUCT(GF$5:GF$27,后果甲状腺剂量!$I$5:$I$27)*后果甲状腺剂量!$R13+SUMPRODUCT(GG$5:GG$27,后果甲状腺剂量!$I$5:$I$27)*后果甲状腺剂量!$S13+(SUMPRODUCT(GH$5:GH$27,后果甲状腺剂量!$I$5:$I$27)+SUMPRODUCT(GI$5:GI$27,后果甲状腺剂量!$I$5:$I$27))*后果甲状腺剂量!$T13+SUMPRODUCT(GJ$5:GJ$27,后果甲状腺剂量!$I$5:$I$27)*后果甲状腺剂量!$U13+SUMPRODUCT(GE$5:GE$27,后果甲状腺剂量!$J$5:$J$27)*后果甲状腺剂量!$Q13*后果甲状腺剂量!$Q$3+SUMPRODUCT(GF$5:GF$27,后果甲状腺剂量!$J$5:$J$27)*后果甲状腺剂量!$R13*后果甲状腺剂量!$R$3+SUMPRODUCT(GG$5:GG$27,后果甲状腺剂量!$J$5:$J$27)*后果甲状腺剂量!$S13*后果甲状腺剂量!$S$3+(SUMPRODUCT(GH$5:GH$27,后果甲状腺剂量!$J$5:$J$27)+SUMPRODUCT(GI$5:GI$27,后果甲状腺剂量!$J$5:$J$27))*后果甲状腺剂量!$T13*后果甲状腺剂量!$T$3+SUMPRODUCT(GJ$5:GJ$27,后果甲状腺剂量!$J$5:$J$27)*后果甲状腺剂量!$U13*后果甲状腺剂量!$U$3+SUMPRODUCT(GE$5:GE$27,后果甲状腺剂量!$K$5:$K$27)*后果甲状腺剂量!$Q13+SUMPRODUCT(GF$5:GF$27,后果甲状腺剂量!$K$5:$K$27)*后果甲状腺剂量!$R13+SUMPRODUCT(GG$5:GG$27,后果甲状腺剂量!$K$5:$K$27)*后果甲状腺剂量!$S13+(SUMPRODUCT(GH$5:GH$27,后果甲状腺剂量!$K$5:$K$27)+SUMPRODUCT(GI$5:GI$27,后果甲状腺剂量!$K$5:$K$27))*后果甲状腺剂量!$T13+SUMPRODUCT(GJ$5:GJ$27,后果甲状腺剂量!$K$5:$K$27)*后果甲状腺剂量!$U13</f>
        <v>0.000226352267715351</v>
      </c>
      <c r="GG39" s="454">
        <f t="shared" si="259"/>
        <v>0.0404510808112764</v>
      </c>
      <c r="GH39" s="454">
        <f t="shared" si="260"/>
        <v>0.226352267715351</v>
      </c>
      <c r="GI39" s="436"/>
      <c r="GJ39" s="436"/>
    </row>
    <row r="40" spans="7:192">
      <c r="G40" s="440" t="str">
        <f>后果有效剂量!$P14</f>
        <v>15000m</v>
      </c>
      <c r="H40" s="441">
        <f ca="1">SUMPRODUCT(H$5:H$27,后果有效剂量!$I$5:$I$27)*后果有效剂量!$Q14+SUMPRODUCT(I$5:I$27,后果有效剂量!$I$5:$I$27)*后果有效剂量!$Q14+SUMPRODUCT(J$5:J$27,后果有效剂量!$I$5:$I$27)*后果有效剂量!$R14+SUMPRODUCT(K$5:K$27,后果有效剂量!$I$5:$I$27)*后果有效剂量!$S14+SUMPRODUCT(L$5:L$27,后果有效剂量!$I$5:$I$27)*后果有效剂量!$T14+SUMPRODUCT(M$5:M$27,后果有效剂量!$I$5:$I$27)*后果有效剂量!$U14+SUMPRODUCT(H$5:H$27,后果有效剂量!$J$5:$J$27)*后果有效剂量!$Q14*后果有效剂量!$Q$3+SUMPRODUCT(I$5:I$27,后果有效剂量!$J$5:$J$27)*后果有效剂量!$Q14*后果有效剂量!$Q$3+SUMPRODUCT(J$5:J$27,后果有效剂量!$J$5:$J$27)*后果有效剂量!$R14*后果有效剂量!$R$3+SUMPRODUCT(K$5:K$27,后果有效剂量!$J$5:$J$27)*后果有效剂量!$S14*后果有效剂量!$S$3+SUMPRODUCT(L$5:L$27,后果有效剂量!$J$5:$J$27)*后果有效剂量!$T14*后果有效剂量!$T$3+SUMPRODUCT(M$5:M$27,后果有效剂量!$J$5:$J$27)*后果有效剂量!$U14*后果有效剂量!$U$3+SUMPRODUCT(H$5:H$27,后果有效剂量!$K$5:$K$27)*后果有效剂量!$Q14+SUMPRODUCT(I$5:I$27,后果有效剂量!$K$5:$K$27)*后果有效剂量!$Q14+SUMPRODUCT(J$5:J$27,后果有效剂量!$K$5:$K$27)*后果有效剂量!$R14+SUMPRODUCT(K$5:K$27,后果有效剂量!$K$5:$K$27)*后果有效剂量!$S14+SUMPRODUCT(L$5:L$27,后果有效剂量!$K$5:$K$27)*后果有效剂量!$T14+SUMPRODUCT(M$5:M$27,后果有效剂量!$K$5:$K$27)*后果有效剂量!$U14</f>
        <v>0.00153868920359625</v>
      </c>
      <c r="I40" s="453">
        <f ca="1">SUMPRODUCT(H$5:H$27,后果甲状腺剂量!$I$5:$I$27)*后果甲状腺剂量!$Q14+SUMPRODUCT(I$5:I$27,后果甲状腺剂量!$I$5:$I$27)*后果甲状腺剂量!$Q14+SUMPRODUCT(J$5:J$27,后果甲状腺剂量!$I$5:$I$27)*后果甲状腺剂量!$R14+SUMPRODUCT(K$5:K$27,后果甲状腺剂量!$I$5:$I$27)*后果甲状腺剂量!$S14+SUMPRODUCT(L$5:L$27,后果甲状腺剂量!$I$5:$I$27)*后果甲状腺剂量!$T14+SUMPRODUCT(M$5:M$27,后果甲状腺剂量!$I$5:$I$27)*后果甲状腺剂量!$U14+SUMPRODUCT(H$5:H$27,后果甲状腺剂量!$J$5:$J$27)*后果甲状腺剂量!$Q14*后果甲状腺剂量!$Q$3+SUMPRODUCT(I$5:I$27,后果甲状腺剂量!$J$5:$J$27)*后果甲状腺剂量!$Q14*后果甲状腺剂量!$Q$3+SUMPRODUCT(J$5:J$27,后果甲状腺剂量!$J$5:$J$27)*后果甲状腺剂量!$R14*后果甲状腺剂量!$R$3+SUMPRODUCT(K$5:K$27,后果甲状腺剂量!$J$5:$J$27)*后果甲状腺剂量!$S14*后果甲状腺剂量!$S$3+SUMPRODUCT(L$5:L$27,后果甲状腺剂量!$J$5:$J$27)*后果甲状腺剂量!$T14*后果甲状腺剂量!$T$3+SUMPRODUCT(M$5:M$27,后果甲状腺剂量!$J$5:$J$27)*后果甲状腺剂量!$U14*后果甲状腺剂量!$U$3+SUMPRODUCT(H$5:H$27,后果甲状腺剂量!$K$5:$K$27)*后果甲状腺剂量!$Q14+SUMPRODUCT(I$5:I$27,后果甲状腺剂量!$K$5:$K$27)*后果甲状腺剂量!$Q14+SUMPRODUCT(J$5:J$27,后果甲状腺剂量!$K$5:$K$27)*后果甲状腺剂量!$R14+SUMPRODUCT(K$5:K$27,后果甲状腺剂量!$K$5:$K$27)*后果甲状腺剂量!$S14+SUMPRODUCT(L$5:L$27,后果甲状腺剂量!$K$5:$K$27)*后果甲状腺剂量!$T14+SUMPRODUCT(M$5:M$27,后果甲状腺剂量!$K$5:$K$27)*后果甲状腺剂量!$U14</f>
        <v>0.00223332392776719</v>
      </c>
      <c r="J40" s="454">
        <f ca="1" t="shared" si="253"/>
        <v>1.53868920359625</v>
      </c>
      <c r="K40" s="454">
        <f ca="1" t="shared" si="254"/>
        <v>2.23332392776719</v>
      </c>
      <c r="L40" s="436"/>
      <c r="M40" s="436"/>
      <c r="N40" s="455"/>
      <c r="Q40" s="440" t="str">
        <f>后果有效剂量!$P14</f>
        <v>15000m</v>
      </c>
      <c r="R40" s="441">
        <f ca="1">SUMPRODUCT(R$5:R$27,后果有效剂量!$I$5:$I$27)*后果有效剂量!$Q14+SUMPRODUCT(S$5:S$27,后果有效剂量!$I$5:$I$27)*后果有效剂量!$Q14+SUMPRODUCT(T$5:T$27,后果有效剂量!$I$5:$I$27)*后果有效剂量!$R14+SUMPRODUCT(U$5:U$27,后果有效剂量!$I$5:$I$27)*后果有效剂量!$S14+SUMPRODUCT(V$5:V$27,后果有效剂量!$I$5:$I$27)*后果有效剂量!$T14+SUMPRODUCT(W$5:W$27,后果有效剂量!$I$5:$I$27)*后果有效剂量!$U14+SUMPRODUCT(R$5:R$27,后果有效剂量!$J$5:$J$27)*后果有效剂量!$Q14*后果有效剂量!$Q$3+SUMPRODUCT(S$5:S$27,后果有效剂量!$J$5:$J$27)*后果有效剂量!$Q14*后果有效剂量!$Q$3+SUMPRODUCT(T$5:T$27,后果有效剂量!$J$5:$J$27)*后果有效剂量!$R14*后果有效剂量!$R$3+SUMPRODUCT(U$5:U$27,后果有效剂量!$J$5:$J$27)*后果有效剂量!$S14*后果有效剂量!$S$3+SUMPRODUCT(V$5:V$27,后果有效剂量!$J$5:$J$27)*后果有效剂量!$T14*后果有效剂量!$T$3+SUMPRODUCT(W$5:W$27,后果有效剂量!$J$5:$J$27)*后果有效剂量!$U14*后果有效剂量!$U$3+SUMPRODUCT(R$5:R$27,后果有效剂量!$K$5:$K$27)*后果有效剂量!$Q14+SUMPRODUCT(S$5:S$27,后果有效剂量!$K$5:$K$27)*后果有效剂量!$Q14+SUMPRODUCT(T$5:T$27,后果有效剂量!$K$5:$K$27)*后果有效剂量!$R14+SUMPRODUCT(U$5:U$27,后果有效剂量!$K$5:$K$27)*后果有效剂量!$S14+SUMPRODUCT(V$5:V$27,后果有效剂量!$K$5:$K$27)*后果有效剂量!$T14+SUMPRODUCT(W$5:W$27,后果有效剂量!$K$5:$K$27)*后果有效剂量!$U14</f>
        <v>0.00153868920359624</v>
      </c>
      <c r="S40" s="453">
        <f ca="1">SUMPRODUCT(R$5:R$27,后果甲状腺剂量!$I$5:$I$27)*后果甲状腺剂量!$Q14+SUMPRODUCT(S$5:S$27,后果甲状腺剂量!$I$5:$I$27)*后果甲状腺剂量!$Q14+SUMPRODUCT(T$5:T$27,后果甲状腺剂量!$I$5:$I$27)*后果甲状腺剂量!$R14+SUMPRODUCT(U$5:U$27,后果甲状腺剂量!$I$5:$I$27)*后果甲状腺剂量!$S14+SUMPRODUCT(V$5:V$27,后果甲状腺剂量!$I$5:$I$27)*后果甲状腺剂量!$T14+SUMPRODUCT(W$5:W$27,后果甲状腺剂量!$I$5:$I$27)*后果甲状腺剂量!$U14+SUMPRODUCT(R$5:R$27,后果甲状腺剂量!$J$5:$J$27)*后果甲状腺剂量!$Q14*后果甲状腺剂量!$Q$3+SUMPRODUCT(S$5:S$27,后果甲状腺剂量!$J$5:$J$27)*后果甲状腺剂量!$Q14*后果甲状腺剂量!$Q$3+SUMPRODUCT(T$5:T$27,后果甲状腺剂量!$J$5:$J$27)*后果甲状腺剂量!$R14*后果甲状腺剂量!$R$3+SUMPRODUCT(U$5:U$27,后果甲状腺剂量!$J$5:$J$27)*后果甲状腺剂量!$S14*后果甲状腺剂量!$S$3+SUMPRODUCT(V$5:V$27,后果甲状腺剂量!$J$5:$J$27)*后果甲状腺剂量!$T14*后果甲状腺剂量!$T$3+SUMPRODUCT(W$5:W$27,后果甲状腺剂量!$J$5:$J$27)*后果甲状腺剂量!$U14*后果甲状腺剂量!$U$3+SUMPRODUCT(R$5:R$27,后果甲状腺剂量!$K$5:$K$27)*后果甲状腺剂量!$Q14+SUMPRODUCT(S$5:S$27,后果甲状腺剂量!$K$5:$K$27)*后果甲状腺剂量!$Q14+SUMPRODUCT(T$5:T$27,后果甲状腺剂量!$K$5:$K$27)*后果甲状腺剂量!$R14+SUMPRODUCT(U$5:U$27,后果甲状腺剂量!$K$5:$K$27)*后果甲状腺剂量!$S14+SUMPRODUCT(V$5:V$27,后果甲状腺剂量!$K$5:$K$27)*后果甲状腺剂量!$T14+SUMPRODUCT(W$5:W$27,后果甲状腺剂量!$K$5:$K$27)*后果甲状腺剂量!$U14</f>
        <v>0.00223332392776717</v>
      </c>
      <c r="T40" s="454">
        <f ca="1" t="shared" si="255"/>
        <v>1.53868920359624</v>
      </c>
      <c r="U40" s="454">
        <f ca="1" t="shared" si="256"/>
        <v>2.23332392776717</v>
      </c>
      <c r="V40" s="436"/>
      <c r="W40" s="436"/>
      <c r="AN40" s="533"/>
      <c r="AS40" s="572"/>
      <c r="BO40" s="600"/>
      <c r="CJ40" s="600"/>
      <c r="DZ40" s="600"/>
      <c r="EU40" s="603"/>
      <c r="FP40" s="603"/>
      <c r="FS40" s="441">
        <f>SUMPRODUCT(FS$5:FS$27,后果有效剂量!$I$5:$I$27)*后果有效剂量!$Q14+SUMPRODUCT(FT$5:FT$27,后果有效剂量!$I$5:$I$27)*后果有效剂量!$R14+SUMPRODUCT(FU$5:FU$27,后果有效剂量!$I$5:$I$27)*后果有效剂量!$S14+SUMPRODUCT(FV$5:FV$27,后果有效剂量!$I$5:$I$27)*后果有效剂量!$T14+SUMPRODUCT(FS$5:FS$27,后果有效剂量!$J$5:$J$27)*后果有效剂量!$Q14*后果有效剂量!$Q$3+SUMPRODUCT(FT$5:FT$27,后果有效剂量!$J$5:$J$27)*后果有效剂量!$R14*后果有效剂量!$R$3+SUMPRODUCT(FU$5:FU$27,后果有效剂量!$J$5:$J$27)*后果有效剂量!$S14*后果有效剂量!$S$3+SUMPRODUCT(FV$5:FV$27,后果有效剂量!$J$5:$J$27)*后果有效剂量!$T14*后果有效剂量!$T$3+SUMPRODUCT(FS$5:FS$27,后果有效剂量!$K$5:$K$27)*后果有效剂量!$Q14+SUMPRODUCT(FT$5:FT$27,后果有效剂量!$K$5:$K$27)*后果有效剂量!$R14+SUMPRODUCT(FU$5:FU$27,后果有效剂量!$K$5:$K$27)*后果有效剂量!$S14+SUMPRODUCT(FV$5:FV$27,后果有效剂量!$K$5:$K$27)*后果有效剂量!$T14</f>
        <v>7.68902005784037e-5</v>
      </c>
      <c r="FT40" s="453">
        <f>SUMPRODUCT(FS$5:FS$27,后果甲状腺剂量!$I$5:$I$27)*后果甲状腺剂量!$Q14+SUMPRODUCT(FT$5:FT$27,后果甲状腺剂量!$I$5:$I$27)*后果甲状腺剂量!$R14+SUMPRODUCT(FU$5:FU$27,后果甲状腺剂量!$I$5:$I$27)*后果甲状腺剂量!$S14+SUMPRODUCT(FV$5:FV$27,后果甲状腺剂量!$I$5:$I$27)*后果甲状腺剂量!$T14+SUMPRODUCT(FS$5:FS$27,后果甲状腺剂量!$J$5:$J$27)*后果甲状腺剂量!$Q14*后果甲状腺剂量!$Q$3+SUMPRODUCT(FT$5:FT$27,后果甲状腺剂量!$J$5:$J$27)*后果甲状腺剂量!$R14*后果甲状腺剂量!$R$3+SUMPRODUCT(FU$5:FU$27,后果甲状腺剂量!$J$5:$J$27)*后果甲状腺剂量!$S14*后果甲状腺剂量!$S$3+SUMPRODUCT(FV$5:FV$27,后果甲状腺剂量!$J$5:$J$27)*后果甲状腺剂量!$T14*后果甲状腺剂量!$T$3+SUMPRODUCT(FS$5:FS$27,后果甲状腺剂量!$K$5:$K$27)*后果甲状腺剂量!$Q14+SUMPRODUCT(FT$5:FT$27,后果甲状腺剂量!$K$5:$K$27)*后果甲状腺剂量!$R14+SUMPRODUCT(FU$5:FU$27,后果甲状腺剂量!$K$5:$K$27)*后果甲状腺剂量!$S14+SUMPRODUCT(FV$5:FV$27,后果甲状腺剂量!$K$5:$K$27)*后果甲状腺剂量!$T14</f>
        <v>0.000561226102071427</v>
      </c>
      <c r="FU40" s="454">
        <f t="shared" si="257"/>
        <v>0.0768902005784037</v>
      </c>
      <c r="FV40" s="454">
        <f t="shared" si="258"/>
        <v>0.561226102071427</v>
      </c>
      <c r="FW40" s="436"/>
      <c r="FX40" s="436"/>
      <c r="GD40" s="440" t="str">
        <f>后果有效剂量!$P14</f>
        <v>15000m</v>
      </c>
      <c r="GE40" s="441">
        <f>SUMPRODUCT(GE$5:GE$27,后果有效剂量!$I$5:$I$27)*后果有效剂量!$Q14+SUMPRODUCT(GF$5:GF$27,后果有效剂量!$I$5:$I$27)*后果有效剂量!$R14+SUMPRODUCT(GG$5:GG$27,后果有效剂量!$I$5:$I$27)*后果有效剂量!$S14+(SUMPRODUCT(GH$5:GH$27,后果有效剂量!$I$5:$I$27)+SUMPRODUCT(GI$5:GI$27,后果有效剂量!$I$5:$I$27))*后果有效剂量!$T14+SUMPRODUCT(GJ$5:GJ$27,后果有效剂量!$I$5:$I$27)*后果有效剂量!$U14+SUMPRODUCT(GE$5:GE$27,后果有效剂量!$J$5:$J$27)*后果有效剂量!$Q14*后果有效剂量!$Q$3+SUMPRODUCT(GF$5:GF$27,后果有效剂量!$J$5:$J$27)*后果有效剂量!$R14*后果有效剂量!$R$3+SUMPRODUCT(GG$5:GG$27,后果有效剂量!$J$5:$J$27)*后果有效剂量!$S14*后果有效剂量!$S$3+(SUMPRODUCT(GH$5:GH$27,后果有效剂量!$J$5:$J$27)+SUMPRODUCT(GI$5:GI$27,后果有效剂量!$J$5:$J$27))*后果有效剂量!$T14*后果有效剂量!$T$3+SUMPRODUCT(GJ$5:GJ$27,后果有效剂量!$J$5:$J$27)*后果有效剂量!$U14*后果有效剂量!$U$3+SUMPRODUCT(GE$5:GE$27,后果有效剂量!$K$5:$K$27)*后果有效剂量!$Q14+SUMPRODUCT(GF$5:GF$27,后果有效剂量!$K$5:$K$27)*后果有效剂量!$R14+SUMPRODUCT(GG$5:GG$27,后果有效剂量!$K$5:$K$27)*后果有效剂量!$S14+(SUMPRODUCT(GH$5:GH$27,后果有效剂量!$K$5:$K$27)+SUMPRODUCT(GI$5:GI$27,后果有效剂量!$K$5:$K$27))*后果有效剂量!$T14+SUMPRODUCT(GJ$5:GJ$27,后果有效剂量!$K$5:$K$27)*后果有效剂量!$U14</f>
        <v>1.63999712876133e-5</v>
      </c>
      <c r="GF40" s="453">
        <f>SUMPRODUCT(GE$5:GE$27,后果甲状腺剂量!$I$5:$I$27)*后果甲状腺剂量!$Q14+SUMPRODUCT(GF$5:GF$27,后果甲状腺剂量!$I$5:$I$27)*后果甲状腺剂量!$R14+SUMPRODUCT(GG$5:GG$27,后果甲状腺剂量!$I$5:$I$27)*后果甲状腺剂量!$S14+(SUMPRODUCT(GH$5:GH$27,后果甲状腺剂量!$I$5:$I$27)+SUMPRODUCT(GI$5:GI$27,后果甲状腺剂量!$I$5:$I$27))*后果甲状腺剂量!$T14+SUMPRODUCT(GJ$5:GJ$27,后果甲状腺剂量!$I$5:$I$27)*后果甲状腺剂量!$U14+SUMPRODUCT(GE$5:GE$27,后果甲状腺剂量!$J$5:$J$27)*后果甲状腺剂量!$Q14*后果甲状腺剂量!$Q$3+SUMPRODUCT(GF$5:GF$27,后果甲状腺剂量!$J$5:$J$27)*后果甲状腺剂量!$R14*后果甲状腺剂量!$R$3+SUMPRODUCT(GG$5:GG$27,后果甲状腺剂量!$J$5:$J$27)*后果甲状腺剂量!$S14*后果甲状腺剂量!$S$3+(SUMPRODUCT(GH$5:GH$27,后果甲状腺剂量!$J$5:$J$27)+SUMPRODUCT(GI$5:GI$27,后果甲状腺剂量!$J$5:$J$27))*后果甲状腺剂量!$T14*后果甲状腺剂量!$T$3+SUMPRODUCT(GJ$5:GJ$27,后果甲状腺剂量!$J$5:$J$27)*后果甲状腺剂量!$U14*后果甲状腺剂量!$U$3+SUMPRODUCT(GE$5:GE$27,后果甲状腺剂量!$K$5:$K$27)*后果甲状腺剂量!$Q14+SUMPRODUCT(GF$5:GF$27,后果甲状腺剂量!$K$5:$K$27)*后果甲状腺剂量!$R14+SUMPRODUCT(GG$5:GG$27,后果甲状腺剂量!$K$5:$K$27)*后果甲状腺剂量!$S14+(SUMPRODUCT(GH$5:GH$27,后果甲状腺剂量!$K$5:$K$27)+SUMPRODUCT(GI$5:GI$27,后果甲状腺剂量!$K$5:$K$27))*后果甲状腺剂量!$T14+SUMPRODUCT(GJ$5:GJ$27,后果甲状腺剂量!$K$5:$K$27)*后果甲状腺剂量!$U14</f>
        <v>8.63559479091504e-5</v>
      </c>
      <c r="GG40" s="454">
        <f t="shared" si="259"/>
        <v>0.0163999712876133</v>
      </c>
      <c r="GH40" s="454">
        <f t="shared" si="260"/>
        <v>0.0863559479091504</v>
      </c>
      <c r="GI40" s="436"/>
      <c r="GJ40" s="436"/>
    </row>
    <row r="41" spans="7:192">
      <c r="G41" s="440" t="str">
        <f>后果有效剂量!$P15</f>
        <v>25000m</v>
      </c>
      <c r="H41" s="441">
        <f ca="1">SUMPRODUCT(H$5:H$27,后果有效剂量!$I$5:$I$27)*后果有效剂量!$Q15+SUMPRODUCT(I$5:I$27,后果有效剂量!$I$5:$I$27)*后果有效剂量!$Q15+SUMPRODUCT(J$5:J$27,后果有效剂量!$I$5:$I$27)*后果有效剂量!$R15+SUMPRODUCT(K$5:K$27,后果有效剂量!$I$5:$I$27)*后果有效剂量!$S15+SUMPRODUCT(L$5:L$27,后果有效剂量!$I$5:$I$27)*后果有效剂量!$T15+SUMPRODUCT(M$5:M$27,后果有效剂量!$I$5:$I$27)*后果有效剂量!$U15+SUMPRODUCT(H$5:H$27,后果有效剂量!$J$5:$J$27)*后果有效剂量!$Q15*后果有效剂量!$Q$3+SUMPRODUCT(I$5:I$27,后果有效剂量!$J$5:$J$27)*后果有效剂量!$Q15*后果有效剂量!$Q$3+SUMPRODUCT(J$5:J$27,后果有效剂量!$J$5:$J$27)*后果有效剂量!$R15*后果有效剂量!$R$3+SUMPRODUCT(K$5:K$27,后果有效剂量!$J$5:$J$27)*后果有效剂量!$S15*后果有效剂量!$S$3+SUMPRODUCT(L$5:L$27,后果有效剂量!$J$5:$J$27)*后果有效剂量!$T15*后果有效剂量!$T$3+SUMPRODUCT(M$5:M$27,后果有效剂量!$J$5:$J$27)*后果有效剂量!$U15*后果有效剂量!$U$3+SUMPRODUCT(H$5:H$27,后果有效剂量!$K$5:$K$27)*后果有效剂量!$Q15+SUMPRODUCT(I$5:I$27,后果有效剂量!$K$5:$K$27)*后果有效剂量!$Q15+SUMPRODUCT(J$5:J$27,后果有效剂量!$K$5:$K$27)*后果有效剂量!$R15+SUMPRODUCT(K$5:K$27,后果有效剂量!$K$5:$K$27)*后果有效剂量!$S15+SUMPRODUCT(L$5:L$27,后果有效剂量!$K$5:$K$27)*后果有效剂量!$T15+SUMPRODUCT(M$5:M$27,后果有效剂量!$K$5:$K$27)*后果有效剂量!$U15</f>
        <v>7.14081820542204e-5</v>
      </c>
      <c r="I41" s="453">
        <f ca="1">SUMPRODUCT(H$5:H$27,后果甲状腺剂量!$I$5:$I$27)*后果甲状腺剂量!$Q15+SUMPRODUCT(I$5:I$27,后果甲状腺剂量!$I$5:$I$27)*后果甲状腺剂量!$Q15+SUMPRODUCT(J$5:J$27,后果甲状腺剂量!$I$5:$I$27)*后果甲状腺剂量!$R15+SUMPRODUCT(K$5:K$27,后果甲状腺剂量!$I$5:$I$27)*后果甲状腺剂量!$S15+SUMPRODUCT(L$5:L$27,后果甲状腺剂量!$I$5:$I$27)*后果甲状腺剂量!$T15+SUMPRODUCT(M$5:M$27,后果甲状腺剂量!$I$5:$I$27)*后果甲状腺剂量!$U15+SUMPRODUCT(H$5:H$27,后果甲状腺剂量!$J$5:$J$27)*后果甲状腺剂量!$Q15*后果甲状腺剂量!$Q$3+SUMPRODUCT(I$5:I$27,后果甲状腺剂量!$J$5:$J$27)*后果甲状腺剂量!$Q15*后果甲状腺剂量!$Q$3+SUMPRODUCT(J$5:J$27,后果甲状腺剂量!$J$5:$J$27)*后果甲状腺剂量!$R15*后果甲状腺剂量!$R$3+SUMPRODUCT(K$5:K$27,后果甲状腺剂量!$J$5:$J$27)*后果甲状腺剂量!$S15*后果甲状腺剂量!$S$3+SUMPRODUCT(L$5:L$27,后果甲状腺剂量!$J$5:$J$27)*后果甲状腺剂量!$T15*后果甲状腺剂量!$T$3+SUMPRODUCT(M$5:M$27,后果甲状腺剂量!$J$5:$J$27)*后果甲状腺剂量!$U15*后果甲状腺剂量!$U$3+SUMPRODUCT(H$5:H$27,后果甲状腺剂量!$K$5:$K$27)*后果甲状腺剂量!$Q15+SUMPRODUCT(I$5:I$27,后果甲状腺剂量!$K$5:$K$27)*后果甲状腺剂量!$Q15+SUMPRODUCT(J$5:J$27,后果甲状腺剂量!$K$5:$K$27)*后果甲状腺剂量!$R15+SUMPRODUCT(K$5:K$27,后果甲状腺剂量!$K$5:$K$27)*后果甲状腺剂量!$S15+SUMPRODUCT(L$5:L$27,后果甲状腺剂量!$K$5:$K$27)*后果甲状腺剂量!$T15+SUMPRODUCT(M$5:M$27,后果甲状腺剂量!$K$5:$K$27)*后果甲状腺剂量!$U15</f>
        <v>0.000646405728388954</v>
      </c>
      <c r="J41" s="454">
        <f ca="1" t="shared" si="253"/>
        <v>0.0714081820542204</v>
      </c>
      <c r="K41" s="454">
        <f ca="1" t="shared" si="254"/>
        <v>0.646405728388954</v>
      </c>
      <c r="L41" s="436"/>
      <c r="M41" s="436"/>
      <c r="N41" s="455"/>
      <c r="Q41" s="440" t="str">
        <f>后果有效剂量!$P15</f>
        <v>25000m</v>
      </c>
      <c r="R41" s="441">
        <f ca="1">SUMPRODUCT(R$5:R$27,后果有效剂量!$I$5:$I$27)*后果有效剂量!$Q15+SUMPRODUCT(S$5:S$27,后果有效剂量!$I$5:$I$27)*后果有效剂量!$Q15+SUMPRODUCT(T$5:T$27,后果有效剂量!$I$5:$I$27)*后果有效剂量!$R15+SUMPRODUCT(U$5:U$27,后果有效剂量!$I$5:$I$27)*后果有效剂量!$S15+SUMPRODUCT(V$5:V$27,后果有效剂量!$I$5:$I$27)*后果有效剂量!$T15+SUMPRODUCT(W$5:W$27,后果有效剂量!$I$5:$I$27)*后果有效剂量!$U15+SUMPRODUCT(R$5:R$27,后果有效剂量!$J$5:$J$27)*后果有效剂量!$Q15*后果有效剂量!$Q$3+SUMPRODUCT(S$5:S$27,后果有效剂量!$J$5:$J$27)*后果有效剂量!$Q15*后果有效剂量!$Q$3+SUMPRODUCT(T$5:T$27,后果有效剂量!$J$5:$J$27)*后果有效剂量!$R15*后果有效剂量!$R$3+SUMPRODUCT(U$5:U$27,后果有效剂量!$J$5:$J$27)*后果有效剂量!$S15*后果有效剂量!$S$3+SUMPRODUCT(V$5:V$27,后果有效剂量!$J$5:$J$27)*后果有效剂量!$T15*后果有效剂量!$T$3+SUMPRODUCT(W$5:W$27,后果有效剂量!$J$5:$J$27)*后果有效剂量!$U15*后果有效剂量!$U$3+SUMPRODUCT(R$5:R$27,后果有效剂量!$K$5:$K$27)*后果有效剂量!$Q15+SUMPRODUCT(S$5:S$27,后果有效剂量!$K$5:$K$27)*后果有效剂量!$Q15+SUMPRODUCT(T$5:T$27,后果有效剂量!$K$5:$K$27)*后果有效剂量!$R15+SUMPRODUCT(U$5:U$27,后果有效剂量!$K$5:$K$27)*后果有效剂量!$S15+SUMPRODUCT(V$5:V$27,后果有效剂量!$K$5:$K$27)*后果有效剂量!$T15+SUMPRODUCT(W$5:W$27,后果有效剂量!$K$5:$K$27)*后果有效剂量!$U15</f>
        <v>7.14081820542198e-5</v>
      </c>
      <c r="S41" s="453">
        <f ca="1">SUMPRODUCT(R$5:R$27,后果甲状腺剂量!$I$5:$I$27)*后果甲状腺剂量!$Q15+SUMPRODUCT(S$5:S$27,后果甲状腺剂量!$I$5:$I$27)*后果甲状腺剂量!$Q15+SUMPRODUCT(T$5:T$27,后果甲状腺剂量!$I$5:$I$27)*后果甲状腺剂量!$R15+SUMPRODUCT(U$5:U$27,后果甲状腺剂量!$I$5:$I$27)*后果甲状腺剂量!$S15+SUMPRODUCT(V$5:V$27,后果甲状腺剂量!$I$5:$I$27)*后果甲状腺剂量!$T15+SUMPRODUCT(W$5:W$27,后果甲状腺剂量!$I$5:$I$27)*后果甲状腺剂量!$U15+SUMPRODUCT(R$5:R$27,后果甲状腺剂量!$J$5:$J$27)*后果甲状腺剂量!$Q15*后果甲状腺剂量!$Q$3+SUMPRODUCT(S$5:S$27,后果甲状腺剂量!$J$5:$J$27)*后果甲状腺剂量!$Q15*后果甲状腺剂量!$Q$3+SUMPRODUCT(T$5:T$27,后果甲状腺剂量!$J$5:$J$27)*后果甲状腺剂量!$R15*后果甲状腺剂量!$R$3+SUMPRODUCT(U$5:U$27,后果甲状腺剂量!$J$5:$J$27)*后果甲状腺剂量!$S15*后果甲状腺剂量!$S$3+SUMPRODUCT(V$5:V$27,后果甲状腺剂量!$J$5:$J$27)*后果甲状腺剂量!$T15*后果甲状腺剂量!$T$3+SUMPRODUCT(W$5:W$27,后果甲状腺剂量!$J$5:$J$27)*后果甲状腺剂量!$U15*后果甲状腺剂量!$U$3+SUMPRODUCT(R$5:R$27,后果甲状腺剂量!$K$5:$K$27)*后果甲状腺剂量!$Q15+SUMPRODUCT(S$5:S$27,后果甲状腺剂量!$K$5:$K$27)*后果甲状腺剂量!$Q15+SUMPRODUCT(T$5:T$27,后果甲状腺剂量!$K$5:$K$27)*后果甲状腺剂量!$R15+SUMPRODUCT(U$5:U$27,后果甲状腺剂量!$K$5:$K$27)*后果甲状腺剂量!$S15+SUMPRODUCT(V$5:V$27,后果甲状腺剂量!$K$5:$K$27)*后果甲状腺剂量!$T15+SUMPRODUCT(W$5:W$27,后果甲状腺剂量!$K$5:$K$27)*后果甲状腺剂量!$U15</f>
        <v>0.000646405728388948</v>
      </c>
      <c r="T41" s="454">
        <f ca="1" t="shared" si="255"/>
        <v>0.0714081820542198</v>
      </c>
      <c r="U41" s="454">
        <f ca="1" t="shared" si="256"/>
        <v>0.646405728388948</v>
      </c>
      <c r="V41" s="436"/>
      <c r="W41" s="436"/>
      <c r="AN41" s="533"/>
      <c r="AS41" s="572"/>
      <c r="BO41" s="600"/>
      <c r="CJ41" s="600"/>
      <c r="DZ41" s="600"/>
      <c r="EU41" s="603"/>
      <c r="FP41" s="603"/>
      <c r="FS41" s="441">
        <f>SUMPRODUCT(FS$5:FS$27,后果有效剂量!$I$5:$I$27)*后果有效剂量!$Q15+SUMPRODUCT(FT$5:FT$27,后果有效剂量!$I$5:$I$27)*后果有效剂量!$R15+SUMPRODUCT(FU$5:FU$27,后果有效剂量!$I$5:$I$27)*后果有效剂量!$S15+SUMPRODUCT(FV$5:FV$27,后果有效剂量!$I$5:$I$27)*后果有效剂量!$T15+SUMPRODUCT(FS$5:FS$27,后果有效剂量!$J$5:$J$27)*后果有效剂量!$Q15*后果有效剂量!$Q$3+SUMPRODUCT(FT$5:FT$27,后果有效剂量!$J$5:$J$27)*后果有效剂量!$R15*后果有效剂量!$R$3+SUMPRODUCT(FU$5:FU$27,后果有效剂量!$J$5:$J$27)*后果有效剂量!$S15*后果有效剂量!$S$3+SUMPRODUCT(FV$5:FV$27,后果有效剂量!$J$5:$J$27)*后果有效剂量!$T15*后果有效剂量!$T$3+SUMPRODUCT(FS$5:FS$27,后果有效剂量!$K$5:$K$27)*后果有效剂量!$Q15+SUMPRODUCT(FT$5:FT$27,后果有效剂量!$K$5:$K$27)*后果有效剂量!$R15+SUMPRODUCT(FU$5:FU$27,后果有效剂量!$K$5:$K$27)*后果有效剂量!$S15+SUMPRODUCT(FV$5:FV$27,后果有效剂量!$K$5:$K$27)*后果有效剂量!$T15</f>
        <v>3.76943273964564e-6</v>
      </c>
      <c r="FT41" s="453">
        <f>SUMPRODUCT(FS$5:FS$27,后果甲状腺剂量!$I$5:$I$27)*后果甲状腺剂量!$Q15+SUMPRODUCT(FT$5:FT$27,后果甲状腺剂量!$I$5:$I$27)*后果甲状腺剂量!$R15+SUMPRODUCT(FU$5:FU$27,后果甲状腺剂量!$I$5:$I$27)*后果甲状腺剂量!$S15+SUMPRODUCT(FV$5:FV$27,后果甲状腺剂量!$I$5:$I$27)*后果甲状腺剂量!$T15+SUMPRODUCT(FS$5:FS$27,后果甲状腺剂量!$J$5:$J$27)*后果甲状腺剂量!$Q15*后果甲状腺剂量!$Q$3+SUMPRODUCT(FT$5:FT$27,后果甲状腺剂量!$J$5:$J$27)*后果甲状腺剂量!$R15*后果甲状腺剂量!$R$3+SUMPRODUCT(FU$5:FU$27,后果甲状腺剂量!$J$5:$J$27)*后果甲状腺剂量!$S15*后果甲状腺剂量!$S$3+SUMPRODUCT(FV$5:FV$27,后果甲状腺剂量!$J$5:$J$27)*后果甲状腺剂量!$T15*后果甲状腺剂量!$T$3+SUMPRODUCT(FS$5:FS$27,后果甲状腺剂量!$K$5:$K$27)*后果甲状腺剂量!$Q15+SUMPRODUCT(FT$5:FT$27,后果甲状腺剂量!$K$5:$K$27)*后果甲状腺剂量!$R15+SUMPRODUCT(FU$5:FU$27,后果甲状腺剂量!$K$5:$K$27)*后果甲状腺剂量!$S15+SUMPRODUCT(FV$5:FV$27,后果甲状腺剂量!$K$5:$K$27)*后果甲状腺剂量!$T15</f>
        <v>0.000171617689718182</v>
      </c>
      <c r="FU41" s="454">
        <f t="shared" si="257"/>
        <v>0.00376943273964564</v>
      </c>
      <c r="FV41" s="454">
        <f t="shared" si="258"/>
        <v>0.171617689718182</v>
      </c>
      <c r="FW41" s="436"/>
      <c r="FX41" s="436"/>
      <c r="GD41" s="440" t="str">
        <f>后果有效剂量!$P15</f>
        <v>25000m</v>
      </c>
      <c r="GE41" s="441">
        <f>SUMPRODUCT(GE$5:GE$27,后果有效剂量!$I$5:$I$27)*后果有效剂量!$Q15+SUMPRODUCT(GF$5:GF$27,后果有效剂量!$I$5:$I$27)*后果有效剂量!$R15+SUMPRODUCT(GG$5:GG$27,后果有效剂量!$I$5:$I$27)*后果有效剂量!$S15+(SUMPRODUCT(GH$5:GH$27,后果有效剂量!$I$5:$I$27)+SUMPRODUCT(GI$5:GI$27,后果有效剂量!$I$5:$I$27))*后果有效剂量!$T15+SUMPRODUCT(GJ$5:GJ$27,后果有效剂量!$I$5:$I$27)*后果有效剂量!$U15+SUMPRODUCT(GE$5:GE$27,后果有效剂量!$J$5:$J$27)*后果有效剂量!$Q15*后果有效剂量!$Q$3+SUMPRODUCT(GF$5:GF$27,后果有效剂量!$J$5:$J$27)*后果有效剂量!$R15*后果有效剂量!$R$3+SUMPRODUCT(GG$5:GG$27,后果有效剂量!$J$5:$J$27)*后果有效剂量!$S15*后果有效剂量!$S$3+(SUMPRODUCT(GH$5:GH$27,后果有效剂量!$J$5:$J$27)+SUMPRODUCT(GI$5:GI$27,后果有效剂量!$J$5:$J$27))*后果有效剂量!$T15*后果有效剂量!$T$3+SUMPRODUCT(GJ$5:GJ$27,后果有效剂量!$J$5:$J$27)*后果有效剂量!$U15*后果有效剂量!$U$3+SUMPRODUCT(GE$5:GE$27,后果有效剂量!$K$5:$K$27)*后果有效剂量!$Q15+SUMPRODUCT(GF$5:GF$27,后果有效剂量!$K$5:$K$27)*后果有效剂量!$R15+SUMPRODUCT(GG$5:GG$27,后果有效剂量!$K$5:$K$27)*后果有效剂量!$S15+(SUMPRODUCT(GH$5:GH$27,后果有效剂量!$K$5:$K$27)+SUMPRODUCT(GI$5:GI$27,后果有效剂量!$K$5:$K$27))*后果有效剂量!$T15+SUMPRODUCT(GJ$5:GJ$27,后果有效剂量!$K$5:$K$27)*后果有效剂量!$U15</f>
        <v>8.72148870971164e-7</v>
      </c>
      <c r="GF41" s="453">
        <f>SUMPRODUCT(GE$5:GE$27,后果甲状腺剂量!$I$5:$I$27)*后果甲状腺剂量!$Q15+SUMPRODUCT(GF$5:GF$27,后果甲状腺剂量!$I$5:$I$27)*后果甲状腺剂量!$R15+SUMPRODUCT(GG$5:GG$27,后果甲状腺剂量!$I$5:$I$27)*后果甲状腺剂量!$S15+(SUMPRODUCT(GH$5:GH$27,后果甲状腺剂量!$I$5:$I$27)+SUMPRODUCT(GI$5:GI$27,后果甲状腺剂量!$I$5:$I$27))*后果甲状腺剂量!$T15+SUMPRODUCT(GJ$5:GJ$27,后果甲状腺剂量!$I$5:$I$27)*后果甲状腺剂量!$U15+SUMPRODUCT(GE$5:GE$27,后果甲状腺剂量!$J$5:$J$27)*后果甲状腺剂量!$Q15*后果甲状腺剂量!$Q$3+SUMPRODUCT(GF$5:GF$27,后果甲状腺剂量!$J$5:$J$27)*后果甲状腺剂量!$R15*后果甲状腺剂量!$R$3+SUMPRODUCT(GG$5:GG$27,后果甲状腺剂量!$J$5:$J$27)*后果甲状腺剂量!$S15*后果甲状腺剂量!$S$3+(SUMPRODUCT(GH$5:GH$27,后果甲状腺剂量!$J$5:$J$27)+SUMPRODUCT(GI$5:GI$27,后果甲状腺剂量!$J$5:$J$27))*后果甲状腺剂量!$T15*后果甲状腺剂量!$T$3+SUMPRODUCT(GJ$5:GJ$27,后果甲状腺剂量!$J$5:$J$27)*后果甲状腺剂量!$U15*后果甲状腺剂量!$U$3+SUMPRODUCT(GE$5:GE$27,后果甲状腺剂量!$K$5:$K$27)*后果甲状腺剂量!$Q15+SUMPRODUCT(GF$5:GF$27,后果甲状腺剂量!$K$5:$K$27)*后果甲状腺剂量!$R15+SUMPRODUCT(GG$5:GG$27,后果甲状腺剂量!$K$5:$K$27)*后果甲状腺剂量!$S15+(SUMPRODUCT(GH$5:GH$27,后果甲状腺剂量!$K$5:$K$27)+SUMPRODUCT(GI$5:GI$27,后果甲状腺剂量!$K$5:$K$27))*后果甲状腺剂量!$T15+SUMPRODUCT(GJ$5:GJ$27,后果甲状腺剂量!$K$5:$K$27)*后果甲状腺剂量!$U15</f>
        <v>2.83339292015822e-5</v>
      </c>
      <c r="GG41" s="454">
        <f t="shared" si="259"/>
        <v>0.000872148870971164</v>
      </c>
      <c r="GH41" s="454">
        <f t="shared" si="260"/>
        <v>0.0283339292015822</v>
      </c>
      <c r="GI41" s="436"/>
      <c r="GJ41" s="436"/>
    </row>
    <row r="42" spans="7:192">
      <c r="G42" s="440" t="str">
        <f>后果有效剂量!$P16</f>
        <v>35000m</v>
      </c>
      <c r="H42" s="441">
        <f ca="1">SUMPRODUCT(H$5:H$27,后果有效剂量!$I$5:$I$27)*后果有效剂量!$Q16+SUMPRODUCT(I$5:I$27,后果有效剂量!$I$5:$I$27)*后果有效剂量!$Q16+SUMPRODUCT(J$5:J$27,后果有效剂量!$I$5:$I$27)*后果有效剂量!$R16+SUMPRODUCT(K$5:K$27,后果有效剂量!$I$5:$I$27)*后果有效剂量!$S16+SUMPRODUCT(L$5:L$27,后果有效剂量!$I$5:$I$27)*后果有效剂量!$T16+SUMPRODUCT(M$5:M$27,后果有效剂量!$I$5:$I$27)*后果有效剂量!$U16+SUMPRODUCT(H$5:H$27,后果有效剂量!$J$5:$J$27)*后果有效剂量!$Q16*后果有效剂量!$Q$3+SUMPRODUCT(I$5:I$27,后果有效剂量!$J$5:$J$27)*后果有效剂量!$Q16*后果有效剂量!$Q$3+SUMPRODUCT(J$5:J$27,后果有效剂量!$J$5:$J$27)*后果有效剂量!$R16*后果有效剂量!$R$3+SUMPRODUCT(K$5:K$27,后果有效剂量!$J$5:$J$27)*后果有效剂量!$S16*后果有效剂量!$S$3+SUMPRODUCT(L$5:L$27,后果有效剂量!$J$5:$J$27)*后果有效剂量!$T16*后果有效剂量!$T$3+SUMPRODUCT(M$5:M$27,后果有效剂量!$J$5:$J$27)*后果有效剂量!$U16*后果有效剂量!$U$3+SUMPRODUCT(H$5:H$27,后果有效剂量!$K$5:$K$27)*后果有效剂量!$Q16+SUMPRODUCT(I$5:I$27,后果有效剂量!$K$5:$K$27)*后果有效剂量!$Q16+SUMPRODUCT(J$5:J$27,后果有效剂量!$K$5:$K$27)*后果有效剂量!$R16+SUMPRODUCT(K$5:K$27,后果有效剂量!$K$5:$K$27)*后果有效剂量!$S16+SUMPRODUCT(L$5:L$27,后果有效剂量!$K$5:$K$27)*后果有效剂量!$T16+SUMPRODUCT(M$5:M$27,后果有效剂量!$K$5:$K$27)*后果有效剂量!$U16</f>
        <v>3.98758892199592e-5</v>
      </c>
      <c r="I42" s="453">
        <f ca="1">SUMPRODUCT(H$5:H$27,后果甲状腺剂量!$I$5:$I$27)*后果甲状腺剂量!$Q16+SUMPRODUCT(I$5:I$27,后果甲状腺剂量!$I$5:$I$27)*后果甲状腺剂量!$Q16+SUMPRODUCT(J$5:J$27,后果甲状腺剂量!$I$5:$I$27)*后果甲状腺剂量!$R16+SUMPRODUCT(K$5:K$27,后果甲状腺剂量!$I$5:$I$27)*后果甲状腺剂量!$S16+SUMPRODUCT(L$5:L$27,后果甲状腺剂量!$I$5:$I$27)*后果甲状腺剂量!$T16+SUMPRODUCT(M$5:M$27,后果甲状腺剂量!$I$5:$I$27)*后果甲状腺剂量!$U16+SUMPRODUCT(H$5:H$27,后果甲状腺剂量!$J$5:$J$27)*后果甲状腺剂量!$Q16*后果甲状腺剂量!$Q$3+SUMPRODUCT(I$5:I$27,后果甲状腺剂量!$J$5:$J$27)*后果甲状腺剂量!$Q16*后果甲状腺剂量!$Q$3+SUMPRODUCT(J$5:J$27,后果甲状腺剂量!$J$5:$J$27)*后果甲状腺剂量!$R16*后果甲状腺剂量!$R$3+SUMPRODUCT(K$5:K$27,后果甲状腺剂量!$J$5:$J$27)*后果甲状腺剂量!$S16*后果甲状腺剂量!$S$3+SUMPRODUCT(L$5:L$27,后果甲状腺剂量!$J$5:$J$27)*后果甲状腺剂量!$T16*后果甲状腺剂量!$T$3+SUMPRODUCT(M$5:M$27,后果甲状腺剂量!$J$5:$J$27)*后果甲状腺剂量!$U16*后果甲状腺剂量!$U$3+SUMPRODUCT(H$5:H$27,后果甲状腺剂量!$K$5:$K$27)*后果甲状腺剂量!$Q16+SUMPRODUCT(I$5:I$27,后果甲状腺剂量!$K$5:$K$27)*后果甲状腺剂量!$Q16+SUMPRODUCT(J$5:J$27,后果甲状腺剂量!$K$5:$K$27)*后果甲状腺剂量!$R16+SUMPRODUCT(K$5:K$27,后果甲状腺剂量!$K$5:$K$27)*后果甲状腺剂量!$S16+SUMPRODUCT(L$5:L$27,后果甲状腺剂量!$K$5:$K$27)*后果甲状腺剂量!$T16+SUMPRODUCT(M$5:M$27,后果甲状腺剂量!$K$5:$K$27)*后果甲状腺剂量!$U16</f>
        <v>0.000323989245859184</v>
      </c>
      <c r="J42" s="454">
        <f ca="1" t="shared" si="253"/>
        <v>0.0398758892199592</v>
      </c>
      <c r="K42" s="454">
        <f ca="1" t="shared" si="254"/>
        <v>0.323989245859184</v>
      </c>
      <c r="L42" s="436"/>
      <c r="M42" s="436"/>
      <c r="N42" s="455"/>
      <c r="Q42" s="440" t="str">
        <f>后果有效剂量!$P16</f>
        <v>35000m</v>
      </c>
      <c r="R42" s="441">
        <f ca="1">SUMPRODUCT(R$5:R$27,后果有效剂量!$I$5:$I$27)*后果有效剂量!$Q16+SUMPRODUCT(S$5:S$27,后果有效剂量!$I$5:$I$27)*后果有效剂量!$Q16+SUMPRODUCT(T$5:T$27,后果有效剂量!$I$5:$I$27)*后果有效剂量!$R16+SUMPRODUCT(U$5:U$27,后果有效剂量!$I$5:$I$27)*后果有效剂量!$S16+SUMPRODUCT(V$5:V$27,后果有效剂量!$I$5:$I$27)*后果有效剂量!$T16+SUMPRODUCT(W$5:W$27,后果有效剂量!$I$5:$I$27)*后果有效剂量!$U16+SUMPRODUCT(R$5:R$27,后果有效剂量!$J$5:$J$27)*后果有效剂量!$Q16*后果有效剂量!$Q$3+SUMPRODUCT(S$5:S$27,后果有效剂量!$J$5:$J$27)*后果有效剂量!$Q16*后果有效剂量!$Q$3+SUMPRODUCT(T$5:T$27,后果有效剂量!$J$5:$J$27)*后果有效剂量!$R16*后果有效剂量!$R$3+SUMPRODUCT(U$5:U$27,后果有效剂量!$J$5:$J$27)*后果有效剂量!$S16*后果有效剂量!$S$3+SUMPRODUCT(V$5:V$27,后果有效剂量!$J$5:$J$27)*后果有效剂量!$T16*后果有效剂量!$T$3+SUMPRODUCT(W$5:W$27,后果有效剂量!$J$5:$J$27)*后果有效剂量!$U16*后果有效剂量!$U$3+SUMPRODUCT(R$5:R$27,后果有效剂量!$K$5:$K$27)*后果有效剂量!$Q16+SUMPRODUCT(S$5:S$27,后果有效剂量!$K$5:$K$27)*后果有效剂量!$Q16+SUMPRODUCT(T$5:T$27,后果有效剂量!$K$5:$K$27)*后果有效剂量!$R16+SUMPRODUCT(U$5:U$27,后果有效剂量!$K$5:$K$27)*后果有效剂量!$S16+SUMPRODUCT(V$5:V$27,后果有效剂量!$K$5:$K$27)*后果有效剂量!$T16+SUMPRODUCT(W$5:W$27,后果有效剂量!$K$5:$K$27)*后果有效剂量!$U16</f>
        <v>3.98758892199588e-5</v>
      </c>
      <c r="S42" s="453">
        <f ca="1">SUMPRODUCT(R$5:R$27,后果甲状腺剂量!$I$5:$I$27)*后果甲状腺剂量!$Q16+SUMPRODUCT(S$5:S$27,后果甲状腺剂量!$I$5:$I$27)*后果甲状腺剂量!$Q16+SUMPRODUCT(T$5:T$27,后果甲状腺剂量!$I$5:$I$27)*后果甲状腺剂量!$R16+SUMPRODUCT(U$5:U$27,后果甲状腺剂量!$I$5:$I$27)*后果甲状腺剂量!$S16+SUMPRODUCT(V$5:V$27,后果甲状腺剂量!$I$5:$I$27)*后果甲状腺剂量!$T16+SUMPRODUCT(W$5:W$27,后果甲状腺剂量!$I$5:$I$27)*后果甲状腺剂量!$U16+SUMPRODUCT(R$5:R$27,后果甲状腺剂量!$J$5:$J$27)*后果甲状腺剂量!$Q16*后果甲状腺剂量!$Q$3+SUMPRODUCT(S$5:S$27,后果甲状腺剂量!$J$5:$J$27)*后果甲状腺剂量!$Q16*后果甲状腺剂量!$Q$3+SUMPRODUCT(T$5:T$27,后果甲状腺剂量!$J$5:$J$27)*后果甲状腺剂量!$R16*后果甲状腺剂量!$R$3+SUMPRODUCT(U$5:U$27,后果甲状腺剂量!$J$5:$J$27)*后果甲状腺剂量!$S16*后果甲状腺剂量!$S$3+SUMPRODUCT(V$5:V$27,后果甲状腺剂量!$J$5:$J$27)*后果甲状腺剂量!$T16*后果甲状腺剂量!$T$3+SUMPRODUCT(W$5:W$27,后果甲状腺剂量!$J$5:$J$27)*后果甲状腺剂量!$U16*后果甲状腺剂量!$U$3+SUMPRODUCT(R$5:R$27,后果甲状腺剂量!$K$5:$K$27)*后果甲状腺剂量!$Q16+SUMPRODUCT(S$5:S$27,后果甲状腺剂量!$K$5:$K$27)*后果甲状腺剂量!$Q16+SUMPRODUCT(T$5:T$27,后果甲状腺剂量!$K$5:$K$27)*后果甲状腺剂量!$R16+SUMPRODUCT(U$5:U$27,后果甲状腺剂量!$K$5:$K$27)*后果甲状腺剂量!$S16+SUMPRODUCT(V$5:V$27,后果甲状腺剂量!$K$5:$K$27)*后果甲状腺剂量!$T16+SUMPRODUCT(W$5:W$27,后果甲状腺剂量!$K$5:$K$27)*后果甲状腺剂量!$U16</f>
        <v>0.000323989245859181</v>
      </c>
      <c r="T42" s="454">
        <f ca="1" t="shared" si="255"/>
        <v>0.0398758892199588</v>
      </c>
      <c r="U42" s="454">
        <f ca="1" t="shared" si="256"/>
        <v>0.323989245859181</v>
      </c>
      <c r="V42" s="436"/>
      <c r="W42" s="436"/>
      <c r="AN42" s="533"/>
      <c r="AS42" s="572"/>
      <c r="BO42" s="600"/>
      <c r="CJ42" s="600"/>
      <c r="DZ42" s="600"/>
      <c r="EU42" s="603"/>
      <c r="FP42" s="603"/>
      <c r="FS42" s="441">
        <f>SUMPRODUCT(FS$5:FS$27,后果有效剂量!$I$5:$I$27)*后果有效剂量!$Q16+SUMPRODUCT(FT$5:FT$27,后果有效剂量!$I$5:$I$27)*后果有效剂量!$R16+SUMPRODUCT(FU$5:FU$27,后果有效剂量!$I$5:$I$27)*后果有效剂量!$S16+SUMPRODUCT(FV$5:FV$27,后果有效剂量!$I$5:$I$27)*后果有效剂量!$T16+SUMPRODUCT(FS$5:FS$27,后果有效剂量!$J$5:$J$27)*后果有效剂量!$Q16*后果有效剂量!$Q$3+SUMPRODUCT(FT$5:FT$27,后果有效剂量!$J$5:$J$27)*后果有效剂量!$R16*后果有效剂量!$R$3+SUMPRODUCT(FU$5:FU$27,后果有效剂量!$J$5:$J$27)*后果有效剂量!$S16*后果有效剂量!$S$3+SUMPRODUCT(FV$5:FV$27,后果有效剂量!$J$5:$J$27)*后果有效剂量!$T16*后果有效剂量!$T$3+SUMPRODUCT(FS$5:FS$27,后果有效剂量!$K$5:$K$27)*后果有效剂量!$Q16+SUMPRODUCT(FT$5:FT$27,后果有效剂量!$K$5:$K$27)*后果有效剂量!$R16+SUMPRODUCT(FU$5:FU$27,后果有效剂量!$K$5:$K$27)*后果有效剂量!$S16+SUMPRODUCT(FV$5:FV$27,后果有效剂量!$K$5:$K$27)*后果有效剂量!$T16</f>
        <v>2.12917624572601e-6</v>
      </c>
      <c r="FT42" s="453">
        <f>SUMPRODUCT(FS$5:FS$27,后果甲状腺剂量!$I$5:$I$27)*后果甲状腺剂量!$Q16+SUMPRODUCT(FT$5:FT$27,后果甲状腺剂量!$I$5:$I$27)*后果甲状腺剂量!$R16+SUMPRODUCT(FU$5:FU$27,后果甲状腺剂量!$I$5:$I$27)*后果甲状腺剂量!$S16+SUMPRODUCT(FV$5:FV$27,后果甲状腺剂量!$I$5:$I$27)*后果甲状腺剂量!$T16+SUMPRODUCT(FS$5:FS$27,后果甲状腺剂量!$J$5:$J$27)*后果甲状腺剂量!$Q16*后果甲状腺剂量!$Q$3+SUMPRODUCT(FT$5:FT$27,后果甲状腺剂量!$J$5:$J$27)*后果甲状腺剂量!$R16*后果甲状腺剂量!$R$3+SUMPRODUCT(FU$5:FU$27,后果甲状腺剂量!$J$5:$J$27)*后果甲状腺剂量!$S16*后果甲状腺剂量!$S$3+SUMPRODUCT(FV$5:FV$27,后果甲状腺剂量!$J$5:$J$27)*后果甲状腺剂量!$T16*后果甲状腺剂量!$T$3+SUMPRODUCT(FS$5:FS$27,后果甲状腺剂量!$K$5:$K$27)*后果甲状腺剂量!$Q16+SUMPRODUCT(FT$5:FT$27,后果甲状腺剂量!$K$5:$K$27)*后果甲状腺剂量!$R16+SUMPRODUCT(FU$5:FU$27,后果甲状腺剂量!$K$5:$K$27)*后果甲状腺剂量!$S16+SUMPRODUCT(FV$5:FV$27,后果甲状腺剂量!$K$5:$K$27)*后果甲状腺剂量!$T16</f>
        <v>8.77501626392143e-5</v>
      </c>
      <c r="FU42" s="454">
        <f t="shared" si="257"/>
        <v>0.00212917624572601</v>
      </c>
      <c r="FV42" s="454">
        <f t="shared" si="258"/>
        <v>0.0877501626392143</v>
      </c>
      <c r="FW42" s="436"/>
      <c r="FX42" s="436"/>
      <c r="GD42" s="440" t="str">
        <f>后果有效剂量!$P16</f>
        <v>35000m</v>
      </c>
      <c r="GE42" s="441">
        <f>SUMPRODUCT(GE$5:GE$27,后果有效剂量!$I$5:$I$27)*后果有效剂量!$Q16+SUMPRODUCT(GF$5:GF$27,后果有效剂量!$I$5:$I$27)*后果有效剂量!$R16+SUMPRODUCT(GG$5:GG$27,后果有效剂量!$I$5:$I$27)*后果有效剂量!$S16+(SUMPRODUCT(GH$5:GH$27,后果有效剂量!$I$5:$I$27)+SUMPRODUCT(GI$5:GI$27,后果有效剂量!$I$5:$I$27))*后果有效剂量!$T16+SUMPRODUCT(GJ$5:GJ$27,后果有效剂量!$I$5:$I$27)*后果有效剂量!$U16+SUMPRODUCT(GE$5:GE$27,后果有效剂量!$J$5:$J$27)*后果有效剂量!$Q16*后果有效剂量!$Q$3+SUMPRODUCT(GF$5:GF$27,后果有效剂量!$J$5:$J$27)*后果有效剂量!$R16*后果有效剂量!$R$3+SUMPRODUCT(GG$5:GG$27,后果有效剂量!$J$5:$J$27)*后果有效剂量!$S16*后果有效剂量!$S$3+(SUMPRODUCT(GH$5:GH$27,后果有效剂量!$J$5:$J$27)+SUMPRODUCT(GI$5:GI$27,后果有效剂量!$J$5:$J$27))*后果有效剂量!$T16*后果有效剂量!$T$3+SUMPRODUCT(GJ$5:GJ$27,后果有效剂量!$J$5:$J$27)*后果有效剂量!$U16*后果有效剂量!$U$3+SUMPRODUCT(GE$5:GE$27,后果有效剂量!$K$5:$K$27)*后果有效剂量!$Q16+SUMPRODUCT(GF$5:GF$27,后果有效剂量!$K$5:$K$27)*后果有效剂量!$R16+SUMPRODUCT(GG$5:GG$27,后果有效剂量!$K$5:$K$27)*后果有效剂量!$S16+(SUMPRODUCT(GH$5:GH$27,后果有效剂量!$K$5:$K$27)+SUMPRODUCT(GI$5:GI$27,后果有效剂量!$K$5:$K$27))*后果有效剂量!$T16+SUMPRODUCT(GJ$5:GJ$27,后果有效剂量!$K$5:$K$27)*后果有效剂量!$U16</f>
        <v>4.96553112111478e-7</v>
      </c>
      <c r="GF42" s="453">
        <f>SUMPRODUCT(GE$5:GE$27,后果甲状腺剂量!$I$5:$I$27)*后果甲状腺剂量!$Q16+SUMPRODUCT(GF$5:GF$27,后果甲状腺剂量!$I$5:$I$27)*后果甲状腺剂量!$R16+SUMPRODUCT(GG$5:GG$27,后果甲状腺剂量!$I$5:$I$27)*后果甲状腺剂量!$S16+(SUMPRODUCT(GH$5:GH$27,后果甲状腺剂量!$I$5:$I$27)+SUMPRODUCT(GI$5:GI$27,后果甲状腺剂量!$I$5:$I$27))*后果甲状腺剂量!$T16+SUMPRODUCT(GJ$5:GJ$27,后果甲状腺剂量!$I$5:$I$27)*后果甲状腺剂量!$U16+SUMPRODUCT(GE$5:GE$27,后果甲状腺剂量!$J$5:$J$27)*后果甲状腺剂量!$Q16*后果甲状腺剂量!$Q$3+SUMPRODUCT(GF$5:GF$27,后果甲状腺剂量!$J$5:$J$27)*后果甲状腺剂量!$R16*后果甲状腺剂量!$R$3+SUMPRODUCT(GG$5:GG$27,后果甲状腺剂量!$J$5:$J$27)*后果甲状腺剂量!$S16*后果甲状腺剂量!$S$3+(SUMPRODUCT(GH$5:GH$27,后果甲状腺剂量!$J$5:$J$27)+SUMPRODUCT(GI$5:GI$27,后果甲状腺剂量!$J$5:$J$27))*后果甲状腺剂量!$T16*后果甲状腺剂量!$T$3+SUMPRODUCT(GJ$5:GJ$27,后果甲状腺剂量!$J$5:$J$27)*后果甲状腺剂量!$U16*后果甲状腺剂量!$U$3+SUMPRODUCT(GE$5:GE$27,后果甲状腺剂量!$K$5:$K$27)*后果甲状腺剂量!$Q16+SUMPRODUCT(GF$5:GF$27,后果甲状腺剂量!$K$5:$K$27)*后果甲状腺剂量!$R16+SUMPRODUCT(GG$5:GG$27,后果甲状腺剂量!$K$5:$K$27)*后果甲状腺剂量!$S16+(SUMPRODUCT(GH$5:GH$27,后果甲状腺剂量!$K$5:$K$27)+SUMPRODUCT(GI$5:GI$27,后果甲状腺剂量!$K$5:$K$27))*后果甲状腺剂量!$T16+SUMPRODUCT(GJ$5:GJ$27,后果甲状腺剂量!$K$5:$K$27)*后果甲状腺剂量!$U16</f>
        <v>1.4854301916215e-5</v>
      </c>
      <c r="GG42" s="454">
        <f t="shared" si="259"/>
        <v>0.000496553112111478</v>
      </c>
      <c r="GH42" s="454">
        <f t="shared" si="260"/>
        <v>0.014854301916215</v>
      </c>
      <c r="GI42" s="436"/>
      <c r="GJ42" s="436"/>
    </row>
    <row r="43" spans="7:192">
      <c r="G43" s="440" t="str">
        <f>后果有效剂量!$P17</f>
        <v>45000m</v>
      </c>
      <c r="H43" s="441">
        <f ca="1">SUMPRODUCT(H$5:H$27,后果有效剂量!$I$5:$I$27)*后果有效剂量!$Q17+SUMPRODUCT(I$5:I$27,后果有效剂量!$I$5:$I$27)*后果有效剂量!$Q17+SUMPRODUCT(J$5:J$27,后果有效剂量!$I$5:$I$27)*后果有效剂量!$R17+SUMPRODUCT(K$5:K$27,后果有效剂量!$I$5:$I$27)*后果有效剂量!$S17+SUMPRODUCT(L$5:L$27,后果有效剂量!$I$5:$I$27)*后果有效剂量!$T17+SUMPRODUCT(M$5:M$27,后果有效剂量!$I$5:$I$27)*后果有效剂量!$U17+SUMPRODUCT(H$5:H$27,后果有效剂量!$J$5:$J$27)*后果有效剂量!$Q17*后果有效剂量!$Q$3+SUMPRODUCT(I$5:I$27,后果有效剂量!$J$5:$J$27)*后果有效剂量!$Q17*后果有效剂量!$Q$3+SUMPRODUCT(J$5:J$27,后果有效剂量!$J$5:$J$27)*后果有效剂量!$R17*后果有效剂量!$R$3+SUMPRODUCT(K$5:K$27,后果有效剂量!$J$5:$J$27)*后果有效剂量!$S17*后果有效剂量!$S$3+SUMPRODUCT(L$5:L$27,后果有效剂量!$J$5:$J$27)*后果有效剂量!$T17*后果有效剂量!$T$3+SUMPRODUCT(M$5:M$27,后果有效剂量!$J$5:$J$27)*后果有效剂量!$U17*后果有效剂量!$U$3+SUMPRODUCT(H$5:H$27,后果有效剂量!$K$5:$K$27)*后果有效剂量!$Q17+SUMPRODUCT(I$5:I$27,后果有效剂量!$K$5:$K$27)*后果有效剂量!$Q17+SUMPRODUCT(J$5:J$27,后果有效剂量!$K$5:$K$27)*后果有效剂量!$R17+SUMPRODUCT(K$5:K$27,后果有效剂量!$K$5:$K$27)*后果有效剂量!$S17+SUMPRODUCT(L$5:L$27,后果有效剂量!$K$5:$K$27)*后果有效剂量!$T17+SUMPRODUCT(M$5:M$27,后果有效剂量!$K$5:$K$27)*后果有效剂量!$U17</f>
        <v>3.40245359105086e-5</v>
      </c>
      <c r="I43" s="453">
        <f ca="1">SUMPRODUCT(H$5:H$27,后果甲状腺剂量!$I$5:$I$27)*后果甲状腺剂量!$Q17+SUMPRODUCT(I$5:I$27,后果甲状腺剂量!$I$5:$I$27)*后果甲状腺剂量!$Q17+SUMPRODUCT(J$5:J$27,后果甲状腺剂量!$I$5:$I$27)*后果甲状腺剂量!$R17+SUMPRODUCT(K$5:K$27,后果甲状腺剂量!$I$5:$I$27)*后果甲状腺剂量!$S17+SUMPRODUCT(L$5:L$27,后果甲状腺剂量!$I$5:$I$27)*后果甲状腺剂量!$T17+SUMPRODUCT(M$5:M$27,后果甲状腺剂量!$I$5:$I$27)*后果甲状腺剂量!$U17+SUMPRODUCT(H$5:H$27,后果甲状腺剂量!$J$5:$J$27)*后果甲状腺剂量!$Q17*后果甲状腺剂量!$Q$3+SUMPRODUCT(I$5:I$27,后果甲状腺剂量!$J$5:$J$27)*后果甲状腺剂量!$Q17*后果甲状腺剂量!$Q$3+SUMPRODUCT(J$5:J$27,后果甲状腺剂量!$J$5:$J$27)*后果甲状腺剂量!$R17*后果甲状腺剂量!$R$3+SUMPRODUCT(K$5:K$27,后果甲状腺剂量!$J$5:$J$27)*后果甲状腺剂量!$S17*后果甲状腺剂量!$S$3+SUMPRODUCT(L$5:L$27,后果甲状腺剂量!$J$5:$J$27)*后果甲状腺剂量!$T17*后果甲状腺剂量!$T$3+SUMPRODUCT(M$5:M$27,后果甲状腺剂量!$J$5:$J$27)*后果甲状腺剂量!$U17*后果甲状腺剂量!$U$3+SUMPRODUCT(H$5:H$27,后果甲状腺剂量!$K$5:$K$27)*后果甲状腺剂量!$Q17+SUMPRODUCT(I$5:I$27,后果甲状腺剂量!$K$5:$K$27)*后果甲状腺剂量!$Q17+SUMPRODUCT(J$5:J$27,后果甲状腺剂量!$K$5:$K$27)*后果甲状腺剂量!$R17+SUMPRODUCT(K$5:K$27,后果甲状腺剂量!$K$5:$K$27)*后果甲状腺剂量!$S17+SUMPRODUCT(L$5:L$27,后果甲状腺剂量!$K$5:$K$27)*后果甲状腺剂量!$T17+SUMPRODUCT(M$5:M$27,后果甲状腺剂量!$K$5:$K$27)*后果甲状腺剂量!$U17</f>
        <v>0.000278379109306192</v>
      </c>
      <c r="J43" s="454">
        <f ca="1" t="shared" si="253"/>
        <v>0.0340245359105086</v>
      </c>
      <c r="K43" s="454">
        <f ca="1" t="shared" si="254"/>
        <v>0.278379109306192</v>
      </c>
      <c r="L43" s="436"/>
      <c r="M43" s="436"/>
      <c r="N43" s="455"/>
      <c r="Q43" s="440" t="str">
        <f>后果有效剂量!$P17</f>
        <v>45000m</v>
      </c>
      <c r="R43" s="441">
        <f ca="1">SUMPRODUCT(R$5:R$27,后果有效剂量!$I$5:$I$27)*后果有效剂量!$Q17+SUMPRODUCT(S$5:S$27,后果有效剂量!$I$5:$I$27)*后果有效剂量!$Q17+SUMPRODUCT(T$5:T$27,后果有效剂量!$I$5:$I$27)*后果有效剂量!$R17+SUMPRODUCT(U$5:U$27,后果有效剂量!$I$5:$I$27)*后果有效剂量!$S17+SUMPRODUCT(V$5:V$27,后果有效剂量!$I$5:$I$27)*后果有效剂量!$T17+SUMPRODUCT(W$5:W$27,后果有效剂量!$I$5:$I$27)*后果有效剂量!$U17+SUMPRODUCT(R$5:R$27,后果有效剂量!$J$5:$J$27)*后果有效剂量!$Q17*后果有效剂量!$Q$3+SUMPRODUCT(S$5:S$27,后果有效剂量!$J$5:$J$27)*后果有效剂量!$Q17*后果有效剂量!$Q$3+SUMPRODUCT(T$5:T$27,后果有效剂量!$J$5:$J$27)*后果有效剂量!$R17*后果有效剂量!$R$3+SUMPRODUCT(U$5:U$27,后果有效剂量!$J$5:$J$27)*后果有效剂量!$S17*后果有效剂量!$S$3+SUMPRODUCT(V$5:V$27,后果有效剂量!$J$5:$J$27)*后果有效剂量!$T17*后果有效剂量!$T$3+SUMPRODUCT(W$5:W$27,后果有效剂量!$J$5:$J$27)*后果有效剂量!$U17*后果有效剂量!$U$3+SUMPRODUCT(R$5:R$27,后果有效剂量!$K$5:$K$27)*后果有效剂量!$Q17+SUMPRODUCT(S$5:S$27,后果有效剂量!$K$5:$K$27)*后果有效剂量!$Q17+SUMPRODUCT(T$5:T$27,后果有效剂量!$K$5:$K$27)*后果有效剂量!$R17+SUMPRODUCT(U$5:U$27,后果有效剂量!$K$5:$K$27)*后果有效剂量!$S17+SUMPRODUCT(V$5:V$27,后果有效剂量!$K$5:$K$27)*后果有效剂量!$T17+SUMPRODUCT(W$5:W$27,后果有效剂量!$K$5:$K$27)*后果有效剂量!$U17</f>
        <v>3.40245359105084e-5</v>
      </c>
      <c r="S43" s="453">
        <f ca="1">SUMPRODUCT(R$5:R$27,后果甲状腺剂量!$I$5:$I$27)*后果甲状腺剂量!$Q17+SUMPRODUCT(S$5:S$27,后果甲状腺剂量!$I$5:$I$27)*后果甲状腺剂量!$Q17+SUMPRODUCT(T$5:T$27,后果甲状腺剂量!$I$5:$I$27)*后果甲状腺剂量!$R17+SUMPRODUCT(U$5:U$27,后果甲状腺剂量!$I$5:$I$27)*后果甲状腺剂量!$S17+SUMPRODUCT(V$5:V$27,后果甲状腺剂量!$I$5:$I$27)*后果甲状腺剂量!$T17+SUMPRODUCT(W$5:W$27,后果甲状腺剂量!$I$5:$I$27)*后果甲状腺剂量!$U17+SUMPRODUCT(R$5:R$27,后果甲状腺剂量!$J$5:$J$27)*后果甲状腺剂量!$Q17*后果甲状腺剂量!$Q$3+SUMPRODUCT(S$5:S$27,后果甲状腺剂量!$J$5:$J$27)*后果甲状腺剂量!$Q17*后果甲状腺剂量!$Q$3+SUMPRODUCT(T$5:T$27,后果甲状腺剂量!$J$5:$J$27)*后果甲状腺剂量!$R17*后果甲状腺剂量!$R$3+SUMPRODUCT(U$5:U$27,后果甲状腺剂量!$J$5:$J$27)*后果甲状腺剂量!$S17*后果甲状腺剂量!$S$3+SUMPRODUCT(V$5:V$27,后果甲状腺剂量!$J$5:$J$27)*后果甲状腺剂量!$T17*后果甲状腺剂量!$T$3+SUMPRODUCT(W$5:W$27,后果甲状腺剂量!$J$5:$J$27)*后果甲状腺剂量!$U17*后果甲状腺剂量!$U$3+SUMPRODUCT(R$5:R$27,后果甲状腺剂量!$K$5:$K$27)*后果甲状腺剂量!$Q17+SUMPRODUCT(S$5:S$27,后果甲状腺剂量!$K$5:$K$27)*后果甲状腺剂量!$Q17+SUMPRODUCT(T$5:T$27,后果甲状腺剂量!$K$5:$K$27)*后果甲状腺剂量!$R17+SUMPRODUCT(U$5:U$27,后果甲状腺剂量!$K$5:$K$27)*后果甲状腺剂量!$S17+SUMPRODUCT(V$5:V$27,后果甲状腺剂量!$K$5:$K$27)*后果甲状腺剂量!$T17+SUMPRODUCT(W$5:W$27,后果甲状腺剂量!$K$5:$K$27)*后果甲状腺剂量!$U17</f>
        <v>0.000278379109306189</v>
      </c>
      <c r="T43" s="454">
        <f ca="1" t="shared" si="255"/>
        <v>0.0340245359105084</v>
      </c>
      <c r="U43" s="454">
        <f ca="1" t="shared" si="256"/>
        <v>0.278379109306189</v>
      </c>
      <c r="V43" s="436"/>
      <c r="W43" s="436"/>
      <c r="AN43" s="533"/>
      <c r="AS43" s="572"/>
      <c r="BO43" s="600"/>
      <c r="CJ43" s="600"/>
      <c r="DZ43" s="600"/>
      <c r="EU43" s="603"/>
      <c r="FP43" s="603"/>
      <c r="FS43" s="441">
        <f>SUMPRODUCT(FS$5:FS$27,后果有效剂量!$I$5:$I$27)*后果有效剂量!$Q17+SUMPRODUCT(FT$5:FT$27,后果有效剂量!$I$5:$I$27)*后果有效剂量!$R17+SUMPRODUCT(FU$5:FU$27,后果有效剂量!$I$5:$I$27)*后果有效剂量!$S17+SUMPRODUCT(FV$5:FV$27,后果有效剂量!$I$5:$I$27)*后果有效剂量!$T17+SUMPRODUCT(FS$5:FS$27,后果有效剂量!$J$5:$J$27)*后果有效剂量!$Q17*后果有效剂量!$Q$3+SUMPRODUCT(FT$5:FT$27,后果有效剂量!$J$5:$J$27)*后果有效剂量!$R17*后果有效剂量!$R$3+SUMPRODUCT(FU$5:FU$27,后果有效剂量!$J$5:$J$27)*后果有效剂量!$S17*后果有效剂量!$S$3+SUMPRODUCT(FV$5:FV$27,后果有效剂量!$J$5:$J$27)*后果有效剂量!$T17*后果有效剂量!$T$3+SUMPRODUCT(FS$5:FS$27,后果有效剂量!$K$5:$K$27)*后果有效剂量!$Q17+SUMPRODUCT(FT$5:FT$27,后果有效剂量!$K$5:$K$27)*后果有效剂量!$R17+SUMPRODUCT(FU$5:FU$27,后果有效剂量!$K$5:$K$27)*后果有效剂量!$S17+SUMPRODUCT(FV$5:FV$27,后果有效剂量!$K$5:$K$27)*后果有效剂量!$T17</f>
        <v>1.74867432338742e-6</v>
      </c>
      <c r="FT43" s="453">
        <f>SUMPRODUCT(FS$5:FS$27,后果甲状腺剂量!$I$5:$I$27)*后果甲状腺剂量!$Q17+SUMPRODUCT(FT$5:FT$27,后果甲状腺剂量!$I$5:$I$27)*后果甲状腺剂量!$R17+SUMPRODUCT(FU$5:FU$27,后果甲状腺剂量!$I$5:$I$27)*后果甲状腺剂量!$S17+SUMPRODUCT(FV$5:FV$27,后果甲状腺剂量!$I$5:$I$27)*后果甲状腺剂量!$T17+SUMPRODUCT(FS$5:FS$27,后果甲状腺剂量!$J$5:$J$27)*后果甲状腺剂量!$Q17*后果甲状腺剂量!$Q$3+SUMPRODUCT(FT$5:FT$27,后果甲状腺剂量!$J$5:$J$27)*后果甲状腺剂量!$R17*后果甲状腺剂量!$R$3+SUMPRODUCT(FU$5:FU$27,后果甲状腺剂量!$J$5:$J$27)*后果甲状腺剂量!$S17*后果甲状腺剂量!$S$3+SUMPRODUCT(FV$5:FV$27,后果甲状腺剂量!$J$5:$J$27)*后果甲状腺剂量!$T17*后果甲状腺剂量!$T$3+SUMPRODUCT(FS$5:FS$27,后果甲状腺剂量!$K$5:$K$27)*后果甲状腺剂量!$Q17+SUMPRODUCT(FT$5:FT$27,后果甲状腺剂量!$K$5:$K$27)*后果甲状腺剂量!$R17+SUMPRODUCT(FU$5:FU$27,后果甲状腺剂量!$K$5:$K$27)*后果甲状腺剂量!$S17+SUMPRODUCT(FV$5:FV$27,后果甲状腺剂量!$K$5:$K$27)*后果甲状腺剂量!$T17</f>
        <v>7.24295071120302e-5</v>
      </c>
      <c r="FU43" s="454">
        <f t="shared" si="257"/>
        <v>0.00174867432338742</v>
      </c>
      <c r="FV43" s="454">
        <f t="shared" si="258"/>
        <v>0.0724295071120302</v>
      </c>
      <c r="FW43" s="436"/>
      <c r="FX43" s="436"/>
      <c r="GD43" s="440" t="str">
        <f>后果有效剂量!$P17</f>
        <v>45000m</v>
      </c>
      <c r="GE43" s="441">
        <f>SUMPRODUCT(GE$5:GE$27,后果有效剂量!$I$5:$I$27)*后果有效剂量!$Q17+SUMPRODUCT(GF$5:GF$27,后果有效剂量!$I$5:$I$27)*后果有效剂量!$R17+SUMPRODUCT(GG$5:GG$27,后果有效剂量!$I$5:$I$27)*后果有效剂量!$S17+(SUMPRODUCT(GH$5:GH$27,后果有效剂量!$I$5:$I$27)+SUMPRODUCT(GI$5:GI$27,后果有效剂量!$I$5:$I$27))*后果有效剂量!$T17+SUMPRODUCT(GJ$5:GJ$27,后果有效剂量!$I$5:$I$27)*后果有效剂量!$U17+SUMPRODUCT(GE$5:GE$27,后果有效剂量!$J$5:$J$27)*后果有效剂量!$Q17*后果有效剂量!$Q$3+SUMPRODUCT(GF$5:GF$27,后果有效剂量!$J$5:$J$27)*后果有效剂量!$R17*后果有效剂量!$R$3+SUMPRODUCT(GG$5:GG$27,后果有效剂量!$J$5:$J$27)*后果有效剂量!$S17*后果有效剂量!$S$3+(SUMPRODUCT(GH$5:GH$27,后果有效剂量!$J$5:$J$27)+SUMPRODUCT(GI$5:GI$27,后果有效剂量!$J$5:$J$27))*后果有效剂量!$T17*后果有效剂量!$T$3+SUMPRODUCT(GJ$5:GJ$27,后果有效剂量!$J$5:$J$27)*后果有效剂量!$U17*后果有效剂量!$U$3+SUMPRODUCT(GE$5:GE$27,后果有效剂量!$K$5:$K$27)*后果有效剂量!$Q17+SUMPRODUCT(GF$5:GF$27,后果有效剂量!$K$5:$K$27)*后果有效剂量!$R17+SUMPRODUCT(GG$5:GG$27,后果有效剂量!$K$5:$K$27)*后果有效剂量!$S17+(SUMPRODUCT(GH$5:GH$27,后果有效剂量!$K$5:$K$27)+SUMPRODUCT(GI$5:GI$27,后果有效剂量!$K$5:$K$27))*后果有效剂量!$T17+SUMPRODUCT(GJ$5:GJ$27,后果有效剂量!$K$5:$K$27)*后果有效剂量!$U17</f>
        <v>3.93766856413307e-7</v>
      </c>
      <c r="GF43" s="453">
        <f>SUMPRODUCT(GE$5:GE$27,后果甲状腺剂量!$I$5:$I$27)*后果甲状腺剂量!$Q17+SUMPRODUCT(GF$5:GF$27,后果甲状腺剂量!$I$5:$I$27)*后果甲状腺剂量!$R17+SUMPRODUCT(GG$5:GG$27,后果甲状腺剂量!$I$5:$I$27)*后果甲状腺剂量!$S17+(SUMPRODUCT(GH$5:GH$27,后果甲状腺剂量!$I$5:$I$27)+SUMPRODUCT(GI$5:GI$27,后果甲状腺剂量!$I$5:$I$27))*后果甲状腺剂量!$T17+SUMPRODUCT(GJ$5:GJ$27,后果甲状腺剂量!$I$5:$I$27)*后果甲状腺剂量!$U17+SUMPRODUCT(GE$5:GE$27,后果甲状腺剂量!$J$5:$J$27)*后果甲状腺剂量!$Q17*后果甲状腺剂量!$Q$3+SUMPRODUCT(GF$5:GF$27,后果甲状腺剂量!$J$5:$J$27)*后果甲状腺剂量!$R17*后果甲状腺剂量!$R$3+SUMPRODUCT(GG$5:GG$27,后果甲状腺剂量!$J$5:$J$27)*后果甲状腺剂量!$S17*后果甲状腺剂量!$S$3+(SUMPRODUCT(GH$5:GH$27,后果甲状腺剂量!$J$5:$J$27)+SUMPRODUCT(GI$5:GI$27,后果甲状腺剂量!$J$5:$J$27))*后果甲状腺剂量!$T17*后果甲状腺剂量!$T$3+SUMPRODUCT(GJ$5:GJ$27,后果甲状腺剂量!$J$5:$J$27)*后果甲状腺剂量!$U17*后果甲状腺剂量!$U$3+SUMPRODUCT(GE$5:GE$27,后果甲状腺剂量!$K$5:$K$27)*后果甲状腺剂量!$Q17+SUMPRODUCT(GF$5:GF$27,后果甲状腺剂量!$K$5:$K$27)*后果甲状腺剂量!$R17+SUMPRODUCT(GG$5:GG$27,后果甲状腺剂量!$K$5:$K$27)*后果甲状腺剂量!$S17+(SUMPRODUCT(GH$5:GH$27,后果甲状腺剂量!$K$5:$K$27)+SUMPRODUCT(GI$5:GI$27,后果甲状腺剂量!$K$5:$K$27))*后果甲状腺剂量!$T17+SUMPRODUCT(GJ$5:GJ$27,后果甲状腺剂量!$K$5:$K$27)*后果甲状腺剂量!$U17</f>
        <v>1.1660702699186e-5</v>
      </c>
      <c r="GG43" s="454">
        <f t="shared" si="259"/>
        <v>0.000393766856413307</v>
      </c>
      <c r="GH43" s="454">
        <f t="shared" si="260"/>
        <v>0.011660702699186</v>
      </c>
      <c r="GI43" s="436"/>
      <c r="GJ43" s="436"/>
    </row>
    <row r="44" spans="7:192">
      <c r="G44" s="440" t="str">
        <f>后果有效剂量!$P18</f>
        <v>55000m</v>
      </c>
      <c r="H44" s="441">
        <f ca="1">SUMPRODUCT(H$5:H$27,后果有效剂量!$I$5:$I$27)*后果有效剂量!$Q18+SUMPRODUCT(I$5:I$27,后果有效剂量!$I$5:$I$27)*后果有效剂量!$Q18+SUMPRODUCT(J$5:J$27,后果有效剂量!$I$5:$I$27)*后果有效剂量!$R18+SUMPRODUCT(K$5:K$27,后果有效剂量!$I$5:$I$27)*后果有效剂量!$S18+SUMPRODUCT(L$5:L$27,后果有效剂量!$I$5:$I$27)*后果有效剂量!$T18+SUMPRODUCT(M$5:M$27,后果有效剂量!$I$5:$I$27)*后果有效剂量!$U18+SUMPRODUCT(H$5:H$27,后果有效剂量!$J$5:$J$27)*后果有效剂量!$Q18*后果有效剂量!$Q$3+SUMPRODUCT(I$5:I$27,后果有效剂量!$J$5:$J$27)*后果有效剂量!$Q18*后果有效剂量!$Q$3+SUMPRODUCT(J$5:J$27,后果有效剂量!$J$5:$J$27)*后果有效剂量!$R18*后果有效剂量!$R$3+SUMPRODUCT(K$5:K$27,后果有效剂量!$J$5:$J$27)*后果有效剂量!$S18*后果有效剂量!$S$3+SUMPRODUCT(L$5:L$27,后果有效剂量!$J$5:$J$27)*后果有效剂量!$T18*后果有效剂量!$T$3+SUMPRODUCT(M$5:M$27,后果有效剂量!$J$5:$J$27)*后果有效剂量!$U18*后果有效剂量!$U$3+SUMPRODUCT(H$5:H$27,后果有效剂量!$K$5:$K$27)*后果有效剂量!$Q18+SUMPRODUCT(I$5:I$27,后果有效剂量!$K$5:$K$27)*后果有效剂量!$Q18+SUMPRODUCT(J$5:J$27,后果有效剂量!$K$5:$K$27)*后果有效剂量!$R18+SUMPRODUCT(K$5:K$27,后果有效剂量!$K$5:$K$27)*后果有效剂量!$S18+SUMPRODUCT(L$5:L$27,后果有效剂量!$K$5:$K$27)*后果有效剂量!$T18+SUMPRODUCT(M$5:M$27,后果有效剂量!$K$5:$K$27)*后果有效剂量!$U18</f>
        <v>0.000170122679552543</v>
      </c>
      <c r="I44" s="453">
        <f ca="1">SUMPRODUCT(H$5:H$27,后果甲状腺剂量!$I$5:$I$27)*后果甲状腺剂量!$Q18+SUMPRODUCT(I$5:I$27,后果甲状腺剂量!$I$5:$I$27)*后果甲状腺剂量!$Q18+SUMPRODUCT(J$5:J$27,后果甲状腺剂量!$I$5:$I$27)*后果甲状腺剂量!$R18+SUMPRODUCT(K$5:K$27,后果甲状腺剂量!$I$5:$I$27)*后果甲状腺剂量!$S18+SUMPRODUCT(L$5:L$27,后果甲状腺剂量!$I$5:$I$27)*后果甲状腺剂量!$T18+SUMPRODUCT(M$5:M$27,后果甲状腺剂量!$I$5:$I$27)*后果甲状腺剂量!$U18+SUMPRODUCT(H$5:H$27,后果甲状腺剂量!$J$5:$J$27)*后果甲状腺剂量!$Q18*后果甲状腺剂量!$Q$3+SUMPRODUCT(I$5:I$27,后果甲状腺剂量!$J$5:$J$27)*后果甲状腺剂量!$Q18*后果甲状腺剂量!$Q$3+SUMPRODUCT(J$5:J$27,后果甲状腺剂量!$J$5:$J$27)*后果甲状腺剂量!$R18*后果甲状腺剂量!$R$3+SUMPRODUCT(K$5:K$27,后果甲状腺剂量!$J$5:$J$27)*后果甲状腺剂量!$S18*后果甲状腺剂量!$S$3+SUMPRODUCT(L$5:L$27,后果甲状腺剂量!$J$5:$J$27)*后果甲状腺剂量!$T18*后果甲状腺剂量!$T$3+SUMPRODUCT(M$5:M$27,后果甲状腺剂量!$J$5:$J$27)*后果甲状腺剂量!$U18*后果甲状腺剂量!$U$3+SUMPRODUCT(H$5:H$27,后果甲状腺剂量!$K$5:$K$27)*后果甲状腺剂量!$Q18+SUMPRODUCT(I$5:I$27,后果甲状腺剂量!$K$5:$K$27)*后果甲状腺剂量!$Q18+SUMPRODUCT(J$5:J$27,后果甲状腺剂量!$K$5:$K$27)*后果甲状腺剂量!$R18+SUMPRODUCT(K$5:K$27,后果甲状腺剂量!$K$5:$K$27)*后果甲状腺剂量!$S18+SUMPRODUCT(L$5:L$27,后果甲状腺剂量!$K$5:$K$27)*后果甲状腺剂量!$T18+SUMPRODUCT(M$5:M$27,后果甲状腺剂量!$K$5:$K$27)*后果甲状腺剂量!$U18</f>
        <v>0.000246923842717922</v>
      </c>
      <c r="J44" s="454">
        <f ca="1" t="shared" si="253"/>
        <v>0.170122679552543</v>
      </c>
      <c r="K44" s="454">
        <f ca="1" t="shared" si="254"/>
        <v>0.246923842717922</v>
      </c>
      <c r="L44" s="436"/>
      <c r="M44" s="436"/>
      <c r="N44" s="455"/>
      <c r="Q44" s="440" t="str">
        <f>后果有效剂量!$P18</f>
        <v>55000m</v>
      </c>
      <c r="R44" s="441">
        <f ca="1">SUMPRODUCT(R$5:R$27,后果有效剂量!$I$5:$I$27)*后果有效剂量!$Q18+SUMPRODUCT(S$5:S$27,后果有效剂量!$I$5:$I$27)*后果有效剂量!$Q18+SUMPRODUCT(T$5:T$27,后果有效剂量!$I$5:$I$27)*后果有效剂量!$R18+SUMPRODUCT(U$5:U$27,后果有效剂量!$I$5:$I$27)*后果有效剂量!$S18+SUMPRODUCT(V$5:V$27,后果有效剂量!$I$5:$I$27)*后果有效剂量!$T18+SUMPRODUCT(W$5:W$27,后果有效剂量!$I$5:$I$27)*后果有效剂量!$U18+SUMPRODUCT(R$5:R$27,后果有效剂量!$J$5:$J$27)*后果有效剂量!$Q18*后果有效剂量!$Q$3+SUMPRODUCT(S$5:S$27,后果有效剂量!$J$5:$J$27)*后果有效剂量!$Q18*后果有效剂量!$Q$3+SUMPRODUCT(T$5:T$27,后果有效剂量!$J$5:$J$27)*后果有效剂量!$R18*后果有效剂量!$R$3+SUMPRODUCT(U$5:U$27,后果有效剂量!$J$5:$J$27)*后果有效剂量!$S18*后果有效剂量!$S$3+SUMPRODUCT(V$5:V$27,后果有效剂量!$J$5:$J$27)*后果有效剂量!$T18*后果有效剂量!$T$3+SUMPRODUCT(W$5:W$27,后果有效剂量!$J$5:$J$27)*后果有效剂量!$U18*后果有效剂量!$U$3+SUMPRODUCT(R$5:R$27,后果有效剂量!$K$5:$K$27)*后果有效剂量!$Q18+SUMPRODUCT(S$5:S$27,后果有效剂量!$K$5:$K$27)*后果有效剂量!$Q18+SUMPRODUCT(T$5:T$27,后果有效剂量!$K$5:$K$27)*后果有效剂量!$R18+SUMPRODUCT(U$5:U$27,后果有效剂量!$K$5:$K$27)*后果有效剂量!$S18+SUMPRODUCT(V$5:V$27,后果有效剂量!$K$5:$K$27)*后果有效剂量!$T18+SUMPRODUCT(W$5:W$27,后果有效剂量!$K$5:$K$27)*后果有效剂量!$U18</f>
        <v>0.000170122679552542</v>
      </c>
      <c r="S44" s="453">
        <f ca="1">SUMPRODUCT(R$5:R$27,后果甲状腺剂量!$I$5:$I$27)*后果甲状腺剂量!$Q18+SUMPRODUCT(S$5:S$27,后果甲状腺剂量!$I$5:$I$27)*后果甲状腺剂量!$Q18+SUMPRODUCT(T$5:T$27,后果甲状腺剂量!$I$5:$I$27)*后果甲状腺剂量!$R18+SUMPRODUCT(U$5:U$27,后果甲状腺剂量!$I$5:$I$27)*后果甲状腺剂量!$S18+SUMPRODUCT(V$5:V$27,后果甲状腺剂量!$I$5:$I$27)*后果甲状腺剂量!$T18+SUMPRODUCT(W$5:W$27,后果甲状腺剂量!$I$5:$I$27)*后果甲状腺剂量!$U18+SUMPRODUCT(R$5:R$27,后果甲状腺剂量!$J$5:$J$27)*后果甲状腺剂量!$Q18*后果甲状腺剂量!$Q$3+SUMPRODUCT(S$5:S$27,后果甲状腺剂量!$J$5:$J$27)*后果甲状腺剂量!$Q18*后果甲状腺剂量!$Q$3+SUMPRODUCT(T$5:T$27,后果甲状腺剂量!$J$5:$J$27)*后果甲状腺剂量!$R18*后果甲状腺剂量!$R$3+SUMPRODUCT(U$5:U$27,后果甲状腺剂量!$J$5:$J$27)*后果甲状腺剂量!$S18*后果甲状腺剂量!$S$3+SUMPRODUCT(V$5:V$27,后果甲状腺剂量!$J$5:$J$27)*后果甲状腺剂量!$T18*后果甲状腺剂量!$T$3+SUMPRODUCT(W$5:W$27,后果甲状腺剂量!$J$5:$J$27)*后果甲状腺剂量!$U18*后果甲状腺剂量!$U$3+SUMPRODUCT(R$5:R$27,后果甲状腺剂量!$K$5:$K$27)*后果甲状腺剂量!$Q18+SUMPRODUCT(S$5:S$27,后果甲状腺剂量!$K$5:$K$27)*后果甲状腺剂量!$Q18+SUMPRODUCT(T$5:T$27,后果甲状腺剂量!$K$5:$K$27)*后果甲状腺剂量!$R18+SUMPRODUCT(U$5:U$27,后果甲状腺剂量!$K$5:$K$27)*后果甲状腺剂量!$S18+SUMPRODUCT(V$5:V$27,后果甲状腺剂量!$K$5:$K$27)*后果甲状腺剂量!$T18+SUMPRODUCT(W$5:W$27,后果甲状腺剂量!$K$5:$K$27)*后果甲状腺剂量!$U18</f>
        <v>0.000246923842717919</v>
      </c>
      <c r="T44" s="454">
        <f ca="1" t="shared" si="255"/>
        <v>0.170122679552542</v>
      </c>
      <c r="U44" s="454">
        <f ca="1" t="shared" si="256"/>
        <v>0.246923842717919</v>
      </c>
      <c r="V44" s="436"/>
      <c r="W44" s="436"/>
      <c r="AN44" s="533"/>
      <c r="AS44" s="572"/>
      <c r="BO44" s="600"/>
      <c r="CJ44" s="600"/>
      <c r="DZ44" s="600"/>
      <c r="EU44" s="603"/>
      <c r="FP44" s="603"/>
      <c r="FS44" s="441">
        <f>SUMPRODUCT(FS$5:FS$27,后果有效剂量!$I$5:$I$27)*后果有效剂量!$Q18+SUMPRODUCT(FT$5:FT$27,后果有效剂量!$I$5:$I$27)*后果有效剂量!$R18+SUMPRODUCT(FU$5:FU$27,后果有效剂量!$I$5:$I$27)*后果有效剂量!$S18+SUMPRODUCT(FV$5:FV$27,后果有效剂量!$I$5:$I$27)*后果有效剂量!$T18+SUMPRODUCT(FS$5:FS$27,后果有效剂量!$J$5:$J$27)*后果有效剂量!$Q18*后果有效剂量!$Q$3+SUMPRODUCT(FT$5:FT$27,后果有效剂量!$J$5:$J$27)*后果有效剂量!$R18*后果有效剂量!$R$3+SUMPRODUCT(FU$5:FU$27,后果有效剂量!$J$5:$J$27)*后果有效剂量!$S18*后果有效剂量!$S$3+SUMPRODUCT(FV$5:FV$27,后果有效剂量!$J$5:$J$27)*后果有效剂量!$T18*后果有效剂量!$T$3+SUMPRODUCT(FS$5:FS$27,后果有效剂量!$K$5:$K$27)*后果有效剂量!$Q18+SUMPRODUCT(FT$5:FT$27,后果有效剂量!$K$5:$K$27)*后果有效剂量!$R18+SUMPRODUCT(FU$5:FU$27,后果有效剂量!$K$5:$K$27)*后果有效剂量!$S18+SUMPRODUCT(FV$5:FV$27,后果有效剂量!$K$5:$K$27)*后果有效剂量!$T18</f>
        <v>8.5192424254057e-6</v>
      </c>
      <c r="FT44" s="453">
        <f>SUMPRODUCT(FS$5:FS$27,后果甲状腺剂量!$I$5:$I$27)*后果甲状腺剂量!$Q18+SUMPRODUCT(FT$5:FT$27,后果甲状腺剂量!$I$5:$I$27)*后果甲状腺剂量!$R18+SUMPRODUCT(FU$5:FU$27,后果甲状腺剂量!$I$5:$I$27)*后果甲状腺剂量!$S18+SUMPRODUCT(FV$5:FV$27,后果甲状腺剂量!$I$5:$I$27)*后果甲状腺剂量!$T18+SUMPRODUCT(FS$5:FS$27,后果甲状腺剂量!$J$5:$J$27)*后果甲状腺剂量!$Q18*后果甲状腺剂量!$Q$3+SUMPRODUCT(FT$5:FT$27,后果甲状腺剂量!$J$5:$J$27)*后果甲状腺剂量!$R18*后果甲状腺剂量!$R$3+SUMPRODUCT(FU$5:FU$27,后果甲状腺剂量!$J$5:$J$27)*后果甲状腺剂量!$S18*后果甲状腺剂量!$S$3+SUMPRODUCT(FV$5:FV$27,后果甲状腺剂量!$J$5:$J$27)*后果甲状腺剂量!$T18*后果甲状腺剂量!$T$3+SUMPRODUCT(FS$5:FS$27,后果甲状腺剂量!$K$5:$K$27)*后果甲状腺剂量!$Q18+SUMPRODUCT(FT$5:FT$27,后果甲状腺剂量!$K$5:$K$27)*后果甲状腺剂量!$R18+SUMPRODUCT(FU$5:FU$27,后果甲状腺剂量!$K$5:$K$27)*后果甲状腺剂量!$S18+SUMPRODUCT(FV$5:FV$27,后果甲状腺剂量!$K$5:$K$27)*后果甲状腺剂量!$T18</f>
        <v>6.22166730994561e-5</v>
      </c>
      <c r="FU44" s="454">
        <f t="shared" si="257"/>
        <v>0.0085192424254057</v>
      </c>
      <c r="FV44" s="454">
        <f t="shared" si="258"/>
        <v>0.0622166730994561</v>
      </c>
      <c r="FW44" s="436"/>
      <c r="FX44" s="436"/>
      <c r="GD44" s="440" t="str">
        <f>后果有效剂量!$P18</f>
        <v>55000m</v>
      </c>
      <c r="GE44" s="441">
        <f>SUMPRODUCT(GE$5:GE$27,后果有效剂量!$I$5:$I$27)*后果有效剂量!$Q18+SUMPRODUCT(GF$5:GF$27,后果有效剂量!$I$5:$I$27)*后果有效剂量!$R18+SUMPRODUCT(GG$5:GG$27,后果有效剂量!$I$5:$I$27)*后果有效剂量!$S18+(SUMPRODUCT(GH$5:GH$27,后果有效剂量!$I$5:$I$27)+SUMPRODUCT(GI$5:GI$27,后果有效剂量!$I$5:$I$27))*后果有效剂量!$T18+SUMPRODUCT(GJ$5:GJ$27,后果有效剂量!$I$5:$I$27)*后果有效剂量!$U18+SUMPRODUCT(GE$5:GE$27,后果有效剂量!$J$5:$J$27)*后果有效剂量!$Q18*后果有效剂量!$Q$3+SUMPRODUCT(GF$5:GF$27,后果有效剂量!$J$5:$J$27)*后果有效剂量!$R18*后果有效剂量!$R$3+SUMPRODUCT(GG$5:GG$27,后果有效剂量!$J$5:$J$27)*后果有效剂量!$S18*后果有效剂量!$S$3+(SUMPRODUCT(GH$5:GH$27,后果有效剂量!$J$5:$J$27)+SUMPRODUCT(GI$5:GI$27,后果有效剂量!$J$5:$J$27))*后果有效剂量!$T18*后果有效剂量!$T$3+SUMPRODUCT(GJ$5:GJ$27,后果有效剂量!$J$5:$J$27)*后果有效剂量!$U18*后果有效剂量!$U$3+SUMPRODUCT(GE$5:GE$27,后果有效剂量!$K$5:$K$27)*后果有效剂量!$Q18+SUMPRODUCT(GF$5:GF$27,后果有效剂量!$K$5:$K$27)*后果有效剂量!$R18+SUMPRODUCT(GG$5:GG$27,后果有效剂量!$K$5:$K$27)*后果有效剂量!$S18+(SUMPRODUCT(GH$5:GH$27,后果有效剂量!$K$5:$K$27)+SUMPRODUCT(GI$5:GI$27,后果有效剂量!$K$5:$K$27))*后果有效剂量!$T18+SUMPRODUCT(GJ$5:GJ$27,后果有效剂量!$K$5:$K$27)*后果有效剂量!$U18</f>
        <v>1.82108446416472e-6</v>
      </c>
      <c r="GF44" s="453">
        <f>SUMPRODUCT(GE$5:GE$27,后果甲状腺剂量!$I$5:$I$27)*后果甲状腺剂量!$Q18+SUMPRODUCT(GF$5:GF$27,后果甲状腺剂量!$I$5:$I$27)*后果甲状腺剂量!$R18+SUMPRODUCT(GG$5:GG$27,后果甲状腺剂量!$I$5:$I$27)*后果甲状腺剂量!$S18+(SUMPRODUCT(GH$5:GH$27,后果甲状腺剂量!$I$5:$I$27)+SUMPRODUCT(GI$5:GI$27,后果甲状腺剂量!$I$5:$I$27))*后果甲状腺剂量!$T18+SUMPRODUCT(GJ$5:GJ$27,后果甲状腺剂量!$I$5:$I$27)*后果甲状腺剂量!$U18+SUMPRODUCT(GE$5:GE$27,后果甲状腺剂量!$J$5:$J$27)*后果甲状腺剂量!$Q18*后果甲状腺剂量!$Q$3+SUMPRODUCT(GF$5:GF$27,后果甲状腺剂量!$J$5:$J$27)*后果甲状腺剂量!$R18*后果甲状腺剂量!$R$3+SUMPRODUCT(GG$5:GG$27,后果甲状腺剂量!$J$5:$J$27)*后果甲状腺剂量!$S18*后果甲状腺剂量!$S$3+(SUMPRODUCT(GH$5:GH$27,后果甲状腺剂量!$J$5:$J$27)+SUMPRODUCT(GI$5:GI$27,后果甲状腺剂量!$J$5:$J$27))*后果甲状腺剂量!$T18*后果甲状腺剂量!$T$3+SUMPRODUCT(GJ$5:GJ$27,后果甲状腺剂量!$J$5:$J$27)*后果甲状腺剂量!$U18*后果甲状腺剂量!$U$3+SUMPRODUCT(GE$5:GE$27,后果甲状腺剂量!$K$5:$K$27)*后果甲状腺剂量!$Q18+SUMPRODUCT(GF$5:GF$27,后果甲状腺剂量!$K$5:$K$27)*后果甲状腺剂量!$R18+SUMPRODUCT(GG$5:GG$27,后果甲状腺剂量!$K$5:$K$27)*后果甲状腺剂量!$S18+(SUMPRODUCT(GH$5:GH$27,后果甲状腺剂量!$K$5:$K$27)+SUMPRODUCT(GI$5:GI$27,后果甲状腺剂量!$K$5:$K$27))*后果甲状腺剂量!$T18+SUMPRODUCT(GJ$5:GJ$27,后果甲状腺剂量!$K$5:$K$27)*后果甲状腺剂量!$U18</f>
        <v>9.61449584292275e-6</v>
      </c>
      <c r="GG44" s="454">
        <f t="shared" si="259"/>
        <v>0.00182108446416472</v>
      </c>
      <c r="GH44" s="454">
        <f t="shared" si="260"/>
        <v>0.00961449584292275</v>
      </c>
      <c r="GI44" s="436"/>
      <c r="GJ44" s="436"/>
    </row>
    <row r="45" spans="7:192">
      <c r="G45" s="440" t="str">
        <f>后果有效剂量!$P19</f>
        <v>65000m</v>
      </c>
      <c r="H45" s="441">
        <f ca="1">SUMPRODUCT(H$5:H$27,后果有效剂量!$I$5:$I$27)*后果有效剂量!$Q19+SUMPRODUCT(I$5:I$27,后果有效剂量!$I$5:$I$27)*后果有效剂量!$Q19+SUMPRODUCT(J$5:J$27,后果有效剂量!$I$5:$I$27)*后果有效剂量!$R19+SUMPRODUCT(K$5:K$27,后果有效剂量!$I$5:$I$27)*后果有效剂量!$S19+SUMPRODUCT(L$5:L$27,后果有效剂量!$I$5:$I$27)*后果有效剂量!$T19+SUMPRODUCT(M$5:M$27,后果有效剂量!$I$5:$I$27)*后果有效剂量!$U19+SUMPRODUCT(H$5:H$27,后果有效剂量!$J$5:$J$27)*后果有效剂量!$Q19*后果有效剂量!$Q$3+SUMPRODUCT(I$5:I$27,后果有效剂量!$J$5:$J$27)*后果有效剂量!$Q19*后果有效剂量!$Q$3+SUMPRODUCT(J$5:J$27,后果有效剂量!$J$5:$J$27)*后果有效剂量!$R19*后果有效剂量!$R$3+SUMPRODUCT(K$5:K$27,后果有效剂量!$J$5:$J$27)*后果有效剂量!$S19*后果有效剂量!$S$3+SUMPRODUCT(L$5:L$27,后果有效剂量!$J$5:$J$27)*后果有效剂量!$T19*后果有效剂量!$T$3+SUMPRODUCT(M$5:M$27,后果有效剂量!$J$5:$J$27)*后果有效剂量!$U19*后果有效剂量!$U$3+SUMPRODUCT(H$5:H$27,后果有效剂量!$K$5:$K$27)*后果有效剂量!$Q19+SUMPRODUCT(I$5:I$27,后果有效剂量!$K$5:$K$27)*后果有效剂量!$Q19+SUMPRODUCT(J$5:J$27,后果有效剂量!$K$5:$K$27)*后果有效剂量!$R19+SUMPRODUCT(K$5:K$27,后果有效剂量!$K$5:$K$27)*后果有效剂量!$S19+SUMPRODUCT(L$5:L$27,后果有效剂量!$K$5:$K$27)*后果有效剂量!$T19+SUMPRODUCT(M$5:M$27,后果有效剂量!$K$5:$K$27)*后果有效剂量!$U19</f>
        <v>0.000153868920359625</v>
      </c>
      <c r="I45" s="453">
        <f ca="1">SUMPRODUCT(H$5:H$27,后果甲状腺剂量!$I$5:$I$27)*后果甲状腺剂量!$Q19+SUMPRODUCT(I$5:I$27,后果甲状腺剂量!$I$5:$I$27)*后果甲状腺剂量!$Q19+SUMPRODUCT(J$5:J$27,后果甲状腺剂量!$I$5:$I$27)*后果甲状腺剂量!$R19+SUMPRODUCT(K$5:K$27,后果甲状腺剂量!$I$5:$I$27)*后果甲状腺剂量!$S19+SUMPRODUCT(L$5:L$27,后果甲状腺剂量!$I$5:$I$27)*后果甲状腺剂量!$T19+SUMPRODUCT(M$5:M$27,后果甲状腺剂量!$I$5:$I$27)*后果甲状腺剂量!$U19+SUMPRODUCT(H$5:H$27,后果甲状腺剂量!$J$5:$J$27)*后果甲状腺剂量!$Q19*后果甲状腺剂量!$Q$3+SUMPRODUCT(I$5:I$27,后果甲状腺剂量!$J$5:$J$27)*后果甲状腺剂量!$Q19*后果甲状腺剂量!$Q$3+SUMPRODUCT(J$5:J$27,后果甲状腺剂量!$J$5:$J$27)*后果甲状腺剂量!$R19*后果甲状腺剂量!$R$3+SUMPRODUCT(K$5:K$27,后果甲状腺剂量!$J$5:$J$27)*后果甲状腺剂量!$S19*后果甲状腺剂量!$S$3+SUMPRODUCT(L$5:L$27,后果甲状腺剂量!$J$5:$J$27)*后果甲状腺剂量!$T19*后果甲状腺剂量!$T$3+SUMPRODUCT(M$5:M$27,后果甲状腺剂量!$J$5:$J$27)*后果甲状腺剂量!$U19*后果甲状腺剂量!$U$3+SUMPRODUCT(H$5:H$27,后果甲状腺剂量!$K$5:$K$27)*后果甲状腺剂量!$Q19+SUMPRODUCT(I$5:I$27,后果甲状腺剂量!$K$5:$K$27)*后果甲状腺剂量!$Q19+SUMPRODUCT(J$5:J$27,后果甲状腺剂量!$K$5:$K$27)*后果甲状腺剂量!$R19+SUMPRODUCT(K$5:K$27,后果甲状腺剂量!$K$5:$K$27)*后果甲状腺剂量!$S19+SUMPRODUCT(L$5:L$27,后果甲状腺剂量!$K$5:$K$27)*后果甲状腺剂量!$T19+SUMPRODUCT(M$5:M$27,后果甲状腺剂量!$K$5:$K$27)*后果甲状腺剂量!$U19</f>
        <v>0.000223332392776719</v>
      </c>
      <c r="J45" s="454">
        <f ca="1" t="shared" si="253"/>
        <v>0.153868920359625</v>
      </c>
      <c r="K45" s="454">
        <f ca="1" t="shared" si="254"/>
        <v>0.223332392776719</v>
      </c>
      <c r="L45" s="436"/>
      <c r="M45" s="436"/>
      <c r="N45" s="455"/>
      <c r="Q45" s="440" t="str">
        <f>后果有效剂量!$P19</f>
        <v>65000m</v>
      </c>
      <c r="R45" s="441">
        <f ca="1">SUMPRODUCT(R$5:R$27,后果有效剂量!$I$5:$I$27)*后果有效剂量!$Q19+SUMPRODUCT(S$5:S$27,后果有效剂量!$I$5:$I$27)*后果有效剂量!$Q19+SUMPRODUCT(T$5:T$27,后果有效剂量!$I$5:$I$27)*后果有效剂量!$R19+SUMPRODUCT(U$5:U$27,后果有效剂量!$I$5:$I$27)*后果有效剂量!$S19+SUMPRODUCT(V$5:V$27,后果有效剂量!$I$5:$I$27)*后果有效剂量!$T19+SUMPRODUCT(W$5:W$27,后果有效剂量!$I$5:$I$27)*后果有效剂量!$U19+SUMPRODUCT(R$5:R$27,后果有效剂量!$J$5:$J$27)*后果有效剂量!$Q19*后果有效剂量!$Q$3+SUMPRODUCT(S$5:S$27,后果有效剂量!$J$5:$J$27)*后果有效剂量!$Q19*后果有效剂量!$Q$3+SUMPRODUCT(T$5:T$27,后果有效剂量!$J$5:$J$27)*后果有效剂量!$R19*后果有效剂量!$R$3+SUMPRODUCT(U$5:U$27,后果有效剂量!$J$5:$J$27)*后果有效剂量!$S19*后果有效剂量!$S$3+SUMPRODUCT(V$5:V$27,后果有效剂量!$J$5:$J$27)*后果有效剂量!$T19*后果有效剂量!$T$3+SUMPRODUCT(W$5:W$27,后果有效剂量!$J$5:$J$27)*后果有效剂量!$U19*后果有效剂量!$U$3+SUMPRODUCT(R$5:R$27,后果有效剂量!$K$5:$K$27)*后果有效剂量!$Q19+SUMPRODUCT(S$5:S$27,后果有效剂量!$K$5:$K$27)*后果有效剂量!$Q19+SUMPRODUCT(T$5:T$27,后果有效剂量!$K$5:$K$27)*后果有效剂量!$R19+SUMPRODUCT(U$5:U$27,后果有效剂量!$K$5:$K$27)*后果有效剂量!$S19+SUMPRODUCT(V$5:V$27,后果有效剂量!$K$5:$K$27)*后果有效剂量!$T19+SUMPRODUCT(W$5:W$27,后果有效剂量!$K$5:$K$27)*后果有效剂量!$U19</f>
        <v>0.000153868920359624</v>
      </c>
      <c r="S45" s="453">
        <f ca="1">SUMPRODUCT(R$5:R$27,后果甲状腺剂量!$I$5:$I$27)*后果甲状腺剂量!$Q19+SUMPRODUCT(S$5:S$27,后果甲状腺剂量!$I$5:$I$27)*后果甲状腺剂量!$Q19+SUMPRODUCT(T$5:T$27,后果甲状腺剂量!$I$5:$I$27)*后果甲状腺剂量!$R19+SUMPRODUCT(U$5:U$27,后果甲状腺剂量!$I$5:$I$27)*后果甲状腺剂量!$S19+SUMPRODUCT(V$5:V$27,后果甲状腺剂量!$I$5:$I$27)*后果甲状腺剂量!$T19+SUMPRODUCT(W$5:W$27,后果甲状腺剂量!$I$5:$I$27)*后果甲状腺剂量!$U19+SUMPRODUCT(R$5:R$27,后果甲状腺剂量!$J$5:$J$27)*后果甲状腺剂量!$Q19*后果甲状腺剂量!$Q$3+SUMPRODUCT(S$5:S$27,后果甲状腺剂量!$J$5:$J$27)*后果甲状腺剂量!$Q19*后果甲状腺剂量!$Q$3+SUMPRODUCT(T$5:T$27,后果甲状腺剂量!$J$5:$J$27)*后果甲状腺剂量!$R19*后果甲状腺剂量!$R$3+SUMPRODUCT(U$5:U$27,后果甲状腺剂量!$J$5:$J$27)*后果甲状腺剂量!$S19*后果甲状腺剂量!$S$3+SUMPRODUCT(V$5:V$27,后果甲状腺剂量!$J$5:$J$27)*后果甲状腺剂量!$T19*后果甲状腺剂量!$T$3+SUMPRODUCT(W$5:W$27,后果甲状腺剂量!$J$5:$J$27)*后果甲状腺剂量!$U19*后果甲状腺剂量!$U$3+SUMPRODUCT(R$5:R$27,后果甲状腺剂量!$K$5:$K$27)*后果甲状腺剂量!$Q19+SUMPRODUCT(S$5:S$27,后果甲状腺剂量!$K$5:$K$27)*后果甲状腺剂量!$Q19+SUMPRODUCT(T$5:T$27,后果甲状腺剂量!$K$5:$K$27)*后果甲状腺剂量!$R19+SUMPRODUCT(U$5:U$27,后果甲状腺剂量!$K$5:$K$27)*后果甲状腺剂量!$S19+SUMPRODUCT(V$5:V$27,后果甲状腺剂量!$K$5:$K$27)*后果甲状腺剂量!$T19+SUMPRODUCT(W$5:W$27,后果甲状腺剂量!$K$5:$K$27)*后果甲状腺剂量!$U19</f>
        <v>0.000223332392776717</v>
      </c>
      <c r="T45" s="454">
        <f ca="1" t="shared" si="255"/>
        <v>0.153868920359624</v>
      </c>
      <c r="U45" s="454">
        <f ca="1" t="shared" si="256"/>
        <v>0.223332392776717</v>
      </c>
      <c r="V45" s="436"/>
      <c r="W45" s="436"/>
      <c r="AN45" s="533"/>
      <c r="AS45" s="572"/>
      <c r="BO45" s="600"/>
      <c r="CJ45" s="600"/>
      <c r="DZ45" s="600"/>
      <c r="EU45" s="603"/>
      <c r="FP45" s="603"/>
      <c r="FS45" s="441">
        <f>SUMPRODUCT(FS$5:FS$27,后果有效剂量!$I$5:$I$27)*后果有效剂量!$Q19+SUMPRODUCT(FT$5:FT$27,后果有效剂量!$I$5:$I$27)*后果有效剂量!$R19+SUMPRODUCT(FU$5:FU$27,后果有效剂量!$I$5:$I$27)*后果有效剂量!$S19+SUMPRODUCT(FV$5:FV$27,后果有效剂量!$I$5:$I$27)*后果有效剂量!$T19+SUMPRODUCT(FS$5:FS$27,后果有效剂量!$J$5:$J$27)*后果有效剂量!$Q19*后果有效剂量!$Q$3+SUMPRODUCT(FT$5:FT$27,后果有效剂量!$J$5:$J$27)*后果有效剂量!$R19*后果有效剂量!$R$3+SUMPRODUCT(FU$5:FU$27,后果有效剂量!$J$5:$J$27)*后果有效剂量!$S19*后果有效剂量!$S$3+SUMPRODUCT(FV$5:FV$27,后果有效剂量!$J$5:$J$27)*后果有效剂量!$T19*后果有效剂量!$T$3+SUMPRODUCT(FS$5:FS$27,后果有效剂量!$K$5:$K$27)*后果有效剂量!$Q19+SUMPRODUCT(FT$5:FT$27,后果有效剂量!$K$5:$K$27)*后果有效剂量!$R19+SUMPRODUCT(FU$5:FU$27,后果有效剂量!$K$5:$K$27)*后果有效剂量!$S19+SUMPRODUCT(FV$5:FV$27,后果有效剂量!$K$5:$K$27)*后果有效剂量!$T19</f>
        <v>7.54848529694084e-6</v>
      </c>
      <c r="FT45" s="453">
        <f>SUMPRODUCT(FS$5:FS$27,后果甲状腺剂量!$I$5:$I$27)*后果甲状腺剂量!$Q19+SUMPRODUCT(FT$5:FT$27,后果甲状腺剂量!$I$5:$I$27)*后果甲状腺剂量!$R19+SUMPRODUCT(FU$5:FU$27,后果甲状腺剂量!$I$5:$I$27)*后果甲状腺剂量!$S19+SUMPRODUCT(FV$5:FV$27,后果甲状腺剂量!$I$5:$I$27)*后果甲状腺剂量!$T19+SUMPRODUCT(FS$5:FS$27,后果甲状腺剂量!$J$5:$J$27)*后果甲状腺剂量!$Q19*后果甲状腺剂量!$Q$3+SUMPRODUCT(FT$5:FT$27,后果甲状腺剂量!$J$5:$J$27)*后果甲状腺剂量!$R19*后果甲状腺剂量!$R$3+SUMPRODUCT(FU$5:FU$27,后果甲状腺剂量!$J$5:$J$27)*后果甲状腺剂量!$S19*后果甲状腺剂量!$S$3+SUMPRODUCT(FV$5:FV$27,后果甲状腺剂量!$J$5:$J$27)*后果甲状腺剂量!$T19*后果甲状腺剂量!$T$3+SUMPRODUCT(FS$5:FS$27,后果甲状腺剂量!$K$5:$K$27)*后果甲状腺剂量!$Q19+SUMPRODUCT(FT$5:FT$27,后果甲状腺剂量!$K$5:$K$27)*后果甲状腺剂量!$R19+SUMPRODUCT(FU$5:FU$27,后果甲状腺剂量!$K$5:$K$27)*后果甲状腺剂量!$S19+SUMPRODUCT(FV$5:FV$27,后果甲状腺剂量!$K$5:$K$27)*后果甲状腺剂量!$T19</f>
        <v>5.48446351036151e-5</v>
      </c>
      <c r="FU45" s="454">
        <f t="shared" si="257"/>
        <v>0.00754848529694084</v>
      </c>
      <c r="FV45" s="454">
        <f t="shared" si="258"/>
        <v>0.0548446351036151</v>
      </c>
      <c r="FW45" s="436"/>
      <c r="FX45" s="436"/>
      <c r="GD45" s="440" t="str">
        <f>后果有效剂量!$P19</f>
        <v>65000m</v>
      </c>
      <c r="GE45" s="441">
        <f>SUMPRODUCT(GE$5:GE$27,后果有效剂量!$I$5:$I$27)*后果有效剂量!$Q19+SUMPRODUCT(GF$5:GF$27,后果有效剂量!$I$5:$I$27)*后果有效剂量!$R19+SUMPRODUCT(GG$5:GG$27,后果有效剂量!$I$5:$I$27)*后果有效剂量!$S19+(SUMPRODUCT(GH$5:GH$27,后果有效剂量!$I$5:$I$27)+SUMPRODUCT(GI$5:GI$27,后果有效剂量!$I$5:$I$27))*后果有效剂量!$T19+SUMPRODUCT(GJ$5:GJ$27,后果有效剂量!$I$5:$I$27)*后果有效剂量!$U19+SUMPRODUCT(GE$5:GE$27,后果有效剂量!$J$5:$J$27)*后果有效剂量!$Q19*后果有效剂量!$Q$3+SUMPRODUCT(GF$5:GF$27,后果有效剂量!$J$5:$J$27)*后果有效剂量!$R19*后果有效剂量!$R$3+SUMPRODUCT(GG$5:GG$27,后果有效剂量!$J$5:$J$27)*后果有效剂量!$S19*后果有效剂量!$S$3+(SUMPRODUCT(GH$5:GH$27,后果有效剂量!$J$5:$J$27)+SUMPRODUCT(GI$5:GI$27,后果有效剂量!$J$5:$J$27))*后果有效剂量!$T19*后果有效剂量!$T$3+SUMPRODUCT(GJ$5:GJ$27,后果有效剂量!$J$5:$J$27)*后果有效剂量!$U19*后果有效剂量!$U$3+SUMPRODUCT(GE$5:GE$27,后果有效剂量!$K$5:$K$27)*后果有效剂量!$Q19+SUMPRODUCT(GF$5:GF$27,后果有效剂量!$K$5:$K$27)*后果有效剂量!$R19+SUMPRODUCT(GG$5:GG$27,后果有效剂量!$K$5:$K$27)*后果有效剂量!$S19+(SUMPRODUCT(GH$5:GH$27,后果有效剂量!$K$5:$K$27)+SUMPRODUCT(GI$5:GI$27,后果有效剂量!$K$5:$K$27))*后果有效剂量!$T19+SUMPRODUCT(GJ$5:GJ$27,后果有效剂量!$K$5:$K$27)*后果有效剂量!$U19</f>
        <v>1.58742003517474e-6</v>
      </c>
      <c r="GF45" s="453">
        <f>SUMPRODUCT(GE$5:GE$27,后果甲状腺剂量!$I$5:$I$27)*后果甲状腺剂量!$Q19+SUMPRODUCT(GF$5:GF$27,后果甲状腺剂量!$I$5:$I$27)*后果甲状腺剂量!$R19+SUMPRODUCT(GG$5:GG$27,后果甲状腺剂量!$I$5:$I$27)*后果甲状腺剂量!$S19+(SUMPRODUCT(GH$5:GH$27,后果甲状腺剂量!$I$5:$I$27)+SUMPRODUCT(GI$5:GI$27,后果甲状腺剂量!$I$5:$I$27))*后果甲状腺剂量!$T19+SUMPRODUCT(GJ$5:GJ$27,后果甲状腺剂量!$I$5:$I$27)*后果甲状腺剂量!$U19+SUMPRODUCT(GE$5:GE$27,后果甲状腺剂量!$J$5:$J$27)*后果甲状腺剂量!$Q19*后果甲状腺剂量!$Q$3+SUMPRODUCT(GF$5:GF$27,后果甲状腺剂量!$J$5:$J$27)*后果甲状腺剂量!$R19*后果甲状腺剂量!$R$3+SUMPRODUCT(GG$5:GG$27,后果甲状腺剂量!$J$5:$J$27)*后果甲状腺剂量!$S19*后果甲状腺剂量!$S$3+(SUMPRODUCT(GH$5:GH$27,后果甲状腺剂量!$J$5:$J$27)+SUMPRODUCT(GI$5:GI$27,后果甲状腺剂量!$J$5:$J$27))*后果甲状腺剂量!$T19*后果甲状腺剂量!$T$3+SUMPRODUCT(GJ$5:GJ$27,后果甲状腺剂量!$J$5:$J$27)*后果甲状腺剂量!$U19*后果甲状腺剂量!$U$3+SUMPRODUCT(GE$5:GE$27,后果甲状腺剂量!$K$5:$K$27)*后果甲状腺剂量!$Q19+SUMPRODUCT(GF$5:GF$27,后果甲状腺剂量!$K$5:$K$27)*后果甲状腺剂量!$R19+SUMPRODUCT(GG$5:GG$27,后果甲状腺剂量!$K$5:$K$27)*后果甲状腺剂量!$S19+(SUMPRODUCT(GH$5:GH$27,后果甲状腺剂量!$K$5:$K$27)+SUMPRODUCT(GI$5:GI$27,后果甲状腺剂量!$K$5:$K$27))*后果甲状腺剂量!$T19+SUMPRODUCT(GJ$5:GJ$27,后果甲状腺剂量!$K$5:$K$27)*后果甲状腺剂量!$U19</f>
        <v>8.19467203079159e-6</v>
      </c>
      <c r="GG45" s="454">
        <f t="shared" si="259"/>
        <v>0.00158742003517474</v>
      </c>
      <c r="GH45" s="454">
        <f t="shared" si="260"/>
        <v>0.00819467203079159</v>
      </c>
      <c r="GI45" s="436"/>
      <c r="GJ45" s="436"/>
    </row>
    <row r="46" spans="7:192">
      <c r="G46" s="440" t="str">
        <f>后果有效剂量!$P20</f>
        <v>75000m</v>
      </c>
      <c r="H46" s="441">
        <f ca="1">SUMPRODUCT(H$5:H$27,后果有效剂量!$I$5:$I$27)*后果有效剂量!$Q20+SUMPRODUCT(I$5:I$27,后果有效剂量!$I$5:$I$27)*后果有效剂量!$Q20+SUMPRODUCT(J$5:J$27,后果有效剂量!$I$5:$I$27)*后果有效剂量!$R20+SUMPRODUCT(K$5:K$27,后果有效剂量!$I$5:$I$27)*后果有效剂量!$S20+SUMPRODUCT(L$5:L$27,后果有效剂量!$I$5:$I$27)*后果有效剂量!$T20+SUMPRODUCT(M$5:M$27,后果有效剂量!$I$5:$I$27)*后果有效剂量!$U20+SUMPRODUCT(H$5:H$27,后果有效剂量!$J$5:$J$27)*后果有效剂量!$Q20*后果有效剂量!$Q$3+SUMPRODUCT(I$5:I$27,后果有效剂量!$J$5:$J$27)*后果有效剂量!$Q20*后果有效剂量!$Q$3+SUMPRODUCT(J$5:J$27,后果有效剂量!$J$5:$J$27)*后果有效剂量!$R20*后果有效剂量!$R$3+SUMPRODUCT(K$5:K$27,后果有效剂量!$J$5:$J$27)*后果有效剂量!$S20*后果有效剂量!$S$3+SUMPRODUCT(L$5:L$27,后果有效剂量!$J$5:$J$27)*后果有效剂量!$T20*后果有效剂量!$T$3+SUMPRODUCT(M$5:M$27,后果有效剂量!$J$5:$J$27)*后果有效剂量!$U20*后果有效剂量!$U$3+SUMPRODUCT(H$5:H$27,后果有效剂量!$K$5:$K$27)*后果有效剂量!$Q20+SUMPRODUCT(I$5:I$27,后果有效剂量!$K$5:$K$27)*后果有效剂量!$Q20+SUMPRODUCT(J$5:J$27,后果有效剂量!$K$5:$K$27)*后果有效剂量!$R20+SUMPRODUCT(K$5:K$27,后果有效剂量!$K$5:$K$27)*后果有效剂量!$S20+SUMPRODUCT(L$5:L$27,后果有效剂量!$K$5:$K$27)*后果有效剂量!$T20+SUMPRODUCT(M$5:M$27,后果有效剂量!$K$5:$K$27)*后果有效剂量!$U20</f>
        <v>0.00014086591300529</v>
      </c>
      <c r="I46" s="453">
        <f ca="1">SUMPRODUCT(H$5:H$27,后果甲状腺剂量!$I$5:$I$27)*后果甲状腺剂量!$Q20+SUMPRODUCT(I$5:I$27,后果甲状腺剂量!$I$5:$I$27)*后果甲状腺剂量!$Q20+SUMPRODUCT(J$5:J$27,后果甲状腺剂量!$I$5:$I$27)*后果甲状腺剂量!$R20+SUMPRODUCT(K$5:K$27,后果甲状腺剂量!$I$5:$I$27)*后果甲状腺剂量!$S20+SUMPRODUCT(L$5:L$27,后果甲状腺剂量!$I$5:$I$27)*后果甲状腺剂量!$T20+SUMPRODUCT(M$5:M$27,后果甲状腺剂量!$I$5:$I$27)*后果甲状腺剂量!$U20+SUMPRODUCT(H$5:H$27,后果甲状腺剂量!$J$5:$J$27)*后果甲状腺剂量!$Q20*后果甲状腺剂量!$Q$3+SUMPRODUCT(I$5:I$27,后果甲状腺剂量!$J$5:$J$27)*后果甲状腺剂量!$Q20*后果甲状腺剂量!$Q$3+SUMPRODUCT(J$5:J$27,后果甲状腺剂量!$J$5:$J$27)*后果甲状腺剂量!$R20*后果甲状腺剂量!$R$3+SUMPRODUCT(K$5:K$27,后果甲状腺剂量!$J$5:$J$27)*后果甲状腺剂量!$S20*后果甲状腺剂量!$S$3+SUMPRODUCT(L$5:L$27,后果甲状腺剂量!$J$5:$J$27)*后果甲状腺剂量!$T20*后果甲状腺剂量!$T$3+SUMPRODUCT(M$5:M$27,后果甲状腺剂量!$J$5:$J$27)*后果甲状腺剂量!$U20*后果甲状腺剂量!$U$3+SUMPRODUCT(H$5:H$27,后果甲状腺剂量!$K$5:$K$27)*后果甲状腺剂量!$Q20+SUMPRODUCT(I$5:I$27,后果甲状腺剂量!$K$5:$K$27)*后果甲状腺剂量!$Q20+SUMPRODUCT(J$5:J$27,后果甲状腺剂量!$K$5:$K$27)*后果甲状腺剂量!$R20+SUMPRODUCT(K$5:K$27,后果甲状腺剂量!$K$5:$K$27)*后果甲状腺剂量!$S20+SUMPRODUCT(L$5:L$27,后果甲状腺剂量!$K$5:$K$27)*后果甲状腺剂量!$T20+SUMPRODUCT(M$5:M$27,后果甲状腺剂量!$K$5:$K$27)*后果甲状腺剂量!$U20</f>
        <v>0.000204459232823757</v>
      </c>
      <c r="J46" s="454">
        <f ca="1" t="shared" si="253"/>
        <v>0.14086591300529</v>
      </c>
      <c r="K46" s="454">
        <f ca="1" t="shared" si="254"/>
        <v>0.204459232823757</v>
      </c>
      <c r="L46" s="436"/>
      <c r="M46" s="436"/>
      <c r="N46" s="455"/>
      <c r="Q46" s="440" t="str">
        <f>后果有效剂量!$P20</f>
        <v>75000m</v>
      </c>
      <c r="R46" s="441">
        <f ca="1">SUMPRODUCT(R$5:R$27,后果有效剂量!$I$5:$I$27)*后果有效剂量!$Q20+SUMPRODUCT(S$5:S$27,后果有效剂量!$I$5:$I$27)*后果有效剂量!$Q20+SUMPRODUCT(T$5:T$27,后果有效剂量!$I$5:$I$27)*后果有效剂量!$R20+SUMPRODUCT(U$5:U$27,后果有效剂量!$I$5:$I$27)*后果有效剂量!$S20+SUMPRODUCT(V$5:V$27,后果有效剂量!$I$5:$I$27)*后果有效剂量!$T20+SUMPRODUCT(W$5:W$27,后果有效剂量!$I$5:$I$27)*后果有效剂量!$U20+SUMPRODUCT(R$5:R$27,后果有效剂量!$J$5:$J$27)*后果有效剂量!$Q20*后果有效剂量!$Q$3+SUMPRODUCT(S$5:S$27,后果有效剂量!$J$5:$J$27)*后果有效剂量!$Q20*后果有效剂量!$Q$3+SUMPRODUCT(T$5:T$27,后果有效剂量!$J$5:$J$27)*后果有效剂量!$R20*后果有效剂量!$R$3+SUMPRODUCT(U$5:U$27,后果有效剂量!$J$5:$J$27)*后果有效剂量!$S20*后果有效剂量!$S$3+SUMPRODUCT(V$5:V$27,后果有效剂量!$J$5:$J$27)*后果有效剂量!$T20*后果有效剂量!$T$3+SUMPRODUCT(W$5:W$27,后果有效剂量!$J$5:$J$27)*后果有效剂量!$U20*后果有效剂量!$U$3+SUMPRODUCT(R$5:R$27,后果有效剂量!$K$5:$K$27)*后果有效剂量!$Q20+SUMPRODUCT(S$5:S$27,后果有效剂量!$K$5:$K$27)*后果有效剂量!$Q20+SUMPRODUCT(T$5:T$27,后果有效剂量!$K$5:$K$27)*后果有效剂量!$R20+SUMPRODUCT(U$5:U$27,后果有效剂量!$K$5:$K$27)*后果有效剂量!$S20+SUMPRODUCT(V$5:V$27,后果有效剂量!$K$5:$K$27)*后果有效剂量!$T20+SUMPRODUCT(W$5:W$27,后果有效剂量!$K$5:$K$27)*后果有效剂量!$U20</f>
        <v>0.000140865913005289</v>
      </c>
      <c r="S46" s="453">
        <f ca="1">SUMPRODUCT(R$5:R$27,后果甲状腺剂量!$I$5:$I$27)*后果甲状腺剂量!$Q20+SUMPRODUCT(S$5:S$27,后果甲状腺剂量!$I$5:$I$27)*后果甲状腺剂量!$Q20+SUMPRODUCT(T$5:T$27,后果甲状腺剂量!$I$5:$I$27)*后果甲状腺剂量!$R20+SUMPRODUCT(U$5:U$27,后果甲状腺剂量!$I$5:$I$27)*后果甲状腺剂量!$S20+SUMPRODUCT(V$5:V$27,后果甲状腺剂量!$I$5:$I$27)*后果甲状腺剂量!$T20+SUMPRODUCT(W$5:W$27,后果甲状腺剂量!$I$5:$I$27)*后果甲状腺剂量!$U20+SUMPRODUCT(R$5:R$27,后果甲状腺剂量!$J$5:$J$27)*后果甲状腺剂量!$Q20*后果甲状腺剂量!$Q$3+SUMPRODUCT(S$5:S$27,后果甲状腺剂量!$J$5:$J$27)*后果甲状腺剂量!$Q20*后果甲状腺剂量!$Q$3+SUMPRODUCT(T$5:T$27,后果甲状腺剂量!$J$5:$J$27)*后果甲状腺剂量!$R20*后果甲状腺剂量!$R$3+SUMPRODUCT(U$5:U$27,后果甲状腺剂量!$J$5:$J$27)*后果甲状腺剂量!$S20*后果甲状腺剂量!$S$3+SUMPRODUCT(V$5:V$27,后果甲状腺剂量!$J$5:$J$27)*后果甲状腺剂量!$T20*后果甲状腺剂量!$T$3+SUMPRODUCT(W$5:W$27,后果甲状腺剂量!$J$5:$J$27)*后果甲状腺剂量!$U20*后果甲状腺剂量!$U$3+SUMPRODUCT(R$5:R$27,后果甲状腺剂量!$K$5:$K$27)*后果甲状腺剂量!$Q20+SUMPRODUCT(S$5:S$27,后果甲状腺剂量!$K$5:$K$27)*后果甲状腺剂量!$Q20+SUMPRODUCT(T$5:T$27,后果甲状腺剂量!$K$5:$K$27)*后果甲状腺剂量!$R20+SUMPRODUCT(U$5:U$27,后果甲状腺剂量!$K$5:$K$27)*后果甲状腺剂量!$S20+SUMPRODUCT(V$5:V$27,后果甲状腺剂量!$K$5:$K$27)*后果甲状腺剂量!$T20+SUMPRODUCT(W$5:W$27,后果甲状腺剂量!$K$5:$K$27)*后果甲状腺剂量!$U20</f>
        <v>0.000204459232823755</v>
      </c>
      <c r="T46" s="454">
        <f ca="1" t="shared" si="255"/>
        <v>0.140865913005289</v>
      </c>
      <c r="U46" s="454">
        <f ca="1" t="shared" si="256"/>
        <v>0.204459232823755</v>
      </c>
      <c r="V46" s="436"/>
      <c r="W46" s="436"/>
      <c r="AN46" s="533"/>
      <c r="AS46" s="572"/>
      <c r="BO46" s="600"/>
      <c r="CJ46" s="600"/>
      <c r="DZ46" s="600"/>
      <c r="EU46" s="603"/>
      <c r="FP46" s="603"/>
      <c r="FS46" s="441">
        <f>SUMPRODUCT(FS$5:FS$27,后果有效剂量!$I$5:$I$27)*后果有效剂量!$Q20+SUMPRODUCT(FT$5:FT$27,后果有效剂量!$I$5:$I$27)*后果有效剂量!$R20+SUMPRODUCT(FU$5:FU$27,后果有效剂量!$I$5:$I$27)*后果有效剂量!$S20+SUMPRODUCT(FV$5:FV$27,后果有效剂量!$I$5:$I$27)*后果有效剂量!$T20+SUMPRODUCT(FS$5:FS$27,后果有效剂量!$J$5:$J$27)*后果有效剂量!$Q20*后果有效剂量!$Q$3+SUMPRODUCT(FT$5:FT$27,后果有效剂量!$J$5:$J$27)*后果有效剂量!$R20*后果有效剂量!$R$3+SUMPRODUCT(FU$5:FU$27,后果有效剂量!$J$5:$J$27)*后果有效剂量!$S20*后果有效剂量!$S$3+SUMPRODUCT(FV$5:FV$27,后果有效剂量!$J$5:$J$27)*后果有效剂量!$T20*后果有效剂量!$T$3+SUMPRODUCT(FS$5:FS$27,后果有效剂量!$K$5:$K$27)*后果有效剂量!$Q20+SUMPRODUCT(FT$5:FT$27,后果有效剂量!$K$5:$K$27)*后果有效剂量!$R20+SUMPRODUCT(FU$5:FU$27,后果有效剂量!$K$5:$K$27)*后果有效剂量!$S20+SUMPRODUCT(FV$5:FV$27,后果有效剂量!$K$5:$K$27)*后果有效剂量!$T20</f>
        <v>6.80535169215879e-6</v>
      </c>
      <c r="FT46" s="453">
        <f>SUMPRODUCT(FS$5:FS$27,后果甲状腺剂量!$I$5:$I$27)*后果甲状腺剂量!$Q20+SUMPRODUCT(FT$5:FT$27,后果甲状腺剂量!$I$5:$I$27)*后果甲状腺剂量!$R20+SUMPRODUCT(FU$5:FU$27,后果甲状腺剂量!$I$5:$I$27)*后果甲状腺剂量!$S20+SUMPRODUCT(FV$5:FV$27,后果甲状腺剂量!$I$5:$I$27)*后果甲状腺剂量!$T20+SUMPRODUCT(FS$5:FS$27,后果甲状腺剂量!$J$5:$J$27)*后果甲状腺剂量!$Q20*后果甲状腺剂量!$Q$3+SUMPRODUCT(FT$5:FT$27,后果甲状腺剂量!$J$5:$J$27)*后果甲状腺剂量!$R20*后果甲状腺剂量!$R$3+SUMPRODUCT(FU$5:FU$27,后果甲状腺剂量!$J$5:$J$27)*后果甲状腺剂量!$S20*后果甲状腺剂量!$S$3+SUMPRODUCT(FV$5:FV$27,后果甲状腺剂量!$J$5:$J$27)*后果甲状腺剂量!$T20*后果甲状腺剂量!$T$3+SUMPRODUCT(FS$5:FS$27,后果甲状腺剂量!$K$5:$K$27)*后果甲状腺剂量!$Q20+SUMPRODUCT(FT$5:FT$27,后果甲状腺剂量!$K$5:$K$27)*后果甲状腺剂量!$R20+SUMPRODUCT(FU$5:FU$27,后果甲状腺剂量!$K$5:$K$27)*后果甲状腺剂量!$S20+SUMPRODUCT(FV$5:FV$27,后果甲状腺剂量!$K$5:$K$27)*后果甲状腺剂量!$T20</f>
        <v>4.92490927057719e-5</v>
      </c>
      <c r="FU46" s="454">
        <f t="shared" si="257"/>
        <v>0.00680535169215879</v>
      </c>
      <c r="FV46" s="454">
        <f t="shared" si="258"/>
        <v>0.0492490927057719</v>
      </c>
      <c r="FW46" s="436"/>
      <c r="FX46" s="436"/>
      <c r="GD46" s="440" t="str">
        <f>后果有效剂量!$P20</f>
        <v>75000m</v>
      </c>
      <c r="GE46" s="441">
        <f>SUMPRODUCT(GE$5:GE$27,后果有效剂量!$I$5:$I$27)*后果有效剂量!$Q20+SUMPRODUCT(GF$5:GF$27,后果有效剂量!$I$5:$I$27)*后果有效剂量!$R20+SUMPRODUCT(GG$5:GG$27,后果有效剂量!$I$5:$I$27)*后果有效剂量!$S20+(SUMPRODUCT(GH$5:GH$27,后果有效剂量!$I$5:$I$27)+SUMPRODUCT(GI$5:GI$27,后果有效剂量!$I$5:$I$27))*后果有效剂量!$T20+SUMPRODUCT(GJ$5:GJ$27,后果有效剂量!$I$5:$I$27)*后果有效剂量!$U20+SUMPRODUCT(GE$5:GE$27,后果有效剂量!$J$5:$J$27)*后果有效剂量!$Q20*后果有效剂量!$Q$3+SUMPRODUCT(GF$5:GF$27,后果有效剂量!$J$5:$J$27)*后果有效剂量!$R20*后果有效剂量!$R$3+SUMPRODUCT(GG$5:GG$27,后果有效剂量!$J$5:$J$27)*后果有效剂量!$S20*后果有效剂量!$S$3+(SUMPRODUCT(GH$5:GH$27,后果有效剂量!$J$5:$J$27)+SUMPRODUCT(GI$5:GI$27,后果有效剂量!$J$5:$J$27))*后果有效剂量!$T20*后果有效剂量!$T$3+SUMPRODUCT(GJ$5:GJ$27,后果有效剂量!$J$5:$J$27)*后果有效剂量!$U20*后果有效剂量!$U$3+SUMPRODUCT(GE$5:GE$27,后果有效剂量!$K$5:$K$27)*后果有效剂量!$Q20+SUMPRODUCT(GF$5:GF$27,后果有效剂量!$K$5:$K$27)*后果有效剂量!$R20+SUMPRODUCT(GG$5:GG$27,后果有效剂量!$K$5:$K$27)*后果有效剂量!$S20+(SUMPRODUCT(GH$5:GH$27,后果有效剂量!$K$5:$K$27)+SUMPRODUCT(GI$5:GI$27,后果有效剂量!$K$5:$K$27))*后果有效剂量!$T20+SUMPRODUCT(GJ$5:GJ$27,后果有效剂量!$K$5:$K$27)*后果有效剂量!$U20</f>
        <v>1.41335291296165e-6</v>
      </c>
      <c r="GF46" s="453">
        <f>SUMPRODUCT(GE$5:GE$27,后果甲状腺剂量!$I$5:$I$27)*后果甲状腺剂量!$Q20+SUMPRODUCT(GF$5:GF$27,后果甲状腺剂量!$I$5:$I$27)*后果甲状腺剂量!$R20+SUMPRODUCT(GG$5:GG$27,后果甲状腺剂量!$I$5:$I$27)*后果甲状腺剂量!$S20+(SUMPRODUCT(GH$5:GH$27,后果甲状腺剂量!$I$5:$I$27)+SUMPRODUCT(GI$5:GI$27,后果甲状腺剂量!$I$5:$I$27))*后果甲状腺剂量!$T20+SUMPRODUCT(GJ$5:GJ$27,后果甲状腺剂量!$I$5:$I$27)*后果甲状腺剂量!$U20+SUMPRODUCT(GE$5:GE$27,后果甲状腺剂量!$J$5:$J$27)*后果甲状腺剂量!$Q20*后果甲状腺剂量!$Q$3+SUMPRODUCT(GF$5:GF$27,后果甲状腺剂量!$J$5:$J$27)*后果甲状腺剂量!$R20*后果甲状腺剂量!$R$3+SUMPRODUCT(GG$5:GG$27,后果甲状腺剂量!$J$5:$J$27)*后果甲状腺剂量!$S20*后果甲状腺剂量!$S$3+(SUMPRODUCT(GH$5:GH$27,后果甲状腺剂量!$J$5:$J$27)+SUMPRODUCT(GI$5:GI$27,后果甲状腺剂量!$J$5:$J$27))*后果甲状腺剂量!$T20*后果甲状腺剂量!$T$3+SUMPRODUCT(GJ$5:GJ$27,后果甲状腺剂量!$J$5:$J$27)*后果甲状腺剂量!$U20*后果甲状腺剂量!$U$3+SUMPRODUCT(GE$5:GE$27,后果甲状腺剂量!$K$5:$K$27)*后果甲状腺剂量!$Q20+SUMPRODUCT(GF$5:GF$27,后果甲状腺剂量!$K$5:$K$27)*后果甲状腺剂量!$R20+SUMPRODUCT(GG$5:GG$27,后果甲状腺剂量!$K$5:$K$27)*后果甲状腺剂量!$S20+(SUMPRODUCT(GH$5:GH$27,后果甲状腺剂量!$K$5:$K$27)+SUMPRODUCT(GI$5:GI$27,后果甲状腺剂量!$K$5:$K$27))*后果甲状腺剂量!$T20+SUMPRODUCT(GJ$5:GJ$27,后果甲状腺剂量!$K$5:$K$27)*后果甲状腺剂量!$U20</f>
        <v>7.16623588196207e-6</v>
      </c>
      <c r="GG46" s="454">
        <f t="shared" si="259"/>
        <v>0.00141335291296165</v>
      </c>
      <c r="GH46" s="454">
        <f t="shared" si="260"/>
        <v>0.00716623588196207</v>
      </c>
      <c r="GI46" s="436"/>
      <c r="GJ46" s="436"/>
    </row>
    <row r="47" spans="7:192">
      <c r="G47" s="440">
        <f>后果有效剂量!$P21</f>
        <v>0</v>
      </c>
      <c r="H47" s="441">
        <f ca="1">SUMPRODUCT(H$5:H$27,后果有效剂量!$I$5:$I$27)*后果有效剂量!$Q21+SUMPRODUCT(I$5:I$27,后果有效剂量!$I$5:$I$27)*后果有效剂量!$Q21+SUMPRODUCT(J$5:J$27,后果有效剂量!$I$5:$I$27)*后果有效剂量!$R21+SUMPRODUCT(K$5:K$27,后果有效剂量!$I$5:$I$27)*后果有效剂量!$S21+SUMPRODUCT(L$5:L$27,后果有效剂量!$I$5:$I$27)*后果有效剂量!$T21+SUMPRODUCT(M$5:M$27,后果有效剂量!$I$5:$I$27)*后果有效剂量!$U21+SUMPRODUCT(H$5:H$27,后果有效剂量!$J$5:$J$27)*后果有效剂量!$Q21*后果有效剂量!$Q$3+SUMPRODUCT(I$5:I$27,后果有效剂量!$J$5:$J$27)*后果有效剂量!$Q21*后果有效剂量!$Q$3+SUMPRODUCT(J$5:J$27,后果有效剂量!$J$5:$J$27)*后果有效剂量!$R21*后果有效剂量!$R$3+SUMPRODUCT(K$5:K$27,后果有效剂量!$J$5:$J$27)*后果有效剂量!$S21*后果有效剂量!$S$3+SUMPRODUCT(L$5:L$27,后果有效剂量!$J$5:$J$27)*后果有效剂量!$T21*后果有效剂量!$T$3+SUMPRODUCT(M$5:M$27,后果有效剂量!$J$5:$J$27)*后果有效剂量!$U21*后果有效剂量!$U$3+SUMPRODUCT(H$5:H$27,后果有效剂量!$K$5:$K$27)*后果有效剂量!$Q21+SUMPRODUCT(I$5:I$27,后果有效剂量!$K$5:$K$27)*后果有效剂量!$Q21+SUMPRODUCT(J$5:J$27,后果有效剂量!$K$5:$K$27)*后果有效剂量!$R21+SUMPRODUCT(K$5:K$27,后果有效剂量!$K$5:$K$27)*后果有效剂量!$S21+SUMPRODUCT(L$5:L$27,后果有效剂量!$K$5:$K$27)*后果有效剂量!$T21+SUMPRODUCT(M$5:M$27,后果有效剂量!$K$5:$K$27)*后果有效剂量!$U21</f>
        <v>0</v>
      </c>
      <c r="I47" s="453">
        <f ca="1">SUMPRODUCT(H$5:H$27,后果甲状腺剂量!$I$5:$I$27)*后果甲状腺剂量!$Q21+SUMPRODUCT(I$5:I$27,后果甲状腺剂量!$I$5:$I$27)*后果甲状腺剂量!$Q21+SUMPRODUCT(J$5:J$27,后果甲状腺剂量!$I$5:$I$27)*后果甲状腺剂量!$R21+SUMPRODUCT(K$5:K$27,后果甲状腺剂量!$I$5:$I$27)*后果甲状腺剂量!$S21+SUMPRODUCT(L$5:L$27,后果甲状腺剂量!$I$5:$I$27)*后果甲状腺剂量!$T21+SUMPRODUCT(M$5:M$27,后果甲状腺剂量!$I$5:$I$27)*后果甲状腺剂量!$U21+SUMPRODUCT(H$5:H$27,后果甲状腺剂量!$J$5:$J$27)*后果甲状腺剂量!$Q21*后果甲状腺剂量!$Q$3+SUMPRODUCT(I$5:I$27,后果甲状腺剂量!$J$5:$J$27)*后果甲状腺剂量!$Q21*后果甲状腺剂量!$Q$3+SUMPRODUCT(J$5:J$27,后果甲状腺剂量!$J$5:$J$27)*后果甲状腺剂量!$R21*后果甲状腺剂量!$R$3+SUMPRODUCT(K$5:K$27,后果甲状腺剂量!$J$5:$J$27)*后果甲状腺剂量!$S21*后果甲状腺剂量!$S$3+SUMPRODUCT(L$5:L$27,后果甲状腺剂量!$J$5:$J$27)*后果甲状腺剂量!$T21*后果甲状腺剂量!$T$3+SUMPRODUCT(M$5:M$27,后果甲状腺剂量!$J$5:$J$27)*后果甲状腺剂量!$U21*后果甲状腺剂量!$U$3+SUMPRODUCT(H$5:H$27,后果甲状腺剂量!$K$5:$K$27)*后果甲状腺剂量!$Q21+SUMPRODUCT(I$5:I$27,后果甲状腺剂量!$K$5:$K$27)*后果甲状腺剂量!$Q21+SUMPRODUCT(J$5:J$27,后果甲状腺剂量!$K$5:$K$27)*后果甲状腺剂量!$R21+SUMPRODUCT(K$5:K$27,后果甲状腺剂量!$K$5:$K$27)*后果甲状腺剂量!$S21+SUMPRODUCT(L$5:L$27,后果甲状腺剂量!$K$5:$K$27)*后果甲状腺剂量!$T21+SUMPRODUCT(M$5:M$27,后果甲状腺剂量!$K$5:$K$27)*后果甲状腺剂量!$U21</f>
        <v>0</v>
      </c>
      <c r="J47" s="454">
        <f ca="1" t="shared" si="253"/>
        <v>0</v>
      </c>
      <c r="K47" s="454">
        <f ca="1" t="shared" si="254"/>
        <v>0</v>
      </c>
      <c r="L47" s="436"/>
      <c r="M47" s="436"/>
      <c r="N47" s="455"/>
      <c r="Q47" s="440">
        <f>后果有效剂量!$P21</f>
        <v>0</v>
      </c>
      <c r="R47" s="441">
        <f ca="1">SUMPRODUCT(R$5:R$27,后果有效剂量!$I$5:$I$27)*后果有效剂量!$Q21+SUMPRODUCT(S$5:S$27,后果有效剂量!$I$5:$I$27)*后果有效剂量!$Q21+SUMPRODUCT(T$5:T$27,后果有效剂量!$I$5:$I$27)*后果有效剂量!$R21+SUMPRODUCT(U$5:U$27,后果有效剂量!$I$5:$I$27)*后果有效剂量!$S21+SUMPRODUCT(V$5:V$27,后果有效剂量!$I$5:$I$27)*后果有效剂量!$T21+SUMPRODUCT(W$5:W$27,后果有效剂量!$I$5:$I$27)*后果有效剂量!$U21+SUMPRODUCT(R$5:R$27,后果有效剂量!$J$5:$J$27)*后果有效剂量!$Q21*后果有效剂量!$Q$3+SUMPRODUCT(S$5:S$27,后果有效剂量!$J$5:$J$27)*后果有效剂量!$Q21*后果有效剂量!$Q$3+SUMPRODUCT(T$5:T$27,后果有效剂量!$J$5:$J$27)*后果有效剂量!$R21*后果有效剂量!$R$3+SUMPRODUCT(U$5:U$27,后果有效剂量!$J$5:$J$27)*后果有效剂量!$S21*后果有效剂量!$S$3+SUMPRODUCT(V$5:V$27,后果有效剂量!$J$5:$J$27)*后果有效剂量!$T21*后果有效剂量!$T$3+SUMPRODUCT(W$5:W$27,后果有效剂量!$J$5:$J$27)*后果有效剂量!$U21*后果有效剂量!$U$3+SUMPRODUCT(R$5:R$27,后果有效剂量!$K$5:$K$27)*后果有效剂量!$Q21+SUMPRODUCT(S$5:S$27,后果有效剂量!$K$5:$K$27)*后果有效剂量!$Q21+SUMPRODUCT(T$5:T$27,后果有效剂量!$K$5:$K$27)*后果有效剂量!$R21+SUMPRODUCT(U$5:U$27,后果有效剂量!$K$5:$K$27)*后果有效剂量!$S21+SUMPRODUCT(V$5:V$27,后果有效剂量!$K$5:$K$27)*后果有效剂量!$T21+SUMPRODUCT(W$5:W$27,后果有效剂量!$K$5:$K$27)*后果有效剂量!$U21</f>
        <v>0</v>
      </c>
      <c r="S47" s="453">
        <f ca="1">SUMPRODUCT(R$5:R$27,后果甲状腺剂量!$I$5:$I$27)*后果甲状腺剂量!$Q21+SUMPRODUCT(S$5:S$27,后果甲状腺剂量!$I$5:$I$27)*后果甲状腺剂量!$Q21+SUMPRODUCT(T$5:T$27,后果甲状腺剂量!$I$5:$I$27)*后果甲状腺剂量!$R21+SUMPRODUCT(U$5:U$27,后果甲状腺剂量!$I$5:$I$27)*后果甲状腺剂量!$S21+SUMPRODUCT(V$5:V$27,后果甲状腺剂量!$I$5:$I$27)*后果甲状腺剂量!$T21+SUMPRODUCT(W$5:W$27,后果甲状腺剂量!$I$5:$I$27)*后果甲状腺剂量!$U21+SUMPRODUCT(R$5:R$27,后果甲状腺剂量!$J$5:$J$27)*后果甲状腺剂量!$Q21*后果甲状腺剂量!$Q$3+SUMPRODUCT(S$5:S$27,后果甲状腺剂量!$J$5:$J$27)*后果甲状腺剂量!$Q21*后果甲状腺剂量!$Q$3+SUMPRODUCT(T$5:T$27,后果甲状腺剂量!$J$5:$J$27)*后果甲状腺剂量!$R21*后果甲状腺剂量!$R$3+SUMPRODUCT(U$5:U$27,后果甲状腺剂量!$J$5:$J$27)*后果甲状腺剂量!$S21*后果甲状腺剂量!$S$3+SUMPRODUCT(V$5:V$27,后果甲状腺剂量!$J$5:$J$27)*后果甲状腺剂量!$T21*后果甲状腺剂量!$T$3+SUMPRODUCT(W$5:W$27,后果甲状腺剂量!$J$5:$J$27)*后果甲状腺剂量!$U21*后果甲状腺剂量!$U$3+SUMPRODUCT(R$5:R$27,后果甲状腺剂量!$K$5:$K$27)*后果甲状腺剂量!$Q21+SUMPRODUCT(S$5:S$27,后果甲状腺剂量!$K$5:$K$27)*后果甲状腺剂量!$Q21+SUMPRODUCT(T$5:T$27,后果甲状腺剂量!$K$5:$K$27)*后果甲状腺剂量!$R21+SUMPRODUCT(U$5:U$27,后果甲状腺剂量!$K$5:$K$27)*后果甲状腺剂量!$S21+SUMPRODUCT(V$5:V$27,后果甲状腺剂量!$K$5:$K$27)*后果甲状腺剂量!$T21+SUMPRODUCT(W$5:W$27,后果甲状腺剂量!$K$5:$K$27)*后果甲状腺剂量!$U21</f>
        <v>0</v>
      </c>
      <c r="T47" s="454">
        <f ca="1" t="shared" si="255"/>
        <v>0</v>
      </c>
      <c r="U47" s="454">
        <f ca="1" t="shared" si="256"/>
        <v>0</v>
      </c>
      <c r="V47" s="436"/>
      <c r="W47" s="436"/>
      <c r="AN47" s="533"/>
      <c r="AS47" s="572"/>
      <c r="BO47" s="600"/>
      <c r="CJ47" s="600"/>
      <c r="DZ47" s="600"/>
      <c r="EU47" s="603"/>
      <c r="FP47" s="603"/>
      <c r="FS47" s="441">
        <f>SUMPRODUCT(FS$5:FS$27,后果有效剂量!$I$5:$I$27)*后果有效剂量!$Q21+SUMPRODUCT(FT$5:FT$27,后果有效剂量!$I$5:$I$27)*后果有效剂量!$R21+SUMPRODUCT(FU$5:FU$27,后果有效剂量!$I$5:$I$27)*后果有效剂量!$S21+SUMPRODUCT(FV$5:FV$27,后果有效剂量!$I$5:$I$27)*后果有效剂量!$T21+SUMPRODUCT(FS$5:FS$27,后果有效剂量!$J$5:$J$27)*后果有效剂量!$Q21*后果有效剂量!$Q$3+SUMPRODUCT(FT$5:FT$27,后果有效剂量!$J$5:$J$27)*后果有效剂量!$R21*后果有效剂量!$R$3+SUMPRODUCT(FU$5:FU$27,后果有效剂量!$J$5:$J$27)*后果有效剂量!$S21*后果有效剂量!$S$3+SUMPRODUCT(FV$5:FV$27,后果有效剂量!$J$5:$J$27)*后果有效剂量!$T21*后果有效剂量!$T$3+SUMPRODUCT(FS$5:FS$27,后果有效剂量!$K$5:$K$27)*后果有效剂量!$Q21+SUMPRODUCT(FT$5:FT$27,后果有效剂量!$K$5:$K$27)*后果有效剂量!$R21+SUMPRODUCT(FU$5:FU$27,后果有效剂量!$K$5:$K$27)*后果有效剂量!$S21+SUMPRODUCT(FV$5:FV$27,后果有效剂量!$K$5:$K$27)*后果有效剂量!$T21</f>
        <v>0</v>
      </c>
      <c r="FT47" s="453">
        <f>SUMPRODUCT(FS$5:FS$27,后果甲状腺剂量!$I$5:$I$27)*后果甲状腺剂量!$Q21+SUMPRODUCT(FT$5:FT$27,后果甲状腺剂量!$I$5:$I$27)*后果甲状腺剂量!$R21+SUMPRODUCT(FU$5:FU$27,后果甲状腺剂量!$I$5:$I$27)*后果甲状腺剂量!$S21+SUMPRODUCT(FV$5:FV$27,后果甲状腺剂量!$I$5:$I$27)*后果甲状腺剂量!$T21+SUMPRODUCT(FS$5:FS$27,后果甲状腺剂量!$J$5:$J$27)*后果甲状腺剂量!$Q21*后果甲状腺剂量!$Q$3+SUMPRODUCT(FT$5:FT$27,后果甲状腺剂量!$J$5:$J$27)*后果甲状腺剂量!$R21*后果甲状腺剂量!$R$3+SUMPRODUCT(FU$5:FU$27,后果甲状腺剂量!$J$5:$J$27)*后果甲状腺剂量!$S21*后果甲状腺剂量!$S$3+SUMPRODUCT(FV$5:FV$27,后果甲状腺剂量!$J$5:$J$27)*后果甲状腺剂量!$T21*后果甲状腺剂量!$T$3+SUMPRODUCT(FS$5:FS$27,后果甲状腺剂量!$K$5:$K$27)*后果甲状腺剂量!$Q21+SUMPRODUCT(FT$5:FT$27,后果甲状腺剂量!$K$5:$K$27)*后果甲状腺剂量!$R21+SUMPRODUCT(FU$5:FU$27,后果甲状腺剂量!$K$5:$K$27)*后果甲状腺剂量!$S21+SUMPRODUCT(FV$5:FV$27,后果甲状腺剂量!$K$5:$K$27)*后果甲状腺剂量!$T21</f>
        <v>0</v>
      </c>
      <c r="FU47" s="454">
        <f t="shared" si="257"/>
        <v>0</v>
      </c>
      <c r="FV47" s="454">
        <f t="shared" si="258"/>
        <v>0</v>
      </c>
      <c r="FW47" s="436"/>
      <c r="FX47" s="436"/>
      <c r="GD47" s="440">
        <f>后果有效剂量!$P21</f>
        <v>0</v>
      </c>
      <c r="GE47" s="441">
        <f>SUMPRODUCT(GE$5:GE$27,后果有效剂量!$I$5:$I$27)*后果有效剂量!$Q21+SUMPRODUCT(GF$5:GF$27,后果有效剂量!$I$5:$I$27)*后果有效剂量!$R21+SUMPRODUCT(GG$5:GG$27,后果有效剂量!$I$5:$I$27)*后果有效剂量!$S21+(SUMPRODUCT(GH$5:GH$27,后果有效剂量!$I$5:$I$27)+SUMPRODUCT(GI$5:GI$27,后果有效剂量!$I$5:$I$27))*后果有效剂量!$T21+SUMPRODUCT(GJ$5:GJ$27,后果有效剂量!$I$5:$I$27)*后果有效剂量!$U21+SUMPRODUCT(GE$5:GE$27,后果有效剂量!$J$5:$J$27)*后果有效剂量!$Q21*后果有效剂量!$Q$3+SUMPRODUCT(GF$5:GF$27,后果有效剂量!$J$5:$J$27)*后果有效剂量!$R21*后果有效剂量!$R$3+SUMPRODUCT(GG$5:GG$27,后果有效剂量!$J$5:$J$27)*后果有效剂量!$S21*后果有效剂量!$S$3+(SUMPRODUCT(GH$5:GH$27,后果有效剂量!$J$5:$J$27)+SUMPRODUCT(GI$5:GI$27,后果有效剂量!$J$5:$J$27))*后果有效剂量!$T21*后果有效剂量!$T$3+SUMPRODUCT(GJ$5:GJ$27,后果有效剂量!$J$5:$J$27)*后果有效剂量!$U21*后果有效剂量!$U$3+SUMPRODUCT(GE$5:GE$27,后果有效剂量!$K$5:$K$27)*后果有效剂量!$Q21+SUMPRODUCT(GF$5:GF$27,后果有效剂量!$K$5:$K$27)*后果有效剂量!$R21+SUMPRODUCT(GG$5:GG$27,后果有效剂量!$K$5:$K$27)*后果有效剂量!$S21+(SUMPRODUCT(GH$5:GH$27,后果有效剂量!$K$5:$K$27)+SUMPRODUCT(GI$5:GI$27,后果有效剂量!$K$5:$K$27))*后果有效剂量!$T21+SUMPRODUCT(GJ$5:GJ$27,后果有效剂量!$K$5:$K$27)*后果有效剂量!$U21</f>
        <v>0</v>
      </c>
      <c r="GF47" s="453">
        <f>SUMPRODUCT(GE$5:GE$27,后果甲状腺剂量!$I$5:$I$27)*后果甲状腺剂量!$Q21+SUMPRODUCT(GF$5:GF$27,后果甲状腺剂量!$I$5:$I$27)*后果甲状腺剂量!$R21+SUMPRODUCT(GG$5:GG$27,后果甲状腺剂量!$I$5:$I$27)*后果甲状腺剂量!$S21+(SUMPRODUCT(GH$5:GH$27,后果甲状腺剂量!$I$5:$I$27)+SUMPRODUCT(GI$5:GI$27,后果甲状腺剂量!$I$5:$I$27))*后果甲状腺剂量!$T21+SUMPRODUCT(GJ$5:GJ$27,后果甲状腺剂量!$I$5:$I$27)*后果甲状腺剂量!$U21+SUMPRODUCT(GE$5:GE$27,后果甲状腺剂量!$J$5:$J$27)*后果甲状腺剂量!$Q21*后果甲状腺剂量!$Q$3+SUMPRODUCT(GF$5:GF$27,后果甲状腺剂量!$J$5:$J$27)*后果甲状腺剂量!$R21*后果甲状腺剂量!$R$3+SUMPRODUCT(GG$5:GG$27,后果甲状腺剂量!$J$5:$J$27)*后果甲状腺剂量!$S21*后果甲状腺剂量!$S$3+(SUMPRODUCT(GH$5:GH$27,后果甲状腺剂量!$J$5:$J$27)+SUMPRODUCT(GI$5:GI$27,后果甲状腺剂量!$J$5:$J$27))*后果甲状腺剂量!$T21*后果甲状腺剂量!$T$3+SUMPRODUCT(GJ$5:GJ$27,后果甲状腺剂量!$J$5:$J$27)*后果甲状腺剂量!$U21*后果甲状腺剂量!$U$3+SUMPRODUCT(GE$5:GE$27,后果甲状腺剂量!$K$5:$K$27)*后果甲状腺剂量!$Q21+SUMPRODUCT(GF$5:GF$27,后果甲状腺剂量!$K$5:$K$27)*后果甲状腺剂量!$R21+SUMPRODUCT(GG$5:GG$27,后果甲状腺剂量!$K$5:$K$27)*后果甲状腺剂量!$S21+(SUMPRODUCT(GH$5:GH$27,后果甲状腺剂量!$K$5:$K$27)+SUMPRODUCT(GI$5:GI$27,后果甲状腺剂量!$K$5:$K$27))*后果甲状腺剂量!$T21+SUMPRODUCT(GJ$5:GJ$27,后果甲状腺剂量!$K$5:$K$27)*后果甲状腺剂量!$U21</f>
        <v>0</v>
      </c>
      <c r="GG47" s="454">
        <f t="shared" si="259"/>
        <v>0</v>
      </c>
      <c r="GH47" s="454">
        <f t="shared" si="260"/>
        <v>0</v>
      </c>
      <c r="GI47" s="436"/>
      <c r="GJ47" s="436"/>
    </row>
    <row r="48" spans="7:192">
      <c r="G48" s="440">
        <f>后果有效剂量!$P22</f>
        <v>0</v>
      </c>
      <c r="H48" s="441">
        <f ca="1">SUMPRODUCT(H$5:H$27,后果有效剂量!$I$5:$I$27)*后果有效剂量!$Q22+SUMPRODUCT(I$5:I$27,后果有效剂量!$I$5:$I$27)*后果有效剂量!$Q22+SUMPRODUCT(J$5:J$27,后果有效剂量!$I$5:$I$27)*后果有效剂量!$R22+SUMPRODUCT(K$5:K$27,后果有效剂量!$I$5:$I$27)*后果有效剂量!$S22+SUMPRODUCT(L$5:L$27,后果有效剂量!$I$5:$I$27)*后果有效剂量!$T22+SUMPRODUCT(M$5:M$27,后果有效剂量!$I$5:$I$27)*后果有效剂量!$U22+SUMPRODUCT(H$5:H$27,后果有效剂量!$J$5:$J$27)*后果有效剂量!$Q22*后果有效剂量!$Q$3+SUMPRODUCT(I$5:I$27,后果有效剂量!$J$5:$J$27)*后果有效剂量!$Q22*后果有效剂量!$Q$3+SUMPRODUCT(J$5:J$27,后果有效剂量!$J$5:$J$27)*后果有效剂量!$R22*后果有效剂量!$R$3+SUMPRODUCT(K$5:K$27,后果有效剂量!$J$5:$J$27)*后果有效剂量!$S22*后果有效剂量!$S$3+SUMPRODUCT(L$5:L$27,后果有效剂量!$J$5:$J$27)*后果有效剂量!$T22*后果有效剂量!$T$3+SUMPRODUCT(M$5:M$27,后果有效剂量!$J$5:$J$27)*后果有效剂量!$U22*后果有效剂量!$U$3+SUMPRODUCT(H$5:H$27,后果有效剂量!$K$5:$K$27)*后果有效剂量!$Q22+SUMPRODUCT(I$5:I$27,后果有效剂量!$K$5:$K$27)*后果有效剂量!$Q22+SUMPRODUCT(J$5:J$27,后果有效剂量!$K$5:$K$27)*后果有效剂量!$R22+SUMPRODUCT(K$5:K$27,后果有效剂量!$K$5:$K$27)*后果有效剂量!$S22+SUMPRODUCT(L$5:L$27,后果有效剂量!$K$5:$K$27)*后果有效剂量!$T22+SUMPRODUCT(M$5:M$27,后果有效剂量!$K$5:$K$27)*后果有效剂量!$U22</f>
        <v>0</v>
      </c>
      <c r="I48" s="453">
        <f ca="1">SUMPRODUCT(H$5:H$27,后果甲状腺剂量!$I$5:$I$27)*后果甲状腺剂量!$Q22+SUMPRODUCT(I$5:I$27,后果甲状腺剂量!$I$5:$I$27)*后果甲状腺剂量!$Q22+SUMPRODUCT(J$5:J$27,后果甲状腺剂量!$I$5:$I$27)*后果甲状腺剂量!$R22+SUMPRODUCT(K$5:K$27,后果甲状腺剂量!$I$5:$I$27)*后果甲状腺剂量!$S22+SUMPRODUCT(L$5:L$27,后果甲状腺剂量!$I$5:$I$27)*后果甲状腺剂量!$T22+SUMPRODUCT(M$5:M$27,后果甲状腺剂量!$I$5:$I$27)*后果甲状腺剂量!$U22+SUMPRODUCT(H$5:H$27,后果甲状腺剂量!$J$5:$J$27)*后果甲状腺剂量!$Q22*后果甲状腺剂量!$Q$3+SUMPRODUCT(I$5:I$27,后果甲状腺剂量!$J$5:$J$27)*后果甲状腺剂量!$Q22*后果甲状腺剂量!$Q$3+SUMPRODUCT(J$5:J$27,后果甲状腺剂量!$J$5:$J$27)*后果甲状腺剂量!$R22*后果甲状腺剂量!$R$3+SUMPRODUCT(K$5:K$27,后果甲状腺剂量!$J$5:$J$27)*后果甲状腺剂量!$S22*后果甲状腺剂量!$S$3+SUMPRODUCT(L$5:L$27,后果甲状腺剂量!$J$5:$J$27)*后果甲状腺剂量!$T22*后果甲状腺剂量!$T$3+SUMPRODUCT(M$5:M$27,后果甲状腺剂量!$J$5:$J$27)*后果甲状腺剂量!$U22*后果甲状腺剂量!$U$3+SUMPRODUCT(H$5:H$27,后果甲状腺剂量!$K$5:$K$27)*后果甲状腺剂量!$Q22+SUMPRODUCT(I$5:I$27,后果甲状腺剂量!$K$5:$K$27)*后果甲状腺剂量!$Q22+SUMPRODUCT(J$5:J$27,后果甲状腺剂量!$K$5:$K$27)*后果甲状腺剂量!$R22+SUMPRODUCT(K$5:K$27,后果甲状腺剂量!$K$5:$K$27)*后果甲状腺剂量!$S22+SUMPRODUCT(L$5:L$27,后果甲状腺剂量!$K$5:$K$27)*后果甲状腺剂量!$T22+SUMPRODUCT(M$5:M$27,后果甲状腺剂量!$K$5:$K$27)*后果甲状腺剂量!$U22</f>
        <v>0</v>
      </c>
      <c r="J48" s="454">
        <f ca="1" t="shared" si="253"/>
        <v>0</v>
      </c>
      <c r="K48" s="454">
        <f ca="1" t="shared" si="254"/>
        <v>0</v>
      </c>
      <c r="L48" s="436"/>
      <c r="M48" s="436"/>
      <c r="N48" s="455"/>
      <c r="Q48" s="440">
        <f>后果有效剂量!$P22</f>
        <v>0</v>
      </c>
      <c r="R48" s="441">
        <f ca="1">SUMPRODUCT(R$5:R$27,后果有效剂量!$I$5:$I$27)*后果有效剂量!$Q22+SUMPRODUCT(S$5:S$27,后果有效剂量!$I$5:$I$27)*后果有效剂量!$Q22+SUMPRODUCT(T$5:T$27,后果有效剂量!$I$5:$I$27)*后果有效剂量!$R22+SUMPRODUCT(U$5:U$27,后果有效剂量!$I$5:$I$27)*后果有效剂量!$S22+SUMPRODUCT(V$5:V$27,后果有效剂量!$I$5:$I$27)*后果有效剂量!$T22+SUMPRODUCT(W$5:W$27,后果有效剂量!$I$5:$I$27)*后果有效剂量!$U22+SUMPRODUCT(R$5:R$27,后果有效剂量!$J$5:$J$27)*后果有效剂量!$Q22*后果有效剂量!$Q$3+SUMPRODUCT(S$5:S$27,后果有效剂量!$J$5:$J$27)*后果有效剂量!$Q22*后果有效剂量!$Q$3+SUMPRODUCT(T$5:T$27,后果有效剂量!$J$5:$J$27)*后果有效剂量!$R22*后果有效剂量!$R$3+SUMPRODUCT(U$5:U$27,后果有效剂量!$J$5:$J$27)*后果有效剂量!$S22*后果有效剂量!$S$3+SUMPRODUCT(V$5:V$27,后果有效剂量!$J$5:$J$27)*后果有效剂量!$T22*后果有效剂量!$T$3+SUMPRODUCT(W$5:W$27,后果有效剂量!$J$5:$J$27)*后果有效剂量!$U22*后果有效剂量!$U$3+SUMPRODUCT(R$5:R$27,后果有效剂量!$K$5:$K$27)*后果有效剂量!$Q22+SUMPRODUCT(S$5:S$27,后果有效剂量!$K$5:$K$27)*后果有效剂量!$Q22+SUMPRODUCT(T$5:T$27,后果有效剂量!$K$5:$K$27)*后果有效剂量!$R22+SUMPRODUCT(U$5:U$27,后果有效剂量!$K$5:$K$27)*后果有效剂量!$S22+SUMPRODUCT(V$5:V$27,后果有效剂量!$K$5:$K$27)*后果有效剂量!$T22+SUMPRODUCT(W$5:W$27,后果有效剂量!$K$5:$K$27)*后果有效剂量!$U22</f>
        <v>0</v>
      </c>
      <c r="S48" s="453">
        <f ca="1">SUMPRODUCT(R$5:R$27,后果甲状腺剂量!$I$5:$I$27)*后果甲状腺剂量!$Q22+SUMPRODUCT(S$5:S$27,后果甲状腺剂量!$I$5:$I$27)*后果甲状腺剂量!$Q22+SUMPRODUCT(T$5:T$27,后果甲状腺剂量!$I$5:$I$27)*后果甲状腺剂量!$R22+SUMPRODUCT(U$5:U$27,后果甲状腺剂量!$I$5:$I$27)*后果甲状腺剂量!$S22+SUMPRODUCT(V$5:V$27,后果甲状腺剂量!$I$5:$I$27)*后果甲状腺剂量!$T22+SUMPRODUCT(W$5:W$27,后果甲状腺剂量!$I$5:$I$27)*后果甲状腺剂量!$U22+SUMPRODUCT(R$5:R$27,后果甲状腺剂量!$J$5:$J$27)*后果甲状腺剂量!$Q22*后果甲状腺剂量!$Q$3+SUMPRODUCT(S$5:S$27,后果甲状腺剂量!$J$5:$J$27)*后果甲状腺剂量!$Q22*后果甲状腺剂量!$Q$3+SUMPRODUCT(T$5:T$27,后果甲状腺剂量!$J$5:$J$27)*后果甲状腺剂量!$R22*后果甲状腺剂量!$R$3+SUMPRODUCT(U$5:U$27,后果甲状腺剂量!$J$5:$J$27)*后果甲状腺剂量!$S22*后果甲状腺剂量!$S$3+SUMPRODUCT(V$5:V$27,后果甲状腺剂量!$J$5:$J$27)*后果甲状腺剂量!$T22*后果甲状腺剂量!$T$3+SUMPRODUCT(W$5:W$27,后果甲状腺剂量!$J$5:$J$27)*后果甲状腺剂量!$U22*后果甲状腺剂量!$U$3+SUMPRODUCT(R$5:R$27,后果甲状腺剂量!$K$5:$K$27)*后果甲状腺剂量!$Q22+SUMPRODUCT(S$5:S$27,后果甲状腺剂量!$K$5:$K$27)*后果甲状腺剂量!$Q22+SUMPRODUCT(T$5:T$27,后果甲状腺剂量!$K$5:$K$27)*后果甲状腺剂量!$R22+SUMPRODUCT(U$5:U$27,后果甲状腺剂量!$K$5:$K$27)*后果甲状腺剂量!$S22+SUMPRODUCT(V$5:V$27,后果甲状腺剂量!$K$5:$K$27)*后果甲状腺剂量!$T22+SUMPRODUCT(W$5:W$27,后果甲状腺剂量!$K$5:$K$27)*后果甲状腺剂量!$U22</f>
        <v>0</v>
      </c>
      <c r="T48" s="454">
        <f ca="1" t="shared" si="255"/>
        <v>0</v>
      </c>
      <c r="U48" s="454">
        <f ca="1" t="shared" si="256"/>
        <v>0</v>
      </c>
      <c r="V48" s="436"/>
      <c r="W48" s="436"/>
      <c r="AN48" s="533"/>
      <c r="AS48" s="572"/>
      <c r="BO48" s="600"/>
      <c r="FS48" s="441">
        <f>SUMPRODUCT(FS$5:FS$27,后果有效剂量!$I$5:$I$27)*后果有效剂量!$Q22+SUMPRODUCT(FT$5:FT$27,后果有效剂量!$I$5:$I$27)*后果有效剂量!$R22+SUMPRODUCT(FU$5:FU$27,后果有效剂量!$I$5:$I$27)*后果有效剂量!$S22+SUMPRODUCT(FV$5:FV$27,后果有效剂量!$I$5:$I$27)*后果有效剂量!$T22+SUMPRODUCT(FS$5:FS$27,后果有效剂量!$J$5:$J$27)*后果有效剂量!$Q22*后果有效剂量!$Q$3+SUMPRODUCT(FT$5:FT$27,后果有效剂量!$J$5:$J$27)*后果有效剂量!$R22*后果有效剂量!$R$3+SUMPRODUCT(FU$5:FU$27,后果有效剂量!$J$5:$J$27)*后果有效剂量!$S22*后果有效剂量!$S$3+SUMPRODUCT(FV$5:FV$27,后果有效剂量!$J$5:$J$27)*后果有效剂量!$T22*后果有效剂量!$T$3+SUMPRODUCT(FS$5:FS$27,后果有效剂量!$K$5:$K$27)*后果有效剂量!$Q22+SUMPRODUCT(FT$5:FT$27,后果有效剂量!$K$5:$K$27)*后果有效剂量!$R22+SUMPRODUCT(FU$5:FU$27,后果有效剂量!$K$5:$K$27)*后果有效剂量!$S22+SUMPRODUCT(FV$5:FV$27,后果有效剂量!$K$5:$K$27)*后果有效剂量!$T22</f>
        <v>0</v>
      </c>
      <c r="FT48" s="453">
        <f>SUMPRODUCT(FS$5:FS$27,后果甲状腺剂量!$I$5:$I$27)*后果甲状腺剂量!$Q22+SUMPRODUCT(FT$5:FT$27,后果甲状腺剂量!$I$5:$I$27)*后果甲状腺剂量!$R22+SUMPRODUCT(FU$5:FU$27,后果甲状腺剂量!$I$5:$I$27)*后果甲状腺剂量!$S22+SUMPRODUCT(FV$5:FV$27,后果甲状腺剂量!$I$5:$I$27)*后果甲状腺剂量!$T22+SUMPRODUCT(FS$5:FS$27,后果甲状腺剂量!$J$5:$J$27)*后果甲状腺剂量!$Q22*后果甲状腺剂量!$Q$3+SUMPRODUCT(FT$5:FT$27,后果甲状腺剂量!$J$5:$J$27)*后果甲状腺剂量!$R22*后果甲状腺剂量!$R$3+SUMPRODUCT(FU$5:FU$27,后果甲状腺剂量!$J$5:$J$27)*后果甲状腺剂量!$S22*后果甲状腺剂量!$S$3+SUMPRODUCT(FV$5:FV$27,后果甲状腺剂量!$J$5:$J$27)*后果甲状腺剂量!$T22*后果甲状腺剂量!$T$3+SUMPRODUCT(FS$5:FS$27,后果甲状腺剂量!$K$5:$K$27)*后果甲状腺剂量!$Q22+SUMPRODUCT(FT$5:FT$27,后果甲状腺剂量!$K$5:$K$27)*后果甲状腺剂量!$R22+SUMPRODUCT(FU$5:FU$27,后果甲状腺剂量!$K$5:$K$27)*后果甲状腺剂量!$S22+SUMPRODUCT(FV$5:FV$27,后果甲状腺剂量!$K$5:$K$27)*后果甲状腺剂量!$T22</f>
        <v>0</v>
      </c>
      <c r="FU48" s="454">
        <f t="shared" si="257"/>
        <v>0</v>
      </c>
      <c r="FV48" s="454">
        <f t="shared" si="258"/>
        <v>0</v>
      </c>
      <c r="FW48" s="436"/>
      <c r="FX48" s="436"/>
      <c r="GD48" s="440">
        <f>后果有效剂量!$P22</f>
        <v>0</v>
      </c>
      <c r="GE48" s="441">
        <f>SUMPRODUCT(GE$5:GE$27,后果有效剂量!$I$5:$I$27)*后果有效剂量!$Q22+SUMPRODUCT(GF$5:GF$27,后果有效剂量!$I$5:$I$27)*后果有效剂量!$R22+SUMPRODUCT(GG$5:GG$27,后果有效剂量!$I$5:$I$27)*后果有效剂量!$S22+(SUMPRODUCT(GH$5:GH$27,后果有效剂量!$I$5:$I$27)+SUMPRODUCT(GI$5:GI$27,后果有效剂量!$I$5:$I$27))*后果有效剂量!$T22+SUMPRODUCT(GJ$5:GJ$27,后果有效剂量!$I$5:$I$27)*后果有效剂量!$U22+SUMPRODUCT(GE$5:GE$27,后果有效剂量!$J$5:$J$27)*后果有效剂量!$Q22*后果有效剂量!$Q$3+SUMPRODUCT(GF$5:GF$27,后果有效剂量!$J$5:$J$27)*后果有效剂量!$R22*后果有效剂量!$R$3+SUMPRODUCT(GG$5:GG$27,后果有效剂量!$J$5:$J$27)*后果有效剂量!$S22*后果有效剂量!$S$3+(SUMPRODUCT(GH$5:GH$27,后果有效剂量!$J$5:$J$27)+SUMPRODUCT(GI$5:GI$27,后果有效剂量!$J$5:$J$27))*后果有效剂量!$T22*后果有效剂量!$T$3+SUMPRODUCT(GJ$5:GJ$27,后果有效剂量!$J$5:$J$27)*后果有效剂量!$U22*后果有效剂量!$U$3+SUMPRODUCT(GE$5:GE$27,后果有效剂量!$K$5:$K$27)*后果有效剂量!$Q22+SUMPRODUCT(GF$5:GF$27,后果有效剂量!$K$5:$K$27)*后果有效剂量!$R22+SUMPRODUCT(GG$5:GG$27,后果有效剂量!$K$5:$K$27)*后果有效剂量!$S22+(SUMPRODUCT(GH$5:GH$27,后果有效剂量!$K$5:$K$27)+SUMPRODUCT(GI$5:GI$27,后果有效剂量!$K$5:$K$27))*后果有效剂量!$T22+SUMPRODUCT(GJ$5:GJ$27,后果有效剂量!$K$5:$K$27)*后果有效剂量!$U22</f>
        <v>0</v>
      </c>
      <c r="GF48" s="453">
        <f>SUMPRODUCT(GE$5:GE$27,后果甲状腺剂量!$I$5:$I$27)*后果甲状腺剂量!$Q22+SUMPRODUCT(GF$5:GF$27,后果甲状腺剂量!$I$5:$I$27)*后果甲状腺剂量!$R22+SUMPRODUCT(GG$5:GG$27,后果甲状腺剂量!$I$5:$I$27)*后果甲状腺剂量!$S22+(SUMPRODUCT(GH$5:GH$27,后果甲状腺剂量!$I$5:$I$27)+SUMPRODUCT(GI$5:GI$27,后果甲状腺剂量!$I$5:$I$27))*后果甲状腺剂量!$T22+SUMPRODUCT(GJ$5:GJ$27,后果甲状腺剂量!$I$5:$I$27)*后果甲状腺剂量!$U22+SUMPRODUCT(GE$5:GE$27,后果甲状腺剂量!$J$5:$J$27)*后果甲状腺剂量!$Q22*后果甲状腺剂量!$Q$3+SUMPRODUCT(GF$5:GF$27,后果甲状腺剂量!$J$5:$J$27)*后果甲状腺剂量!$R22*后果甲状腺剂量!$R$3+SUMPRODUCT(GG$5:GG$27,后果甲状腺剂量!$J$5:$J$27)*后果甲状腺剂量!$S22*后果甲状腺剂量!$S$3+(SUMPRODUCT(GH$5:GH$27,后果甲状腺剂量!$J$5:$J$27)+SUMPRODUCT(GI$5:GI$27,后果甲状腺剂量!$J$5:$J$27))*后果甲状腺剂量!$T22*后果甲状腺剂量!$T$3+SUMPRODUCT(GJ$5:GJ$27,后果甲状腺剂量!$J$5:$J$27)*后果甲状腺剂量!$U22*后果甲状腺剂量!$U$3+SUMPRODUCT(GE$5:GE$27,后果甲状腺剂量!$K$5:$K$27)*后果甲状腺剂量!$Q22+SUMPRODUCT(GF$5:GF$27,后果甲状腺剂量!$K$5:$K$27)*后果甲状腺剂量!$R22+SUMPRODUCT(GG$5:GG$27,后果甲状腺剂量!$K$5:$K$27)*后果甲状腺剂量!$S22+(SUMPRODUCT(GH$5:GH$27,后果甲状腺剂量!$K$5:$K$27)+SUMPRODUCT(GI$5:GI$27,后果甲状腺剂量!$K$5:$K$27))*后果甲状腺剂量!$T22+SUMPRODUCT(GJ$5:GJ$27,后果甲状腺剂量!$K$5:$K$27)*后果甲状腺剂量!$U22</f>
        <v>0</v>
      </c>
      <c r="GG48" s="454">
        <f t="shared" si="259"/>
        <v>0</v>
      </c>
      <c r="GH48" s="454">
        <f t="shared" si="260"/>
        <v>0</v>
      </c>
      <c r="GI48" s="436"/>
      <c r="GJ48" s="436"/>
    </row>
    <row r="49" spans="7:192">
      <c r="G49" s="440">
        <f>后果有效剂量!$P23</f>
        <v>0</v>
      </c>
      <c r="H49" s="441">
        <f ca="1">SUMPRODUCT(H$5:H$27,后果有效剂量!$I$5:$I$27)*后果有效剂量!$Q23+SUMPRODUCT(I$5:I$27,后果有效剂量!$I$5:$I$27)*后果有效剂量!$Q23+SUMPRODUCT(J$5:J$27,后果有效剂量!$I$5:$I$27)*后果有效剂量!$R23+SUMPRODUCT(K$5:K$27,后果有效剂量!$I$5:$I$27)*后果有效剂量!$S23+SUMPRODUCT(L$5:L$27,后果有效剂量!$I$5:$I$27)*后果有效剂量!$T23+SUMPRODUCT(M$5:M$27,后果有效剂量!$I$5:$I$27)*后果有效剂量!$U23+SUMPRODUCT(H$5:H$27,后果有效剂量!$J$5:$J$27)*后果有效剂量!$Q23*后果有效剂量!$Q$3+SUMPRODUCT(I$5:I$27,后果有效剂量!$J$5:$J$27)*后果有效剂量!$Q23*后果有效剂量!$Q$3+SUMPRODUCT(J$5:J$27,后果有效剂量!$J$5:$J$27)*后果有效剂量!$R23*后果有效剂量!$R$3+SUMPRODUCT(K$5:K$27,后果有效剂量!$J$5:$J$27)*后果有效剂量!$S23*后果有效剂量!$S$3+SUMPRODUCT(L$5:L$27,后果有效剂量!$J$5:$J$27)*后果有效剂量!$T23*后果有效剂量!$T$3+SUMPRODUCT(M$5:M$27,后果有效剂量!$J$5:$J$27)*后果有效剂量!$U23*后果有效剂量!$U$3+SUMPRODUCT(H$5:H$27,后果有效剂量!$K$5:$K$27)*后果有效剂量!$Q23+SUMPRODUCT(I$5:I$27,后果有效剂量!$K$5:$K$27)*后果有效剂量!$Q23+SUMPRODUCT(J$5:J$27,后果有效剂量!$K$5:$K$27)*后果有效剂量!$R23+SUMPRODUCT(K$5:K$27,后果有效剂量!$K$5:$K$27)*后果有效剂量!$S23+SUMPRODUCT(L$5:L$27,后果有效剂量!$K$5:$K$27)*后果有效剂量!$T23+SUMPRODUCT(M$5:M$27,后果有效剂量!$K$5:$K$27)*后果有效剂量!$U23</f>
        <v>0</v>
      </c>
      <c r="I49" s="453">
        <f ca="1">SUMPRODUCT(H$5:H$27,后果甲状腺剂量!$I$5:$I$27)*后果甲状腺剂量!$Q23+SUMPRODUCT(I$5:I$27,后果甲状腺剂量!$I$5:$I$27)*后果甲状腺剂量!$Q23+SUMPRODUCT(J$5:J$27,后果甲状腺剂量!$I$5:$I$27)*后果甲状腺剂量!$R23+SUMPRODUCT(K$5:K$27,后果甲状腺剂量!$I$5:$I$27)*后果甲状腺剂量!$S23+SUMPRODUCT(L$5:L$27,后果甲状腺剂量!$I$5:$I$27)*后果甲状腺剂量!$T23+SUMPRODUCT(M$5:M$27,后果甲状腺剂量!$I$5:$I$27)*后果甲状腺剂量!$U23+SUMPRODUCT(H$5:H$27,后果甲状腺剂量!$J$5:$J$27)*后果甲状腺剂量!$Q23*后果甲状腺剂量!$Q$3+SUMPRODUCT(I$5:I$27,后果甲状腺剂量!$J$5:$J$27)*后果甲状腺剂量!$Q23*后果甲状腺剂量!$Q$3+SUMPRODUCT(J$5:J$27,后果甲状腺剂量!$J$5:$J$27)*后果甲状腺剂量!$R23*后果甲状腺剂量!$R$3+SUMPRODUCT(K$5:K$27,后果甲状腺剂量!$J$5:$J$27)*后果甲状腺剂量!$S23*后果甲状腺剂量!$S$3+SUMPRODUCT(L$5:L$27,后果甲状腺剂量!$J$5:$J$27)*后果甲状腺剂量!$T23*后果甲状腺剂量!$T$3+SUMPRODUCT(M$5:M$27,后果甲状腺剂量!$J$5:$J$27)*后果甲状腺剂量!$U23*后果甲状腺剂量!$U$3+SUMPRODUCT(H$5:H$27,后果甲状腺剂量!$K$5:$K$27)*后果甲状腺剂量!$Q23+SUMPRODUCT(I$5:I$27,后果甲状腺剂量!$K$5:$K$27)*后果甲状腺剂量!$Q23+SUMPRODUCT(J$5:J$27,后果甲状腺剂量!$K$5:$K$27)*后果甲状腺剂量!$R23+SUMPRODUCT(K$5:K$27,后果甲状腺剂量!$K$5:$K$27)*后果甲状腺剂量!$S23+SUMPRODUCT(L$5:L$27,后果甲状腺剂量!$K$5:$K$27)*后果甲状腺剂量!$T23+SUMPRODUCT(M$5:M$27,后果甲状腺剂量!$K$5:$K$27)*后果甲状腺剂量!$U23</f>
        <v>0</v>
      </c>
      <c r="J49" s="454">
        <f ca="1" t="shared" si="253"/>
        <v>0</v>
      </c>
      <c r="K49" s="454">
        <f ca="1" t="shared" si="254"/>
        <v>0</v>
      </c>
      <c r="L49" s="436"/>
      <c r="M49" s="436"/>
      <c r="N49" s="455"/>
      <c r="Q49" s="440">
        <f>后果有效剂量!$P23</f>
        <v>0</v>
      </c>
      <c r="R49" s="441">
        <f ca="1">SUMPRODUCT(R$5:R$27,后果有效剂量!$I$5:$I$27)*后果有效剂量!$Q23+SUMPRODUCT(S$5:S$27,后果有效剂量!$I$5:$I$27)*后果有效剂量!$Q23+SUMPRODUCT(T$5:T$27,后果有效剂量!$I$5:$I$27)*后果有效剂量!$R23+SUMPRODUCT(U$5:U$27,后果有效剂量!$I$5:$I$27)*后果有效剂量!$S23+SUMPRODUCT(V$5:V$27,后果有效剂量!$I$5:$I$27)*后果有效剂量!$T23+SUMPRODUCT(W$5:W$27,后果有效剂量!$I$5:$I$27)*后果有效剂量!$U23+SUMPRODUCT(R$5:R$27,后果有效剂量!$J$5:$J$27)*后果有效剂量!$Q23*后果有效剂量!$Q$3+SUMPRODUCT(S$5:S$27,后果有效剂量!$J$5:$J$27)*后果有效剂量!$Q23*后果有效剂量!$Q$3+SUMPRODUCT(T$5:T$27,后果有效剂量!$J$5:$J$27)*后果有效剂量!$R23*后果有效剂量!$R$3+SUMPRODUCT(U$5:U$27,后果有效剂量!$J$5:$J$27)*后果有效剂量!$S23*后果有效剂量!$S$3+SUMPRODUCT(V$5:V$27,后果有效剂量!$J$5:$J$27)*后果有效剂量!$T23*后果有效剂量!$T$3+SUMPRODUCT(W$5:W$27,后果有效剂量!$J$5:$J$27)*后果有效剂量!$U23*后果有效剂量!$U$3+SUMPRODUCT(R$5:R$27,后果有效剂量!$K$5:$K$27)*后果有效剂量!$Q23+SUMPRODUCT(S$5:S$27,后果有效剂量!$K$5:$K$27)*后果有效剂量!$Q23+SUMPRODUCT(T$5:T$27,后果有效剂量!$K$5:$K$27)*后果有效剂量!$R23+SUMPRODUCT(U$5:U$27,后果有效剂量!$K$5:$K$27)*后果有效剂量!$S23+SUMPRODUCT(V$5:V$27,后果有效剂量!$K$5:$K$27)*后果有效剂量!$T23+SUMPRODUCT(W$5:W$27,后果有效剂量!$K$5:$K$27)*后果有效剂量!$U23</f>
        <v>0</v>
      </c>
      <c r="S49" s="453">
        <f ca="1">SUMPRODUCT(R$5:R$27,后果甲状腺剂量!$I$5:$I$27)*后果甲状腺剂量!$Q23+SUMPRODUCT(S$5:S$27,后果甲状腺剂量!$I$5:$I$27)*后果甲状腺剂量!$Q23+SUMPRODUCT(T$5:T$27,后果甲状腺剂量!$I$5:$I$27)*后果甲状腺剂量!$R23+SUMPRODUCT(U$5:U$27,后果甲状腺剂量!$I$5:$I$27)*后果甲状腺剂量!$S23+SUMPRODUCT(V$5:V$27,后果甲状腺剂量!$I$5:$I$27)*后果甲状腺剂量!$T23+SUMPRODUCT(W$5:W$27,后果甲状腺剂量!$I$5:$I$27)*后果甲状腺剂量!$U23+SUMPRODUCT(R$5:R$27,后果甲状腺剂量!$J$5:$J$27)*后果甲状腺剂量!$Q23*后果甲状腺剂量!$Q$3+SUMPRODUCT(S$5:S$27,后果甲状腺剂量!$J$5:$J$27)*后果甲状腺剂量!$Q23*后果甲状腺剂量!$Q$3+SUMPRODUCT(T$5:T$27,后果甲状腺剂量!$J$5:$J$27)*后果甲状腺剂量!$R23*后果甲状腺剂量!$R$3+SUMPRODUCT(U$5:U$27,后果甲状腺剂量!$J$5:$J$27)*后果甲状腺剂量!$S23*后果甲状腺剂量!$S$3+SUMPRODUCT(V$5:V$27,后果甲状腺剂量!$J$5:$J$27)*后果甲状腺剂量!$T23*后果甲状腺剂量!$T$3+SUMPRODUCT(W$5:W$27,后果甲状腺剂量!$J$5:$J$27)*后果甲状腺剂量!$U23*后果甲状腺剂量!$U$3+SUMPRODUCT(R$5:R$27,后果甲状腺剂量!$K$5:$K$27)*后果甲状腺剂量!$Q23+SUMPRODUCT(S$5:S$27,后果甲状腺剂量!$K$5:$K$27)*后果甲状腺剂量!$Q23+SUMPRODUCT(T$5:T$27,后果甲状腺剂量!$K$5:$K$27)*后果甲状腺剂量!$R23+SUMPRODUCT(U$5:U$27,后果甲状腺剂量!$K$5:$K$27)*后果甲状腺剂量!$S23+SUMPRODUCT(V$5:V$27,后果甲状腺剂量!$K$5:$K$27)*后果甲状腺剂量!$T23+SUMPRODUCT(W$5:W$27,后果甲状腺剂量!$K$5:$K$27)*后果甲状腺剂量!$U23</f>
        <v>0</v>
      </c>
      <c r="T49" s="454">
        <f ca="1" t="shared" si="255"/>
        <v>0</v>
      </c>
      <c r="U49" s="454">
        <f ca="1" t="shared" si="256"/>
        <v>0</v>
      </c>
      <c r="V49" s="436"/>
      <c r="W49" s="436"/>
      <c r="AN49" s="533"/>
      <c r="AS49" s="572"/>
      <c r="BO49" s="600"/>
      <c r="FS49" s="441">
        <f>SUMPRODUCT(FS$5:FS$27,后果有效剂量!$I$5:$I$27)*后果有效剂量!$Q23+SUMPRODUCT(FT$5:FT$27,后果有效剂量!$I$5:$I$27)*后果有效剂量!$R23+SUMPRODUCT(FU$5:FU$27,后果有效剂量!$I$5:$I$27)*后果有效剂量!$S23+SUMPRODUCT(FV$5:FV$27,后果有效剂量!$I$5:$I$27)*后果有效剂量!$T23+SUMPRODUCT(FS$5:FS$27,后果有效剂量!$J$5:$J$27)*后果有效剂量!$Q23*后果有效剂量!$Q$3+SUMPRODUCT(FT$5:FT$27,后果有效剂量!$J$5:$J$27)*后果有效剂量!$R23*后果有效剂量!$R$3+SUMPRODUCT(FU$5:FU$27,后果有效剂量!$J$5:$J$27)*后果有效剂量!$S23*后果有效剂量!$S$3+SUMPRODUCT(FV$5:FV$27,后果有效剂量!$J$5:$J$27)*后果有效剂量!$T23*后果有效剂量!$T$3+SUMPRODUCT(FS$5:FS$27,后果有效剂量!$K$5:$K$27)*后果有效剂量!$Q23+SUMPRODUCT(FT$5:FT$27,后果有效剂量!$K$5:$K$27)*后果有效剂量!$R23+SUMPRODUCT(FU$5:FU$27,后果有效剂量!$K$5:$K$27)*后果有效剂量!$S23+SUMPRODUCT(FV$5:FV$27,后果有效剂量!$K$5:$K$27)*后果有效剂量!$T23</f>
        <v>0</v>
      </c>
      <c r="FT49" s="453">
        <f>SUMPRODUCT(FS$5:FS$27,后果甲状腺剂量!$I$5:$I$27)*后果甲状腺剂量!$Q23+SUMPRODUCT(FT$5:FT$27,后果甲状腺剂量!$I$5:$I$27)*后果甲状腺剂量!$R23+SUMPRODUCT(FU$5:FU$27,后果甲状腺剂量!$I$5:$I$27)*后果甲状腺剂量!$S23+SUMPRODUCT(FV$5:FV$27,后果甲状腺剂量!$I$5:$I$27)*后果甲状腺剂量!$T23+SUMPRODUCT(FS$5:FS$27,后果甲状腺剂量!$J$5:$J$27)*后果甲状腺剂量!$Q23*后果甲状腺剂量!$Q$3+SUMPRODUCT(FT$5:FT$27,后果甲状腺剂量!$J$5:$J$27)*后果甲状腺剂量!$R23*后果甲状腺剂量!$R$3+SUMPRODUCT(FU$5:FU$27,后果甲状腺剂量!$J$5:$J$27)*后果甲状腺剂量!$S23*后果甲状腺剂量!$S$3+SUMPRODUCT(FV$5:FV$27,后果甲状腺剂量!$J$5:$J$27)*后果甲状腺剂量!$T23*后果甲状腺剂量!$T$3+SUMPRODUCT(FS$5:FS$27,后果甲状腺剂量!$K$5:$K$27)*后果甲状腺剂量!$Q23+SUMPRODUCT(FT$5:FT$27,后果甲状腺剂量!$K$5:$K$27)*后果甲状腺剂量!$R23+SUMPRODUCT(FU$5:FU$27,后果甲状腺剂量!$K$5:$K$27)*后果甲状腺剂量!$S23+SUMPRODUCT(FV$5:FV$27,后果甲状腺剂量!$K$5:$K$27)*后果甲状腺剂量!$T23</f>
        <v>0</v>
      </c>
      <c r="FU49" s="454">
        <f t="shared" si="257"/>
        <v>0</v>
      </c>
      <c r="FV49" s="454">
        <f t="shared" si="258"/>
        <v>0</v>
      </c>
      <c r="FW49" s="436"/>
      <c r="FX49" s="436"/>
      <c r="GD49" s="440">
        <f>后果有效剂量!$P23</f>
        <v>0</v>
      </c>
      <c r="GE49" s="441">
        <f>SUMPRODUCT(GE$5:GE$27,后果有效剂量!$I$5:$I$27)*后果有效剂量!$Q23+SUMPRODUCT(GF$5:GF$27,后果有效剂量!$I$5:$I$27)*后果有效剂量!$R23+SUMPRODUCT(GG$5:GG$27,后果有效剂量!$I$5:$I$27)*后果有效剂量!$S23+(SUMPRODUCT(GH$5:GH$27,后果有效剂量!$I$5:$I$27)+SUMPRODUCT(GI$5:GI$27,后果有效剂量!$I$5:$I$27))*后果有效剂量!$T23+SUMPRODUCT(GJ$5:GJ$27,后果有效剂量!$I$5:$I$27)*后果有效剂量!$U23+SUMPRODUCT(GE$5:GE$27,后果有效剂量!$J$5:$J$27)*后果有效剂量!$Q23*后果有效剂量!$Q$3+SUMPRODUCT(GF$5:GF$27,后果有效剂量!$J$5:$J$27)*后果有效剂量!$R23*后果有效剂量!$R$3+SUMPRODUCT(GG$5:GG$27,后果有效剂量!$J$5:$J$27)*后果有效剂量!$S23*后果有效剂量!$S$3+(SUMPRODUCT(GH$5:GH$27,后果有效剂量!$J$5:$J$27)+SUMPRODUCT(GI$5:GI$27,后果有效剂量!$J$5:$J$27))*后果有效剂量!$T23*后果有效剂量!$T$3+SUMPRODUCT(GJ$5:GJ$27,后果有效剂量!$J$5:$J$27)*后果有效剂量!$U23*后果有效剂量!$U$3+SUMPRODUCT(GE$5:GE$27,后果有效剂量!$K$5:$K$27)*后果有效剂量!$Q23+SUMPRODUCT(GF$5:GF$27,后果有效剂量!$K$5:$K$27)*后果有效剂量!$R23+SUMPRODUCT(GG$5:GG$27,后果有效剂量!$K$5:$K$27)*后果有效剂量!$S23+(SUMPRODUCT(GH$5:GH$27,后果有效剂量!$K$5:$K$27)+SUMPRODUCT(GI$5:GI$27,后果有效剂量!$K$5:$K$27))*后果有效剂量!$T23+SUMPRODUCT(GJ$5:GJ$27,后果有效剂量!$K$5:$K$27)*后果有效剂量!$U23</f>
        <v>0</v>
      </c>
      <c r="GF49" s="453">
        <f>SUMPRODUCT(GE$5:GE$27,后果甲状腺剂量!$I$5:$I$27)*后果甲状腺剂量!$Q23+SUMPRODUCT(GF$5:GF$27,后果甲状腺剂量!$I$5:$I$27)*后果甲状腺剂量!$R23+SUMPRODUCT(GG$5:GG$27,后果甲状腺剂量!$I$5:$I$27)*后果甲状腺剂量!$S23+(SUMPRODUCT(GH$5:GH$27,后果甲状腺剂量!$I$5:$I$27)+SUMPRODUCT(GI$5:GI$27,后果甲状腺剂量!$I$5:$I$27))*后果甲状腺剂量!$T23+SUMPRODUCT(GJ$5:GJ$27,后果甲状腺剂量!$I$5:$I$27)*后果甲状腺剂量!$U23+SUMPRODUCT(GE$5:GE$27,后果甲状腺剂量!$J$5:$J$27)*后果甲状腺剂量!$Q23*后果甲状腺剂量!$Q$3+SUMPRODUCT(GF$5:GF$27,后果甲状腺剂量!$J$5:$J$27)*后果甲状腺剂量!$R23*后果甲状腺剂量!$R$3+SUMPRODUCT(GG$5:GG$27,后果甲状腺剂量!$J$5:$J$27)*后果甲状腺剂量!$S23*后果甲状腺剂量!$S$3+(SUMPRODUCT(GH$5:GH$27,后果甲状腺剂量!$J$5:$J$27)+SUMPRODUCT(GI$5:GI$27,后果甲状腺剂量!$J$5:$J$27))*后果甲状腺剂量!$T23*后果甲状腺剂量!$T$3+SUMPRODUCT(GJ$5:GJ$27,后果甲状腺剂量!$J$5:$J$27)*后果甲状腺剂量!$U23*后果甲状腺剂量!$U$3+SUMPRODUCT(GE$5:GE$27,后果甲状腺剂量!$K$5:$K$27)*后果甲状腺剂量!$Q23+SUMPRODUCT(GF$5:GF$27,后果甲状腺剂量!$K$5:$K$27)*后果甲状腺剂量!$R23+SUMPRODUCT(GG$5:GG$27,后果甲状腺剂量!$K$5:$K$27)*后果甲状腺剂量!$S23+(SUMPRODUCT(GH$5:GH$27,后果甲状腺剂量!$K$5:$K$27)+SUMPRODUCT(GI$5:GI$27,后果甲状腺剂量!$K$5:$K$27))*后果甲状腺剂量!$T23+SUMPRODUCT(GJ$5:GJ$27,后果甲状腺剂量!$K$5:$K$27)*后果甲状腺剂量!$U23</f>
        <v>0</v>
      </c>
      <c r="GG49" s="454">
        <f t="shared" si="259"/>
        <v>0</v>
      </c>
      <c r="GH49" s="454">
        <f t="shared" si="260"/>
        <v>0</v>
      </c>
      <c r="GI49" s="436"/>
      <c r="GJ49" s="436"/>
    </row>
    <row r="50" spans="7:192">
      <c r="G50" s="440">
        <f>后果有效剂量!$P24</f>
        <v>0</v>
      </c>
      <c r="H50" s="441">
        <f ca="1">SUMPRODUCT(H$5:H$27,后果有效剂量!$I$5:$I$27)*后果有效剂量!$Q24+SUMPRODUCT(I$5:I$27,后果有效剂量!$I$5:$I$27)*后果有效剂量!$Q24+SUMPRODUCT(J$5:J$27,后果有效剂量!$I$5:$I$27)*后果有效剂量!$R24+SUMPRODUCT(K$5:K$27,后果有效剂量!$I$5:$I$27)*后果有效剂量!$S24+SUMPRODUCT(L$5:L$27,后果有效剂量!$I$5:$I$27)*后果有效剂量!$T24+SUMPRODUCT(M$5:M$27,后果有效剂量!$I$5:$I$27)*后果有效剂量!$U24+SUMPRODUCT(H$5:H$27,后果有效剂量!$J$5:$J$27)*后果有效剂量!$Q24*后果有效剂量!$Q$3+SUMPRODUCT(I$5:I$27,后果有效剂量!$J$5:$J$27)*后果有效剂量!$Q24*后果有效剂量!$Q$3+SUMPRODUCT(J$5:J$27,后果有效剂量!$J$5:$J$27)*后果有效剂量!$R24*后果有效剂量!$R$3+SUMPRODUCT(K$5:K$27,后果有效剂量!$J$5:$J$27)*后果有效剂量!$S24*后果有效剂量!$S$3+SUMPRODUCT(L$5:L$27,后果有效剂量!$J$5:$J$27)*后果有效剂量!$T24*后果有效剂量!$T$3+SUMPRODUCT(M$5:M$27,后果有效剂量!$J$5:$J$27)*后果有效剂量!$U24*后果有效剂量!$U$3+SUMPRODUCT(H$5:H$27,后果有效剂量!$K$5:$K$27)*后果有效剂量!$Q24+SUMPRODUCT(I$5:I$27,后果有效剂量!$K$5:$K$27)*后果有效剂量!$Q24+SUMPRODUCT(J$5:J$27,后果有效剂量!$K$5:$K$27)*后果有效剂量!$R24+SUMPRODUCT(K$5:K$27,后果有效剂量!$K$5:$K$27)*后果有效剂量!$S24+SUMPRODUCT(L$5:L$27,后果有效剂量!$K$5:$K$27)*后果有效剂量!$T24+SUMPRODUCT(M$5:M$27,后果有效剂量!$K$5:$K$27)*后果有效剂量!$U24</f>
        <v>0</v>
      </c>
      <c r="I50" s="453">
        <f ca="1">SUMPRODUCT(H$5:H$27,后果甲状腺剂量!$I$5:$I$27)*后果甲状腺剂量!$Q24+SUMPRODUCT(I$5:I$27,后果甲状腺剂量!$I$5:$I$27)*后果甲状腺剂量!$Q24+SUMPRODUCT(J$5:J$27,后果甲状腺剂量!$I$5:$I$27)*后果甲状腺剂量!$R24+SUMPRODUCT(K$5:K$27,后果甲状腺剂量!$I$5:$I$27)*后果甲状腺剂量!$S24+SUMPRODUCT(L$5:L$27,后果甲状腺剂量!$I$5:$I$27)*后果甲状腺剂量!$T24+SUMPRODUCT(M$5:M$27,后果甲状腺剂量!$I$5:$I$27)*后果甲状腺剂量!$U24+SUMPRODUCT(H$5:H$27,后果甲状腺剂量!$J$5:$J$27)*后果甲状腺剂量!$Q24*后果甲状腺剂量!$Q$3+SUMPRODUCT(I$5:I$27,后果甲状腺剂量!$J$5:$J$27)*后果甲状腺剂量!$Q24*后果甲状腺剂量!$Q$3+SUMPRODUCT(J$5:J$27,后果甲状腺剂量!$J$5:$J$27)*后果甲状腺剂量!$R24*后果甲状腺剂量!$R$3+SUMPRODUCT(K$5:K$27,后果甲状腺剂量!$J$5:$J$27)*后果甲状腺剂量!$S24*后果甲状腺剂量!$S$3+SUMPRODUCT(L$5:L$27,后果甲状腺剂量!$J$5:$J$27)*后果甲状腺剂量!$T24*后果甲状腺剂量!$T$3+SUMPRODUCT(M$5:M$27,后果甲状腺剂量!$J$5:$J$27)*后果甲状腺剂量!$U24*后果甲状腺剂量!$U$3+SUMPRODUCT(H$5:H$27,后果甲状腺剂量!$K$5:$K$27)*后果甲状腺剂量!$Q24+SUMPRODUCT(I$5:I$27,后果甲状腺剂量!$K$5:$K$27)*后果甲状腺剂量!$Q24+SUMPRODUCT(J$5:J$27,后果甲状腺剂量!$K$5:$K$27)*后果甲状腺剂量!$R24+SUMPRODUCT(K$5:K$27,后果甲状腺剂量!$K$5:$K$27)*后果甲状腺剂量!$S24+SUMPRODUCT(L$5:L$27,后果甲状腺剂量!$K$5:$K$27)*后果甲状腺剂量!$T24+SUMPRODUCT(M$5:M$27,后果甲状腺剂量!$K$5:$K$27)*后果甲状腺剂量!$U24</f>
        <v>0</v>
      </c>
      <c r="J50" s="454">
        <f ca="1" t="shared" si="253"/>
        <v>0</v>
      </c>
      <c r="K50" s="454">
        <f ca="1" t="shared" si="254"/>
        <v>0</v>
      </c>
      <c r="L50" s="436"/>
      <c r="M50" s="436"/>
      <c r="N50" s="455"/>
      <c r="Q50" s="440">
        <f>后果有效剂量!$P24</f>
        <v>0</v>
      </c>
      <c r="R50" s="441">
        <f ca="1">SUMPRODUCT(R$5:R$27,后果有效剂量!$I$5:$I$27)*后果有效剂量!$Q24+SUMPRODUCT(S$5:S$27,后果有效剂量!$I$5:$I$27)*后果有效剂量!$Q24+SUMPRODUCT(T$5:T$27,后果有效剂量!$I$5:$I$27)*后果有效剂量!$R24+SUMPRODUCT(U$5:U$27,后果有效剂量!$I$5:$I$27)*后果有效剂量!$S24+SUMPRODUCT(V$5:V$27,后果有效剂量!$I$5:$I$27)*后果有效剂量!$T24+SUMPRODUCT(W$5:W$27,后果有效剂量!$I$5:$I$27)*后果有效剂量!$U24+SUMPRODUCT(R$5:R$27,后果有效剂量!$J$5:$J$27)*后果有效剂量!$Q24*后果有效剂量!$Q$3+SUMPRODUCT(S$5:S$27,后果有效剂量!$J$5:$J$27)*后果有效剂量!$Q24*后果有效剂量!$Q$3+SUMPRODUCT(T$5:T$27,后果有效剂量!$J$5:$J$27)*后果有效剂量!$R24*后果有效剂量!$R$3+SUMPRODUCT(U$5:U$27,后果有效剂量!$J$5:$J$27)*后果有效剂量!$S24*后果有效剂量!$S$3+SUMPRODUCT(V$5:V$27,后果有效剂量!$J$5:$J$27)*后果有效剂量!$T24*后果有效剂量!$T$3+SUMPRODUCT(W$5:W$27,后果有效剂量!$J$5:$J$27)*后果有效剂量!$U24*后果有效剂量!$U$3+SUMPRODUCT(R$5:R$27,后果有效剂量!$K$5:$K$27)*后果有效剂量!$Q24+SUMPRODUCT(S$5:S$27,后果有效剂量!$K$5:$K$27)*后果有效剂量!$Q24+SUMPRODUCT(T$5:T$27,后果有效剂量!$K$5:$K$27)*后果有效剂量!$R24+SUMPRODUCT(U$5:U$27,后果有效剂量!$K$5:$K$27)*后果有效剂量!$S24+SUMPRODUCT(V$5:V$27,后果有效剂量!$K$5:$K$27)*后果有效剂量!$T24+SUMPRODUCT(W$5:W$27,后果有效剂量!$K$5:$K$27)*后果有效剂量!$U24</f>
        <v>0</v>
      </c>
      <c r="S50" s="453">
        <f ca="1">SUMPRODUCT(R$5:R$27,后果甲状腺剂量!$I$5:$I$27)*后果甲状腺剂量!$Q24+SUMPRODUCT(S$5:S$27,后果甲状腺剂量!$I$5:$I$27)*后果甲状腺剂量!$Q24+SUMPRODUCT(T$5:T$27,后果甲状腺剂量!$I$5:$I$27)*后果甲状腺剂量!$R24+SUMPRODUCT(U$5:U$27,后果甲状腺剂量!$I$5:$I$27)*后果甲状腺剂量!$S24+SUMPRODUCT(V$5:V$27,后果甲状腺剂量!$I$5:$I$27)*后果甲状腺剂量!$T24+SUMPRODUCT(W$5:W$27,后果甲状腺剂量!$I$5:$I$27)*后果甲状腺剂量!$U24+SUMPRODUCT(R$5:R$27,后果甲状腺剂量!$J$5:$J$27)*后果甲状腺剂量!$Q24*后果甲状腺剂量!$Q$3+SUMPRODUCT(S$5:S$27,后果甲状腺剂量!$J$5:$J$27)*后果甲状腺剂量!$Q24*后果甲状腺剂量!$Q$3+SUMPRODUCT(T$5:T$27,后果甲状腺剂量!$J$5:$J$27)*后果甲状腺剂量!$R24*后果甲状腺剂量!$R$3+SUMPRODUCT(U$5:U$27,后果甲状腺剂量!$J$5:$J$27)*后果甲状腺剂量!$S24*后果甲状腺剂量!$S$3+SUMPRODUCT(V$5:V$27,后果甲状腺剂量!$J$5:$J$27)*后果甲状腺剂量!$T24*后果甲状腺剂量!$T$3+SUMPRODUCT(W$5:W$27,后果甲状腺剂量!$J$5:$J$27)*后果甲状腺剂量!$U24*后果甲状腺剂量!$U$3+SUMPRODUCT(R$5:R$27,后果甲状腺剂量!$K$5:$K$27)*后果甲状腺剂量!$Q24+SUMPRODUCT(S$5:S$27,后果甲状腺剂量!$K$5:$K$27)*后果甲状腺剂量!$Q24+SUMPRODUCT(T$5:T$27,后果甲状腺剂量!$K$5:$K$27)*后果甲状腺剂量!$R24+SUMPRODUCT(U$5:U$27,后果甲状腺剂量!$K$5:$K$27)*后果甲状腺剂量!$S24+SUMPRODUCT(V$5:V$27,后果甲状腺剂量!$K$5:$K$27)*后果甲状腺剂量!$T24+SUMPRODUCT(W$5:W$27,后果甲状腺剂量!$K$5:$K$27)*后果甲状腺剂量!$U24</f>
        <v>0</v>
      </c>
      <c r="T50" s="454">
        <f ca="1" t="shared" si="255"/>
        <v>0</v>
      </c>
      <c r="U50" s="454">
        <f ca="1" t="shared" si="256"/>
        <v>0</v>
      </c>
      <c r="V50" s="436"/>
      <c r="W50" s="436"/>
      <c r="AN50" s="533"/>
      <c r="AS50" s="572"/>
      <c r="BO50" s="600"/>
      <c r="FS50" s="441">
        <f>SUMPRODUCT(FS$5:FS$27,后果有效剂量!$I$5:$I$27)*后果有效剂量!$Q24+SUMPRODUCT(FT$5:FT$27,后果有效剂量!$I$5:$I$27)*后果有效剂量!$R24+SUMPRODUCT(FU$5:FU$27,后果有效剂量!$I$5:$I$27)*后果有效剂量!$S24+SUMPRODUCT(FV$5:FV$27,后果有效剂量!$I$5:$I$27)*后果有效剂量!$T24+SUMPRODUCT(FS$5:FS$27,后果有效剂量!$J$5:$J$27)*后果有效剂量!$Q24*后果有效剂量!$Q$3+SUMPRODUCT(FT$5:FT$27,后果有效剂量!$J$5:$J$27)*后果有效剂量!$R24*后果有效剂量!$R$3+SUMPRODUCT(FU$5:FU$27,后果有效剂量!$J$5:$J$27)*后果有效剂量!$S24*后果有效剂量!$S$3+SUMPRODUCT(FV$5:FV$27,后果有效剂量!$J$5:$J$27)*后果有效剂量!$T24*后果有效剂量!$T$3+SUMPRODUCT(FS$5:FS$27,后果有效剂量!$K$5:$K$27)*后果有效剂量!$Q24+SUMPRODUCT(FT$5:FT$27,后果有效剂量!$K$5:$K$27)*后果有效剂量!$R24+SUMPRODUCT(FU$5:FU$27,后果有效剂量!$K$5:$K$27)*后果有效剂量!$S24+SUMPRODUCT(FV$5:FV$27,后果有效剂量!$K$5:$K$27)*后果有效剂量!$T24</f>
        <v>0</v>
      </c>
      <c r="FT50" s="453">
        <f>SUMPRODUCT(FS$5:FS$27,后果甲状腺剂量!$I$5:$I$27)*后果甲状腺剂量!$Q24+SUMPRODUCT(FT$5:FT$27,后果甲状腺剂量!$I$5:$I$27)*后果甲状腺剂量!$R24+SUMPRODUCT(FU$5:FU$27,后果甲状腺剂量!$I$5:$I$27)*后果甲状腺剂量!$S24+SUMPRODUCT(FV$5:FV$27,后果甲状腺剂量!$I$5:$I$27)*后果甲状腺剂量!$T24+SUMPRODUCT(FS$5:FS$27,后果甲状腺剂量!$J$5:$J$27)*后果甲状腺剂量!$Q24*后果甲状腺剂量!$Q$3+SUMPRODUCT(FT$5:FT$27,后果甲状腺剂量!$J$5:$J$27)*后果甲状腺剂量!$R24*后果甲状腺剂量!$R$3+SUMPRODUCT(FU$5:FU$27,后果甲状腺剂量!$J$5:$J$27)*后果甲状腺剂量!$S24*后果甲状腺剂量!$S$3+SUMPRODUCT(FV$5:FV$27,后果甲状腺剂量!$J$5:$J$27)*后果甲状腺剂量!$T24*后果甲状腺剂量!$T$3+SUMPRODUCT(FS$5:FS$27,后果甲状腺剂量!$K$5:$K$27)*后果甲状腺剂量!$Q24+SUMPRODUCT(FT$5:FT$27,后果甲状腺剂量!$K$5:$K$27)*后果甲状腺剂量!$R24+SUMPRODUCT(FU$5:FU$27,后果甲状腺剂量!$K$5:$K$27)*后果甲状腺剂量!$S24+SUMPRODUCT(FV$5:FV$27,后果甲状腺剂量!$K$5:$K$27)*后果甲状腺剂量!$T24</f>
        <v>0</v>
      </c>
      <c r="FU50" s="454">
        <f t="shared" si="257"/>
        <v>0</v>
      </c>
      <c r="FV50" s="454">
        <f t="shared" si="258"/>
        <v>0</v>
      </c>
      <c r="FW50" s="436"/>
      <c r="FX50" s="436"/>
      <c r="GD50" s="440">
        <f>后果有效剂量!$P24</f>
        <v>0</v>
      </c>
      <c r="GE50" s="441">
        <f>SUMPRODUCT(GE$5:GE$27,后果有效剂量!$I$5:$I$27)*后果有效剂量!$Q24+SUMPRODUCT(GF$5:GF$27,后果有效剂量!$I$5:$I$27)*后果有效剂量!$R24+SUMPRODUCT(GG$5:GG$27,后果有效剂量!$I$5:$I$27)*后果有效剂量!$S24+(SUMPRODUCT(GH$5:GH$27,后果有效剂量!$I$5:$I$27)+SUMPRODUCT(GI$5:GI$27,后果有效剂量!$I$5:$I$27))*后果有效剂量!$T24+SUMPRODUCT(GJ$5:GJ$27,后果有效剂量!$I$5:$I$27)*后果有效剂量!$U24+SUMPRODUCT(GE$5:GE$27,后果有效剂量!$J$5:$J$27)*后果有效剂量!$Q24*后果有效剂量!$Q$3+SUMPRODUCT(GF$5:GF$27,后果有效剂量!$J$5:$J$27)*后果有效剂量!$R24*后果有效剂量!$R$3+SUMPRODUCT(GG$5:GG$27,后果有效剂量!$J$5:$J$27)*后果有效剂量!$S24*后果有效剂量!$S$3+(SUMPRODUCT(GH$5:GH$27,后果有效剂量!$J$5:$J$27)+SUMPRODUCT(GI$5:GI$27,后果有效剂量!$J$5:$J$27))*后果有效剂量!$T24*后果有效剂量!$T$3+SUMPRODUCT(GJ$5:GJ$27,后果有效剂量!$J$5:$J$27)*后果有效剂量!$U24*后果有效剂量!$U$3+SUMPRODUCT(GE$5:GE$27,后果有效剂量!$K$5:$K$27)*后果有效剂量!$Q24+SUMPRODUCT(GF$5:GF$27,后果有效剂量!$K$5:$K$27)*后果有效剂量!$R24+SUMPRODUCT(GG$5:GG$27,后果有效剂量!$K$5:$K$27)*后果有效剂量!$S24+(SUMPRODUCT(GH$5:GH$27,后果有效剂量!$K$5:$K$27)+SUMPRODUCT(GI$5:GI$27,后果有效剂量!$K$5:$K$27))*后果有效剂量!$T24+SUMPRODUCT(GJ$5:GJ$27,后果有效剂量!$K$5:$K$27)*后果有效剂量!$U24</f>
        <v>0</v>
      </c>
      <c r="GF50" s="453">
        <f>SUMPRODUCT(GE$5:GE$27,后果甲状腺剂量!$I$5:$I$27)*后果甲状腺剂量!$Q24+SUMPRODUCT(GF$5:GF$27,后果甲状腺剂量!$I$5:$I$27)*后果甲状腺剂量!$R24+SUMPRODUCT(GG$5:GG$27,后果甲状腺剂量!$I$5:$I$27)*后果甲状腺剂量!$S24+(SUMPRODUCT(GH$5:GH$27,后果甲状腺剂量!$I$5:$I$27)+SUMPRODUCT(GI$5:GI$27,后果甲状腺剂量!$I$5:$I$27))*后果甲状腺剂量!$T24+SUMPRODUCT(GJ$5:GJ$27,后果甲状腺剂量!$I$5:$I$27)*后果甲状腺剂量!$U24+SUMPRODUCT(GE$5:GE$27,后果甲状腺剂量!$J$5:$J$27)*后果甲状腺剂量!$Q24*后果甲状腺剂量!$Q$3+SUMPRODUCT(GF$5:GF$27,后果甲状腺剂量!$J$5:$J$27)*后果甲状腺剂量!$R24*后果甲状腺剂量!$R$3+SUMPRODUCT(GG$5:GG$27,后果甲状腺剂量!$J$5:$J$27)*后果甲状腺剂量!$S24*后果甲状腺剂量!$S$3+(SUMPRODUCT(GH$5:GH$27,后果甲状腺剂量!$J$5:$J$27)+SUMPRODUCT(GI$5:GI$27,后果甲状腺剂量!$J$5:$J$27))*后果甲状腺剂量!$T24*后果甲状腺剂量!$T$3+SUMPRODUCT(GJ$5:GJ$27,后果甲状腺剂量!$J$5:$J$27)*后果甲状腺剂量!$U24*后果甲状腺剂量!$U$3+SUMPRODUCT(GE$5:GE$27,后果甲状腺剂量!$K$5:$K$27)*后果甲状腺剂量!$Q24+SUMPRODUCT(GF$5:GF$27,后果甲状腺剂量!$K$5:$K$27)*后果甲状腺剂量!$R24+SUMPRODUCT(GG$5:GG$27,后果甲状腺剂量!$K$5:$K$27)*后果甲状腺剂量!$S24+(SUMPRODUCT(GH$5:GH$27,后果甲状腺剂量!$K$5:$K$27)+SUMPRODUCT(GI$5:GI$27,后果甲状腺剂量!$K$5:$K$27))*后果甲状腺剂量!$T24+SUMPRODUCT(GJ$5:GJ$27,后果甲状腺剂量!$K$5:$K$27)*后果甲状腺剂量!$U24</f>
        <v>0</v>
      </c>
      <c r="GG50" s="454">
        <f t="shared" si="259"/>
        <v>0</v>
      </c>
      <c r="GH50" s="454">
        <f t="shared" si="260"/>
        <v>0</v>
      </c>
      <c r="GI50" s="436"/>
      <c r="GJ50" s="436"/>
    </row>
    <row r="51" spans="7:192">
      <c r="G51" s="440">
        <f>后果有效剂量!$P25</f>
        <v>0</v>
      </c>
      <c r="H51" s="441">
        <f ca="1">SUMPRODUCT(H$5:H$27,后果有效剂量!$I$5:$I$27)*后果有效剂量!$Q25+SUMPRODUCT(I$5:I$27,后果有效剂量!$I$5:$I$27)*后果有效剂量!$Q25+SUMPRODUCT(J$5:J$27,后果有效剂量!$I$5:$I$27)*后果有效剂量!$R25+SUMPRODUCT(K$5:K$27,后果有效剂量!$I$5:$I$27)*后果有效剂量!$S25+SUMPRODUCT(L$5:L$27,后果有效剂量!$I$5:$I$27)*后果有效剂量!$T25+SUMPRODUCT(M$5:M$27,后果有效剂量!$I$5:$I$27)*后果有效剂量!$U25+SUMPRODUCT(H$5:H$27,后果有效剂量!$J$5:$J$27)*后果有效剂量!$Q25*后果有效剂量!$Q$3+SUMPRODUCT(I$5:I$27,后果有效剂量!$J$5:$J$27)*后果有效剂量!$Q25*后果有效剂量!$Q$3+SUMPRODUCT(J$5:J$27,后果有效剂量!$J$5:$J$27)*后果有效剂量!$R25*后果有效剂量!$R$3+SUMPRODUCT(K$5:K$27,后果有效剂量!$J$5:$J$27)*后果有效剂量!$S25*后果有效剂量!$S$3+SUMPRODUCT(L$5:L$27,后果有效剂量!$J$5:$J$27)*后果有效剂量!$T25*后果有效剂量!$T$3+SUMPRODUCT(M$5:M$27,后果有效剂量!$J$5:$J$27)*后果有效剂量!$U25*后果有效剂量!$U$3+SUMPRODUCT(H$5:H$27,后果有效剂量!$K$5:$K$27)*后果有效剂量!$Q25+SUMPRODUCT(I$5:I$27,后果有效剂量!$K$5:$K$27)*后果有效剂量!$Q25+SUMPRODUCT(J$5:J$27,后果有效剂量!$K$5:$K$27)*后果有效剂量!$R25+SUMPRODUCT(K$5:K$27,后果有效剂量!$K$5:$K$27)*后果有效剂量!$S25+SUMPRODUCT(L$5:L$27,后果有效剂量!$K$5:$K$27)*后果有效剂量!$T25+SUMPRODUCT(M$5:M$27,后果有效剂量!$K$5:$K$27)*后果有效剂量!$U25</f>
        <v>0</v>
      </c>
      <c r="I51" s="453">
        <f ca="1">SUMPRODUCT(H$5:H$27,后果甲状腺剂量!$I$5:$I$27)*后果甲状腺剂量!$Q25+SUMPRODUCT(I$5:I$27,后果甲状腺剂量!$I$5:$I$27)*后果甲状腺剂量!$Q25+SUMPRODUCT(J$5:J$27,后果甲状腺剂量!$I$5:$I$27)*后果甲状腺剂量!$R25+SUMPRODUCT(K$5:K$27,后果甲状腺剂量!$I$5:$I$27)*后果甲状腺剂量!$S25+SUMPRODUCT(L$5:L$27,后果甲状腺剂量!$I$5:$I$27)*后果甲状腺剂量!$T25+SUMPRODUCT(M$5:M$27,后果甲状腺剂量!$I$5:$I$27)*后果甲状腺剂量!$U25+SUMPRODUCT(H$5:H$27,后果甲状腺剂量!$J$5:$J$27)*后果甲状腺剂量!$Q25*后果甲状腺剂量!$Q$3+SUMPRODUCT(I$5:I$27,后果甲状腺剂量!$J$5:$J$27)*后果甲状腺剂量!$Q25*后果甲状腺剂量!$Q$3+SUMPRODUCT(J$5:J$27,后果甲状腺剂量!$J$5:$J$27)*后果甲状腺剂量!$R25*后果甲状腺剂量!$R$3+SUMPRODUCT(K$5:K$27,后果甲状腺剂量!$J$5:$J$27)*后果甲状腺剂量!$S25*后果甲状腺剂量!$S$3+SUMPRODUCT(L$5:L$27,后果甲状腺剂量!$J$5:$J$27)*后果甲状腺剂量!$T25*后果甲状腺剂量!$T$3+SUMPRODUCT(M$5:M$27,后果甲状腺剂量!$J$5:$J$27)*后果甲状腺剂量!$U25*后果甲状腺剂量!$U$3+SUMPRODUCT(H$5:H$27,后果甲状腺剂量!$K$5:$K$27)*后果甲状腺剂量!$Q25+SUMPRODUCT(I$5:I$27,后果甲状腺剂量!$K$5:$K$27)*后果甲状腺剂量!$Q25+SUMPRODUCT(J$5:J$27,后果甲状腺剂量!$K$5:$K$27)*后果甲状腺剂量!$R25+SUMPRODUCT(K$5:K$27,后果甲状腺剂量!$K$5:$K$27)*后果甲状腺剂量!$S25+SUMPRODUCT(L$5:L$27,后果甲状腺剂量!$K$5:$K$27)*后果甲状腺剂量!$T25+SUMPRODUCT(M$5:M$27,后果甲状腺剂量!$K$5:$K$27)*后果甲状腺剂量!$U25</f>
        <v>0</v>
      </c>
      <c r="J51" s="454">
        <f ca="1" t="shared" si="253"/>
        <v>0</v>
      </c>
      <c r="K51" s="454">
        <f ca="1" t="shared" si="254"/>
        <v>0</v>
      </c>
      <c r="L51" s="459">
        <f ca="1" t="shared" ref="L51:L56" si="261">J51/10*100</f>
        <v>0</v>
      </c>
      <c r="M51" s="459">
        <f ca="1" t="shared" ref="M51:M56" si="262">K51/100*100</f>
        <v>0</v>
      </c>
      <c r="N51" s="455"/>
      <c r="Q51" s="440">
        <f>后果有效剂量!$P25</f>
        <v>0</v>
      </c>
      <c r="R51" s="441">
        <f ca="1">SUMPRODUCT(R$5:R$27,后果有效剂量!$I$5:$I$27)*后果有效剂量!$Q25+SUMPRODUCT(S$5:S$27,后果有效剂量!$I$5:$I$27)*后果有效剂量!$Q25+SUMPRODUCT(T$5:T$27,后果有效剂量!$I$5:$I$27)*后果有效剂量!$R25+SUMPRODUCT(U$5:U$27,后果有效剂量!$I$5:$I$27)*后果有效剂量!$S25+SUMPRODUCT(V$5:V$27,后果有效剂量!$I$5:$I$27)*后果有效剂量!$T25+SUMPRODUCT(W$5:W$27,后果有效剂量!$I$5:$I$27)*后果有效剂量!$U25+SUMPRODUCT(R$5:R$27,后果有效剂量!$J$5:$J$27)*后果有效剂量!$Q25*后果有效剂量!$Q$3+SUMPRODUCT(S$5:S$27,后果有效剂量!$J$5:$J$27)*后果有效剂量!$Q25*后果有效剂量!$Q$3+SUMPRODUCT(T$5:T$27,后果有效剂量!$J$5:$J$27)*后果有效剂量!$R25*后果有效剂量!$R$3+SUMPRODUCT(U$5:U$27,后果有效剂量!$J$5:$J$27)*后果有效剂量!$S25*后果有效剂量!$S$3+SUMPRODUCT(V$5:V$27,后果有效剂量!$J$5:$J$27)*后果有效剂量!$T25*后果有效剂量!$T$3+SUMPRODUCT(W$5:W$27,后果有效剂量!$J$5:$J$27)*后果有效剂量!$U25*后果有效剂量!$U$3+SUMPRODUCT(R$5:R$27,后果有效剂量!$K$5:$K$27)*后果有效剂量!$Q25+SUMPRODUCT(S$5:S$27,后果有效剂量!$K$5:$K$27)*后果有效剂量!$Q25+SUMPRODUCT(T$5:T$27,后果有效剂量!$K$5:$K$27)*后果有效剂量!$R25+SUMPRODUCT(U$5:U$27,后果有效剂量!$K$5:$K$27)*后果有效剂量!$S25+SUMPRODUCT(V$5:V$27,后果有效剂量!$K$5:$K$27)*后果有效剂量!$T25+SUMPRODUCT(W$5:W$27,后果有效剂量!$K$5:$K$27)*后果有效剂量!$U25</f>
        <v>0</v>
      </c>
      <c r="S51" s="453">
        <f ca="1">SUMPRODUCT(R$5:R$27,后果甲状腺剂量!$I$5:$I$27)*后果甲状腺剂量!$Q25+SUMPRODUCT(S$5:S$27,后果甲状腺剂量!$I$5:$I$27)*后果甲状腺剂量!$Q25+SUMPRODUCT(T$5:T$27,后果甲状腺剂量!$I$5:$I$27)*后果甲状腺剂量!$R25+SUMPRODUCT(U$5:U$27,后果甲状腺剂量!$I$5:$I$27)*后果甲状腺剂量!$S25+SUMPRODUCT(V$5:V$27,后果甲状腺剂量!$I$5:$I$27)*后果甲状腺剂量!$T25+SUMPRODUCT(W$5:W$27,后果甲状腺剂量!$I$5:$I$27)*后果甲状腺剂量!$U25+SUMPRODUCT(R$5:R$27,后果甲状腺剂量!$J$5:$J$27)*后果甲状腺剂量!$Q25*后果甲状腺剂量!$Q$3+SUMPRODUCT(S$5:S$27,后果甲状腺剂量!$J$5:$J$27)*后果甲状腺剂量!$Q25*后果甲状腺剂量!$Q$3+SUMPRODUCT(T$5:T$27,后果甲状腺剂量!$J$5:$J$27)*后果甲状腺剂量!$R25*后果甲状腺剂量!$R$3+SUMPRODUCT(U$5:U$27,后果甲状腺剂量!$J$5:$J$27)*后果甲状腺剂量!$S25*后果甲状腺剂量!$S$3+SUMPRODUCT(V$5:V$27,后果甲状腺剂量!$J$5:$J$27)*后果甲状腺剂量!$T25*后果甲状腺剂量!$T$3+SUMPRODUCT(W$5:W$27,后果甲状腺剂量!$J$5:$J$27)*后果甲状腺剂量!$U25*后果甲状腺剂量!$U$3+SUMPRODUCT(R$5:R$27,后果甲状腺剂量!$K$5:$K$27)*后果甲状腺剂量!$Q25+SUMPRODUCT(S$5:S$27,后果甲状腺剂量!$K$5:$K$27)*后果甲状腺剂量!$Q25+SUMPRODUCT(T$5:T$27,后果甲状腺剂量!$K$5:$K$27)*后果甲状腺剂量!$R25+SUMPRODUCT(U$5:U$27,后果甲状腺剂量!$K$5:$K$27)*后果甲状腺剂量!$S25+SUMPRODUCT(V$5:V$27,后果甲状腺剂量!$K$5:$K$27)*后果甲状腺剂量!$T25+SUMPRODUCT(W$5:W$27,后果甲状腺剂量!$K$5:$K$27)*后果甲状腺剂量!$U25</f>
        <v>0</v>
      </c>
      <c r="T51" s="454">
        <f ca="1" t="shared" si="255"/>
        <v>0</v>
      </c>
      <c r="U51" s="454">
        <f ca="1" t="shared" si="256"/>
        <v>0</v>
      </c>
      <c r="V51" s="459">
        <f ca="1" t="shared" ref="V51:V56" si="263">T51/10*100</f>
        <v>0</v>
      </c>
      <c r="W51" s="459">
        <f ca="1" t="shared" ref="W51:W56" si="264">U51/100*100</f>
        <v>0</v>
      </c>
      <c r="AS51" s="572"/>
      <c r="FS51" s="441">
        <f>SUMPRODUCT(FS$5:FS$27,后果有效剂量!$I$5:$I$27)*后果有效剂量!$Q25+SUMPRODUCT(FT$5:FT$27,后果有效剂量!$I$5:$I$27)*后果有效剂量!$R25+SUMPRODUCT(FU$5:FU$27,后果有效剂量!$I$5:$I$27)*后果有效剂量!$S25+SUMPRODUCT(FV$5:FV$27,后果有效剂量!$I$5:$I$27)*后果有效剂量!$T25+SUMPRODUCT(FS$5:FS$27,后果有效剂量!$J$5:$J$27)*后果有效剂量!$Q25*后果有效剂量!$Q$3+SUMPRODUCT(FT$5:FT$27,后果有效剂量!$J$5:$J$27)*后果有效剂量!$R25*后果有效剂量!$R$3+SUMPRODUCT(FU$5:FU$27,后果有效剂量!$J$5:$J$27)*后果有效剂量!$S25*后果有效剂量!$S$3+SUMPRODUCT(FV$5:FV$27,后果有效剂量!$J$5:$J$27)*后果有效剂量!$T25*后果有效剂量!$T$3+SUMPRODUCT(FS$5:FS$27,后果有效剂量!$K$5:$K$27)*后果有效剂量!$Q25+SUMPRODUCT(FT$5:FT$27,后果有效剂量!$K$5:$K$27)*后果有效剂量!$R25+SUMPRODUCT(FU$5:FU$27,后果有效剂量!$K$5:$K$27)*后果有效剂量!$S25+SUMPRODUCT(FV$5:FV$27,后果有效剂量!$K$5:$K$27)*后果有效剂量!$T25</f>
        <v>0</v>
      </c>
      <c r="FT51" s="453">
        <f>SUMPRODUCT(FS$5:FS$27,后果甲状腺剂量!$I$5:$I$27)*后果甲状腺剂量!$Q25+SUMPRODUCT(FT$5:FT$27,后果甲状腺剂量!$I$5:$I$27)*后果甲状腺剂量!$R25+SUMPRODUCT(FU$5:FU$27,后果甲状腺剂量!$I$5:$I$27)*后果甲状腺剂量!$S25+SUMPRODUCT(FV$5:FV$27,后果甲状腺剂量!$I$5:$I$27)*后果甲状腺剂量!$T25+SUMPRODUCT(FS$5:FS$27,后果甲状腺剂量!$J$5:$J$27)*后果甲状腺剂量!$Q25*后果甲状腺剂量!$Q$3+SUMPRODUCT(FT$5:FT$27,后果甲状腺剂量!$J$5:$J$27)*后果甲状腺剂量!$R25*后果甲状腺剂量!$R$3+SUMPRODUCT(FU$5:FU$27,后果甲状腺剂量!$J$5:$J$27)*后果甲状腺剂量!$S25*后果甲状腺剂量!$S$3+SUMPRODUCT(FV$5:FV$27,后果甲状腺剂量!$J$5:$J$27)*后果甲状腺剂量!$T25*后果甲状腺剂量!$T$3+SUMPRODUCT(FS$5:FS$27,后果甲状腺剂量!$K$5:$K$27)*后果甲状腺剂量!$Q25+SUMPRODUCT(FT$5:FT$27,后果甲状腺剂量!$K$5:$K$27)*后果甲状腺剂量!$R25+SUMPRODUCT(FU$5:FU$27,后果甲状腺剂量!$K$5:$K$27)*后果甲状腺剂量!$S25+SUMPRODUCT(FV$5:FV$27,后果甲状腺剂量!$K$5:$K$27)*后果甲状腺剂量!$T25</f>
        <v>0</v>
      </c>
      <c r="FU51" s="454">
        <f t="shared" si="257"/>
        <v>0</v>
      </c>
      <c r="FV51" s="454">
        <f t="shared" si="258"/>
        <v>0</v>
      </c>
      <c r="FW51" s="459">
        <f t="shared" ref="FW51:FW56" si="265">FU51/10*100</f>
        <v>0</v>
      </c>
      <c r="FX51" s="459">
        <f t="shared" ref="FX51:FX56" si="266">FV51/100*100</f>
        <v>0</v>
      </c>
      <c r="GD51" s="440">
        <f>后果有效剂量!$P25</f>
        <v>0</v>
      </c>
      <c r="GE51" s="441">
        <f>SUMPRODUCT(GE$5:GE$27,后果有效剂量!$I$5:$I$27)*后果有效剂量!$Q25+SUMPRODUCT(GF$5:GF$27,后果有效剂量!$I$5:$I$27)*后果有效剂量!$R25+SUMPRODUCT(GG$5:GG$27,后果有效剂量!$I$5:$I$27)*后果有效剂量!$S25+(SUMPRODUCT(GH$5:GH$27,后果有效剂量!$I$5:$I$27)+SUMPRODUCT(GI$5:GI$27,后果有效剂量!$I$5:$I$27))*后果有效剂量!$T25+SUMPRODUCT(GJ$5:GJ$27,后果有效剂量!$I$5:$I$27)*后果有效剂量!$U25+SUMPRODUCT(GE$5:GE$27,后果有效剂量!$J$5:$J$27)*后果有效剂量!$Q25*后果有效剂量!$Q$3+SUMPRODUCT(GF$5:GF$27,后果有效剂量!$J$5:$J$27)*后果有效剂量!$R25*后果有效剂量!$R$3+SUMPRODUCT(GG$5:GG$27,后果有效剂量!$J$5:$J$27)*后果有效剂量!$S25*后果有效剂量!$S$3+(SUMPRODUCT(GH$5:GH$27,后果有效剂量!$J$5:$J$27)+SUMPRODUCT(GI$5:GI$27,后果有效剂量!$J$5:$J$27))*后果有效剂量!$T25*后果有效剂量!$T$3+SUMPRODUCT(GJ$5:GJ$27,后果有效剂量!$J$5:$J$27)*后果有效剂量!$U25*后果有效剂量!$U$3+SUMPRODUCT(GE$5:GE$27,后果有效剂量!$K$5:$K$27)*后果有效剂量!$Q25+SUMPRODUCT(GF$5:GF$27,后果有效剂量!$K$5:$K$27)*后果有效剂量!$R25+SUMPRODUCT(GG$5:GG$27,后果有效剂量!$K$5:$K$27)*后果有效剂量!$S25+(SUMPRODUCT(GH$5:GH$27,后果有效剂量!$K$5:$K$27)+SUMPRODUCT(GI$5:GI$27,后果有效剂量!$K$5:$K$27))*后果有效剂量!$T25+SUMPRODUCT(GJ$5:GJ$27,后果有效剂量!$K$5:$K$27)*后果有效剂量!$U25</f>
        <v>0</v>
      </c>
      <c r="GF51" s="453">
        <f>SUMPRODUCT(GE$5:GE$27,后果甲状腺剂量!$I$5:$I$27)*后果甲状腺剂量!$Q25+SUMPRODUCT(GF$5:GF$27,后果甲状腺剂量!$I$5:$I$27)*后果甲状腺剂量!$R25+SUMPRODUCT(GG$5:GG$27,后果甲状腺剂量!$I$5:$I$27)*后果甲状腺剂量!$S25+(SUMPRODUCT(GH$5:GH$27,后果甲状腺剂量!$I$5:$I$27)+SUMPRODUCT(GI$5:GI$27,后果甲状腺剂量!$I$5:$I$27))*后果甲状腺剂量!$T25+SUMPRODUCT(GJ$5:GJ$27,后果甲状腺剂量!$I$5:$I$27)*后果甲状腺剂量!$U25+SUMPRODUCT(GE$5:GE$27,后果甲状腺剂量!$J$5:$J$27)*后果甲状腺剂量!$Q25*后果甲状腺剂量!$Q$3+SUMPRODUCT(GF$5:GF$27,后果甲状腺剂量!$J$5:$J$27)*后果甲状腺剂量!$R25*后果甲状腺剂量!$R$3+SUMPRODUCT(GG$5:GG$27,后果甲状腺剂量!$J$5:$J$27)*后果甲状腺剂量!$S25*后果甲状腺剂量!$S$3+(SUMPRODUCT(GH$5:GH$27,后果甲状腺剂量!$J$5:$J$27)+SUMPRODUCT(GI$5:GI$27,后果甲状腺剂量!$J$5:$J$27))*后果甲状腺剂量!$T25*后果甲状腺剂量!$T$3+SUMPRODUCT(GJ$5:GJ$27,后果甲状腺剂量!$J$5:$J$27)*后果甲状腺剂量!$U25*后果甲状腺剂量!$U$3+SUMPRODUCT(GE$5:GE$27,后果甲状腺剂量!$K$5:$K$27)*后果甲状腺剂量!$Q25+SUMPRODUCT(GF$5:GF$27,后果甲状腺剂量!$K$5:$K$27)*后果甲状腺剂量!$R25+SUMPRODUCT(GG$5:GG$27,后果甲状腺剂量!$K$5:$K$27)*后果甲状腺剂量!$S25+(SUMPRODUCT(GH$5:GH$27,后果甲状腺剂量!$K$5:$K$27)+SUMPRODUCT(GI$5:GI$27,后果甲状腺剂量!$K$5:$K$27))*后果甲状腺剂量!$T25+SUMPRODUCT(GJ$5:GJ$27,后果甲状腺剂量!$K$5:$K$27)*后果甲状腺剂量!$U25</f>
        <v>0</v>
      </c>
      <c r="GG51" s="454">
        <f t="shared" si="259"/>
        <v>0</v>
      </c>
      <c r="GH51" s="454">
        <f t="shared" si="260"/>
        <v>0</v>
      </c>
      <c r="GI51" s="459">
        <f t="shared" ref="GI51:GI56" si="267">GG51/10*100</f>
        <v>0</v>
      </c>
      <c r="GJ51" s="459">
        <f t="shared" ref="GJ51:GJ56" si="268">GH51/100*100</f>
        <v>0</v>
      </c>
    </row>
    <row r="52" spans="7:192">
      <c r="G52" s="440">
        <f>后果有效剂量!$P26</f>
        <v>0</v>
      </c>
      <c r="H52" s="441">
        <f ca="1">SUMPRODUCT(H$5:H$27,后果有效剂量!$I$5:$I$27)*后果有效剂量!$Q26+SUMPRODUCT(I$5:I$27,后果有效剂量!$I$5:$I$27)*后果有效剂量!$Q26+SUMPRODUCT(J$5:J$27,后果有效剂量!$I$5:$I$27)*后果有效剂量!$R26+SUMPRODUCT(K$5:K$27,后果有效剂量!$I$5:$I$27)*后果有效剂量!$S26+SUMPRODUCT(L$5:L$27,后果有效剂量!$I$5:$I$27)*后果有效剂量!$T26+SUMPRODUCT(M$5:M$27,后果有效剂量!$I$5:$I$27)*后果有效剂量!$U26+SUMPRODUCT(H$5:H$27,后果有效剂量!$J$5:$J$27)*后果有效剂量!$Q26*后果有效剂量!$Q$3+SUMPRODUCT(I$5:I$27,后果有效剂量!$J$5:$J$27)*后果有效剂量!$Q26*后果有效剂量!$Q$3+SUMPRODUCT(J$5:J$27,后果有效剂量!$J$5:$J$27)*后果有效剂量!$R26*后果有效剂量!$R$3+SUMPRODUCT(K$5:K$27,后果有效剂量!$J$5:$J$27)*后果有效剂量!$S26*后果有效剂量!$S$3+SUMPRODUCT(L$5:L$27,后果有效剂量!$J$5:$J$27)*后果有效剂量!$T26*后果有效剂量!$T$3+SUMPRODUCT(M$5:M$27,后果有效剂量!$J$5:$J$27)*后果有效剂量!$U26*后果有效剂量!$U$3+SUMPRODUCT(H$5:H$27,后果有效剂量!$K$5:$K$27)*后果有效剂量!$Q26+SUMPRODUCT(I$5:I$27,后果有效剂量!$K$5:$K$27)*后果有效剂量!$Q26+SUMPRODUCT(J$5:J$27,后果有效剂量!$K$5:$K$27)*后果有效剂量!$R26+SUMPRODUCT(K$5:K$27,后果有效剂量!$K$5:$K$27)*后果有效剂量!$S26+SUMPRODUCT(L$5:L$27,后果有效剂量!$K$5:$K$27)*后果有效剂量!$T26+SUMPRODUCT(M$5:M$27,后果有效剂量!$K$5:$K$27)*后果有效剂量!$U26</f>
        <v>0</v>
      </c>
      <c r="I52" s="453">
        <f ca="1">SUMPRODUCT(H$5:H$27,后果甲状腺剂量!$I$5:$I$27)*后果甲状腺剂量!$Q26+SUMPRODUCT(I$5:I$27,后果甲状腺剂量!$I$5:$I$27)*后果甲状腺剂量!$Q26+SUMPRODUCT(J$5:J$27,后果甲状腺剂量!$I$5:$I$27)*后果甲状腺剂量!$R26+SUMPRODUCT(K$5:K$27,后果甲状腺剂量!$I$5:$I$27)*后果甲状腺剂量!$S26+SUMPRODUCT(L$5:L$27,后果甲状腺剂量!$I$5:$I$27)*后果甲状腺剂量!$T26+SUMPRODUCT(M$5:M$27,后果甲状腺剂量!$I$5:$I$27)*后果甲状腺剂量!$U26+SUMPRODUCT(H$5:H$27,后果甲状腺剂量!$J$5:$J$27)*后果甲状腺剂量!$Q26*后果甲状腺剂量!$Q$3+SUMPRODUCT(I$5:I$27,后果甲状腺剂量!$J$5:$J$27)*后果甲状腺剂量!$Q26*后果甲状腺剂量!$Q$3+SUMPRODUCT(J$5:J$27,后果甲状腺剂量!$J$5:$J$27)*后果甲状腺剂量!$R26*后果甲状腺剂量!$R$3+SUMPRODUCT(K$5:K$27,后果甲状腺剂量!$J$5:$J$27)*后果甲状腺剂量!$S26*后果甲状腺剂量!$S$3+SUMPRODUCT(L$5:L$27,后果甲状腺剂量!$J$5:$J$27)*后果甲状腺剂量!$T26*后果甲状腺剂量!$T$3+SUMPRODUCT(M$5:M$27,后果甲状腺剂量!$J$5:$J$27)*后果甲状腺剂量!$U26*后果甲状腺剂量!$U$3+SUMPRODUCT(H$5:H$27,后果甲状腺剂量!$K$5:$K$27)*后果甲状腺剂量!$Q26+SUMPRODUCT(I$5:I$27,后果甲状腺剂量!$K$5:$K$27)*后果甲状腺剂量!$Q26+SUMPRODUCT(J$5:J$27,后果甲状腺剂量!$K$5:$K$27)*后果甲状腺剂量!$R26+SUMPRODUCT(K$5:K$27,后果甲状腺剂量!$K$5:$K$27)*后果甲状腺剂量!$S26+SUMPRODUCT(L$5:L$27,后果甲状腺剂量!$K$5:$K$27)*后果甲状腺剂量!$T26+SUMPRODUCT(M$5:M$27,后果甲状腺剂量!$K$5:$K$27)*后果甲状腺剂量!$U26</f>
        <v>0</v>
      </c>
      <c r="J52" s="454">
        <f ca="1" t="shared" si="253"/>
        <v>0</v>
      </c>
      <c r="K52" s="454">
        <f ca="1" t="shared" si="254"/>
        <v>0</v>
      </c>
      <c r="L52" s="459">
        <f ca="1" t="shared" si="261"/>
        <v>0</v>
      </c>
      <c r="M52" s="459">
        <f ca="1" t="shared" si="262"/>
        <v>0</v>
      </c>
      <c r="N52" s="455"/>
      <c r="Q52" s="440">
        <f>后果有效剂量!$P26</f>
        <v>0</v>
      </c>
      <c r="R52" s="441">
        <f ca="1">SUMPRODUCT(R$5:R$27,后果有效剂量!$I$5:$I$27)*后果有效剂量!$Q26+SUMPRODUCT(S$5:S$27,后果有效剂量!$I$5:$I$27)*后果有效剂量!$Q26+SUMPRODUCT(T$5:T$27,后果有效剂量!$I$5:$I$27)*后果有效剂量!$R26+SUMPRODUCT(U$5:U$27,后果有效剂量!$I$5:$I$27)*后果有效剂量!$S26+SUMPRODUCT(V$5:V$27,后果有效剂量!$I$5:$I$27)*后果有效剂量!$T26+SUMPRODUCT(W$5:W$27,后果有效剂量!$I$5:$I$27)*后果有效剂量!$U26+SUMPRODUCT(R$5:R$27,后果有效剂量!$J$5:$J$27)*后果有效剂量!$Q26*后果有效剂量!$Q$3+SUMPRODUCT(S$5:S$27,后果有效剂量!$J$5:$J$27)*后果有效剂量!$Q26*后果有效剂量!$Q$3+SUMPRODUCT(T$5:T$27,后果有效剂量!$J$5:$J$27)*后果有效剂量!$R26*后果有效剂量!$R$3+SUMPRODUCT(U$5:U$27,后果有效剂量!$J$5:$J$27)*后果有效剂量!$S26*后果有效剂量!$S$3+SUMPRODUCT(V$5:V$27,后果有效剂量!$J$5:$J$27)*后果有效剂量!$T26*后果有效剂量!$T$3+SUMPRODUCT(W$5:W$27,后果有效剂量!$J$5:$J$27)*后果有效剂量!$U26*后果有效剂量!$U$3+SUMPRODUCT(R$5:R$27,后果有效剂量!$K$5:$K$27)*后果有效剂量!$Q26+SUMPRODUCT(S$5:S$27,后果有效剂量!$K$5:$K$27)*后果有效剂量!$Q26+SUMPRODUCT(T$5:T$27,后果有效剂量!$K$5:$K$27)*后果有效剂量!$R26+SUMPRODUCT(U$5:U$27,后果有效剂量!$K$5:$K$27)*后果有效剂量!$S26+SUMPRODUCT(V$5:V$27,后果有效剂量!$K$5:$K$27)*后果有效剂量!$T26+SUMPRODUCT(W$5:W$27,后果有效剂量!$K$5:$K$27)*后果有效剂量!$U26</f>
        <v>0</v>
      </c>
      <c r="S52" s="453">
        <f ca="1">SUMPRODUCT(R$5:R$27,后果甲状腺剂量!$I$5:$I$27)*后果甲状腺剂量!$Q26+SUMPRODUCT(S$5:S$27,后果甲状腺剂量!$I$5:$I$27)*后果甲状腺剂量!$Q26+SUMPRODUCT(T$5:T$27,后果甲状腺剂量!$I$5:$I$27)*后果甲状腺剂量!$R26+SUMPRODUCT(U$5:U$27,后果甲状腺剂量!$I$5:$I$27)*后果甲状腺剂量!$S26+SUMPRODUCT(V$5:V$27,后果甲状腺剂量!$I$5:$I$27)*后果甲状腺剂量!$T26+SUMPRODUCT(W$5:W$27,后果甲状腺剂量!$I$5:$I$27)*后果甲状腺剂量!$U26+SUMPRODUCT(R$5:R$27,后果甲状腺剂量!$J$5:$J$27)*后果甲状腺剂量!$Q26*后果甲状腺剂量!$Q$3+SUMPRODUCT(S$5:S$27,后果甲状腺剂量!$J$5:$J$27)*后果甲状腺剂量!$Q26*后果甲状腺剂量!$Q$3+SUMPRODUCT(T$5:T$27,后果甲状腺剂量!$J$5:$J$27)*后果甲状腺剂量!$R26*后果甲状腺剂量!$R$3+SUMPRODUCT(U$5:U$27,后果甲状腺剂量!$J$5:$J$27)*后果甲状腺剂量!$S26*后果甲状腺剂量!$S$3+SUMPRODUCT(V$5:V$27,后果甲状腺剂量!$J$5:$J$27)*后果甲状腺剂量!$T26*后果甲状腺剂量!$T$3+SUMPRODUCT(W$5:W$27,后果甲状腺剂量!$J$5:$J$27)*后果甲状腺剂量!$U26*后果甲状腺剂量!$U$3+SUMPRODUCT(R$5:R$27,后果甲状腺剂量!$K$5:$K$27)*后果甲状腺剂量!$Q26+SUMPRODUCT(S$5:S$27,后果甲状腺剂量!$K$5:$K$27)*后果甲状腺剂量!$Q26+SUMPRODUCT(T$5:T$27,后果甲状腺剂量!$K$5:$K$27)*后果甲状腺剂量!$R26+SUMPRODUCT(U$5:U$27,后果甲状腺剂量!$K$5:$K$27)*后果甲状腺剂量!$S26+SUMPRODUCT(V$5:V$27,后果甲状腺剂量!$K$5:$K$27)*后果甲状腺剂量!$T26+SUMPRODUCT(W$5:W$27,后果甲状腺剂量!$K$5:$K$27)*后果甲状腺剂量!$U26</f>
        <v>0</v>
      </c>
      <c r="T52" s="454">
        <f ca="1" t="shared" si="255"/>
        <v>0</v>
      </c>
      <c r="U52" s="454">
        <f ca="1" t="shared" si="256"/>
        <v>0</v>
      </c>
      <c r="V52" s="459">
        <f ca="1" t="shared" si="263"/>
        <v>0</v>
      </c>
      <c r="W52" s="459">
        <f ca="1" t="shared" si="264"/>
        <v>0</v>
      </c>
      <c r="AS52" s="572"/>
      <c r="FS52" s="441">
        <f>SUMPRODUCT(FS$5:FS$27,后果有效剂量!$I$5:$I$27)*后果有效剂量!$Q26+SUMPRODUCT(FT$5:FT$27,后果有效剂量!$I$5:$I$27)*后果有效剂量!$R26+SUMPRODUCT(FU$5:FU$27,后果有效剂量!$I$5:$I$27)*后果有效剂量!$S26+SUMPRODUCT(FV$5:FV$27,后果有效剂量!$I$5:$I$27)*后果有效剂量!$T26+SUMPRODUCT(FS$5:FS$27,后果有效剂量!$J$5:$J$27)*后果有效剂量!$Q26*后果有效剂量!$Q$3+SUMPRODUCT(FT$5:FT$27,后果有效剂量!$J$5:$J$27)*后果有效剂量!$R26*后果有效剂量!$R$3+SUMPRODUCT(FU$5:FU$27,后果有效剂量!$J$5:$J$27)*后果有效剂量!$S26*后果有效剂量!$S$3+SUMPRODUCT(FV$5:FV$27,后果有效剂量!$J$5:$J$27)*后果有效剂量!$T26*后果有效剂量!$T$3+SUMPRODUCT(FS$5:FS$27,后果有效剂量!$K$5:$K$27)*后果有效剂量!$Q26+SUMPRODUCT(FT$5:FT$27,后果有效剂量!$K$5:$K$27)*后果有效剂量!$R26+SUMPRODUCT(FU$5:FU$27,后果有效剂量!$K$5:$K$27)*后果有效剂量!$S26+SUMPRODUCT(FV$5:FV$27,后果有效剂量!$K$5:$K$27)*后果有效剂量!$T26</f>
        <v>0</v>
      </c>
      <c r="FT52" s="453">
        <f>SUMPRODUCT(FS$5:FS$27,后果甲状腺剂量!$I$5:$I$27)*后果甲状腺剂量!$Q26+SUMPRODUCT(FT$5:FT$27,后果甲状腺剂量!$I$5:$I$27)*后果甲状腺剂量!$R26+SUMPRODUCT(FU$5:FU$27,后果甲状腺剂量!$I$5:$I$27)*后果甲状腺剂量!$S26+SUMPRODUCT(FV$5:FV$27,后果甲状腺剂量!$I$5:$I$27)*后果甲状腺剂量!$T26+SUMPRODUCT(FS$5:FS$27,后果甲状腺剂量!$J$5:$J$27)*后果甲状腺剂量!$Q26*后果甲状腺剂量!$Q$3+SUMPRODUCT(FT$5:FT$27,后果甲状腺剂量!$J$5:$J$27)*后果甲状腺剂量!$R26*后果甲状腺剂量!$R$3+SUMPRODUCT(FU$5:FU$27,后果甲状腺剂量!$J$5:$J$27)*后果甲状腺剂量!$S26*后果甲状腺剂量!$S$3+SUMPRODUCT(FV$5:FV$27,后果甲状腺剂量!$J$5:$J$27)*后果甲状腺剂量!$T26*后果甲状腺剂量!$T$3+SUMPRODUCT(FS$5:FS$27,后果甲状腺剂量!$K$5:$K$27)*后果甲状腺剂量!$Q26+SUMPRODUCT(FT$5:FT$27,后果甲状腺剂量!$K$5:$K$27)*后果甲状腺剂量!$R26+SUMPRODUCT(FU$5:FU$27,后果甲状腺剂量!$K$5:$K$27)*后果甲状腺剂量!$S26+SUMPRODUCT(FV$5:FV$27,后果甲状腺剂量!$K$5:$K$27)*后果甲状腺剂量!$T26</f>
        <v>0</v>
      </c>
      <c r="FU52" s="454">
        <f t="shared" si="257"/>
        <v>0</v>
      </c>
      <c r="FV52" s="454">
        <f t="shared" si="258"/>
        <v>0</v>
      </c>
      <c r="FW52" s="459">
        <f t="shared" si="265"/>
        <v>0</v>
      </c>
      <c r="FX52" s="459">
        <f t="shared" si="266"/>
        <v>0</v>
      </c>
      <c r="GD52" s="440">
        <f>后果有效剂量!$P26</f>
        <v>0</v>
      </c>
      <c r="GE52" s="441">
        <f>SUMPRODUCT(GE$5:GE$27,后果有效剂量!$I$5:$I$27)*后果有效剂量!$Q26+SUMPRODUCT(GF$5:GF$27,后果有效剂量!$I$5:$I$27)*后果有效剂量!$R26+SUMPRODUCT(GG$5:GG$27,后果有效剂量!$I$5:$I$27)*后果有效剂量!$S26+(SUMPRODUCT(GH$5:GH$27,后果有效剂量!$I$5:$I$27)+SUMPRODUCT(GI$5:GI$27,后果有效剂量!$I$5:$I$27))*后果有效剂量!$T26+SUMPRODUCT(GJ$5:GJ$27,后果有效剂量!$I$5:$I$27)*后果有效剂量!$U26+SUMPRODUCT(GE$5:GE$27,后果有效剂量!$J$5:$J$27)*后果有效剂量!$Q26*后果有效剂量!$Q$3+SUMPRODUCT(GF$5:GF$27,后果有效剂量!$J$5:$J$27)*后果有效剂量!$R26*后果有效剂量!$R$3+SUMPRODUCT(GG$5:GG$27,后果有效剂量!$J$5:$J$27)*后果有效剂量!$S26*后果有效剂量!$S$3+(SUMPRODUCT(GH$5:GH$27,后果有效剂量!$J$5:$J$27)+SUMPRODUCT(GI$5:GI$27,后果有效剂量!$J$5:$J$27))*后果有效剂量!$T26*后果有效剂量!$T$3+SUMPRODUCT(GJ$5:GJ$27,后果有效剂量!$J$5:$J$27)*后果有效剂量!$U26*后果有效剂量!$U$3+SUMPRODUCT(GE$5:GE$27,后果有效剂量!$K$5:$K$27)*后果有效剂量!$Q26+SUMPRODUCT(GF$5:GF$27,后果有效剂量!$K$5:$K$27)*后果有效剂量!$R26+SUMPRODUCT(GG$5:GG$27,后果有效剂量!$K$5:$K$27)*后果有效剂量!$S26+(SUMPRODUCT(GH$5:GH$27,后果有效剂量!$K$5:$K$27)+SUMPRODUCT(GI$5:GI$27,后果有效剂量!$K$5:$K$27))*后果有效剂量!$T26+SUMPRODUCT(GJ$5:GJ$27,后果有效剂量!$K$5:$K$27)*后果有效剂量!$U26</f>
        <v>0</v>
      </c>
      <c r="GF52" s="453">
        <f>SUMPRODUCT(GE$5:GE$27,后果甲状腺剂量!$I$5:$I$27)*后果甲状腺剂量!$Q26+SUMPRODUCT(GF$5:GF$27,后果甲状腺剂量!$I$5:$I$27)*后果甲状腺剂量!$R26+SUMPRODUCT(GG$5:GG$27,后果甲状腺剂量!$I$5:$I$27)*后果甲状腺剂量!$S26+(SUMPRODUCT(GH$5:GH$27,后果甲状腺剂量!$I$5:$I$27)+SUMPRODUCT(GI$5:GI$27,后果甲状腺剂量!$I$5:$I$27))*后果甲状腺剂量!$T26+SUMPRODUCT(GJ$5:GJ$27,后果甲状腺剂量!$I$5:$I$27)*后果甲状腺剂量!$U26+SUMPRODUCT(GE$5:GE$27,后果甲状腺剂量!$J$5:$J$27)*后果甲状腺剂量!$Q26*后果甲状腺剂量!$Q$3+SUMPRODUCT(GF$5:GF$27,后果甲状腺剂量!$J$5:$J$27)*后果甲状腺剂量!$R26*后果甲状腺剂量!$R$3+SUMPRODUCT(GG$5:GG$27,后果甲状腺剂量!$J$5:$J$27)*后果甲状腺剂量!$S26*后果甲状腺剂量!$S$3+(SUMPRODUCT(GH$5:GH$27,后果甲状腺剂量!$J$5:$J$27)+SUMPRODUCT(GI$5:GI$27,后果甲状腺剂量!$J$5:$J$27))*后果甲状腺剂量!$T26*后果甲状腺剂量!$T$3+SUMPRODUCT(GJ$5:GJ$27,后果甲状腺剂量!$J$5:$J$27)*后果甲状腺剂量!$U26*后果甲状腺剂量!$U$3+SUMPRODUCT(GE$5:GE$27,后果甲状腺剂量!$K$5:$K$27)*后果甲状腺剂量!$Q26+SUMPRODUCT(GF$5:GF$27,后果甲状腺剂量!$K$5:$K$27)*后果甲状腺剂量!$R26+SUMPRODUCT(GG$5:GG$27,后果甲状腺剂量!$K$5:$K$27)*后果甲状腺剂量!$S26+(SUMPRODUCT(GH$5:GH$27,后果甲状腺剂量!$K$5:$K$27)+SUMPRODUCT(GI$5:GI$27,后果甲状腺剂量!$K$5:$K$27))*后果甲状腺剂量!$T26+SUMPRODUCT(GJ$5:GJ$27,后果甲状腺剂量!$K$5:$K$27)*后果甲状腺剂量!$U26</f>
        <v>0</v>
      </c>
      <c r="GG52" s="454">
        <f t="shared" si="259"/>
        <v>0</v>
      </c>
      <c r="GH52" s="454">
        <f t="shared" si="260"/>
        <v>0</v>
      </c>
      <c r="GI52" s="459">
        <f t="shared" si="267"/>
        <v>0</v>
      </c>
      <c r="GJ52" s="459">
        <f t="shared" si="268"/>
        <v>0</v>
      </c>
    </row>
    <row r="53" spans="7:192">
      <c r="G53" s="440">
        <f>后果有效剂量!$P27</f>
        <v>0</v>
      </c>
      <c r="H53" s="441">
        <f ca="1">SUMPRODUCT(H$5:H$27,后果有效剂量!$I$5:$I$27)*后果有效剂量!$Q27+SUMPRODUCT(I$5:I$27,后果有效剂量!$I$5:$I$27)*后果有效剂量!$Q27+SUMPRODUCT(J$5:J$27,后果有效剂量!$I$5:$I$27)*后果有效剂量!$R27+SUMPRODUCT(K$5:K$27,后果有效剂量!$I$5:$I$27)*后果有效剂量!$S27+SUMPRODUCT(L$5:L$27,后果有效剂量!$I$5:$I$27)*后果有效剂量!$T27+SUMPRODUCT(M$5:M$27,后果有效剂量!$I$5:$I$27)*后果有效剂量!$U27+SUMPRODUCT(H$5:H$27,后果有效剂量!$J$5:$J$27)*后果有效剂量!$Q27*后果有效剂量!$Q$3+SUMPRODUCT(I$5:I$27,后果有效剂量!$J$5:$J$27)*后果有效剂量!$Q27*后果有效剂量!$Q$3+SUMPRODUCT(J$5:J$27,后果有效剂量!$J$5:$J$27)*后果有效剂量!$R27*后果有效剂量!$R$3+SUMPRODUCT(K$5:K$27,后果有效剂量!$J$5:$J$27)*后果有效剂量!$S27*后果有效剂量!$S$3+SUMPRODUCT(L$5:L$27,后果有效剂量!$J$5:$J$27)*后果有效剂量!$T27*后果有效剂量!$T$3+SUMPRODUCT(M$5:M$27,后果有效剂量!$J$5:$J$27)*后果有效剂量!$U27*后果有效剂量!$U$3+SUMPRODUCT(H$5:H$27,后果有效剂量!$K$5:$K$27)*后果有效剂量!$Q27+SUMPRODUCT(I$5:I$27,后果有效剂量!$K$5:$K$27)*后果有效剂量!$Q27+SUMPRODUCT(J$5:J$27,后果有效剂量!$K$5:$K$27)*后果有效剂量!$R27+SUMPRODUCT(K$5:K$27,后果有效剂量!$K$5:$K$27)*后果有效剂量!$S27+SUMPRODUCT(L$5:L$27,后果有效剂量!$K$5:$K$27)*后果有效剂量!$T27+SUMPRODUCT(M$5:M$27,后果有效剂量!$K$5:$K$27)*后果有效剂量!$U27</f>
        <v>0</v>
      </c>
      <c r="I53" s="453">
        <f ca="1">SUMPRODUCT(H$5:H$27,后果甲状腺剂量!$I$5:$I$27)*后果甲状腺剂量!$Q27+SUMPRODUCT(I$5:I$27,后果甲状腺剂量!$I$5:$I$27)*后果甲状腺剂量!$Q27+SUMPRODUCT(J$5:J$27,后果甲状腺剂量!$I$5:$I$27)*后果甲状腺剂量!$R27+SUMPRODUCT(K$5:K$27,后果甲状腺剂量!$I$5:$I$27)*后果甲状腺剂量!$S27+SUMPRODUCT(L$5:L$27,后果甲状腺剂量!$I$5:$I$27)*后果甲状腺剂量!$T27+SUMPRODUCT(M$5:M$27,后果甲状腺剂量!$I$5:$I$27)*后果甲状腺剂量!$U27+SUMPRODUCT(H$5:H$27,后果甲状腺剂量!$J$5:$J$27)*后果甲状腺剂量!$Q27*后果甲状腺剂量!$Q$3+SUMPRODUCT(I$5:I$27,后果甲状腺剂量!$J$5:$J$27)*后果甲状腺剂量!$Q27*后果甲状腺剂量!$Q$3+SUMPRODUCT(J$5:J$27,后果甲状腺剂量!$J$5:$J$27)*后果甲状腺剂量!$R27*后果甲状腺剂量!$R$3+SUMPRODUCT(K$5:K$27,后果甲状腺剂量!$J$5:$J$27)*后果甲状腺剂量!$S27*后果甲状腺剂量!$S$3+SUMPRODUCT(L$5:L$27,后果甲状腺剂量!$J$5:$J$27)*后果甲状腺剂量!$T27*后果甲状腺剂量!$T$3+SUMPRODUCT(M$5:M$27,后果甲状腺剂量!$J$5:$J$27)*后果甲状腺剂量!$U27*后果甲状腺剂量!$U$3+SUMPRODUCT(H$5:H$27,后果甲状腺剂量!$K$5:$K$27)*后果甲状腺剂量!$Q27+SUMPRODUCT(I$5:I$27,后果甲状腺剂量!$K$5:$K$27)*后果甲状腺剂量!$Q27+SUMPRODUCT(J$5:J$27,后果甲状腺剂量!$K$5:$K$27)*后果甲状腺剂量!$R27+SUMPRODUCT(K$5:K$27,后果甲状腺剂量!$K$5:$K$27)*后果甲状腺剂量!$S27+SUMPRODUCT(L$5:L$27,后果甲状腺剂量!$K$5:$K$27)*后果甲状腺剂量!$T27+SUMPRODUCT(M$5:M$27,后果甲状腺剂量!$K$5:$K$27)*后果甲状腺剂量!$U27</f>
        <v>0</v>
      </c>
      <c r="J53" s="454">
        <f ca="1" t="shared" si="253"/>
        <v>0</v>
      </c>
      <c r="K53" s="454">
        <f ca="1" t="shared" si="254"/>
        <v>0</v>
      </c>
      <c r="L53" s="459">
        <f ca="1" t="shared" si="261"/>
        <v>0</v>
      </c>
      <c r="M53" s="459">
        <f ca="1" t="shared" si="262"/>
        <v>0</v>
      </c>
      <c r="Q53" s="440">
        <f>后果有效剂量!$P27</f>
        <v>0</v>
      </c>
      <c r="R53" s="441">
        <f ca="1">SUMPRODUCT(R$5:R$27,后果有效剂量!$I$5:$I$27)*后果有效剂量!$Q27+SUMPRODUCT(S$5:S$27,后果有效剂量!$I$5:$I$27)*后果有效剂量!$Q27+SUMPRODUCT(T$5:T$27,后果有效剂量!$I$5:$I$27)*后果有效剂量!$R27+SUMPRODUCT(U$5:U$27,后果有效剂量!$I$5:$I$27)*后果有效剂量!$S27+SUMPRODUCT(V$5:V$27,后果有效剂量!$I$5:$I$27)*后果有效剂量!$T27+SUMPRODUCT(W$5:W$27,后果有效剂量!$I$5:$I$27)*后果有效剂量!$U27+SUMPRODUCT(R$5:R$27,后果有效剂量!$J$5:$J$27)*后果有效剂量!$Q27*后果有效剂量!$Q$3+SUMPRODUCT(S$5:S$27,后果有效剂量!$J$5:$J$27)*后果有效剂量!$Q27*后果有效剂量!$Q$3+SUMPRODUCT(T$5:T$27,后果有效剂量!$J$5:$J$27)*后果有效剂量!$R27*后果有效剂量!$R$3+SUMPRODUCT(U$5:U$27,后果有效剂量!$J$5:$J$27)*后果有效剂量!$S27*后果有效剂量!$S$3+SUMPRODUCT(V$5:V$27,后果有效剂量!$J$5:$J$27)*后果有效剂量!$T27*后果有效剂量!$T$3+SUMPRODUCT(W$5:W$27,后果有效剂量!$J$5:$J$27)*后果有效剂量!$U27*后果有效剂量!$U$3+SUMPRODUCT(R$5:R$27,后果有效剂量!$K$5:$K$27)*后果有效剂量!$Q27+SUMPRODUCT(S$5:S$27,后果有效剂量!$K$5:$K$27)*后果有效剂量!$Q27+SUMPRODUCT(T$5:T$27,后果有效剂量!$K$5:$K$27)*后果有效剂量!$R27+SUMPRODUCT(U$5:U$27,后果有效剂量!$K$5:$K$27)*后果有效剂量!$S27+SUMPRODUCT(V$5:V$27,后果有效剂量!$K$5:$K$27)*后果有效剂量!$T27+SUMPRODUCT(W$5:W$27,后果有效剂量!$K$5:$K$27)*后果有效剂量!$U27</f>
        <v>0</v>
      </c>
      <c r="S53" s="453">
        <f ca="1">SUMPRODUCT(R$5:R$27,后果甲状腺剂量!$I$5:$I$27)*后果甲状腺剂量!$Q27+SUMPRODUCT(S$5:S$27,后果甲状腺剂量!$I$5:$I$27)*后果甲状腺剂量!$Q27+SUMPRODUCT(T$5:T$27,后果甲状腺剂量!$I$5:$I$27)*后果甲状腺剂量!$R27+SUMPRODUCT(U$5:U$27,后果甲状腺剂量!$I$5:$I$27)*后果甲状腺剂量!$S27+SUMPRODUCT(V$5:V$27,后果甲状腺剂量!$I$5:$I$27)*后果甲状腺剂量!$T27+SUMPRODUCT(W$5:W$27,后果甲状腺剂量!$I$5:$I$27)*后果甲状腺剂量!$U27+SUMPRODUCT(R$5:R$27,后果甲状腺剂量!$J$5:$J$27)*后果甲状腺剂量!$Q27*后果甲状腺剂量!$Q$3+SUMPRODUCT(S$5:S$27,后果甲状腺剂量!$J$5:$J$27)*后果甲状腺剂量!$Q27*后果甲状腺剂量!$Q$3+SUMPRODUCT(T$5:T$27,后果甲状腺剂量!$J$5:$J$27)*后果甲状腺剂量!$R27*后果甲状腺剂量!$R$3+SUMPRODUCT(U$5:U$27,后果甲状腺剂量!$J$5:$J$27)*后果甲状腺剂量!$S27*后果甲状腺剂量!$S$3+SUMPRODUCT(V$5:V$27,后果甲状腺剂量!$J$5:$J$27)*后果甲状腺剂量!$T27*后果甲状腺剂量!$T$3+SUMPRODUCT(W$5:W$27,后果甲状腺剂量!$J$5:$J$27)*后果甲状腺剂量!$U27*后果甲状腺剂量!$U$3+SUMPRODUCT(R$5:R$27,后果甲状腺剂量!$K$5:$K$27)*后果甲状腺剂量!$Q27+SUMPRODUCT(S$5:S$27,后果甲状腺剂量!$K$5:$K$27)*后果甲状腺剂量!$Q27+SUMPRODUCT(T$5:T$27,后果甲状腺剂量!$K$5:$K$27)*后果甲状腺剂量!$R27+SUMPRODUCT(U$5:U$27,后果甲状腺剂量!$K$5:$K$27)*后果甲状腺剂量!$S27+SUMPRODUCT(V$5:V$27,后果甲状腺剂量!$K$5:$K$27)*后果甲状腺剂量!$T27+SUMPRODUCT(W$5:W$27,后果甲状腺剂量!$K$5:$K$27)*后果甲状腺剂量!$U27</f>
        <v>0</v>
      </c>
      <c r="T53" s="454">
        <f ca="1" t="shared" si="255"/>
        <v>0</v>
      </c>
      <c r="U53" s="454">
        <f ca="1" t="shared" si="256"/>
        <v>0</v>
      </c>
      <c r="V53" s="459">
        <f ca="1" t="shared" si="263"/>
        <v>0</v>
      </c>
      <c r="W53" s="459">
        <f ca="1" t="shared" si="264"/>
        <v>0</v>
      </c>
      <c r="FS53" s="441">
        <f>SUMPRODUCT(FS$5:FS$27,后果有效剂量!$I$5:$I$27)*后果有效剂量!$Q27+SUMPRODUCT(FT$5:FT$27,后果有效剂量!$I$5:$I$27)*后果有效剂量!$R27+SUMPRODUCT(FU$5:FU$27,后果有效剂量!$I$5:$I$27)*后果有效剂量!$S27+SUMPRODUCT(FV$5:FV$27,后果有效剂量!$I$5:$I$27)*后果有效剂量!$T27+SUMPRODUCT(FS$5:FS$27,后果有效剂量!$J$5:$J$27)*后果有效剂量!$Q27*后果有效剂量!$Q$3+SUMPRODUCT(FT$5:FT$27,后果有效剂量!$J$5:$J$27)*后果有效剂量!$R27*后果有效剂量!$R$3+SUMPRODUCT(FU$5:FU$27,后果有效剂量!$J$5:$J$27)*后果有效剂量!$S27*后果有效剂量!$S$3+SUMPRODUCT(FV$5:FV$27,后果有效剂量!$J$5:$J$27)*后果有效剂量!$T27*后果有效剂量!$T$3+SUMPRODUCT(FS$5:FS$27,后果有效剂量!$K$5:$K$27)*后果有效剂量!$Q27+SUMPRODUCT(FT$5:FT$27,后果有效剂量!$K$5:$K$27)*后果有效剂量!$R27+SUMPRODUCT(FU$5:FU$27,后果有效剂量!$K$5:$K$27)*后果有效剂量!$S27+SUMPRODUCT(FV$5:FV$27,后果有效剂量!$K$5:$K$27)*后果有效剂量!$T27</f>
        <v>0</v>
      </c>
      <c r="FT53" s="453">
        <f>SUMPRODUCT(FS$5:FS$27,后果甲状腺剂量!$I$5:$I$27)*后果甲状腺剂量!$Q27+SUMPRODUCT(FT$5:FT$27,后果甲状腺剂量!$I$5:$I$27)*后果甲状腺剂量!$R27+SUMPRODUCT(FU$5:FU$27,后果甲状腺剂量!$I$5:$I$27)*后果甲状腺剂量!$S27+SUMPRODUCT(FV$5:FV$27,后果甲状腺剂量!$I$5:$I$27)*后果甲状腺剂量!$T27+SUMPRODUCT(FS$5:FS$27,后果甲状腺剂量!$J$5:$J$27)*后果甲状腺剂量!$Q27*后果甲状腺剂量!$Q$3+SUMPRODUCT(FT$5:FT$27,后果甲状腺剂量!$J$5:$J$27)*后果甲状腺剂量!$R27*后果甲状腺剂量!$R$3+SUMPRODUCT(FU$5:FU$27,后果甲状腺剂量!$J$5:$J$27)*后果甲状腺剂量!$S27*后果甲状腺剂量!$S$3+SUMPRODUCT(FV$5:FV$27,后果甲状腺剂量!$J$5:$J$27)*后果甲状腺剂量!$T27*后果甲状腺剂量!$T$3+SUMPRODUCT(FS$5:FS$27,后果甲状腺剂量!$K$5:$K$27)*后果甲状腺剂量!$Q27+SUMPRODUCT(FT$5:FT$27,后果甲状腺剂量!$K$5:$K$27)*后果甲状腺剂量!$R27+SUMPRODUCT(FU$5:FU$27,后果甲状腺剂量!$K$5:$K$27)*后果甲状腺剂量!$S27+SUMPRODUCT(FV$5:FV$27,后果甲状腺剂量!$K$5:$K$27)*后果甲状腺剂量!$T27</f>
        <v>0</v>
      </c>
      <c r="FU53" s="454">
        <f t="shared" si="257"/>
        <v>0</v>
      </c>
      <c r="FV53" s="454">
        <f t="shared" si="258"/>
        <v>0</v>
      </c>
      <c r="FW53" s="459">
        <f t="shared" si="265"/>
        <v>0</v>
      </c>
      <c r="FX53" s="459">
        <f t="shared" si="266"/>
        <v>0</v>
      </c>
      <c r="GD53" s="440">
        <f>后果有效剂量!$P27</f>
        <v>0</v>
      </c>
      <c r="GE53" s="441">
        <f>SUMPRODUCT(GE$5:GE$27,后果有效剂量!$I$5:$I$27)*后果有效剂量!$Q27+SUMPRODUCT(GF$5:GF$27,后果有效剂量!$I$5:$I$27)*后果有效剂量!$R27+SUMPRODUCT(GG$5:GG$27,后果有效剂量!$I$5:$I$27)*后果有效剂量!$S27+(SUMPRODUCT(GH$5:GH$27,后果有效剂量!$I$5:$I$27)+SUMPRODUCT(GI$5:GI$27,后果有效剂量!$I$5:$I$27))*后果有效剂量!$T27+SUMPRODUCT(GJ$5:GJ$27,后果有效剂量!$I$5:$I$27)*后果有效剂量!$U27+SUMPRODUCT(GE$5:GE$27,后果有效剂量!$J$5:$J$27)*后果有效剂量!$Q27*后果有效剂量!$Q$3+SUMPRODUCT(GF$5:GF$27,后果有效剂量!$J$5:$J$27)*后果有效剂量!$R27*后果有效剂量!$R$3+SUMPRODUCT(GG$5:GG$27,后果有效剂量!$J$5:$J$27)*后果有效剂量!$S27*后果有效剂量!$S$3+(SUMPRODUCT(GH$5:GH$27,后果有效剂量!$J$5:$J$27)+SUMPRODUCT(GI$5:GI$27,后果有效剂量!$J$5:$J$27))*后果有效剂量!$T27*后果有效剂量!$T$3+SUMPRODUCT(GJ$5:GJ$27,后果有效剂量!$J$5:$J$27)*后果有效剂量!$U27*后果有效剂量!$U$3+SUMPRODUCT(GE$5:GE$27,后果有效剂量!$K$5:$K$27)*后果有效剂量!$Q27+SUMPRODUCT(GF$5:GF$27,后果有效剂量!$K$5:$K$27)*后果有效剂量!$R27+SUMPRODUCT(GG$5:GG$27,后果有效剂量!$K$5:$K$27)*后果有效剂量!$S27+(SUMPRODUCT(GH$5:GH$27,后果有效剂量!$K$5:$K$27)+SUMPRODUCT(GI$5:GI$27,后果有效剂量!$K$5:$K$27))*后果有效剂量!$T27+SUMPRODUCT(GJ$5:GJ$27,后果有效剂量!$K$5:$K$27)*后果有效剂量!$U27</f>
        <v>0</v>
      </c>
      <c r="GF53" s="453">
        <f>SUMPRODUCT(GE$5:GE$27,后果甲状腺剂量!$I$5:$I$27)*后果甲状腺剂量!$Q27+SUMPRODUCT(GF$5:GF$27,后果甲状腺剂量!$I$5:$I$27)*后果甲状腺剂量!$R27+SUMPRODUCT(GG$5:GG$27,后果甲状腺剂量!$I$5:$I$27)*后果甲状腺剂量!$S27+(SUMPRODUCT(GH$5:GH$27,后果甲状腺剂量!$I$5:$I$27)+SUMPRODUCT(GI$5:GI$27,后果甲状腺剂量!$I$5:$I$27))*后果甲状腺剂量!$T27+SUMPRODUCT(GJ$5:GJ$27,后果甲状腺剂量!$I$5:$I$27)*后果甲状腺剂量!$U27+SUMPRODUCT(GE$5:GE$27,后果甲状腺剂量!$J$5:$J$27)*后果甲状腺剂量!$Q27*后果甲状腺剂量!$Q$3+SUMPRODUCT(GF$5:GF$27,后果甲状腺剂量!$J$5:$J$27)*后果甲状腺剂量!$R27*后果甲状腺剂量!$R$3+SUMPRODUCT(GG$5:GG$27,后果甲状腺剂量!$J$5:$J$27)*后果甲状腺剂量!$S27*后果甲状腺剂量!$S$3+(SUMPRODUCT(GH$5:GH$27,后果甲状腺剂量!$J$5:$J$27)+SUMPRODUCT(GI$5:GI$27,后果甲状腺剂量!$J$5:$J$27))*后果甲状腺剂量!$T27*后果甲状腺剂量!$T$3+SUMPRODUCT(GJ$5:GJ$27,后果甲状腺剂量!$J$5:$J$27)*后果甲状腺剂量!$U27*后果甲状腺剂量!$U$3+SUMPRODUCT(GE$5:GE$27,后果甲状腺剂量!$K$5:$K$27)*后果甲状腺剂量!$Q27+SUMPRODUCT(GF$5:GF$27,后果甲状腺剂量!$K$5:$K$27)*后果甲状腺剂量!$R27+SUMPRODUCT(GG$5:GG$27,后果甲状腺剂量!$K$5:$K$27)*后果甲状腺剂量!$S27+(SUMPRODUCT(GH$5:GH$27,后果甲状腺剂量!$K$5:$K$27)+SUMPRODUCT(GI$5:GI$27,后果甲状腺剂量!$K$5:$K$27))*后果甲状腺剂量!$T27+SUMPRODUCT(GJ$5:GJ$27,后果甲状腺剂量!$K$5:$K$27)*后果甲状腺剂量!$U27</f>
        <v>0</v>
      </c>
      <c r="GG53" s="454">
        <f t="shared" si="259"/>
        <v>0</v>
      </c>
      <c r="GH53" s="454">
        <f t="shared" si="260"/>
        <v>0</v>
      </c>
      <c r="GI53" s="459">
        <f t="shared" si="267"/>
        <v>0</v>
      </c>
      <c r="GJ53" s="459">
        <f t="shared" si="268"/>
        <v>0</v>
      </c>
    </row>
    <row r="54" spans="7:192">
      <c r="G54" s="440">
        <f>后果有效剂量!$P28</f>
        <v>0</v>
      </c>
      <c r="H54" s="441">
        <f ca="1">SUMPRODUCT(H$5:H$27,后果有效剂量!$I$5:$I$27)*后果有效剂量!$Q28+SUMPRODUCT(I$5:I$27,后果有效剂量!$I$5:$I$27)*后果有效剂量!$Q28+SUMPRODUCT(J$5:J$27,后果有效剂量!$I$5:$I$27)*后果有效剂量!$R28+SUMPRODUCT(K$5:K$27,后果有效剂量!$I$5:$I$27)*后果有效剂量!$S28+SUMPRODUCT(L$5:L$27,后果有效剂量!$I$5:$I$27)*后果有效剂量!$T28+SUMPRODUCT(M$5:M$27,后果有效剂量!$I$5:$I$27)*后果有效剂量!$U28+SUMPRODUCT(H$5:H$27,后果有效剂量!$J$5:$J$27)*后果有效剂量!$Q28*后果有效剂量!$Q$3+SUMPRODUCT(I$5:I$27,后果有效剂量!$J$5:$J$27)*后果有效剂量!$Q28*后果有效剂量!$Q$3+SUMPRODUCT(J$5:J$27,后果有效剂量!$J$5:$J$27)*后果有效剂量!$R28*后果有效剂量!$R$3+SUMPRODUCT(K$5:K$27,后果有效剂量!$J$5:$J$27)*后果有效剂量!$S28*后果有效剂量!$S$3+SUMPRODUCT(L$5:L$27,后果有效剂量!$J$5:$J$27)*后果有效剂量!$T28*后果有效剂量!$T$3+SUMPRODUCT(M$5:M$27,后果有效剂量!$J$5:$J$27)*后果有效剂量!$U28*后果有效剂量!$U$3+SUMPRODUCT(H$5:H$27,后果有效剂量!$K$5:$K$27)*后果有效剂量!$Q28+SUMPRODUCT(I$5:I$27,后果有效剂量!$K$5:$K$27)*后果有效剂量!$Q28+SUMPRODUCT(J$5:J$27,后果有效剂量!$K$5:$K$27)*后果有效剂量!$R28+SUMPRODUCT(K$5:K$27,后果有效剂量!$K$5:$K$27)*后果有效剂量!$S28+SUMPRODUCT(L$5:L$27,后果有效剂量!$K$5:$K$27)*后果有效剂量!$T28+SUMPRODUCT(M$5:M$27,后果有效剂量!$K$5:$K$27)*后果有效剂量!$U28</f>
        <v>0</v>
      </c>
      <c r="I54" s="453">
        <f ca="1">SUMPRODUCT(H$5:H$27,后果甲状腺剂量!$I$5:$I$27)*后果甲状腺剂量!$Q28+SUMPRODUCT(I$5:I$27,后果甲状腺剂量!$I$5:$I$27)*后果甲状腺剂量!$Q28+SUMPRODUCT(J$5:J$27,后果甲状腺剂量!$I$5:$I$27)*后果甲状腺剂量!$R28+SUMPRODUCT(K$5:K$27,后果甲状腺剂量!$I$5:$I$27)*后果甲状腺剂量!$S28+SUMPRODUCT(L$5:L$27,后果甲状腺剂量!$I$5:$I$27)*后果甲状腺剂量!$T28+SUMPRODUCT(M$5:M$27,后果甲状腺剂量!$I$5:$I$27)*后果甲状腺剂量!$U28+SUMPRODUCT(H$5:H$27,后果甲状腺剂量!$J$5:$J$27)*后果甲状腺剂量!$Q28*后果甲状腺剂量!$Q$3+SUMPRODUCT(I$5:I$27,后果甲状腺剂量!$J$5:$J$27)*后果甲状腺剂量!$Q28*后果甲状腺剂量!$Q$3+SUMPRODUCT(J$5:J$27,后果甲状腺剂量!$J$5:$J$27)*后果甲状腺剂量!$R28*后果甲状腺剂量!$R$3+SUMPRODUCT(K$5:K$27,后果甲状腺剂量!$J$5:$J$27)*后果甲状腺剂量!$S28*后果甲状腺剂量!$S$3+SUMPRODUCT(L$5:L$27,后果甲状腺剂量!$J$5:$J$27)*后果甲状腺剂量!$T28*后果甲状腺剂量!$T$3+SUMPRODUCT(M$5:M$27,后果甲状腺剂量!$J$5:$J$27)*后果甲状腺剂量!$U28*后果甲状腺剂量!$U$3+SUMPRODUCT(H$5:H$27,后果甲状腺剂量!$K$5:$K$27)*后果甲状腺剂量!$Q28+SUMPRODUCT(I$5:I$27,后果甲状腺剂量!$K$5:$K$27)*后果甲状腺剂量!$Q28+SUMPRODUCT(J$5:J$27,后果甲状腺剂量!$K$5:$K$27)*后果甲状腺剂量!$R28+SUMPRODUCT(K$5:K$27,后果甲状腺剂量!$K$5:$K$27)*后果甲状腺剂量!$S28+SUMPRODUCT(L$5:L$27,后果甲状腺剂量!$K$5:$K$27)*后果甲状腺剂量!$T28+SUMPRODUCT(M$5:M$27,后果甲状腺剂量!$K$5:$K$27)*后果甲状腺剂量!$U28</f>
        <v>0</v>
      </c>
      <c r="J54" s="454">
        <f ca="1" t="shared" si="253"/>
        <v>0</v>
      </c>
      <c r="K54" s="454">
        <f ca="1" t="shared" si="254"/>
        <v>0</v>
      </c>
      <c r="L54" s="459">
        <f ca="1" t="shared" si="261"/>
        <v>0</v>
      </c>
      <c r="M54" s="459">
        <f ca="1" t="shared" si="262"/>
        <v>0</v>
      </c>
      <c r="Q54" s="440">
        <f>后果有效剂量!$P28</f>
        <v>0</v>
      </c>
      <c r="R54" s="441">
        <f ca="1">SUMPRODUCT(R$5:R$27,后果有效剂量!$I$5:$I$27)*后果有效剂量!$Q28+SUMPRODUCT(S$5:S$27,后果有效剂量!$I$5:$I$27)*后果有效剂量!$Q28+SUMPRODUCT(T$5:T$27,后果有效剂量!$I$5:$I$27)*后果有效剂量!$R28+SUMPRODUCT(U$5:U$27,后果有效剂量!$I$5:$I$27)*后果有效剂量!$S28+SUMPRODUCT(V$5:V$27,后果有效剂量!$I$5:$I$27)*后果有效剂量!$T28+SUMPRODUCT(W$5:W$27,后果有效剂量!$I$5:$I$27)*后果有效剂量!$U28+SUMPRODUCT(R$5:R$27,后果有效剂量!$J$5:$J$27)*后果有效剂量!$Q28*后果有效剂量!$Q$3+SUMPRODUCT(S$5:S$27,后果有效剂量!$J$5:$J$27)*后果有效剂量!$Q28*后果有效剂量!$Q$3+SUMPRODUCT(T$5:T$27,后果有效剂量!$J$5:$J$27)*后果有效剂量!$R28*后果有效剂量!$R$3+SUMPRODUCT(U$5:U$27,后果有效剂量!$J$5:$J$27)*后果有效剂量!$S28*后果有效剂量!$S$3+SUMPRODUCT(V$5:V$27,后果有效剂量!$J$5:$J$27)*后果有效剂量!$T28*后果有效剂量!$T$3+SUMPRODUCT(W$5:W$27,后果有效剂量!$J$5:$J$27)*后果有效剂量!$U28*后果有效剂量!$U$3+SUMPRODUCT(R$5:R$27,后果有效剂量!$K$5:$K$27)*后果有效剂量!$Q28+SUMPRODUCT(S$5:S$27,后果有效剂量!$K$5:$K$27)*后果有效剂量!$Q28+SUMPRODUCT(T$5:T$27,后果有效剂量!$K$5:$K$27)*后果有效剂量!$R28+SUMPRODUCT(U$5:U$27,后果有效剂量!$K$5:$K$27)*后果有效剂量!$S28+SUMPRODUCT(V$5:V$27,后果有效剂量!$K$5:$K$27)*后果有效剂量!$T28+SUMPRODUCT(W$5:W$27,后果有效剂量!$K$5:$K$27)*后果有效剂量!$U28</f>
        <v>0</v>
      </c>
      <c r="S54" s="453">
        <f ca="1">SUMPRODUCT(R$5:R$27,后果甲状腺剂量!$I$5:$I$27)*后果甲状腺剂量!$Q28+SUMPRODUCT(S$5:S$27,后果甲状腺剂量!$I$5:$I$27)*后果甲状腺剂量!$Q28+SUMPRODUCT(T$5:T$27,后果甲状腺剂量!$I$5:$I$27)*后果甲状腺剂量!$R28+SUMPRODUCT(U$5:U$27,后果甲状腺剂量!$I$5:$I$27)*后果甲状腺剂量!$S28+SUMPRODUCT(V$5:V$27,后果甲状腺剂量!$I$5:$I$27)*后果甲状腺剂量!$T28+SUMPRODUCT(W$5:W$27,后果甲状腺剂量!$I$5:$I$27)*后果甲状腺剂量!$U28+SUMPRODUCT(R$5:R$27,后果甲状腺剂量!$J$5:$J$27)*后果甲状腺剂量!$Q28*后果甲状腺剂量!$Q$3+SUMPRODUCT(S$5:S$27,后果甲状腺剂量!$J$5:$J$27)*后果甲状腺剂量!$Q28*后果甲状腺剂量!$Q$3+SUMPRODUCT(T$5:T$27,后果甲状腺剂量!$J$5:$J$27)*后果甲状腺剂量!$R28*后果甲状腺剂量!$R$3+SUMPRODUCT(U$5:U$27,后果甲状腺剂量!$J$5:$J$27)*后果甲状腺剂量!$S28*后果甲状腺剂量!$S$3+SUMPRODUCT(V$5:V$27,后果甲状腺剂量!$J$5:$J$27)*后果甲状腺剂量!$T28*后果甲状腺剂量!$T$3+SUMPRODUCT(W$5:W$27,后果甲状腺剂量!$J$5:$J$27)*后果甲状腺剂量!$U28*后果甲状腺剂量!$U$3+SUMPRODUCT(R$5:R$27,后果甲状腺剂量!$K$5:$K$27)*后果甲状腺剂量!$Q28+SUMPRODUCT(S$5:S$27,后果甲状腺剂量!$K$5:$K$27)*后果甲状腺剂量!$Q28+SUMPRODUCT(T$5:T$27,后果甲状腺剂量!$K$5:$K$27)*后果甲状腺剂量!$R28+SUMPRODUCT(U$5:U$27,后果甲状腺剂量!$K$5:$K$27)*后果甲状腺剂量!$S28+SUMPRODUCT(V$5:V$27,后果甲状腺剂量!$K$5:$K$27)*后果甲状腺剂量!$T28+SUMPRODUCT(W$5:W$27,后果甲状腺剂量!$K$5:$K$27)*后果甲状腺剂量!$U28</f>
        <v>0</v>
      </c>
      <c r="T54" s="454">
        <f ca="1" t="shared" si="255"/>
        <v>0</v>
      </c>
      <c r="U54" s="454">
        <f ca="1" t="shared" si="256"/>
        <v>0</v>
      </c>
      <c r="V54" s="459">
        <f ca="1" t="shared" si="263"/>
        <v>0</v>
      </c>
      <c r="W54" s="459">
        <f ca="1" t="shared" si="264"/>
        <v>0</v>
      </c>
      <c r="FS54" s="441">
        <f>SUMPRODUCT(FS$5:FS$27,后果有效剂量!$I$5:$I$27)*后果有效剂量!$Q28+SUMPRODUCT(FT$5:FT$27,后果有效剂量!$I$5:$I$27)*后果有效剂量!$R28+SUMPRODUCT(FU$5:FU$27,后果有效剂量!$I$5:$I$27)*后果有效剂量!$S28+SUMPRODUCT(FV$5:FV$27,后果有效剂量!$I$5:$I$27)*后果有效剂量!$T28+SUMPRODUCT(FS$5:FS$27,后果有效剂量!$J$5:$J$27)*后果有效剂量!$Q28*后果有效剂量!$Q$3+SUMPRODUCT(FT$5:FT$27,后果有效剂量!$J$5:$J$27)*后果有效剂量!$R28*后果有效剂量!$R$3+SUMPRODUCT(FU$5:FU$27,后果有效剂量!$J$5:$J$27)*后果有效剂量!$S28*后果有效剂量!$S$3+SUMPRODUCT(FV$5:FV$27,后果有效剂量!$J$5:$J$27)*后果有效剂量!$T28*后果有效剂量!$T$3+SUMPRODUCT(FS$5:FS$27,后果有效剂量!$K$5:$K$27)*后果有效剂量!$Q28+SUMPRODUCT(FT$5:FT$27,后果有效剂量!$K$5:$K$27)*后果有效剂量!$R28+SUMPRODUCT(FU$5:FU$27,后果有效剂量!$K$5:$K$27)*后果有效剂量!$S28+SUMPRODUCT(FV$5:FV$27,后果有效剂量!$K$5:$K$27)*后果有效剂量!$T28</f>
        <v>0</v>
      </c>
      <c r="FT54" s="453">
        <f>SUMPRODUCT(FS$5:FS$27,后果甲状腺剂量!$I$5:$I$27)*后果甲状腺剂量!$Q28+SUMPRODUCT(FT$5:FT$27,后果甲状腺剂量!$I$5:$I$27)*后果甲状腺剂量!$R28+SUMPRODUCT(FU$5:FU$27,后果甲状腺剂量!$I$5:$I$27)*后果甲状腺剂量!$S28+SUMPRODUCT(FV$5:FV$27,后果甲状腺剂量!$I$5:$I$27)*后果甲状腺剂量!$T28+SUMPRODUCT(FS$5:FS$27,后果甲状腺剂量!$J$5:$J$27)*后果甲状腺剂量!$Q28*后果甲状腺剂量!$Q$3+SUMPRODUCT(FT$5:FT$27,后果甲状腺剂量!$J$5:$J$27)*后果甲状腺剂量!$R28*后果甲状腺剂量!$R$3+SUMPRODUCT(FU$5:FU$27,后果甲状腺剂量!$J$5:$J$27)*后果甲状腺剂量!$S28*后果甲状腺剂量!$S$3+SUMPRODUCT(FV$5:FV$27,后果甲状腺剂量!$J$5:$J$27)*后果甲状腺剂量!$T28*后果甲状腺剂量!$T$3+SUMPRODUCT(FS$5:FS$27,后果甲状腺剂量!$K$5:$K$27)*后果甲状腺剂量!$Q28+SUMPRODUCT(FT$5:FT$27,后果甲状腺剂量!$K$5:$K$27)*后果甲状腺剂量!$R28+SUMPRODUCT(FU$5:FU$27,后果甲状腺剂量!$K$5:$K$27)*后果甲状腺剂量!$S28+SUMPRODUCT(FV$5:FV$27,后果甲状腺剂量!$K$5:$K$27)*后果甲状腺剂量!$T28</f>
        <v>0</v>
      </c>
      <c r="FU54" s="454">
        <f t="shared" si="257"/>
        <v>0</v>
      </c>
      <c r="FV54" s="454">
        <f t="shared" si="258"/>
        <v>0</v>
      </c>
      <c r="FW54" s="459">
        <f t="shared" si="265"/>
        <v>0</v>
      </c>
      <c r="FX54" s="459">
        <f t="shared" si="266"/>
        <v>0</v>
      </c>
      <c r="GD54" s="440">
        <f>后果有效剂量!$P28</f>
        <v>0</v>
      </c>
      <c r="GE54" s="441">
        <f>SUMPRODUCT(GE$5:GE$27,后果有效剂量!$I$5:$I$27)*后果有效剂量!$Q28+SUMPRODUCT(GF$5:GF$27,后果有效剂量!$I$5:$I$27)*后果有效剂量!$R28+SUMPRODUCT(GG$5:GG$27,后果有效剂量!$I$5:$I$27)*后果有效剂量!$S28+(SUMPRODUCT(GH$5:GH$27,后果有效剂量!$I$5:$I$27)+SUMPRODUCT(GI$5:GI$27,后果有效剂量!$I$5:$I$27))*后果有效剂量!$T28+SUMPRODUCT(GJ$5:GJ$27,后果有效剂量!$I$5:$I$27)*后果有效剂量!$U28+SUMPRODUCT(GE$5:GE$27,后果有效剂量!$J$5:$J$27)*后果有效剂量!$Q28*后果有效剂量!$Q$3+SUMPRODUCT(GF$5:GF$27,后果有效剂量!$J$5:$J$27)*后果有效剂量!$R28*后果有效剂量!$R$3+SUMPRODUCT(GG$5:GG$27,后果有效剂量!$J$5:$J$27)*后果有效剂量!$S28*后果有效剂量!$S$3+(SUMPRODUCT(GH$5:GH$27,后果有效剂量!$J$5:$J$27)+SUMPRODUCT(GI$5:GI$27,后果有效剂量!$J$5:$J$27))*后果有效剂量!$T28*后果有效剂量!$T$3+SUMPRODUCT(GJ$5:GJ$27,后果有效剂量!$J$5:$J$27)*后果有效剂量!$U28*后果有效剂量!$U$3+SUMPRODUCT(GE$5:GE$27,后果有效剂量!$K$5:$K$27)*后果有效剂量!$Q28+SUMPRODUCT(GF$5:GF$27,后果有效剂量!$K$5:$K$27)*后果有效剂量!$R28+SUMPRODUCT(GG$5:GG$27,后果有效剂量!$K$5:$K$27)*后果有效剂量!$S28+(SUMPRODUCT(GH$5:GH$27,后果有效剂量!$K$5:$K$27)+SUMPRODUCT(GI$5:GI$27,后果有效剂量!$K$5:$K$27))*后果有效剂量!$T28+SUMPRODUCT(GJ$5:GJ$27,后果有效剂量!$K$5:$K$27)*后果有效剂量!$U28</f>
        <v>0</v>
      </c>
      <c r="GF54" s="453">
        <f>SUMPRODUCT(GE$5:GE$27,后果甲状腺剂量!$I$5:$I$27)*后果甲状腺剂量!$Q28+SUMPRODUCT(GF$5:GF$27,后果甲状腺剂量!$I$5:$I$27)*后果甲状腺剂量!$R28+SUMPRODUCT(GG$5:GG$27,后果甲状腺剂量!$I$5:$I$27)*后果甲状腺剂量!$S28+(SUMPRODUCT(GH$5:GH$27,后果甲状腺剂量!$I$5:$I$27)+SUMPRODUCT(GI$5:GI$27,后果甲状腺剂量!$I$5:$I$27))*后果甲状腺剂量!$T28+SUMPRODUCT(GJ$5:GJ$27,后果甲状腺剂量!$I$5:$I$27)*后果甲状腺剂量!$U28+SUMPRODUCT(GE$5:GE$27,后果甲状腺剂量!$J$5:$J$27)*后果甲状腺剂量!$Q28*后果甲状腺剂量!$Q$3+SUMPRODUCT(GF$5:GF$27,后果甲状腺剂量!$J$5:$J$27)*后果甲状腺剂量!$R28*后果甲状腺剂量!$R$3+SUMPRODUCT(GG$5:GG$27,后果甲状腺剂量!$J$5:$J$27)*后果甲状腺剂量!$S28*后果甲状腺剂量!$S$3+(SUMPRODUCT(GH$5:GH$27,后果甲状腺剂量!$J$5:$J$27)+SUMPRODUCT(GI$5:GI$27,后果甲状腺剂量!$J$5:$J$27))*后果甲状腺剂量!$T28*后果甲状腺剂量!$T$3+SUMPRODUCT(GJ$5:GJ$27,后果甲状腺剂量!$J$5:$J$27)*后果甲状腺剂量!$U28*后果甲状腺剂量!$U$3+SUMPRODUCT(GE$5:GE$27,后果甲状腺剂量!$K$5:$K$27)*后果甲状腺剂量!$Q28+SUMPRODUCT(GF$5:GF$27,后果甲状腺剂量!$K$5:$K$27)*后果甲状腺剂量!$R28+SUMPRODUCT(GG$5:GG$27,后果甲状腺剂量!$K$5:$K$27)*后果甲状腺剂量!$S28+(SUMPRODUCT(GH$5:GH$27,后果甲状腺剂量!$K$5:$K$27)+SUMPRODUCT(GI$5:GI$27,后果甲状腺剂量!$K$5:$K$27))*后果甲状腺剂量!$T28+SUMPRODUCT(GJ$5:GJ$27,后果甲状腺剂量!$K$5:$K$27)*后果甲状腺剂量!$U28</f>
        <v>0</v>
      </c>
      <c r="GG54" s="454">
        <f t="shared" si="259"/>
        <v>0</v>
      </c>
      <c r="GH54" s="454">
        <f t="shared" si="260"/>
        <v>0</v>
      </c>
      <c r="GI54" s="459">
        <f t="shared" si="267"/>
        <v>0</v>
      </c>
      <c r="GJ54" s="459">
        <f t="shared" si="268"/>
        <v>0</v>
      </c>
    </row>
    <row r="55" spans="7:192">
      <c r="G55" s="440">
        <f>后果有效剂量!$P29</f>
        <v>0</v>
      </c>
      <c r="H55" s="441">
        <f ca="1">SUMPRODUCT(H$5:H$27,后果有效剂量!$I$5:$I$27)*后果有效剂量!$Q29+SUMPRODUCT(I$5:I$27,后果有效剂量!$I$5:$I$27)*后果有效剂量!$Q29+SUMPRODUCT(J$5:J$27,后果有效剂量!$I$5:$I$27)*后果有效剂量!$R29+SUMPRODUCT(K$5:K$27,后果有效剂量!$I$5:$I$27)*后果有效剂量!$S29+SUMPRODUCT(L$5:L$27,后果有效剂量!$I$5:$I$27)*后果有效剂量!$T29+SUMPRODUCT(M$5:M$27,后果有效剂量!$I$5:$I$27)*后果有效剂量!$U29+SUMPRODUCT(H$5:H$27,后果有效剂量!$J$5:$J$27)*后果有效剂量!$Q29*后果有效剂量!$Q$3+SUMPRODUCT(I$5:I$27,后果有效剂量!$J$5:$J$27)*后果有效剂量!$Q29*后果有效剂量!$Q$3+SUMPRODUCT(J$5:J$27,后果有效剂量!$J$5:$J$27)*后果有效剂量!$R29*后果有效剂量!$R$3+SUMPRODUCT(K$5:K$27,后果有效剂量!$J$5:$J$27)*后果有效剂量!$S29*后果有效剂量!$S$3+SUMPRODUCT(L$5:L$27,后果有效剂量!$J$5:$J$27)*后果有效剂量!$T29*后果有效剂量!$T$3+SUMPRODUCT(M$5:M$27,后果有效剂量!$J$5:$J$27)*后果有效剂量!$U29*后果有效剂量!$U$3+SUMPRODUCT(H$5:H$27,后果有效剂量!$K$5:$K$27)*后果有效剂量!$Q29+SUMPRODUCT(I$5:I$27,后果有效剂量!$K$5:$K$27)*后果有效剂量!$Q29+SUMPRODUCT(J$5:J$27,后果有效剂量!$K$5:$K$27)*后果有效剂量!$R29+SUMPRODUCT(K$5:K$27,后果有效剂量!$K$5:$K$27)*后果有效剂量!$S29+SUMPRODUCT(L$5:L$27,后果有效剂量!$K$5:$K$27)*后果有效剂量!$T29+SUMPRODUCT(M$5:M$27,后果有效剂量!$K$5:$K$27)*后果有效剂量!$U29</f>
        <v>0</v>
      </c>
      <c r="I55" s="453">
        <f ca="1">SUMPRODUCT(H$5:H$27,后果甲状腺剂量!$I$5:$I$27)*后果甲状腺剂量!$Q29+SUMPRODUCT(I$5:I$27,后果甲状腺剂量!$I$5:$I$27)*后果甲状腺剂量!$Q29+SUMPRODUCT(J$5:J$27,后果甲状腺剂量!$I$5:$I$27)*后果甲状腺剂量!$R29+SUMPRODUCT(K$5:K$27,后果甲状腺剂量!$I$5:$I$27)*后果甲状腺剂量!$S29+SUMPRODUCT(L$5:L$27,后果甲状腺剂量!$I$5:$I$27)*后果甲状腺剂量!$T29+SUMPRODUCT(M$5:M$27,后果甲状腺剂量!$I$5:$I$27)*后果甲状腺剂量!$U29+SUMPRODUCT(H$5:H$27,后果甲状腺剂量!$J$5:$J$27)*后果甲状腺剂量!$Q29*后果甲状腺剂量!$Q$3+SUMPRODUCT(I$5:I$27,后果甲状腺剂量!$J$5:$J$27)*后果甲状腺剂量!$Q29*后果甲状腺剂量!$Q$3+SUMPRODUCT(J$5:J$27,后果甲状腺剂量!$J$5:$J$27)*后果甲状腺剂量!$R29*后果甲状腺剂量!$R$3+SUMPRODUCT(K$5:K$27,后果甲状腺剂量!$J$5:$J$27)*后果甲状腺剂量!$S29*后果甲状腺剂量!$S$3+SUMPRODUCT(L$5:L$27,后果甲状腺剂量!$J$5:$J$27)*后果甲状腺剂量!$T29*后果甲状腺剂量!$T$3+SUMPRODUCT(M$5:M$27,后果甲状腺剂量!$J$5:$J$27)*后果甲状腺剂量!$U29*后果甲状腺剂量!$U$3+SUMPRODUCT(H$5:H$27,后果甲状腺剂量!$K$5:$K$27)*后果甲状腺剂量!$Q29+SUMPRODUCT(I$5:I$27,后果甲状腺剂量!$K$5:$K$27)*后果甲状腺剂量!$Q29+SUMPRODUCT(J$5:J$27,后果甲状腺剂量!$K$5:$K$27)*后果甲状腺剂量!$R29+SUMPRODUCT(K$5:K$27,后果甲状腺剂量!$K$5:$K$27)*后果甲状腺剂量!$S29+SUMPRODUCT(L$5:L$27,后果甲状腺剂量!$K$5:$K$27)*后果甲状腺剂量!$T29+SUMPRODUCT(M$5:M$27,后果甲状腺剂量!$K$5:$K$27)*后果甲状腺剂量!$U29</f>
        <v>0</v>
      </c>
      <c r="J55" s="454">
        <f ca="1" t="shared" si="253"/>
        <v>0</v>
      </c>
      <c r="K55" s="454">
        <f ca="1" t="shared" si="254"/>
        <v>0</v>
      </c>
      <c r="L55" s="459">
        <f ca="1" t="shared" si="261"/>
        <v>0</v>
      </c>
      <c r="M55" s="459">
        <f ca="1" t="shared" si="262"/>
        <v>0</v>
      </c>
      <c r="Q55" s="440">
        <f>后果有效剂量!$P29</f>
        <v>0</v>
      </c>
      <c r="R55" s="441">
        <f ca="1">SUMPRODUCT(R$5:R$27,后果有效剂量!$I$5:$I$27)*后果有效剂量!$Q29+SUMPRODUCT(S$5:S$27,后果有效剂量!$I$5:$I$27)*后果有效剂量!$Q29+SUMPRODUCT(T$5:T$27,后果有效剂量!$I$5:$I$27)*后果有效剂量!$R29+SUMPRODUCT(U$5:U$27,后果有效剂量!$I$5:$I$27)*后果有效剂量!$S29+SUMPRODUCT(V$5:V$27,后果有效剂量!$I$5:$I$27)*后果有效剂量!$T29+SUMPRODUCT(W$5:W$27,后果有效剂量!$I$5:$I$27)*后果有效剂量!$U29+SUMPRODUCT(R$5:R$27,后果有效剂量!$J$5:$J$27)*后果有效剂量!$Q29*后果有效剂量!$Q$3+SUMPRODUCT(S$5:S$27,后果有效剂量!$J$5:$J$27)*后果有效剂量!$Q29*后果有效剂量!$Q$3+SUMPRODUCT(T$5:T$27,后果有效剂量!$J$5:$J$27)*后果有效剂量!$R29*后果有效剂量!$R$3+SUMPRODUCT(U$5:U$27,后果有效剂量!$J$5:$J$27)*后果有效剂量!$S29*后果有效剂量!$S$3+SUMPRODUCT(V$5:V$27,后果有效剂量!$J$5:$J$27)*后果有效剂量!$T29*后果有效剂量!$T$3+SUMPRODUCT(W$5:W$27,后果有效剂量!$J$5:$J$27)*后果有效剂量!$U29*后果有效剂量!$U$3+SUMPRODUCT(R$5:R$27,后果有效剂量!$K$5:$K$27)*后果有效剂量!$Q29+SUMPRODUCT(S$5:S$27,后果有效剂量!$K$5:$K$27)*后果有效剂量!$Q29+SUMPRODUCT(T$5:T$27,后果有效剂量!$K$5:$K$27)*后果有效剂量!$R29+SUMPRODUCT(U$5:U$27,后果有效剂量!$K$5:$K$27)*后果有效剂量!$S29+SUMPRODUCT(V$5:V$27,后果有效剂量!$K$5:$K$27)*后果有效剂量!$T29+SUMPRODUCT(W$5:W$27,后果有效剂量!$K$5:$K$27)*后果有效剂量!$U29</f>
        <v>0</v>
      </c>
      <c r="S55" s="453">
        <f ca="1">SUMPRODUCT(R$5:R$27,后果甲状腺剂量!$I$5:$I$27)*后果甲状腺剂量!$Q29+SUMPRODUCT(S$5:S$27,后果甲状腺剂量!$I$5:$I$27)*后果甲状腺剂量!$Q29+SUMPRODUCT(T$5:T$27,后果甲状腺剂量!$I$5:$I$27)*后果甲状腺剂量!$R29+SUMPRODUCT(U$5:U$27,后果甲状腺剂量!$I$5:$I$27)*后果甲状腺剂量!$S29+SUMPRODUCT(V$5:V$27,后果甲状腺剂量!$I$5:$I$27)*后果甲状腺剂量!$T29+SUMPRODUCT(W$5:W$27,后果甲状腺剂量!$I$5:$I$27)*后果甲状腺剂量!$U29+SUMPRODUCT(R$5:R$27,后果甲状腺剂量!$J$5:$J$27)*后果甲状腺剂量!$Q29*后果甲状腺剂量!$Q$3+SUMPRODUCT(S$5:S$27,后果甲状腺剂量!$J$5:$J$27)*后果甲状腺剂量!$Q29*后果甲状腺剂量!$Q$3+SUMPRODUCT(T$5:T$27,后果甲状腺剂量!$J$5:$J$27)*后果甲状腺剂量!$R29*后果甲状腺剂量!$R$3+SUMPRODUCT(U$5:U$27,后果甲状腺剂量!$J$5:$J$27)*后果甲状腺剂量!$S29*后果甲状腺剂量!$S$3+SUMPRODUCT(V$5:V$27,后果甲状腺剂量!$J$5:$J$27)*后果甲状腺剂量!$T29*后果甲状腺剂量!$T$3+SUMPRODUCT(W$5:W$27,后果甲状腺剂量!$J$5:$J$27)*后果甲状腺剂量!$U29*后果甲状腺剂量!$U$3+SUMPRODUCT(R$5:R$27,后果甲状腺剂量!$K$5:$K$27)*后果甲状腺剂量!$Q29+SUMPRODUCT(S$5:S$27,后果甲状腺剂量!$K$5:$K$27)*后果甲状腺剂量!$Q29+SUMPRODUCT(T$5:T$27,后果甲状腺剂量!$K$5:$K$27)*后果甲状腺剂量!$R29+SUMPRODUCT(U$5:U$27,后果甲状腺剂量!$K$5:$K$27)*后果甲状腺剂量!$S29+SUMPRODUCT(V$5:V$27,后果甲状腺剂量!$K$5:$K$27)*后果甲状腺剂量!$T29+SUMPRODUCT(W$5:W$27,后果甲状腺剂量!$K$5:$K$27)*后果甲状腺剂量!$U29</f>
        <v>0</v>
      </c>
      <c r="T55" s="454">
        <f ca="1" t="shared" si="255"/>
        <v>0</v>
      </c>
      <c r="U55" s="454">
        <f ca="1" t="shared" si="256"/>
        <v>0</v>
      </c>
      <c r="V55" s="459">
        <f ca="1" t="shared" si="263"/>
        <v>0</v>
      </c>
      <c r="W55" s="459">
        <f ca="1" t="shared" si="264"/>
        <v>0</v>
      </c>
      <c r="FS55" s="441">
        <f>SUMPRODUCT(FS$5:FS$27,后果有效剂量!$I$5:$I$27)*后果有效剂量!$Q29+SUMPRODUCT(FT$5:FT$27,后果有效剂量!$I$5:$I$27)*后果有效剂量!$R29+SUMPRODUCT(FU$5:FU$27,后果有效剂量!$I$5:$I$27)*后果有效剂量!$S29+SUMPRODUCT(FV$5:FV$27,后果有效剂量!$I$5:$I$27)*后果有效剂量!$T29+SUMPRODUCT(FS$5:FS$27,后果有效剂量!$J$5:$J$27)*后果有效剂量!$Q29*后果有效剂量!$Q$3+SUMPRODUCT(FT$5:FT$27,后果有效剂量!$J$5:$J$27)*后果有效剂量!$R29*后果有效剂量!$R$3+SUMPRODUCT(FU$5:FU$27,后果有效剂量!$J$5:$J$27)*后果有效剂量!$S29*后果有效剂量!$S$3+SUMPRODUCT(FV$5:FV$27,后果有效剂量!$J$5:$J$27)*后果有效剂量!$T29*后果有效剂量!$T$3+SUMPRODUCT(FS$5:FS$27,后果有效剂量!$K$5:$K$27)*后果有效剂量!$Q29+SUMPRODUCT(FT$5:FT$27,后果有效剂量!$K$5:$K$27)*后果有效剂量!$R29+SUMPRODUCT(FU$5:FU$27,后果有效剂量!$K$5:$K$27)*后果有效剂量!$S29+SUMPRODUCT(FV$5:FV$27,后果有效剂量!$K$5:$K$27)*后果有效剂量!$T29</f>
        <v>0</v>
      </c>
      <c r="FT55" s="453">
        <f>SUMPRODUCT(FS$5:FS$27,后果甲状腺剂量!$I$5:$I$27)*后果甲状腺剂量!$Q29+SUMPRODUCT(FT$5:FT$27,后果甲状腺剂量!$I$5:$I$27)*后果甲状腺剂量!$R29+SUMPRODUCT(FU$5:FU$27,后果甲状腺剂量!$I$5:$I$27)*后果甲状腺剂量!$S29+SUMPRODUCT(FV$5:FV$27,后果甲状腺剂量!$I$5:$I$27)*后果甲状腺剂量!$T29+SUMPRODUCT(FS$5:FS$27,后果甲状腺剂量!$J$5:$J$27)*后果甲状腺剂量!$Q29*后果甲状腺剂量!$Q$3+SUMPRODUCT(FT$5:FT$27,后果甲状腺剂量!$J$5:$J$27)*后果甲状腺剂量!$R29*后果甲状腺剂量!$R$3+SUMPRODUCT(FU$5:FU$27,后果甲状腺剂量!$J$5:$J$27)*后果甲状腺剂量!$S29*后果甲状腺剂量!$S$3+SUMPRODUCT(FV$5:FV$27,后果甲状腺剂量!$J$5:$J$27)*后果甲状腺剂量!$T29*后果甲状腺剂量!$T$3+SUMPRODUCT(FS$5:FS$27,后果甲状腺剂量!$K$5:$K$27)*后果甲状腺剂量!$Q29+SUMPRODUCT(FT$5:FT$27,后果甲状腺剂量!$K$5:$K$27)*后果甲状腺剂量!$R29+SUMPRODUCT(FU$5:FU$27,后果甲状腺剂量!$K$5:$K$27)*后果甲状腺剂量!$S29+SUMPRODUCT(FV$5:FV$27,后果甲状腺剂量!$K$5:$K$27)*后果甲状腺剂量!$T29</f>
        <v>0</v>
      </c>
      <c r="FU55" s="454">
        <f t="shared" si="257"/>
        <v>0</v>
      </c>
      <c r="FV55" s="454">
        <f t="shared" si="258"/>
        <v>0</v>
      </c>
      <c r="FW55" s="459">
        <f t="shared" si="265"/>
        <v>0</v>
      </c>
      <c r="FX55" s="459">
        <f t="shared" si="266"/>
        <v>0</v>
      </c>
      <c r="GD55" s="440">
        <f>后果有效剂量!$P29</f>
        <v>0</v>
      </c>
      <c r="GE55" s="441">
        <f>SUMPRODUCT(GE$5:GE$27,后果有效剂量!$I$5:$I$27)*后果有效剂量!$Q29+SUMPRODUCT(GF$5:GF$27,后果有效剂量!$I$5:$I$27)*后果有效剂量!$R29+SUMPRODUCT(GG$5:GG$27,后果有效剂量!$I$5:$I$27)*后果有效剂量!$S29+(SUMPRODUCT(GH$5:GH$27,后果有效剂量!$I$5:$I$27)+SUMPRODUCT(GI$5:GI$27,后果有效剂量!$I$5:$I$27))*后果有效剂量!$T29+SUMPRODUCT(GJ$5:GJ$27,后果有效剂量!$I$5:$I$27)*后果有效剂量!$U29+SUMPRODUCT(GE$5:GE$27,后果有效剂量!$J$5:$J$27)*后果有效剂量!$Q29*后果有效剂量!$Q$3+SUMPRODUCT(GF$5:GF$27,后果有效剂量!$J$5:$J$27)*后果有效剂量!$R29*后果有效剂量!$R$3+SUMPRODUCT(GG$5:GG$27,后果有效剂量!$J$5:$J$27)*后果有效剂量!$S29*后果有效剂量!$S$3+(SUMPRODUCT(GH$5:GH$27,后果有效剂量!$J$5:$J$27)+SUMPRODUCT(GI$5:GI$27,后果有效剂量!$J$5:$J$27))*后果有效剂量!$T29*后果有效剂量!$T$3+SUMPRODUCT(GJ$5:GJ$27,后果有效剂量!$J$5:$J$27)*后果有效剂量!$U29*后果有效剂量!$U$3+SUMPRODUCT(GE$5:GE$27,后果有效剂量!$K$5:$K$27)*后果有效剂量!$Q29+SUMPRODUCT(GF$5:GF$27,后果有效剂量!$K$5:$K$27)*后果有效剂量!$R29+SUMPRODUCT(GG$5:GG$27,后果有效剂量!$K$5:$K$27)*后果有效剂量!$S29+(SUMPRODUCT(GH$5:GH$27,后果有效剂量!$K$5:$K$27)+SUMPRODUCT(GI$5:GI$27,后果有效剂量!$K$5:$K$27))*后果有效剂量!$T29+SUMPRODUCT(GJ$5:GJ$27,后果有效剂量!$K$5:$K$27)*后果有效剂量!$U29</f>
        <v>0</v>
      </c>
      <c r="GF55" s="453">
        <f>SUMPRODUCT(GE$5:GE$27,后果甲状腺剂量!$I$5:$I$27)*后果甲状腺剂量!$Q29+SUMPRODUCT(GF$5:GF$27,后果甲状腺剂量!$I$5:$I$27)*后果甲状腺剂量!$R29+SUMPRODUCT(GG$5:GG$27,后果甲状腺剂量!$I$5:$I$27)*后果甲状腺剂量!$S29+(SUMPRODUCT(GH$5:GH$27,后果甲状腺剂量!$I$5:$I$27)+SUMPRODUCT(GI$5:GI$27,后果甲状腺剂量!$I$5:$I$27))*后果甲状腺剂量!$T29+SUMPRODUCT(GJ$5:GJ$27,后果甲状腺剂量!$I$5:$I$27)*后果甲状腺剂量!$U29+SUMPRODUCT(GE$5:GE$27,后果甲状腺剂量!$J$5:$J$27)*后果甲状腺剂量!$Q29*后果甲状腺剂量!$Q$3+SUMPRODUCT(GF$5:GF$27,后果甲状腺剂量!$J$5:$J$27)*后果甲状腺剂量!$R29*后果甲状腺剂量!$R$3+SUMPRODUCT(GG$5:GG$27,后果甲状腺剂量!$J$5:$J$27)*后果甲状腺剂量!$S29*后果甲状腺剂量!$S$3+(SUMPRODUCT(GH$5:GH$27,后果甲状腺剂量!$J$5:$J$27)+SUMPRODUCT(GI$5:GI$27,后果甲状腺剂量!$J$5:$J$27))*后果甲状腺剂量!$T29*后果甲状腺剂量!$T$3+SUMPRODUCT(GJ$5:GJ$27,后果甲状腺剂量!$J$5:$J$27)*后果甲状腺剂量!$U29*后果甲状腺剂量!$U$3+SUMPRODUCT(GE$5:GE$27,后果甲状腺剂量!$K$5:$K$27)*后果甲状腺剂量!$Q29+SUMPRODUCT(GF$5:GF$27,后果甲状腺剂量!$K$5:$K$27)*后果甲状腺剂量!$R29+SUMPRODUCT(GG$5:GG$27,后果甲状腺剂量!$K$5:$K$27)*后果甲状腺剂量!$S29+(SUMPRODUCT(GH$5:GH$27,后果甲状腺剂量!$K$5:$K$27)+SUMPRODUCT(GI$5:GI$27,后果甲状腺剂量!$K$5:$K$27))*后果甲状腺剂量!$T29+SUMPRODUCT(GJ$5:GJ$27,后果甲状腺剂量!$K$5:$K$27)*后果甲状腺剂量!$U29</f>
        <v>0</v>
      </c>
      <c r="GG55" s="454">
        <f t="shared" si="259"/>
        <v>0</v>
      </c>
      <c r="GH55" s="454">
        <f t="shared" si="260"/>
        <v>0</v>
      </c>
      <c r="GI55" s="459">
        <f t="shared" si="267"/>
        <v>0</v>
      </c>
      <c r="GJ55" s="459">
        <f t="shared" si="268"/>
        <v>0</v>
      </c>
    </row>
    <row r="56" spans="7:192">
      <c r="G56" s="440">
        <f>后果有效剂量!$P30</f>
        <v>0</v>
      </c>
      <c r="H56" s="441">
        <f ca="1">SUMPRODUCT(H$5:H$27,后果有效剂量!$I$5:$I$27)*后果有效剂量!$Q30+SUMPRODUCT(I$5:I$27,后果有效剂量!$I$5:$I$27)*后果有效剂量!$Q30+SUMPRODUCT(J$5:J$27,后果有效剂量!$I$5:$I$27)*后果有效剂量!$R30+SUMPRODUCT(K$5:K$27,后果有效剂量!$I$5:$I$27)*后果有效剂量!$S30+SUMPRODUCT(L$5:L$27,后果有效剂量!$I$5:$I$27)*后果有效剂量!$T30+SUMPRODUCT(M$5:M$27,后果有效剂量!$I$5:$I$27)*后果有效剂量!$U30+SUMPRODUCT(H$5:H$27,后果有效剂量!$J$5:$J$27)*后果有效剂量!$Q30*后果有效剂量!$Q$3+SUMPRODUCT(I$5:I$27,后果有效剂量!$J$5:$J$27)*后果有效剂量!$Q30*后果有效剂量!$Q$3+SUMPRODUCT(J$5:J$27,后果有效剂量!$J$5:$J$27)*后果有效剂量!$R30*后果有效剂量!$R$3+SUMPRODUCT(K$5:K$27,后果有效剂量!$J$5:$J$27)*后果有效剂量!$S30*后果有效剂量!$S$3+SUMPRODUCT(L$5:L$27,后果有效剂量!$J$5:$J$27)*后果有效剂量!$T30*后果有效剂量!$T$3+SUMPRODUCT(M$5:M$27,后果有效剂量!$J$5:$J$27)*后果有效剂量!$U30*后果有效剂量!$U$3+SUMPRODUCT(H$5:H$27,后果有效剂量!$K$5:$K$27)*后果有效剂量!$Q30+SUMPRODUCT(I$5:I$27,后果有效剂量!$K$5:$K$27)*后果有效剂量!$Q30+SUMPRODUCT(J$5:J$27,后果有效剂量!$K$5:$K$27)*后果有效剂量!$R30+SUMPRODUCT(K$5:K$27,后果有效剂量!$K$5:$K$27)*后果有效剂量!$S30+SUMPRODUCT(L$5:L$27,后果有效剂量!$K$5:$K$27)*后果有效剂量!$T30+SUMPRODUCT(M$5:M$27,后果有效剂量!$K$5:$K$27)*后果有效剂量!$U30</f>
        <v>0</v>
      </c>
      <c r="I56" s="453">
        <f ca="1">SUMPRODUCT(H$5:H$27,后果甲状腺剂量!$I$5:$I$27)*后果甲状腺剂量!$Q30+SUMPRODUCT(I$5:I$27,后果甲状腺剂量!$I$5:$I$27)*后果甲状腺剂量!$Q30+SUMPRODUCT(J$5:J$27,后果甲状腺剂量!$I$5:$I$27)*后果甲状腺剂量!$R30+SUMPRODUCT(K$5:K$27,后果甲状腺剂量!$I$5:$I$27)*后果甲状腺剂量!$S30+SUMPRODUCT(L$5:L$27,后果甲状腺剂量!$I$5:$I$27)*后果甲状腺剂量!$T30+SUMPRODUCT(M$5:M$27,后果甲状腺剂量!$I$5:$I$27)*后果甲状腺剂量!$U30+SUMPRODUCT(H$5:H$27,后果甲状腺剂量!$J$5:$J$27)*后果甲状腺剂量!$Q30*后果甲状腺剂量!$Q$3+SUMPRODUCT(I$5:I$27,后果甲状腺剂量!$J$5:$J$27)*后果甲状腺剂量!$Q30*后果甲状腺剂量!$Q$3+SUMPRODUCT(J$5:J$27,后果甲状腺剂量!$J$5:$J$27)*后果甲状腺剂量!$R30*后果甲状腺剂量!$R$3+SUMPRODUCT(K$5:K$27,后果甲状腺剂量!$J$5:$J$27)*后果甲状腺剂量!$S30*后果甲状腺剂量!$S$3+SUMPRODUCT(L$5:L$27,后果甲状腺剂量!$J$5:$J$27)*后果甲状腺剂量!$T30*后果甲状腺剂量!$T$3+SUMPRODUCT(M$5:M$27,后果甲状腺剂量!$J$5:$J$27)*后果甲状腺剂量!$U30*后果甲状腺剂量!$U$3+SUMPRODUCT(H$5:H$27,后果甲状腺剂量!$K$5:$K$27)*后果甲状腺剂量!$Q30+SUMPRODUCT(I$5:I$27,后果甲状腺剂量!$K$5:$K$27)*后果甲状腺剂量!$Q30+SUMPRODUCT(J$5:J$27,后果甲状腺剂量!$K$5:$K$27)*后果甲状腺剂量!$R30+SUMPRODUCT(K$5:K$27,后果甲状腺剂量!$K$5:$K$27)*后果甲状腺剂量!$S30+SUMPRODUCT(L$5:L$27,后果甲状腺剂量!$K$5:$K$27)*后果甲状腺剂量!$T30+SUMPRODUCT(M$5:M$27,后果甲状腺剂量!$K$5:$K$27)*后果甲状腺剂量!$U30</f>
        <v>0</v>
      </c>
      <c r="J56" s="454">
        <f ca="1" t="shared" si="253"/>
        <v>0</v>
      </c>
      <c r="K56" s="454">
        <f ca="1" t="shared" si="254"/>
        <v>0</v>
      </c>
      <c r="L56" s="459">
        <f ca="1" t="shared" si="261"/>
        <v>0</v>
      </c>
      <c r="M56" s="459">
        <f ca="1" t="shared" si="262"/>
        <v>0</v>
      </c>
      <c r="Q56" s="440">
        <f>后果有效剂量!$P30</f>
        <v>0</v>
      </c>
      <c r="R56" s="441">
        <f ca="1">SUMPRODUCT(R$5:R$27,后果有效剂量!$I$5:$I$27)*后果有效剂量!$Q30+SUMPRODUCT(S$5:S$27,后果有效剂量!$I$5:$I$27)*后果有效剂量!$Q30+SUMPRODUCT(T$5:T$27,后果有效剂量!$I$5:$I$27)*后果有效剂量!$R30+SUMPRODUCT(U$5:U$27,后果有效剂量!$I$5:$I$27)*后果有效剂量!$S30+SUMPRODUCT(V$5:V$27,后果有效剂量!$I$5:$I$27)*后果有效剂量!$T30+SUMPRODUCT(W$5:W$27,后果有效剂量!$I$5:$I$27)*后果有效剂量!$U30+SUMPRODUCT(R$5:R$27,后果有效剂量!$J$5:$J$27)*后果有效剂量!$Q30*后果有效剂量!$Q$3+SUMPRODUCT(S$5:S$27,后果有效剂量!$J$5:$J$27)*后果有效剂量!$Q30*后果有效剂量!$Q$3+SUMPRODUCT(T$5:T$27,后果有效剂量!$J$5:$J$27)*后果有效剂量!$R30*后果有效剂量!$R$3+SUMPRODUCT(U$5:U$27,后果有效剂量!$J$5:$J$27)*后果有效剂量!$S30*后果有效剂量!$S$3+SUMPRODUCT(V$5:V$27,后果有效剂量!$J$5:$J$27)*后果有效剂量!$T30*后果有效剂量!$T$3+SUMPRODUCT(W$5:W$27,后果有效剂量!$J$5:$J$27)*后果有效剂量!$U30*后果有效剂量!$U$3+SUMPRODUCT(R$5:R$27,后果有效剂量!$K$5:$K$27)*后果有效剂量!$Q30+SUMPRODUCT(S$5:S$27,后果有效剂量!$K$5:$K$27)*后果有效剂量!$Q30+SUMPRODUCT(T$5:T$27,后果有效剂量!$K$5:$K$27)*后果有效剂量!$R30+SUMPRODUCT(U$5:U$27,后果有效剂量!$K$5:$K$27)*后果有效剂量!$S30+SUMPRODUCT(V$5:V$27,后果有效剂量!$K$5:$K$27)*后果有效剂量!$T30+SUMPRODUCT(W$5:W$27,后果有效剂量!$K$5:$K$27)*后果有效剂量!$U30</f>
        <v>0</v>
      </c>
      <c r="S56" s="453">
        <f ca="1">SUMPRODUCT(R$5:R$27,后果甲状腺剂量!$I$5:$I$27)*后果甲状腺剂量!$Q30+SUMPRODUCT(S$5:S$27,后果甲状腺剂量!$I$5:$I$27)*后果甲状腺剂量!$Q30+SUMPRODUCT(T$5:T$27,后果甲状腺剂量!$I$5:$I$27)*后果甲状腺剂量!$R30+SUMPRODUCT(U$5:U$27,后果甲状腺剂量!$I$5:$I$27)*后果甲状腺剂量!$S30+SUMPRODUCT(V$5:V$27,后果甲状腺剂量!$I$5:$I$27)*后果甲状腺剂量!$T30+SUMPRODUCT(W$5:W$27,后果甲状腺剂量!$I$5:$I$27)*后果甲状腺剂量!$U30+SUMPRODUCT(R$5:R$27,后果甲状腺剂量!$J$5:$J$27)*后果甲状腺剂量!$Q30*后果甲状腺剂量!$Q$3+SUMPRODUCT(S$5:S$27,后果甲状腺剂量!$J$5:$J$27)*后果甲状腺剂量!$Q30*后果甲状腺剂量!$Q$3+SUMPRODUCT(T$5:T$27,后果甲状腺剂量!$J$5:$J$27)*后果甲状腺剂量!$R30*后果甲状腺剂量!$R$3+SUMPRODUCT(U$5:U$27,后果甲状腺剂量!$J$5:$J$27)*后果甲状腺剂量!$S30*后果甲状腺剂量!$S$3+SUMPRODUCT(V$5:V$27,后果甲状腺剂量!$J$5:$J$27)*后果甲状腺剂量!$T30*后果甲状腺剂量!$T$3+SUMPRODUCT(W$5:W$27,后果甲状腺剂量!$J$5:$J$27)*后果甲状腺剂量!$U30*后果甲状腺剂量!$U$3+SUMPRODUCT(R$5:R$27,后果甲状腺剂量!$K$5:$K$27)*后果甲状腺剂量!$Q30+SUMPRODUCT(S$5:S$27,后果甲状腺剂量!$K$5:$K$27)*后果甲状腺剂量!$Q30+SUMPRODUCT(T$5:T$27,后果甲状腺剂量!$K$5:$K$27)*后果甲状腺剂量!$R30+SUMPRODUCT(U$5:U$27,后果甲状腺剂量!$K$5:$K$27)*后果甲状腺剂量!$S30+SUMPRODUCT(V$5:V$27,后果甲状腺剂量!$K$5:$K$27)*后果甲状腺剂量!$T30+SUMPRODUCT(W$5:W$27,后果甲状腺剂量!$K$5:$K$27)*后果甲状腺剂量!$U30</f>
        <v>0</v>
      </c>
      <c r="T56" s="454">
        <f ca="1" t="shared" si="255"/>
        <v>0</v>
      </c>
      <c r="U56" s="454">
        <f ca="1" t="shared" si="256"/>
        <v>0</v>
      </c>
      <c r="V56" s="459">
        <f ca="1" t="shared" si="263"/>
        <v>0</v>
      </c>
      <c r="W56" s="459">
        <f ca="1" t="shared" si="264"/>
        <v>0</v>
      </c>
      <c r="FS56" s="441">
        <f>SUMPRODUCT(FS$5:FS$27,后果有效剂量!$I$5:$I$27)*后果有效剂量!$Q30+SUMPRODUCT(FT$5:FT$27,后果有效剂量!$I$5:$I$27)*后果有效剂量!$R30+SUMPRODUCT(FU$5:FU$27,后果有效剂量!$I$5:$I$27)*后果有效剂量!$S30+SUMPRODUCT(FV$5:FV$27,后果有效剂量!$I$5:$I$27)*后果有效剂量!$T30+SUMPRODUCT(FS$5:FS$27,后果有效剂量!$J$5:$J$27)*后果有效剂量!$Q30*后果有效剂量!$Q$3+SUMPRODUCT(FT$5:FT$27,后果有效剂量!$J$5:$J$27)*后果有效剂量!$R30*后果有效剂量!$R$3+SUMPRODUCT(FU$5:FU$27,后果有效剂量!$J$5:$J$27)*后果有效剂量!$S30*后果有效剂量!$S$3+SUMPRODUCT(FV$5:FV$27,后果有效剂量!$J$5:$J$27)*后果有效剂量!$T30*后果有效剂量!$T$3+SUMPRODUCT(FS$5:FS$27,后果有效剂量!$K$5:$K$27)*后果有效剂量!$Q30+SUMPRODUCT(FT$5:FT$27,后果有效剂量!$K$5:$K$27)*后果有效剂量!$R30+SUMPRODUCT(FU$5:FU$27,后果有效剂量!$K$5:$K$27)*后果有效剂量!$S30+SUMPRODUCT(FV$5:FV$27,后果有效剂量!$K$5:$K$27)*后果有效剂量!$T30</f>
        <v>0</v>
      </c>
      <c r="FT56" s="453">
        <f>SUMPRODUCT(FS$5:FS$27,后果甲状腺剂量!$I$5:$I$27)*后果甲状腺剂量!$Q30+SUMPRODUCT(FT$5:FT$27,后果甲状腺剂量!$I$5:$I$27)*后果甲状腺剂量!$R30+SUMPRODUCT(FU$5:FU$27,后果甲状腺剂量!$I$5:$I$27)*后果甲状腺剂量!$S30+SUMPRODUCT(FV$5:FV$27,后果甲状腺剂量!$I$5:$I$27)*后果甲状腺剂量!$T30+SUMPRODUCT(FS$5:FS$27,后果甲状腺剂量!$J$5:$J$27)*后果甲状腺剂量!$Q30*后果甲状腺剂量!$Q$3+SUMPRODUCT(FT$5:FT$27,后果甲状腺剂量!$J$5:$J$27)*后果甲状腺剂量!$R30*后果甲状腺剂量!$R$3+SUMPRODUCT(FU$5:FU$27,后果甲状腺剂量!$J$5:$J$27)*后果甲状腺剂量!$S30*后果甲状腺剂量!$S$3+SUMPRODUCT(FV$5:FV$27,后果甲状腺剂量!$J$5:$J$27)*后果甲状腺剂量!$T30*后果甲状腺剂量!$T$3+SUMPRODUCT(FS$5:FS$27,后果甲状腺剂量!$K$5:$K$27)*后果甲状腺剂量!$Q30+SUMPRODUCT(FT$5:FT$27,后果甲状腺剂量!$K$5:$K$27)*后果甲状腺剂量!$R30+SUMPRODUCT(FU$5:FU$27,后果甲状腺剂量!$K$5:$K$27)*后果甲状腺剂量!$S30+SUMPRODUCT(FV$5:FV$27,后果甲状腺剂量!$K$5:$K$27)*后果甲状腺剂量!$T30</f>
        <v>0</v>
      </c>
      <c r="FU56" s="454">
        <f t="shared" si="257"/>
        <v>0</v>
      </c>
      <c r="FV56" s="454">
        <f t="shared" si="258"/>
        <v>0</v>
      </c>
      <c r="FW56" s="459">
        <f t="shared" si="265"/>
        <v>0</v>
      </c>
      <c r="FX56" s="459">
        <f t="shared" si="266"/>
        <v>0</v>
      </c>
      <c r="GD56" s="440">
        <f>后果有效剂量!$P30</f>
        <v>0</v>
      </c>
      <c r="GE56" s="441">
        <f>SUMPRODUCT(GE$5:GE$27,后果有效剂量!$I$5:$I$27)*后果有效剂量!$Q30+SUMPRODUCT(GF$5:GF$27,后果有效剂量!$I$5:$I$27)*后果有效剂量!$R30+SUMPRODUCT(GG$5:GG$27,后果有效剂量!$I$5:$I$27)*后果有效剂量!$S30+(SUMPRODUCT(GH$5:GH$27,后果有效剂量!$I$5:$I$27)+SUMPRODUCT(GI$5:GI$27,后果有效剂量!$I$5:$I$27))*后果有效剂量!$T30+SUMPRODUCT(GJ$5:GJ$27,后果有效剂量!$I$5:$I$27)*后果有效剂量!$U30+SUMPRODUCT(GE$5:GE$27,后果有效剂量!$J$5:$J$27)*后果有效剂量!$Q30*后果有效剂量!$Q$3+SUMPRODUCT(GF$5:GF$27,后果有效剂量!$J$5:$J$27)*后果有效剂量!$R30*后果有效剂量!$R$3+SUMPRODUCT(GG$5:GG$27,后果有效剂量!$J$5:$J$27)*后果有效剂量!$S30*后果有效剂量!$S$3+(SUMPRODUCT(GH$5:GH$27,后果有效剂量!$J$5:$J$27)+SUMPRODUCT(GI$5:GI$27,后果有效剂量!$J$5:$J$27))*后果有效剂量!$T30*后果有效剂量!$T$3+SUMPRODUCT(GJ$5:GJ$27,后果有效剂量!$J$5:$J$27)*后果有效剂量!$U30*后果有效剂量!$U$3+SUMPRODUCT(GE$5:GE$27,后果有效剂量!$K$5:$K$27)*后果有效剂量!$Q30+SUMPRODUCT(GF$5:GF$27,后果有效剂量!$K$5:$K$27)*后果有效剂量!$R30+SUMPRODUCT(GG$5:GG$27,后果有效剂量!$K$5:$K$27)*后果有效剂量!$S30+(SUMPRODUCT(GH$5:GH$27,后果有效剂量!$K$5:$K$27)+SUMPRODUCT(GI$5:GI$27,后果有效剂量!$K$5:$K$27))*后果有效剂量!$T30+SUMPRODUCT(GJ$5:GJ$27,后果有效剂量!$K$5:$K$27)*后果有效剂量!$U30</f>
        <v>0</v>
      </c>
      <c r="GF56" s="453">
        <f>SUMPRODUCT(GE$5:GE$27,后果甲状腺剂量!$I$5:$I$27)*后果甲状腺剂量!$Q30+SUMPRODUCT(GF$5:GF$27,后果甲状腺剂量!$I$5:$I$27)*后果甲状腺剂量!$R30+SUMPRODUCT(GG$5:GG$27,后果甲状腺剂量!$I$5:$I$27)*后果甲状腺剂量!$S30+(SUMPRODUCT(GH$5:GH$27,后果甲状腺剂量!$I$5:$I$27)+SUMPRODUCT(GI$5:GI$27,后果甲状腺剂量!$I$5:$I$27))*后果甲状腺剂量!$T30+SUMPRODUCT(GJ$5:GJ$27,后果甲状腺剂量!$I$5:$I$27)*后果甲状腺剂量!$U30+SUMPRODUCT(GE$5:GE$27,后果甲状腺剂量!$J$5:$J$27)*后果甲状腺剂量!$Q30*后果甲状腺剂量!$Q$3+SUMPRODUCT(GF$5:GF$27,后果甲状腺剂量!$J$5:$J$27)*后果甲状腺剂量!$R30*后果甲状腺剂量!$R$3+SUMPRODUCT(GG$5:GG$27,后果甲状腺剂量!$J$5:$J$27)*后果甲状腺剂量!$S30*后果甲状腺剂量!$S$3+(SUMPRODUCT(GH$5:GH$27,后果甲状腺剂量!$J$5:$J$27)+SUMPRODUCT(GI$5:GI$27,后果甲状腺剂量!$J$5:$J$27))*后果甲状腺剂量!$T30*后果甲状腺剂量!$T$3+SUMPRODUCT(GJ$5:GJ$27,后果甲状腺剂量!$J$5:$J$27)*后果甲状腺剂量!$U30*后果甲状腺剂量!$U$3+SUMPRODUCT(GE$5:GE$27,后果甲状腺剂量!$K$5:$K$27)*后果甲状腺剂量!$Q30+SUMPRODUCT(GF$5:GF$27,后果甲状腺剂量!$K$5:$K$27)*后果甲状腺剂量!$R30+SUMPRODUCT(GG$5:GG$27,后果甲状腺剂量!$K$5:$K$27)*后果甲状腺剂量!$S30+(SUMPRODUCT(GH$5:GH$27,后果甲状腺剂量!$K$5:$K$27)+SUMPRODUCT(GI$5:GI$27,后果甲状腺剂量!$K$5:$K$27))*后果甲状腺剂量!$T30+SUMPRODUCT(GJ$5:GJ$27,后果甲状腺剂量!$K$5:$K$27)*后果甲状腺剂量!$U30</f>
        <v>0</v>
      </c>
      <c r="GG56" s="454">
        <f t="shared" si="259"/>
        <v>0</v>
      </c>
      <c r="GH56" s="454">
        <f t="shared" si="260"/>
        <v>0</v>
      </c>
      <c r="GI56" s="459">
        <f t="shared" si="267"/>
        <v>0</v>
      </c>
      <c r="GJ56" s="459">
        <f t="shared" si="268"/>
        <v>0</v>
      </c>
    </row>
    <row r="57" ht="13.5" spans="8:21">
      <c r="H57" s="447"/>
      <c r="I57" s="460"/>
      <c r="J57" s="461"/>
      <c r="K57" s="461"/>
      <c r="R57" s="447"/>
      <c r="S57" s="460"/>
      <c r="T57" s="461"/>
      <c r="U57" s="461"/>
    </row>
    <row r="58" ht="13.5" spans="9:25">
      <c r="I58" s="462" t="s">
        <v>296</v>
      </c>
      <c r="J58" s="462"/>
      <c r="K58" s="462" t="s">
        <v>297</v>
      </c>
      <c r="L58" s="462"/>
      <c r="M58" s="463" t="s">
        <v>298</v>
      </c>
      <c r="N58" s="464"/>
      <c r="O58" s="463" t="s">
        <v>299</v>
      </c>
      <c r="P58" s="464"/>
      <c r="S58" s="462" t="s">
        <v>296</v>
      </c>
      <c r="T58" s="462"/>
      <c r="U58" s="462" t="s">
        <v>297</v>
      </c>
      <c r="V58" s="462"/>
      <c r="W58" s="463" t="s">
        <v>298</v>
      </c>
      <c r="X58" s="464"/>
      <c r="Y58" s="505"/>
    </row>
    <row r="59" ht="36.75" spans="9:25">
      <c r="I59" s="465" t="s">
        <v>300</v>
      </c>
      <c r="J59" s="466" t="s">
        <v>301</v>
      </c>
      <c r="K59" s="465" t="s">
        <v>300</v>
      </c>
      <c r="L59" s="466" t="s">
        <v>301</v>
      </c>
      <c r="M59" s="466" t="s">
        <v>300</v>
      </c>
      <c r="N59" s="467" t="s">
        <v>301</v>
      </c>
      <c r="O59" s="466" t="s">
        <v>300</v>
      </c>
      <c r="P59" s="467" t="s">
        <v>301</v>
      </c>
      <c r="S59" s="465" t="s">
        <v>300</v>
      </c>
      <c r="T59" s="466" t="s">
        <v>301</v>
      </c>
      <c r="U59" s="465" t="s">
        <v>300</v>
      </c>
      <c r="V59" s="466" t="s">
        <v>301</v>
      </c>
      <c r="W59" s="466" t="s">
        <v>300</v>
      </c>
      <c r="X59" s="467" t="s">
        <v>301</v>
      </c>
      <c r="Y59" s="505"/>
    </row>
    <row r="60" ht="13.5" spans="9:25">
      <c r="I60" s="468">
        <f ca="1">J56</f>
        <v>0</v>
      </c>
      <c r="J60" s="468">
        <f ca="1">K56</f>
        <v>0</v>
      </c>
      <c r="K60" s="468">
        <f ca="1">J33</f>
        <v>0</v>
      </c>
      <c r="L60" s="468">
        <f ca="1">K33</f>
        <v>0</v>
      </c>
      <c r="M60" s="468">
        <f ca="1">J34</f>
        <v>4.77860520271798</v>
      </c>
      <c r="N60" s="468">
        <f ca="1">K34</f>
        <v>47.9692815471126</v>
      </c>
      <c r="O60" s="468">
        <f ca="1">J35</f>
        <v>1.60370424036793</v>
      </c>
      <c r="P60" s="468">
        <f ca="1">K35</f>
        <v>17.6149492894315</v>
      </c>
      <c r="S60" s="468">
        <f ca="1">T56</f>
        <v>0</v>
      </c>
      <c r="T60" s="468">
        <f ca="1">U56</f>
        <v>0</v>
      </c>
      <c r="U60" s="468">
        <f ca="1">T33</f>
        <v>0</v>
      </c>
      <c r="V60" s="468">
        <f ca="1">U33</f>
        <v>0</v>
      </c>
      <c r="W60" s="468">
        <f ca="1">T34</f>
        <v>4.77860520271789</v>
      </c>
      <c r="X60" s="468">
        <f ca="1">U34</f>
        <v>47.9692815471118</v>
      </c>
      <c r="Y60" s="506"/>
    </row>
    <row r="61" ht="13.5" spans="9:24">
      <c r="I61" s="469"/>
      <c r="J61" s="470"/>
      <c r="K61" s="470"/>
      <c r="L61" s="470"/>
      <c r="M61" s="470"/>
      <c r="N61" s="470"/>
      <c r="O61" s="470"/>
      <c r="P61" s="471"/>
      <c r="S61" s="469"/>
      <c r="T61" s="470"/>
      <c r="U61" s="470"/>
      <c r="V61" s="470"/>
      <c r="W61" s="470"/>
      <c r="X61" s="470"/>
    </row>
    <row r="62" ht="13.5" spans="9:25">
      <c r="I62" s="472" t="s">
        <v>300</v>
      </c>
      <c r="J62" s="473"/>
      <c r="K62" s="473"/>
      <c r="L62" s="474"/>
      <c r="M62" s="472" t="s">
        <v>301</v>
      </c>
      <c r="N62" s="473"/>
      <c r="O62" s="473"/>
      <c r="P62" s="474"/>
      <c r="S62" s="472" t="s">
        <v>300</v>
      </c>
      <c r="T62" s="473"/>
      <c r="U62" s="473"/>
      <c r="V62" s="474"/>
      <c r="W62" s="472" t="s">
        <v>301</v>
      </c>
      <c r="X62" s="473"/>
      <c r="Y62" s="506"/>
    </row>
    <row r="63" ht="64.5" spans="9:25">
      <c r="I63" s="475" t="s">
        <v>296</v>
      </c>
      <c r="J63" s="475" t="s">
        <v>297</v>
      </c>
      <c r="K63" s="475" t="s">
        <v>298</v>
      </c>
      <c r="L63" s="475" t="s">
        <v>299</v>
      </c>
      <c r="M63" s="475" t="s">
        <v>296</v>
      </c>
      <c r="N63" s="475" t="s">
        <v>297</v>
      </c>
      <c r="O63" s="475" t="s">
        <v>298</v>
      </c>
      <c r="P63" s="475" t="s">
        <v>299</v>
      </c>
      <c r="S63" s="475" t="s">
        <v>296</v>
      </c>
      <c r="T63" s="475" t="s">
        <v>297</v>
      </c>
      <c r="U63" s="475" t="s">
        <v>298</v>
      </c>
      <c r="V63" s="475" t="s">
        <v>299</v>
      </c>
      <c r="W63" s="475" t="s">
        <v>296</v>
      </c>
      <c r="X63" s="475" t="s">
        <v>297</v>
      </c>
      <c r="Y63" s="506"/>
    </row>
    <row r="64" ht="13.5" spans="9:25">
      <c r="I64" s="475">
        <f ca="1">I60</f>
        <v>0</v>
      </c>
      <c r="J64" s="475">
        <f ca="1">K60</f>
        <v>0</v>
      </c>
      <c r="K64" s="475">
        <f ca="1">M60</f>
        <v>4.77860520271798</v>
      </c>
      <c r="L64" s="475">
        <f ca="1">O60</f>
        <v>1.60370424036793</v>
      </c>
      <c r="M64" s="475">
        <f ca="1">J60</f>
        <v>0</v>
      </c>
      <c r="N64" s="475">
        <f ca="1">L60</f>
        <v>0</v>
      </c>
      <c r="O64" s="475">
        <f ca="1">N60</f>
        <v>47.9692815471126</v>
      </c>
      <c r="P64" s="475">
        <f ca="1">P60</f>
        <v>17.6149492894315</v>
      </c>
      <c r="S64" s="475">
        <f ca="1">S60</f>
        <v>0</v>
      </c>
      <c r="T64" s="475">
        <f ca="1">U60</f>
        <v>0</v>
      </c>
      <c r="U64" s="475">
        <f ca="1">W60</f>
        <v>4.77860520271789</v>
      </c>
      <c r="V64" s="475">
        <f>FS60</f>
        <v>0</v>
      </c>
      <c r="W64" s="475">
        <f ca="1">T60</f>
        <v>0</v>
      </c>
      <c r="X64" s="475">
        <f ca="1">V60</f>
        <v>0</v>
      </c>
      <c r="Y64" s="506"/>
    </row>
    <row r="65" ht="13.5" spans="7:17">
      <c r="G65" s="390"/>
      <c r="Q65" s="390"/>
    </row>
    <row r="66" ht="13.5" spans="7:25">
      <c r="G66" s="390"/>
      <c r="H66" s="618"/>
      <c r="I66" s="462" t="s">
        <v>296</v>
      </c>
      <c r="J66" s="462"/>
      <c r="K66" s="462" t="s">
        <v>297</v>
      </c>
      <c r="L66" s="462"/>
      <c r="M66" s="463" t="s">
        <v>298</v>
      </c>
      <c r="N66" s="464"/>
      <c r="O66" s="463" t="s">
        <v>299</v>
      </c>
      <c r="P66" s="464"/>
      <c r="Q66" s="390"/>
      <c r="R66" s="618"/>
      <c r="S66" s="462" t="s">
        <v>296</v>
      </c>
      <c r="T66" s="462"/>
      <c r="U66" s="462" t="s">
        <v>297</v>
      </c>
      <c r="V66" s="462"/>
      <c r="W66" s="463" t="s">
        <v>298</v>
      </c>
      <c r="X66" s="464"/>
      <c r="Y66" s="505"/>
    </row>
    <row r="67" ht="36.75" spans="7:25">
      <c r="G67" s="611" t="s">
        <v>173</v>
      </c>
      <c r="H67" s="619" t="s">
        <v>276</v>
      </c>
      <c r="I67" s="465" t="s">
        <v>300</v>
      </c>
      <c r="J67" s="466" t="s">
        <v>301</v>
      </c>
      <c r="K67" s="465" t="s">
        <v>300</v>
      </c>
      <c r="L67" s="466" t="s">
        <v>301</v>
      </c>
      <c r="M67" s="466" t="s">
        <v>300</v>
      </c>
      <c r="N67" s="467" t="s">
        <v>301</v>
      </c>
      <c r="O67" s="466" t="s">
        <v>300</v>
      </c>
      <c r="P67" s="467" t="s">
        <v>301</v>
      </c>
      <c r="Q67" s="611" t="s">
        <v>173</v>
      </c>
      <c r="R67" s="619" t="s">
        <v>276</v>
      </c>
      <c r="S67" s="465" t="s">
        <v>300</v>
      </c>
      <c r="T67" s="466" t="s">
        <v>301</v>
      </c>
      <c r="U67" s="465" t="s">
        <v>300</v>
      </c>
      <c r="V67" s="466" t="s">
        <v>301</v>
      </c>
      <c r="W67" s="466" t="s">
        <v>300</v>
      </c>
      <c r="X67" s="467" t="s">
        <v>301</v>
      </c>
      <c r="Y67" s="505"/>
    </row>
    <row r="68" ht="13.5" spans="7:174">
      <c r="G68" s="390" t="s">
        <v>302</v>
      </c>
      <c r="H68" s="620">
        <v>0.1</v>
      </c>
      <c r="I68" s="621"/>
      <c r="J68" s="622"/>
      <c r="K68" s="621"/>
      <c r="L68" s="622"/>
      <c r="M68" s="622"/>
      <c r="N68" s="622"/>
      <c r="O68" s="623"/>
      <c r="P68" s="622"/>
      <c r="Q68" s="390" t="s">
        <v>302</v>
      </c>
      <c r="R68" s="620">
        <v>0.1</v>
      </c>
      <c r="S68" s="621"/>
      <c r="T68" s="622"/>
      <c r="U68" s="621"/>
      <c r="V68" s="622"/>
      <c r="W68" s="622"/>
      <c r="X68" s="622"/>
      <c r="Y68" s="628"/>
      <c r="EV68" s="631"/>
      <c r="FQ68" s="631"/>
      <c r="FR68" s="632"/>
    </row>
    <row r="69" ht="13.5" spans="7:174">
      <c r="G69" s="390" t="s">
        <v>302</v>
      </c>
      <c r="H69" s="620">
        <v>0.1</v>
      </c>
      <c r="I69" s="621"/>
      <c r="J69" s="622"/>
      <c r="K69" s="621"/>
      <c r="L69" s="622"/>
      <c r="M69" s="622"/>
      <c r="N69" s="622"/>
      <c r="O69" s="623"/>
      <c r="P69" s="622"/>
      <c r="Q69" s="390" t="s">
        <v>302</v>
      </c>
      <c r="R69" s="620">
        <v>0.1</v>
      </c>
      <c r="S69" s="621"/>
      <c r="T69" s="622"/>
      <c r="U69" s="621"/>
      <c r="V69" s="622"/>
      <c r="W69" s="622"/>
      <c r="X69" s="622"/>
      <c r="Y69" s="628"/>
      <c r="EV69" s="631"/>
      <c r="FQ69" s="631"/>
      <c r="FR69" s="632"/>
    </row>
    <row r="70" s="390" customFormat="1" ht="13.5" spans="1:174">
      <c r="A70" s="391"/>
      <c r="G70" s="390" t="s">
        <v>302</v>
      </c>
      <c r="H70" s="620">
        <v>0.1</v>
      </c>
      <c r="I70" s="621"/>
      <c r="J70" s="622"/>
      <c r="K70" s="621"/>
      <c r="L70" s="622"/>
      <c r="M70" s="624"/>
      <c r="N70" s="624"/>
      <c r="O70" s="623"/>
      <c r="P70" s="622"/>
      <c r="Q70" s="390" t="s">
        <v>302</v>
      </c>
      <c r="R70" s="620">
        <v>0.1</v>
      </c>
      <c r="S70" s="621"/>
      <c r="T70" s="622"/>
      <c r="U70" s="621"/>
      <c r="V70" s="622"/>
      <c r="W70" s="624"/>
      <c r="X70" s="624"/>
      <c r="Y70" s="629"/>
      <c r="Z70" s="394"/>
      <c r="AV70" s="394"/>
      <c r="AW70" s="394"/>
      <c r="AX70" s="394"/>
      <c r="AY70" s="394"/>
      <c r="AZ70" s="394"/>
      <c r="BA70" s="394"/>
      <c r="BB70" s="394"/>
      <c r="BC70" s="394"/>
      <c r="BD70" s="394"/>
      <c r="BE70" s="394"/>
      <c r="BF70" s="394"/>
      <c r="BG70" s="394"/>
      <c r="BH70" s="394"/>
      <c r="BI70" s="394"/>
      <c r="BJ70" s="394"/>
      <c r="BK70" s="394"/>
      <c r="BL70" s="394"/>
      <c r="BM70" s="394"/>
      <c r="BN70" s="394"/>
      <c r="BO70" s="394"/>
      <c r="BP70" s="394"/>
      <c r="BQ70" s="394"/>
      <c r="BR70" s="394"/>
      <c r="BS70" s="394"/>
      <c r="BT70" s="394"/>
      <c r="BU70" s="394"/>
      <c r="BV70" s="394"/>
      <c r="BW70" s="394"/>
      <c r="BX70" s="394"/>
      <c r="BY70" s="394"/>
      <c r="BZ70" s="394"/>
      <c r="CA70" s="394"/>
      <c r="CB70" s="394"/>
      <c r="CC70" s="394"/>
      <c r="CD70" s="394"/>
      <c r="CE70" s="394"/>
      <c r="CF70" s="394"/>
      <c r="CG70" s="394"/>
      <c r="CH70" s="394"/>
      <c r="CI70" s="394"/>
      <c r="CJ70" s="394"/>
      <c r="CK70" s="394"/>
      <c r="CL70" s="394"/>
      <c r="CM70" s="394"/>
      <c r="CN70" s="394"/>
      <c r="CO70" s="394"/>
      <c r="CP70" s="394"/>
      <c r="CQ70" s="394"/>
      <c r="CR70" s="394"/>
      <c r="CS70" s="394"/>
      <c r="CT70" s="394"/>
      <c r="CU70" s="394"/>
      <c r="CV70" s="394"/>
      <c r="CW70" s="394"/>
      <c r="CX70" s="394"/>
      <c r="CY70" s="394"/>
      <c r="CZ70" s="394"/>
      <c r="DA70" s="394"/>
      <c r="DB70" s="394"/>
      <c r="DC70" s="394"/>
      <c r="DD70" s="394"/>
      <c r="DE70" s="394"/>
      <c r="DF70" s="394"/>
      <c r="DG70" s="394"/>
      <c r="DH70" s="394"/>
      <c r="DI70" s="394"/>
      <c r="DJ70" s="394"/>
      <c r="DK70" s="394"/>
      <c r="DL70" s="394"/>
      <c r="DM70" s="394"/>
      <c r="DN70" s="394"/>
      <c r="DO70" s="394"/>
      <c r="DP70" s="394"/>
      <c r="DQ70" s="394"/>
      <c r="DR70" s="394"/>
      <c r="DS70" s="394"/>
      <c r="DT70" s="394"/>
      <c r="DU70" s="394"/>
      <c r="DV70" s="394"/>
      <c r="DW70" s="394"/>
      <c r="DX70" s="394"/>
      <c r="DY70" s="394"/>
      <c r="DZ70" s="394"/>
      <c r="EA70" s="394"/>
      <c r="EB70" s="394"/>
      <c r="EC70" s="394"/>
      <c r="ED70" s="394"/>
      <c r="EE70" s="394"/>
      <c r="EF70" s="394"/>
      <c r="EG70" s="394"/>
      <c r="EH70" s="394"/>
      <c r="EI70" s="394"/>
      <c r="EJ70" s="394"/>
      <c r="EK70" s="394"/>
      <c r="EL70" s="394"/>
      <c r="EM70" s="394"/>
      <c r="EN70" s="394"/>
      <c r="EO70" s="394"/>
      <c r="EP70" s="394"/>
      <c r="EQ70" s="394"/>
      <c r="ER70" s="394"/>
      <c r="ES70" s="394"/>
      <c r="ET70" s="394"/>
      <c r="EU70" s="394"/>
      <c r="EV70" s="631"/>
      <c r="EW70" s="394"/>
      <c r="EX70" s="394"/>
      <c r="EY70" s="394"/>
      <c r="EZ70" s="394"/>
      <c r="FA70" s="394"/>
      <c r="FB70" s="394"/>
      <c r="FC70" s="394"/>
      <c r="FD70" s="394"/>
      <c r="FE70" s="394"/>
      <c r="FF70" s="394"/>
      <c r="FG70" s="394"/>
      <c r="FH70" s="394"/>
      <c r="FI70" s="394"/>
      <c r="FJ70" s="394"/>
      <c r="FK70" s="394"/>
      <c r="FL70" s="394"/>
      <c r="FM70" s="394"/>
      <c r="FN70" s="394"/>
      <c r="FO70" s="394"/>
      <c r="FP70" s="394"/>
      <c r="FQ70" s="631"/>
      <c r="FR70" s="632"/>
    </row>
    <row r="71" ht="13.5" spans="7:174">
      <c r="G71" s="390" t="s">
        <v>302</v>
      </c>
      <c r="H71" s="620">
        <v>0.1</v>
      </c>
      <c r="I71" s="621"/>
      <c r="J71" s="622"/>
      <c r="K71" s="621"/>
      <c r="L71" s="622"/>
      <c r="M71" s="624"/>
      <c r="N71" s="624"/>
      <c r="O71" s="623"/>
      <c r="P71" s="622"/>
      <c r="Q71" s="390" t="s">
        <v>302</v>
      </c>
      <c r="R71" s="620">
        <v>0.1</v>
      </c>
      <c r="S71" s="621"/>
      <c r="T71" s="622"/>
      <c r="U71" s="621"/>
      <c r="V71" s="622"/>
      <c r="W71" s="624"/>
      <c r="X71" s="624"/>
      <c r="Y71" s="629"/>
      <c r="EV71" s="631"/>
      <c r="FQ71" s="631"/>
      <c r="FR71" s="632"/>
    </row>
    <row r="72" ht="13.5" spans="7:174">
      <c r="G72" s="390" t="s">
        <v>303</v>
      </c>
      <c r="H72" s="620">
        <v>0.1</v>
      </c>
      <c r="I72" s="621"/>
      <c r="J72" s="622"/>
      <c r="K72" s="621"/>
      <c r="L72" s="622"/>
      <c r="M72" s="624"/>
      <c r="N72" s="624"/>
      <c r="O72" s="623"/>
      <c r="P72" s="622"/>
      <c r="Q72" s="390" t="s">
        <v>303</v>
      </c>
      <c r="R72" s="620">
        <v>0.1</v>
      </c>
      <c r="S72" s="621"/>
      <c r="T72" s="622"/>
      <c r="U72" s="621"/>
      <c r="V72" s="622"/>
      <c r="W72" s="624"/>
      <c r="X72" s="624"/>
      <c r="Y72" s="629"/>
      <c r="EV72" s="631"/>
      <c r="FQ72" s="631"/>
      <c r="FR72" s="632"/>
    </row>
    <row r="73" ht="13.5" spans="7:174">
      <c r="G73" s="390" t="s">
        <v>303</v>
      </c>
      <c r="H73" s="620">
        <v>0.1</v>
      </c>
      <c r="I73" s="621"/>
      <c r="J73" s="622"/>
      <c r="K73" s="621"/>
      <c r="L73" s="622"/>
      <c r="M73" s="624"/>
      <c r="N73" s="624"/>
      <c r="O73" s="623"/>
      <c r="P73" s="622"/>
      <c r="Q73" s="390" t="s">
        <v>303</v>
      </c>
      <c r="R73" s="620">
        <v>0.1</v>
      </c>
      <c r="S73" s="621"/>
      <c r="T73" s="622"/>
      <c r="U73" s="621"/>
      <c r="V73" s="622"/>
      <c r="W73" s="624"/>
      <c r="X73" s="624"/>
      <c r="Y73" s="629"/>
      <c r="EV73" s="631"/>
      <c r="FQ73" s="631"/>
      <c r="FR73" s="632"/>
    </row>
    <row r="74" ht="13.5" spans="7:174">
      <c r="G74" s="390" t="s">
        <v>303</v>
      </c>
      <c r="H74" s="620">
        <v>0.1</v>
      </c>
      <c r="I74" s="621"/>
      <c r="J74" s="622"/>
      <c r="K74" s="621"/>
      <c r="L74" s="622"/>
      <c r="M74" s="622"/>
      <c r="N74" s="622"/>
      <c r="O74" s="623"/>
      <c r="P74" s="622"/>
      <c r="Q74" s="390" t="s">
        <v>303</v>
      </c>
      <c r="R74" s="620">
        <v>0.1</v>
      </c>
      <c r="S74" s="621"/>
      <c r="T74" s="622"/>
      <c r="U74" s="621"/>
      <c r="V74" s="622"/>
      <c r="W74" s="622"/>
      <c r="X74" s="622"/>
      <c r="Y74" s="628"/>
      <c r="EV74" s="631"/>
      <c r="FQ74" s="631"/>
      <c r="FR74" s="632"/>
    </row>
    <row r="75" ht="13.5" spans="7:174">
      <c r="G75" s="390"/>
      <c r="H75" s="620"/>
      <c r="I75" s="625"/>
      <c r="J75" s="626"/>
      <c r="K75" s="626"/>
      <c r="L75" s="626"/>
      <c r="M75" s="627"/>
      <c r="N75" s="626"/>
      <c r="O75" s="623"/>
      <c r="P75" s="622"/>
      <c r="Q75" s="390"/>
      <c r="R75" s="620"/>
      <c r="S75" s="625"/>
      <c r="T75" s="626"/>
      <c r="U75" s="626"/>
      <c r="V75" s="626"/>
      <c r="W75" s="627"/>
      <c r="X75" s="626"/>
      <c r="Y75" s="630"/>
      <c r="EV75" s="631"/>
      <c r="FQ75" s="631"/>
      <c r="FR75" s="632"/>
    </row>
    <row r="76" ht="13.5" spans="7:174">
      <c r="G76" s="390"/>
      <c r="H76" s="620"/>
      <c r="I76" s="625"/>
      <c r="J76" s="626"/>
      <c r="K76" s="626"/>
      <c r="L76" s="626"/>
      <c r="M76" s="627"/>
      <c r="N76" s="626"/>
      <c r="O76" s="623"/>
      <c r="P76" s="622"/>
      <c r="Q76" s="390"/>
      <c r="R76" s="620"/>
      <c r="S76" s="625"/>
      <c r="T76" s="626"/>
      <c r="U76" s="626"/>
      <c r="V76" s="626"/>
      <c r="W76" s="627"/>
      <c r="X76" s="626"/>
      <c r="Y76" s="630"/>
      <c r="EV76" s="631"/>
      <c r="FQ76" s="631"/>
      <c r="FR76" s="632"/>
    </row>
    <row r="77" ht="13.5" spans="7:174">
      <c r="G77" s="390"/>
      <c r="H77" s="620"/>
      <c r="I77" s="625"/>
      <c r="J77" s="626"/>
      <c r="K77" s="626"/>
      <c r="L77" s="626"/>
      <c r="M77" s="627"/>
      <c r="N77" s="625"/>
      <c r="O77" s="623"/>
      <c r="P77" s="622"/>
      <c r="Q77" s="390"/>
      <c r="R77" s="620"/>
      <c r="S77" s="625"/>
      <c r="T77" s="626"/>
      <c r="U77" s="626"/>
      <c r="V77" s="626"/>
      <c r="W77" s="627"/>
      <c r="X77" s="625"/>
      <c r="Y77" s="630"/>
      <c r="EV77" s="631"/>
      <c r="FQ77" s="631"/>
      <c r="FR77" s="632"/>
    </row>
  </sheetData>
  <mergeCells count="17">
    <mergeCell ref="I58:J58"/>
    <mergeCell ref="K58:L58"/>
    <mergeCell ref="M58:N58"/>
    <mergeCell ref="O58:P58"/>
    <mergeCell ref="S58:T58"/>
    <mergeCell ref="U58:V58"/>
    <mergeCell ref="W58:X58"/>
    <mergeCell ref="I62:L62"/>
    <mergeCell ref="M62:P62"/>
    <mergeCell ref="S62:V62"/>
    <mergeCell ref="I66:J66"/>
    <mergeCell ref="K66:L66"/>
    <mergeCell ref="M66:N66"/>
    <mergeCell ref="O66:P66"/>
    <mergeCell ref="S66:T66"/>
    <mergeCell ref="U66:V66"/>
    <mergeCell ref="W66:X66"/>
  </mergeCells>
  <conditionalFormatting sqref="GP5:GP27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Q5:GQ27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R5:GR27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1200" verticalDpi="12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X77"/>
  <sheetViews>
    <sheetView zoomScale="85" zoomScaleNormal="85" workbookViewId="0">
      <pane xSplit="1" topLeftCell="B1" activePane="topRight" state="frozen"/>
      <selection/>
      <selection pane="topRight" activeCell="CV26" sqref="CV26"/>
    </sheetView>
  </sheetViews>
  <sheetFormatPr defaultColWidth="9" defaultRowHeight="15"/>
  <cols>
    <col min="1" max="1" width="9" style="91"/>
    <col min="2" max="2" width="8" style="166" customWidth="1"/>
    <col min="3" max="27" width="8.81666666666667" style="91" customWidth="1"/>
    <col min="28" max="28" width="6.46666666666667" style="91" customWidth="1"/>
    <col min="29" max="31" width="7.93333333333333" style="91" customWidth="1"/>
    <col min="32" max="37" width="8.15833333333333" style="166" customWidth="1"/>
    <col min="38" max="38" width="8.825" style="166" customWidth="1"/>
    <col min="39" max="41" width="8.15833333333333" style="166" hidden="1" customWidth="1"/>
    <col min="42" max="44" width="8.15833333333333" style="166" customWidth="1"/>
    <col min="45" max="45" width="8.15833333333333" style="166" hidden="1" customWidth="1"/>
    <col min="46" max="55" width="8.15833333333333" style="166" customWidth="1"/>
    <col min="56" max="58" width="8.15833333333333" style="166" hidden="1" customWidth="1"/>
    <col min="59" max="61" width="8.15833333333333" style="166" customWidth="1"/>
    <col min="62" max="62" width="8.15833333333333" style="166" hidden="1" customWidth="1"/>
    <col min="63" max="72" width="8.15833333333333" style="166" customWidth="1"/>
    <col min="73" max="75" width="8.15833333333333" style="166" hidden="1" customWidth="1"/>
    <col min="76" max="78" width="8.15833333333333" style="166" customWidth="1"/>
    <col min="79" max="79" width="8.15833333333333" style="166" hidden="1" customWidth="1"/>
    <col min="80" max="89" width="8.15833333333333" style="166" customWidth="1"/>
    <col min="90" max="92" width="8.15833333333333" style="166" hidden="1" customWidth="1"/>
    <col min="93" max="95" width="8.15833333333333" style="166" customWidth="1"/>
    <col min="96" max="96" width="8.15833333333333" style="166" hidden="1" customWidth="1"/>
    <col min="97" max="106" width="8.15833333333333" style="166" customWidth="1"/>
    <col min="107" max="109" width="8.15833333333333" style="166" hidden="1" customWidth="1"/>
    <col min="110" max="112" width="8.15833333333333" style="166" customWidth="1"/>
    <col min="113" max="113" width="8.15833333333333" style="166" hidden="1" customWidth="1"/>
    <col min="114" max="116" width="8.15833333333333" style="166" customWidth="1"/>
    <col min="117" max="117" width="7.675" style="167" customWidth="1"/>
    <col min="118" max="118" width="9.25" style="91" customWidth="1"/>
    <col min="119" max="119" width="12.625" style="91"/>
    <col min="120" max="125" width="11.125" style="91"/>
    <col min="126" max="126" width="6.06666666666667" style="91" customWidth="1"/>
    <col min="127" max="131" width="9.375" style="91"/>
    <col min="132" max="136" width="9" style="91"/>
    <col min="137" max="137" width="11.125" style="91"/>
    <col min="138" max="138" width="9" style="91"/>
    <col min="139" max="140" width="10.375" style="91"/>
    <col min="141" max="145" width="9.375" style="91"/>
    <col min="146" max="146" width="8.125" style="91" customWidth="1"/>
    <col min="147" max="148" width="5.625" style="91" customWidth="1"/>
    <col min="149" max="149" width="4.875" style="91" customWidth="1"/>
    <col min="150" max="150" width="6.50833333333333" style="91" customWidth="1"/>
    <col min="151" max="151" width="5.75" style="91" customWidth="1"/>
    <col min="152" max="152" width="8.125" style="91" customWidth="1"/>
    <col min="153" max="153" width="11.125" style="91"/>
    <col min="154" max="154" width="12.625" style="91"/>
    <col min="155" max="16384" width="9" style="168"/>
  </cols>
  <sheetData>
    <row r="1" ht="15.75" spans="1:146">
      <c r="A1" s="164"/>
      <c r="C1" s="169" t="s">
        <v>469</v>
      </c>
      <c r="D1" s="170"/>
      <c r="E1" s="170"/>
      <c r="F1" s="170"/>
      <c r="G1" s="170"/>
      <c r="H1" s="170"/>
      <c r="I1" s="201"/>
      <c r="J1" s="202" t="s">
        <v>156</v>
      </c>
      <c r="K1" s="203"/>
      <c r="L1" s="203"/>
      <c r="M1" s="170"/>
      <c r="N1" s="203"/>
      <c r="O1" s="203"/>
      <c r="P1" s="203"/>
      <c r="Q1" s="203"/>
      <c r="R1" s="203"/>
      <c r="S1" s="232" t="s">
        <v>470</v>
      </c>
      <c r="T1" s="233"/>
      <c r="U1" s="234"/>
      <c r="V1" s="235"/>
      <c r="W1" s="235"/>
      <c r="X1" s="235"/>
      <c r="Y1" s="235"/>
      <c r="Z1" s="255"/>
      <c r="AA1" s="256"/>
      <c r="AB1" s="257" t="s">
        <v>471</v>
      </c>
      <c r="AC1" s="258"/>
      <c r="AD1" s="258"/>
      <c r="AE1" s="259"/>
      <c r="AF1" s="260" t="s">
        <v>472</v>
      </c>
      <c r="AG1" s="288"/>
      <c r="AH1" s="288"/>
      <c r="AI1" s="288"/>
      <c r="AJ1" s="288"/>
      <c r="AK1" s="288"/>
      <c r="AL1" s="288"/>
      <c r="AM1" s="288"/>
      <c r="AN1" s="288"/>
      <c r="AO1" s="288"/>
      <c r="AP1" s="288"/>
      <c r="AQ1" s="288"/>
      <c r="AR1" s="288"/>
      <c r="AS1" s="288"/>
      <c r="AT1" s="288"/>
      <c r="AU1" s="288"/>
      <c r="AV1" s="288"/>
      <c r="AW1" s="288"/>
      <c r="AX1" s="288"/>
      <c r="AY1" s="288"/>
      <c r="AZ1" s="288"/>
      <c r="BA1" s="288"/>
      <c r="BB1" s="288"/>
      <c r="BC1" s="288"/>
      <c r="BD1" s="288"/>
      <c r="BE1" s="288"/>
      <c r="BF1" s="288"/>
      <c r="BG1" s="288"/>
      <c r="BH1" s="288"/>
      <c r="BI1" s="288"/>
      <c r="BJ1" s="288"/>
      <c r="BK1" s="288"/>
      <c r="BL1" s="288"/>
      <c r="BM1" s="288"/>
      <c r="BN1" s="288"/>
      <c r="BO1" s="288"/>
      <c r="BP1" s="288"/>
      <c r="BQ1" s="288"/>
      <c r="BR1" s="288"/>
      <c r="BS1" s="288"/>
      <c r="BT1" s="288"/>
      <c r="BU1" s="288"/>
      <c r="BV1" s="288"/>
      <c r="BW1" s="288"/>
      <c r="BX1" s="288"/>
      <c r="BY1" s="288"/>
      <c r="BZ1" s="288"/>
      <c r="CA1" s="288"/>
      <c r="CB1" s="288"/>
      <c r="CC1" s="288"/>
      <c r="CD1" s="288"/>
      <c r="CE1" s="288"/>
      <c r="CF1" s="288"/>
      <c r="CG1" s="288"/>
      <c r="CH1" s="288"/>
      <c r="CI1" s="288"/>
      <c r="CJ1" s="288"/>
      <c r="CK1" s="288"/>
      <c r="CL1" s="288"/>
      <c r="CM1" s="288"/>
      <c r="CN1" s="288"/>
      <c r="CO1" s="288"/>
      <c r="CP1" s="288"/>
      <c r="CQ1" s="288"/>
      <c r="CR1" s="288"/>
      <c r="CS1" s="288"/>
      <c r="CT1" s="288"/>
      <c r="CU1" s="288"/>
      <c r="CV1" s="288"/>
      <c r="CW1" s="288"/>
      <c r="CX1" s="288"/>
      <c r="CY1" s="288"/>
      <c r="CZ1" s="288"/>
      <c r="DA1" s="288"/>
      <c r="DB1" s="288"/>
      <c r="DC1" s="288"/>
      <c r="DD1" s="288"/>
      <c r="DE1" s="288"/>
      <c r="DF1" s="288"/>
      <c r="DG1" s="288"/>
      <c r="DH1" s="288"/>
      <c r="DI1" s="288"/>
      <c r="DJ1" s="288"/>
      <c r="DK1" s="288"/>
      <c r="DL1" s="288"/>
      <c r="DM1" s="315"/>
      <c r="DN1" s="316" t="s">
        <v>192</v>
      </c>
      <c r="DO1" s="164"/>
      <c r="DP1" s="164"/>
      <c r="DQ1" s="164"/>
      <c r="DR1" s="164"/>
      <c r="DS1" s="164"/>
      <c r="DT1" s="164"/>
      <c r="DU1" s="164"/>
      <c r="DW1" s="91" t="s">
        <v>162</v>
      </c>
      <c r="EB1" s="362" t="s">
        <v>163</v>
      </c>
      <c r="EI1" s="91" t="s">
        <v>164</v>
      </c>
      <c r="EP1" s="362" t="s">
        <v>163</v>
      </c>
    </row>
    <row r="2" spans="1:125">
      <c r="A2" s="164"/>
      <c r="C2" s="171"/>
      <c r="D2" s="164"/>
      <c r="E2" s="164"/>
      <c r="F2" s="164"/>
      <c r="G2" s="164"/>
      <c r="H2" s="164"/>
      <c r="I2" s="204"/>
      <c r="J2" s="205" t="s">
        <v>473</v>
      </c>
      <c r="K2" s="206" t="s">
        <v>474</v>
      </c>
      <c r="M2" s="164"/>
      <c r="R2" s="119"/>
      <c r="S2" s="236"/>
      <c r="T2" s="119"/>
      <c r="U2" s="119"/>
      <c r="V2" s="237">
        <v>1</v>
      </c>
      <c r="W2" s="119"/>
      <c r="X2" s="210"/>
      <c r="Y2" s="119"/>
      <c r="Z2" s="210"/>
      <c r="AA2" s="204"/>
      <c r="AB2" s="261" t="s">
        <v>475</v>
      </c>
      <c r="AC2" s="262"/>
      <c r="AD2" s="262"/>
      <c r="AE2" s="263"/>
      <c r="AF2" s="264" t="s">
        <v>476</v>
      </c>
      <c r="AG2" s="289" t="s">
        <v>170</v>
      </c>
      <c r="AH2" s="289" t="s">
        <v>171</v>
      </c>
      <c r="AI2" s="288"/>
      <c r="AJ2" s="288"/>
      <c r="AK2" s="290" t="s">
        <v>173</v>
      </c>
      <c r="AL2" s="290" t="s">
        <v>477</v>
      </c>
      <c r="AM2" s="289"/>
      <c r="AN2" s="289"/>
      <c r="AO2" s="289"/>
      <c r="AP2" s="289"/>
      <c r="AQ2" s="289"/>
      <c r="AR2" s="289"/>
      <c r="AS2" s="288"/>
      <c r="AT2" s="288"/>
      <c r="AU2" s="288"/>
      <c r="AV2" s="259"/>
      <c r="AW2" s="264" t="s">
        <v>478</v>
      </c>
      <c r="AX2" s="289" t="s">
        <v>170</v>
      </c>
      <c r="AY2" s="289" t="s">
        <v>171</v>
      </c>
      <c r="AZ2" s="289"/>
      <c r="BA2" s="288"/>
      <c r="BB2" s="290" t="s">
        <v>173</v>
      </c>
      <c r="BC2" s="290" t="s">
        <v>477</v>
      </c>
      <c r="BD2" s="289"/>
      <c r="BE2" s="289"/>
      <c r="BF2" s="289"/>
      <c r="BG2" s="289"/>
      <c r="BH2" s="289"/>
      <c r="BI2" s="289"/>
      <c r="BJ2" s="288"/>
      <c r="BK2" s="288"/>
      <c r="BL2" s="288"/>
      <c r="BM2" s="259"/>
      <c r="BN2" s="264" t="s">
        <v>479</v>
      </c>
      <c r="BO2" s="289" t="s">
        <v>170</v>
      </c>
      <c r="BP2" s="289" t="s">
        <v>171</v>
      </c>
      <c r="BQ2" s="288"/>
      <c r="BR2" s="288"/>
      <c r="BS2" s="290" t="s">
        <v>173</v>
      </c>
      <c r="BT2" s="290" t="s">
        <v>477</v>
      </c>
      <c r="BU2" s="289"/>
      <c r="BV2" s="289"/>
      <c r="BW2" s="289"/>
      <c r="BX2" s="289"/>
      <c r="BY2" s="289"/>
      <c r="BZ2" s="289"/>
      <c r="CA2" s="288"/>
      <c r="CB2" s="288"/>
      <c r="CC2" s="288"/>
      <c r="CD2" s="259"/>
      <c r="CE2" s="264" t="s">
        <v>480</v>
      </c>
      <c r="CF2" s="289" t="s">
        <v>170</v>
      </c>
      <c r="CG2" s="289" t="s">
        <v>171</v>
      </c>
      <c r="CH2" s="288"/>
      <c r="CI2" s="288"/>
      <c r="CJ2" s="290" t="s">
        <v>173</v>
      </c>
      <c r="CK2" s="290" t="s">
        <v>477</v>
      </c>
      <c r="CL2" s="289"/>
      <c r="CM2" s="289"/>
      <c r="CN2" s="289"/>
      <c r="CO2" s="289"/>
      <c r="CP2" s="289"/>
      <c r="CQ2" s="289"/>
      <c r="CR2" s="288"/>
      <c r="CS2" s="288"/>
      <c r="CT2" s="288"/>
      <c r="CU2" s="259"/>
      <c r="CV2" s="264" t="s">
        <v>481</v>
      </c>
      <c r="CW2" s="289" t="s">
        <v>170</v>
      </c>
      <c r="CX2" s="289" t="s">
        <v>171</v>
      </c>
      <c r="CY2" s="288"/>
      <c r="CZ2" s="288"/>
      <c r="DA2" s="290" t="s">
        <v>173</v>
      </c>
      <c r="DB2" s="290" t="s">
        <v>477</v>
      </c>
      <c r="DC2" s="289"/>
      <c r="DD2" s="289"/>
      <c r="DE2" s="289"/>
      <c r="DF2" s="289"/>
      <c r="DG2" s="289"/>
      <c r="DH2" s="289"/>
      <c r="DI2" s="288"/>
      <c r="DJ2" s="288"/>
      <c r="DK2" s="288"/>
      <c r="DL2" s="259"/>
      <c r="DM2" s="317"/>
      <c r="DN2" s="164"/>
      <c r="DO2" s="164"/>
      <c r="DP2" s="164"/>
      <c r="DQ2" s="164"/>
      <c r="DR2" s="164"/>
      <c r="DS2" s="164"/>
      <c r="DT2" s="164"/>
      <c r="DU2" s="164"/>
    </row>
    <row r="3" ht="15.75" spans="1:125">
      <c r="A3" s="164"/>
      <c r="B3" s="172"/>
      <c r="C3" s="173"/>
      <c r="D3" s="164"/>
      <c r="E3" s="164"/>
      <c r="F3" s="164"/>
      <c r="G3" s="164"/>
      <c r="H3" s="164"/>
      <c r="I3" s="204"/>
      <c r="J3" s="207">
        <f>10/3600</f>
        <v>0.00277777777777778</v>
      </c>
      <c r="K3" s="208"/>
      <c r="L3" s="209"/>
      <c r="M3" s="210"/>
      <c r="N3" s="209"/>
      <c r="O3" s="209"/>
      <c r="P3" s="209"/>
      <c r="Q3" s="238" t="s">
        <v>161</v>
      </c>
      <c r="R3" s="239">
        <f>97/3600</f>
        <v>0.0269444444444444</v>
      </c>
      <c r="S3" s="240"/>
      <c r="T3" s="209"/>
      <c r="U3" s="209"/>
      <c r="V3" s="241">
        <v>1</v>
      </c>
      <c r="W3" s="209"/>
      <c r="X3" s="226"/>
      <c r="Y3" s="210"/>
      <c r="Z3" s="210"/>
      <c r="AA3" s="204"/>
      <c r="AB3" s="265">
        <v>1</v>
      </c>
      <c r="AC3" s="266"/>
      <c r="AD3" s="267">
        <v>1</v>
      </c>
      <c r="AE3" s="263">
        <f>AB3/2/3600*(1-AD3)</f>
        <v>0</v>
      </c>
      <c r="AF3" s="268">
        <f>AH3-AG3</f>
        <v>2</v>
      </c>
      <c r="AG3" s="291">
        <v>0</v>
      </c>
      <c r="AH3" s="291">
        <v>2</v>
      </c>
      <c r="AI3" s="292"/>
      <c r="AJ3" s="292"/>
      <c r="AK3" s="293">
        <f ca="1">'DN65-事故进程'!Z23*150%</f>
        <v>0.245916365044988</v>
      </c>
      <c r="AL3" s="294">
        <v>1000</v>
      </c>
      <c r="AM3" s="295"/>
      <c r="AN3" s="295"/>
      <c r="AO3" s="295"/>
      <c r="AP3" s="295"/>
      <c r="AQ3" s="295"/>
      <c r="AR3" s="295"/>
      <c r="AS3" s="292"/>
      <c r="AT3" s="292"/>
      <c r="AU3" s="292"/>
      <c r="AV3" s="263"/>
      <c r="AW3" s="268">
        <f>AY3-AX3</f>
        <v>6</v>
      </c>
      <c r="AX3" s="291">
        <v>2</v>
      </c>
      <c r="AY3" s="291">
        <v>8</v>
      </c>
      <c r="AZ3" s="291"/>
      <c r="BA3" s="292"/>
      <c r="BB3" s="293">
        <f ca="1">'DN65-事故进程'!AA23*150%</f>
        <v>0.188660509598155</v>
      </c>
      <c r="BC3" s="313">
        <f>AL3</f>
        <v>1000</v>
      </c>
      <c r="BD3" s="295"/>
      <c r="BE3" s="295"/>
      <c r="BF3" s="295"/>
      <c r="BG3" s="295"/>
      <c r="BH3" s="295"/>
      <c r="BI3" s="295"/>
      <c r="BJ3" s="292"/>
      <c r="BK3" s="292"/>
      <c r="BL3" s="292"/>
      <c r="BM3" s="263"/>
      <c r="BN3" s="268">
        <f>BP3-BO3</f>
        <v>16</v>
      </c>
      <c r="BO3" s="291">
        <v>8</v>
      </c>
      <c r="BP3" s="291">
        <v>24</v>
      </c>
      <c r="BQ3" s="292"/>
      <c r="BR3" s="292"/>
      <c r="BS3" s="293">
        <f ca="1">'DN65-事故进程'!AB23*150%</f>
        <v>0.0559413510751039</v>
      </c>
      <c r="BT3" s="313">
        <f>BC3</f>
        <v>1000</v>
      </c>
      <c r="BU3" s="295"/>
      <c r="BV3" s="295"/>
      <c r="BW3" s="295"/>
      <c r="BX3" s="295"/>
      <c r="BY3" s="295"/>
      <c r="BZ3" s="295"/>
      <c r="CA3" s="292"/>
      <c r="CB3" s="292"/>
      <c r="CC3" s="292"/>
      <c r="CD3" s="263"/>
      <c r="CE3" s="268">
        <f>CG3-CF3</f>
        <v>72</v>
      </c>
      <c r="CF3" s="291">
        <v>24</v>
      </c>
      <c r="CG3" s="291">
        <v>96</v>
      </c>
      <c r="CH3" s="292"/>
      <c r="CI3" s="292"/>
      <c r="CJ3" s="293">
        <f ca="1">'DN65-事故进程'!AC23*150%</f>
        <v>0.0889450883468533</v>
      </c>
      <c r="CK3" s="313">
        <f>BT3</f>
        <v>1000</v>
      </c>
      <c r="CL3" s="295"/>
      <c r="CM3" s="295"/>
      <c r="CN3" s="295"/>
      <c r="CO3" s="295"/>
      <c r="CP3" s="295"/>
      <c r="CQ3" s="295"/>
      <c r="CR3" s="292"/>
      <c r="CS3" s="292"/>
      <c r="CT3" s="292"/>
      <c r="CU3" s="263"/>
      <c r="CV3" s="268">
        <f>CX3-CW3</f>
        <v>624</v>
      </c>
      <c r="CW3" s="291">
        <v>96</v>
      </c>
      <c r="CX3" s="291">
        <f>30*24</f>
        <v>720</v>
      </c>
      <c r="CY3" s="292"/>
      <c r="CZ3" s="292"/>
      <c r="DA3" s="314">
        <v>0.01</v>
      </c>
      <c r="DB3" s="313">
        <f>CK3</f>
        <v>1000</v>
      </c>
      <c r="DC3" s="295"/>
      <c r="DD3" s="295"/>
      <c r="DE3" s="295"/>
      <c r="DF3" s="295"/>
      <c r="DG3" s="295"/>
      <c r="DH3" s="295"/>
      <c r="DI3" s="292"/>
      <c r="DJ3" s="292"/>
      <c r="DK3" s="292"/>
      <c r="DL3" s="263"/>
      <c r="DM3" s="317"/>
      <c r="DN3" s="164"/>
      <c r="DO3" s="164"/>
      <c r="DP3" s="164"/>
      <c r="DQ3" s="164"/>
      <c r="DR3" s="164"/>
      <c r="DS3" s="164"/>
      <c r="DT3" s="164"/>
      <c r="DU3" s="164"/>
    </row>
    <row r="4" s="163" customFormat="1" ht="70.5" spans="1:154">
      <c r="A4" s="174" t="s">
        <v>35</v>
      </c>
      <c r="B4" s="175" t="s">
        <v>36</v>
      </c>
      <c r="C4" s="176" t="s">
        <v>482</v>
      </c>
      <c r="D4" s="177" t="s">
        <v>40</v>
      </c>
      <c r="E4" s="177" t="s">
        <v>483</v>
      </c>
      <c r="F4" s="178" t="s">
        <v>484</v>
      </c>
      <c r="G4" s="177" t="s">
        <v>39</v>
      </c>
      <c r="H4" s="177" t="s">
        <v>42</v>
      </c>
      <c r="I4" s="211" t="s">
        <v>43</v>
      </c>
      <c r="J4" s="202" t="s">
        <v>199</v>
      </c>
      <c r="K4" s="212" t="s">
        <v>485</v>
      </c>
      <c r="L4" s="212" t="s">
        <v>200</v>
      </c>
      <c r="M4" s="213" t="s">
        <v>201</v>
      </c>
      <c r="N4" s="212" t="s">
        <v>202</v>
      </c>
      <c r="O4" s="212" t="s">
        <v>203</v>
      </c>
      <c r="P4" s="212" t="s">
        <v>486</v>
      </c>
      <c r="Q4" s="212" t="s">
        <v>487</v>
      </c>
      <c r="R4" s="212" t="s">
        <v>206</v>
      </c>
      <c r="S4" s="242" t="s">
        <v>488</v>
      </c>
      <c r="T4" s="243" t="s">
        <v>489</v>
      </c>
      <c r="U4" s="243" t="s">
        <v>490</v>
      </c>
      <c r="V4" s="212" t="s">
        <v>491</v>
      </c>
      <c r="W4" s="243" t="s">
        <v>492</v>
      </c>
      <c r="X4" s="212" t="s">
        <v>493</v>
      </c>
      <c r="Y4" s="269" t="s">
        <v>494</v>
      </c>
      <c r="Z4" s="212" t="s">
        <v>335</v>
      </c>
      <c r="AA4" s="270" t="s">
        <v>336</v>
      </c>
      <c r="AB4" s="271" t="s">
        <v>337</v>
      </c>
      <c r="AC4" s="269" t="s">
        <v>338</v>
      </c>
      <c r="AD4" s="272" t="s">
        <v>212</v>
      </c>
      <c r="AE4" s="273" t="s">
        <v>495</v>
      </c>
      <c r="AF4" s="274" t="s">
        <v>496</v>
      </c>
      <c r="AG4" s="296" t="s">
        <v>497</v>
      </c>
      <c r="AH4" s="296" t="s">
        <v>498</v>
      </c>
      <c r="AI4" s="297" t="s">
        <v>499</v>
      </c>
      <c r="AJ4" s="296" t="s">
        <v>500</v>
      </c>
      <c r="AK4" s="296" t="s">
        <v>501</v>
      </c>
      <c r="AL4" s="296" t="s">
        <v>502</v>
      </c>
      <c r="AM4" s="296" t="s">
        <v>503</v>
      </c>
      <c r="AN4" s="296" t="s">
        <v>504</v>
      </c>
      <c r="AO4" s="296" t="s">
        <v>505</v>
      </c>
      <c r="AP4" s="296" t="s">
        <v>506</v>
      </c>
      <c r="AQ4" s="296" t="s">
        <v>507</v>
      </c>
      <c r="AR4" s="297" t="s">
        <v>508</v>
      </c>
      <c r="AS4" s="304" t="s">
        <v>509</v>
      </c>
      <c r="AT4" s="296" t="s">
        <v>510</v>
      </c>
      <c r="AU4" s="296" t="s">
        <v>511</v>
      </c>
      <c r="AV4" s="305" t="s">
        <v>512</v>
      </c>
      <c r="AW4" s="274" t="s">
        <v>496</v>
      </c>
      <c r="AX4" s="296" t="s">
        <v>497</v>
      </c>
      <c r="AY4" s="296" t="s">
        <v>498</v>
      </c>
      <c r="AZ4" s="297" t="s">
        <v>499</v>
      </c>
      <c r="BA4" s="296" t="s">
        <v>500</v>
      </c>
      <c r="BB4" s="296" t="s">
        <v>501</v>
      </c>
      <c r="BC4" s="296" t="s">
        <v>502</v>
      </c>
      <c r="BD4" s="296" t="s">
        <v>503</v>
      </c>
      <c r="BE4" s="296" t="s">
        <v>504</v>
      </c>
      <c r="BF4" s="296" t="s">
        <v>505</v>
      </c>
      <c r="BG4" s="296" t="s">
        <v>506</v>
      </c>
      <c r="BH4" s="296" t="s">
        <v>507</v>
      </c>
      <c r="BI4" s="297" t="s">
        <v>508</v>
      </c>
      <c r="BJ4" s="304" t="s">
        <v>509</v>
      </c>
      <c r="BK4" s="296" t="s">
        <v>510</v>
      </c>
      <c r="BL4" s="296" t="s">
        <v>511</v>
      </c>
      <c r="BM4" s="305" t="s">
        <v>512</v>
      </c>
      <c r="BN4" s="274" t="s">
        <v>496</v>
      </c>
      <c r="BO4" s="296" t="s">
        <v>497</v>
      </c>
      <c r="BP4" s="296" t="s">
        <v>498</v>
      </c>
      <c r="BQ4" s="297" t="s">
        <v>499</v>
      </c>
      <c r="BR4" s="296" t="s">
        <v>500</v>
      </c>
      <c r="BS4" s="296" t="s">
        <v>501</v>
      </c>
      <c r="BT4" s="296" t="s">
        <v>502</v>
      </c>
      <c r="BU4" s="296" t="s">
        <v>503</v>
      </c>
      <c r="BV4" s="296" t="s">
        <v>504</v>
      </c>
      <c r="BW4" s="296" t="s">
        <v>505</v>
      </c>
      <c r="BX4" s="296" t="s">
        <v>506</v>
      </c>
      <c r="BY4" s="296" t="s">
        <v>507</v>
      </c>
      <c r="BZ4" s="297" t="s">
        <v>508</v>
      </c>
      <c r="CA4" s="304" t="s">
        <v>509</v>
      </c>
      <c r="CB4" s="296" t="s">
        <v>510</v>
      </c>
      <c r="CC4" s="296" t="s">
        <v>511</v>
      </c>
      <c r="CD4" s="305" t="s">
        <v>512</v>
      </c>
      <c r="CE4" s="274" t="s">
        <v>496</v>
      </c>
      <c r="CF4" s="296" t="s">
        <v>497</v>
      </c>
      <c r="CG4" s="296" t="s">
        <v>498</v>
      </c>
      <c r="CH4" s="297" t="s">
        <v>499</v>
      </c>
      <c r="CI4" s="296" t="s">
        <v>500</v>
      </c>
      <c r="CJ4" s="296" t="s">
        <v>501</v>
      </c>
      <c r="CK4" s="296" t="s">
        <v>502</v>
      </c>
      <c r="CL4" s="296" t="s">
        <v>503</v>
      </c>
      <c r="CM4" s="296" t="s">
        <v>504</v>
      </c>
      <c r="CN4" s="296" t="s">
        <v>505</v>
      </c>
      <c r="CO4" s="296" t="s">
        <v>506</v>
      </c>
      <c r="CP4" s="296" t="s">
        <v>507</v>
      </c>
      <c r="CQ4" s="297" t="s">
        <v>508</v>
      </c>
      <c r="CR4" s="304" t="s">
        <v>509</v>
      </c>
      <c r="CS4" s="296" t="s">
        <v>510</v>
      </c>
      <c r="CT4" s="296" t="s">
        <v>511</v>
      </c>
      <c r="CU4" s="305" t="s">
        <v>512</v>
      </c>
      <c r="CV4" s="274" t="s">
        <v>496</v>
      </c>
      <c r="CW4" s="296" t="s">
        <v>497</v>
      </c>
      <c r="CX4" s="296" t="s">
        <v>498</v>
      </c>
      <c r="CY4" s="297" t="s">
        <v>499</v>
      </c>
      <c r="CZ4" s="296" t="s">
        <v>500</v>
      </c>
      <c r="DA4" s="296" t="s">
        <v>501</v>
      </c>
      <c r="DB4" s="296" t="s">
        <v>502</v>
      </c>
      <c r="DC4" s="296" t="s">
        <v>503</v>
      </c>
      <c r="DD4" s="296" t="s">
        <v>504</v>
      </c>
      <c r="DE4" s="296" t="s">
        <v>505</v>
      </c>
      <c r="DF4" s="296" t="s">
        <v>506</v>
      </c>
      <c r="DG4" s="296" t="s">
        <v>507</v>
      </c>
      <c r="DH4" s="297" t="s">
        <v>508</v>
      </c>
      <c r="DI4" s="304" t="s">
        <v>509</v>
      </c>
      <c r="DJ4" s="296" t="s">
        <v>510</v>
      </c>
      <c r="DK4" s="296" t="s">
        <v>511</v>
      </c>
      <c r="DL4" s="305" t="s">
        <v>512</v>
      </c>
      <c r="DM4" s="318"/>
      <c r="DN4" s="319" t="s">
        <v>513</v>
      </c>
      <c r="DO4" s="320" t="s">
        <v>266</v>
      </c>
      <c r="DP4" s="320" t="s">
        <v>275</v>
      </c>
      <c r="DQ4" s="320" t="s">
        <v>235</v>
      </c>
      <c r="DR4" s="320" t="s">
        <v>514</v>
      </c>
      <c r="DS4" s="320" t="s">
        <v>515</v>
      </c>
      <c r="DT4" s="348" t="s">
        <v>243</v>
      </c>
      <c r="DU4" s="349" t="s">
        <v>193</v>
      </c>
      <c r="DW4" s="350" t="s">
        <v>266</v>
      </c>
      <c r="DX4" s="351" t="s">
        <v>275</v>
      </c>
      <c r="DY4" s="351" t="s">
        <v>516</v>
      </c>
      <c r="DZ4" s="351" t="s">
        <v>517</v>
      </c>
      <c r="EA4" s="363" t="s">
        <v>237</v>
      </c>
      <c r="EB4" s="350" t="s">
        <v>266</v>
      </c>
      <c r="EC4" s="351" t="s">
        <v>275</v>
      </c>
      <c r="ED4" s="351" t="s">
        <v>516</v>
      </c>
      <c r="EE4" s="351" t="s">
        <v>517</v>
      </c>
      <c r="EF4" s="364" t="s">
        <v>518</v>
      </c>
      <c r="EG4" s="367" t="s">
        <v>192</v>
      </c>
      <c r="EI4" s="368" t="s">
        <v>239</v>
      </c>
      <c r="EJ4" s="351" t="s">
        <v>266</v>
      </c>
      <c r="EK4" s="351" t="s">
        <v>275</v>
      </c>
      <c r="EL4" s="351" t="s">
        <v>235</v>
      </c>
      <c r="EM4" s="351" t="s">
        <v>519</v>
      </c>
      <c r="EN4" s="351" t="s">
        <v>520</v>
      </c>
      <c r="EO4" s="363" t="s">
        <v>243</v>
      </c>
      <c r="EP4" s="368" t="s">
        <v>239</v>
      </c>
      <c r="EQ4" s="351" t="s">
        <v>266</v>
      </c>
      <c r="ER4" s="351" t="s">
        <v>275</v>
      </c>
      <c r="ES4" s="351" t="s">
        <v>235</v>
      </c>
      <c r="ET4" s="351" t="s">
        <v>519</v>
      </c>
      <c r="EU4" s="351" t="s">
        <v>520</v>
      </c>
      <c r="EV4" s="363" t="s">
        <v>243</v>
      </c>
      <c r="EW4" s="163" t="s">
        <v>245</v>
      </c>
      <c r="EX4" s="163" t="s">
        <v>246</v>
      </c>
    </row>
    <row r="5" ht="15.75" spans="1:154">
      <c r="A5" s="179" t="s">
        <v>46</v>
      </c>
      <c r="B5" s="180">
        <f>VLOOKUP(A5,衰变常数!$A$1:$H$3800,7,FALSE)</f>
        <v>0.000105213597534903</v>
      </c>
      <c r="C5" s="181">
        <v>2.35e+16</v>
      </c>
      <c r="D5" s="182"/>
      <c r="E5" s="183">
        <v>4250000000</v>
      </c>
      <c r="F5" s="183">
        <v>5400000000</v>
      </c>
      <c r="G5" s="184">
        <v>0.787037037037037</v>
      </c>
      <c r="H5" s="183">
        <v>179000000</v>
      </c>
      <c r="I5" s="214"/>
      <c r="J5" s="215"/>
      <c r="K5" s="216"/>
      <c r="L5" s="210"/>
      <c r="N5" s="216"/>
      <c r="O5" s="216">
        <f t="shared" ref="O5:O18" si="0">C5*0.0000007*0.000209</f>
        <v>3438050</v>
      </c>
      <c r="P5" s="216">
        <f t="shared" ref="P5:P18" si="1">(0.00016*2%+0.00026*2%)/2*C5</f>
        <v>98700000000</v>
      </c>
      <c r="Q5" s="216">
        <f ca="1">'进水-事故进程'!Z27</f>
        <v>7.62920106460944e-11</v>
      </c>
      <c r="R5" s="216">
        <f ca="1" t="shared" ref="R5:R23" si="2">C5*(EXP(-B5*$R$3*3600)-EXP(-(B5+Q5)*$R$3*3600))</f>
        <v>172141811.305426</v>
      </c>
      <c r="S5" s="244">
        <f ca="1" t="shared" ref="S5:S27" si="3">(E5+L5+O5+P5)*EXP(-B5*$J$3*3600)+R5</f>
        <v>103017315809.586</v>
      </c>
      <c r="T5" s="245">
        <f ca="1" t="shared" ref="T5:T27" si="4">(E5+O5+P5)*EXP(-B5*$J$3*3600)+R5</f>
        <v>103017315809.586</v>
      </c>
      <c r="U5" s="216">
        <f t="shared" ref="U5:U27" si="5">D5*EXP(-B5*$J$3*3600)</f>
        <v>0</v>
      </c>
      <c r="V5" s="246">
        <f t="shared" ref="V5:V27" si="6">V$3</f>
        <v>1</v>
      </c>
      <c r="W5" s="216">
        <f t="shared" ref="W5:W27" si="7">C5*EXP(-B5*$J$3*3600)</f>
        <v>2.34752878071525e+16</v>
      </c>
      <c r="X5" s="247">
        <f ca="1" t="shared" ref="X5:X27" si="8">S5*(1-V5)</f>
        <v>0</v>
      </c>
      <c r="Y5" s="275">
        <f ca="1" t="shared" ref="Y5:Y27" si="9">S5*V5+U5</f>
        <v>103017315809.586</v>
      </c>
      <c r="Z5" s="216">
        <f ca="1" t="shared" ref="Z5:Z27" si="10">T5*V5+U5</f>
        <v>103017315809.586</v>
      </c>
      <c r="AA5" s="276">
        <f ca="1" t="shared" ref="AA5:AA27" si="11">Y5-Z5</f>
        <v>0</v>
      </c>
      <c r="AB5" s="277">
        <f t="shared" ref="AB5:AB27" si="12">AB$3</f>
        <v>1</v>
      </c>
      <c r="AC5" s="247">
        <f ca="1" t="shared" ref="AC5:AC27" si="13">Z5*AB5</f>
        <v>103017315809.586</v>
      </c>
      <c r="AD5" s="278">
        <f ca="1" t="shared" ref="AD5:AD27" si="14">AC5*AD$3</f>
        <v>103017315809.586</v>
      </c>
      <c r="AE5" s="279">
        <f ca="1" t="shared" ref="AE5:AE27" si="15">AC5-AD5</f>
        <v>0</v>
      </c>
      <c r="AF5" s="280">
        <f t="shared" ref="AF5:AF27" si="16">AF$3*3600</f>
        <v>7200</v>
      </c>
      <c r="AG5" s="247">
        <f t="shared" ref="AG5:AG27" si="17">W5</f>
        <v>2.34752878071525e+16</v>
      </c>
      <c r="AH5" s="247">
        <f ca="1" t="shared" ref="AH5:AH27" si="18">X5</f>
        <v>0</v>
      </c>
      <c r="AI5" s="298">
        <f ca="1" t="shared" ref="AI5:AI27" si="19">Y5-AD5</f>
        <v>0</v>
      </c>
      <c r="AJ5" s="247">
        <f ca="1">'DN65-事故进程'!Z27</f>
        <v>7.89035175982642e-11</v>
      </c>
      <c r="AK5" s="247">
        <f ca="1" t="shared" ref="AK5:AK27" si="20">AK$3/AF5</f>
        <v>3.41550507006928e-5</v>
      </c>
      <c r="AL5" s="247">
        <f t="shared" ref="AL5:AL27" si="21">AL$3/24/3600+$AE$3</f>
        <v>0.0115740740740741</v>
      </c>
      <c r="AM5" s="299">
        <f ca="1" t="shared" ref="AM5:AM27" si="22">EXP(-AF5*($B5+AJ5))</f>
        <v>0.468819019771853</v>
      </c>
      <c r="AN5" s="299">
        <f ca="1" t="shared" ref="AN5:AN27" si="23">EXP(-AF5*($B5+AK5))</f>
        <v>0.366610879485768</v>
      </c>
      <c r="AO5" s="299">
        <f t="shared" ref="AO5:AO27" si="24">EXP(-AF5*($B5+AL5))</f>
        <v>3.01855187620783e-37</v>
      </c>
      <c r="AP5" s="247">
        <f ca="1" t="shared" ref="AP5:AP27" si="25">AG5*AM5</f>
        <v>1.10056614186114e+16</v>
      </c>
      <c r="AQ5" s="247">
        <f ca="1" t="shared" ref="AQ5:AQ27" si="26">AJ5/(AK5-AJ5)*AP5+(AH5-AG5*AJ5/(AK5-AJ5))*AN5</f>
        <v>5542922998.84695</v>
      </c>
      <c r="AR5" s="306">
        <f ca="1" t="shared" ref="AR5:AR27" si="27">(AK5*(AO5-AM5)+AJ5*(AN5-AO5)+AL5*(AM5-AN5))*AG5*AK5*AJ5/(AK5-AJ5)/(AK5-AL5)/(AJ5-AL5)+(AN5-AO5)*AH5*AK5/(AL5-AK5)+AI5*AO5</f>
        <v>16183494.3112951</v>
      </c>
      <c r="AS5" s="307">
        <f ca="1" t="shared" ref="AS5:AS27" si="28">(AG5+AH5+AI5)*EXP(-AF5*$B5)-AP5-AQ5</f>
        <v>709453653.153049</v>
      </c>
      <c r="AT5" s="247">
        <f ca="1" t="shared" ref="AT5:AT27" si="29">AG5*AJ5/($B5+AJ5)*(1-AM5)</f>
        <v>9351421017.66484</v>
      </c>
      <c r="AU5" s="247">
        <f ca="1" t="shared" ref="AU5:AU27" si="30">AK5/(AK5-AJ5)*(AT5-1/($B5+AK5)*(AJ5*AG5+AJ5*AH5-AK5*AH5)*(1-AN5))</f>
        <v>933347955.749131</v>
      </c>
      <c r="AV5" s="308">
        <f ca="1" t="shared" ref="AV5:AV27" si="31">IF(AL5&gt;0.1/24/3600,(AU5+AI5)*MIN(AL5*AF5,1),IF(AJ5,AL5/$B5*(AG5+AH5+AI5)*(1-EXP(-AF5*$B5))-AL5/AJ5*AT5-AL5/AK5*AU5,AL5/(AL5-AK5)*(AU5-1/($B5+AL5)*(AK5*AH5+AK5*AI5-AL5*AI5)*(1-AO5))))</f>
        <v>933347955.749131</v>
      </c>
      <c r="AW5" s="280">
        <f t="shared" ref="AW5:AW27" si="32">AW$3*3600</f>
        <v>21600</v>
      </c>
      <c r="AX5" s="247">
        <f ca="1" t="shared" ref="AX5:AX27" si="33">AP5</f>
        <v>1.10056614186114e+16</v>
      </c>
      <c r="AY5" s="247">
        <f ca="1" t="shared" ref="AY5:AY27" si="34">AQ5</f>
        <v>5542922998.84695</v>
      </c>
      <c r="AZ5" s="298">
        <f ca="1" t="shared" ref="AZ5:AZ27" si="35">IF(AL5*AF5&lt;1,AR5,0)</f>
        <v>0</v>
      </c>
      <c r="BA5" s="247">
        <f ca="1">'DN65-事故进程'!AA27</f>
        <v>1.72058450478074e-10</v>
      </c>
      <c r="BB5" s="247">
        <f ca="1" t="shared" ref="BB5:BB27" si="36">BB$3/AW5</f>
        <v>8.73428285176643e-6</v>
      </c>
      <c r="BC5" s="247">
        <f t="shared" ref="BC5:BC27" si="37">BC$3/24/3600</f>
        <v>0.0115740740740741</v>
      </c>
      <c r="BD5" s="299">
        <f ca="1" t="shared" ref="BD5:BD27" si="38">EXP(-AW5*($B5+BA5))</f>
        <v>0.10304212196678</v>
      </c>
      <c r="BE5" s="299">
        <f ca="1" t="shared" ref="BE5:BE27" si="39">EXP(-AW5*($B5+BB5))</f>
        <v>0.0853261576835718</v>
      </c>
      <c r="BF5" s="299">
        <f t="shared" ref="BF5:BF27" si="40">EXP(-AW5*($B5+BC5))</f>
        <v>2.75040045916468e-110</v>
      </c>
      <c r="BG5" s="247">
        <f ca="1" t="shared" ref="BG5:BG27" si="41">AX5*BD5</f>
        <v>1134046706221640</v>
      </c>
      <c r="BH5" s="247">
        <f ca="1" t="shared" ref="BH5:BH27" si="42">BA5/(BB5-BA5)*BG5+(AY5-AX5*BA5/(BB5-BA5))*BE5</f>
        <v>4313902792.60112</v>
      </c>
      <c r="BI5" s="306">
        <f ca="1" t="shared" ref="BI5:BI27" si="43">(BB5*(BF5-BD5)+BA5*(BE5-BF5)+BC5*(BD5-BE5))*AX5*BB5*BA5/(BB5-BA5)/(BB5-BC5)/(BA5-BC5)+(BE5-BF5)*AY5*BB5/(BC5-BB5)+AZ5*BF5</f>
        <v>3245179.16086836</v>
      </c>
      <c r="BJ5" s="307">
        <f ca="1" t="shared" ref="BJ5:BJ27" si="44">(AX5+AY5+AZ5)*EXP(-AW5*$B5)-BG5-BH5</f>
        <v>471903800.64888</v>
      </c>
      <c r="BK5" s="247">
        <f ca="1" t="shared" ref="BK5:BK27" si="45">AX5*BA5/($B5+BA5)*(1-BD5)</f>
        <v>16143274190.2029</v>
      </c>
      <c r="BL5" s="247">
        <f ca="1" t="shared" ref="BL5:BL27" si="46">BB5/(BB5-BA5)*(BK5-1/($B5+BB5)*(BA5*AX5+BA5*AY5-BB5*AY5)*(1-BE5))</f>
        <v>1331613475.6333</v>
      </c>
      <c r="BM5" s="308">
        <f ca="1" t="shared" ref="BM5:BM27" si="47">IF(BC5&gt;0.1/24/3600,(BL5+AZ5)*MIN(BC5*AW5,1),IF(BA5,BC5/$B5*(AX5+AY5+AZ5)*(1-EXP(-AW5*$B5))-BC5/BA5*BK5-BC5/BB5*BL5,BC5/(BC5-BB5)*(BL5-1/($B5+BC5)*(BB5*AY5+BB5*AZ5-BC5*AZ5)*(1-BF5))))</f>
        <v>1331613475.6333</v>
      </c>
      <c r="BN5" s="280">
        <f t="shared" ref="BN5:BN27" si="48">BN$3*3600</f>
        <v>57600</v>
      </c>
      <c r="BO5" s="247">
        <f ca="1" t="shared" ref="BO5:BO27" si="49">BG5</f>
        <v>1134046706221640</v>
      </c>
      <c r="BP5" s="247">
        <f ca="1" t="shared" ref="BP5:BP27" si="50">BH5</f>
        <v>4313902792.60112</v>
      </c>
      <c r="BQ5" s="298">
        <f ca="1" t="shared" ref="BQ5:BQ27" si="51">IF(BC5*AW5&lt;1,BI5,0)</f>
        <v>0</v>
      </c>
      <c r="BR5" s="247">
        <f ca="1">'DN65-事故进程'!AB27</f>
        <v>2.94583541033059e-10</v>
      </c>
      <c r="BS5" s="247">
        <f ca="1" t="shared" ref="BS5:BS27" si="52">BS$3/BN5</f>
        <v>9.71204011720554e-7</v>
      </c>
      <c r="BT5" s="247">
        <f t="shared" ref="BT5:BT27" si="53">BT$3/24/3600</f>
        <v>0.0115740740740741</v>
      </c>
      <c r="BU5" s="299">
        <f ca="1" t="shared" ref="BU5:BU27" si="54">EXP(-BN5*($B5+BR5))</f>
        <v>0.00233365356464188</v>
      </c>
      <c r="BV5" s="299">
        <f ca="1" t="shared" ref="BV5:BV27" si="55">EXP(-BN5*($B5+BS5))</f>
        <v>0.00220672763465445</v>
      </c>
      <c r="BW5" s="299">
        <f t="shared" ref="BW5:BW27" si="56">EXP(-BN5*($B5+BT5))</f>
        <v>6.89269642983052e-293</v>
      </c>
      <c r="BX5" s="247">
        <f ca="1" t="shared" ref="BX5:BX27" si="57">BO5*BU5</f>
        <v>2646472138444.52</v>
      </c>
      <c r="BY5" s="247">
        <f ca="1" t="shared" ref="BY5:BY27" si="58">BR5/(BS5-BR5)*BX5+(BP5-BO5*BR5/(BS5-BR5))*BV5</f>
        <v>53192410.3966534</v>
      </c>
      <c r="BZ5" s="306">
        <f ca="1" t="shared" ref="BZ5:BZ27" si="59">(BS5*(BW5-BU5)+BR5*(BV5-BW5)+BT5*(BU5-BV5))*BO5*BS5*BR5/(BS5-BR5)/(BS5-BT5)/(BR5-BT5)+(BV5-BW5)*BP5*BS5/(BT5-BS5)+BQ5*BW5</f>
        <v>4458.20490264206</v>
      </c>
      <c r="CA5" s="307">
        <f ca="1" t="shared" ref="CA5:CA27" si="60">(BO5+BP5+BQ5)*EXP(-BN5*$B5)-BX5-BY5</f>
        <v>1780666.93928409</v>
      </c>
      <c r="CB5" s="247">
        <f ca="1" t="shared" ref="CB5:CB27" si="61">BO5*BR5/($B5+BR5)*(1-BU5)</f>
        <v>3167755517.55712</v>
      </c>
      <c r="CC5" s="247">
        <f ca="1" t="shared" ref="CC5:CC27" si="62">BS5/(BS5-BR5)*(CB5-1/($B5+BS5)*(BR5*BO5+BR5*BP5-BS5*BP5)*(1-BV5))</f>
        <v>67943394.7014531</v>
      </c>
      <c r="CD5" s="308">
        <f ca="1" t="shared" ref="CD5:CD27" si="63">IF(BT5&gt;0.1/24/3600,(CC5+BQ5)*MIN(BT5*BN5,1),IF(BR5,BT5/$B5*(BO5+BP5+BQ5)*(1-EXP(-BN5*$B5))-BT5/BR5*CB5-BT5/BS5*CC5,BT5/(BT5-BS5)*(CC5-1/($B5+BT5)*(BS5*BP5+BS5*BQ5-BT5*BQ5)*(1-BW5))))</f>
        <v>67943394.7014531</v>
      </c>
      <c r="CE5" s="280">
        <f t="shared" ref="CE5:CE27" si="64">CE$3*3600</f>
        <v>259200</v>
      </c>
      <c r="CF5" s="247">
        <f ca="1" t="shared" ref="CF5:CF27" si="65">BX5</f>
        <v>2646472138444.52</v>
      </c>
      <c r="CG5" s="247">
        <f ca="1" t="shared" ref="CG5:CG27" si="66">BY5</f>
        <v>53192410.3966534</v>
      </c>
      <c r="CH5" s="298">
        <f ca="1" t="shared" ref="CH5:CH27" si="67">IF(BT5*BN5&lt;1,BZ5,0)</f>
        <v>0</v>
      </c>
      <c r="CI5" s="247">
        <f ca="1">'DN65-事故进程'!AC27</f>
        <v>6.92724732300375e-10</v>
      </c>
      <c r="CJ5" s="247">
        <f ca="1" t="shared" ref="CJ5:CJ27" si="68">CJ$3/CE5</f>
        <v>3.43152347017181e-7</v>
      </c>
      <c r="CK5" s="247">
        <f t="shared" ref="CK5:CK27" si="69">CK$3/24/3600</f>
        <v>0.0115740740740741</v>
      </c>
      <c r="CL5" s="299">
        <f ca="1" t="shared" ref="CL5:CL27" si="70">EXP(-CE5*($B5+CI5))</f>
        <v>1.43258009478141e-12</v>
      </c>
      <c r="CM5" s="299">
        <f ca="1" t="shared" ref="CM5:CM27" si="71">EXP(-CE5*($B5+CJ5))</f>
        <v>1.31089688309409e-12</v>
      </c>
      <c r="CN5" s="299">
        <f t="shared" ref="CN5:CN27" si="72">EXP(-CE5*($B5+CK5))</f>
        <v>0</v>
      </c>
      <c r="CO5" s="247">
        <f ca="1" t="shared" ref="CO5:CO27" si="73">CF5*CL5</f>
        <v>3.79128330692921</v>
      </c>
      <c r="CP5" s="247">
        <f ca="1" t="shared" ref="CP5:CP27" si="74">CI5/(CJ5-CI5)*CO5+(CG5-CF5*CI5/(CJ5-CI5))*CM5</f>
        <v>0.000721132098858475</v>
      </c>
      <c r="CQ5" s="306">
        <f ca="1" t="shared" ref="CQ5:CQ27" si="75">(CJ5*(CN5-CL5)+CI5*(CM5-CN5)+CK5*(CL5-CM5))*CF5*CJ5*CI5/(CJ5-CI5)/(CJ5-CK5)/(CI5-CK5)+(CM5-CN5)*CG5*CJ5/(CK5-CJ5)+CH5*CN5</f>
        <v>2.13742921742361e-8</v>
      </c>
      <c r="CR5" s="307">
        <f ca="1" t="shared" ref="CR5:CR27" si="76">(CF5+CG5+CH5)*EXP(-CE5*$B5)-CO5-CP5</f>
        <v>3.58861248344203e-5</v>
      </c>
      <c r="CS5" s="247">
        <f ca="1" t="shared" ref="CS5:CS27" si="77">CF5*CI5/($B5+CI5)*(1-CL5)</f>
        <v>17424217.7475874</v>
      </c>
      <c r="CT5" s="247">
        <f ca="1" t="shared" ref="CT5:CT27" si="78">CJ5/(CJ5-CI5)*(CS5-1/($B5+CJ5)*(CI5*CF5+CI5*CG5-CJ5*CG5)*(1-CM5))</f>
        <v>229566.197452984</v>
      </c>
      <c r="CU5" s="308">
        <f ca="1" t="shared" ref="CU5:CU27" si="79">IF(CK5&gt;0.1/24/3600,(CT5+CH5)*MIN(CK5*CE5,1),IF(CI5,CK5/$B5*(CF5+CG5+CH5)*(1-EXP(-CE5*$B5))-CK5/CI5*CS5-CK5/CJ5*CT5,CK5/(CK5-CJ5)*(CT5-1/($B5+CK5)*(CJ5*CG5+CJ5*CH5-CK5*CH5)*(1-CN5))))</f>
        <v>229566.197452984</v>
      </c>
      <c r="CV5" s="280">
        <f t="shared" ref="CV5:CV27" si="80">CV$3*3600</f>
        <v>2246400</v>
      </c>
      <c r="CW5" s="247">
        <f ca="1" t="shared" ref="CW5:CW27" si="81">CO5</f>
        <v>3.79128330692921</v>
      </c>
      <c r="CX5" s="247">
        <f ca="1" t="shared" ref="CX5:CX27" si="82">CP5</f>
        <v>0.000721132098858475</v>
      </c>
      <c r="CY5" s="298">
        <f ca="1" t="shared" ref="CY5:CY27" si="83">IF(CK5*CE5&lt;1,CQ5,0)</f>
        <v>0</v>
      </c>
      <c r="CZ5" s="247">
        <f ca="1">'DN65-事故进程'!AE27</f>
        <v>3.08350839073874e-10</v>
      </c>
      <c r="DA5" s="247">
        <f t="shared" ref="DA5:DA27" si="84">DA$3/CV5</f>
        <v>4.45156695156695e-9</v>
      </c>
      <c r="DB5" s="247">
        <f t="shared" ref="DB5:DB27" si="85">DB$3/24/3600</f>
        <v>0.0115740740740741</v>
      </c>
      <c r="DC5" s="299">
        <f ca="1" t="shared" ref="DC5:DC27" si="86">EXP(-CV5*($B5+CZ5))</f>
        <v>2.2563453366014e-103</v>
      </c>
      <c r="DD5" s="299">
        <f t="shared" ref="DD5:DD27" si="87">EXP(-CV5*($B5+DA5))</f>
        <v>2.23544223383632e-103</v>
      </c>
      <c r="DE5" s="299">
        <f t="shared" ref="DE5:DE27" si="88">EXP(-CV5*($B5+DB5))</f>
        <v>0</v>
      </c>
      <c r="DF5" s="247">
        <f ca="1" t="shared" ref="DF5:DF27" si="89">CW5*DC5</f>
        <v>8.55444440932446e-103</v>
      </c>
      <c r="DG5" s="247">
        <f ca="1" t="shared" ref="DG5:DG27" si="90">CZ5/(DA5-CZ5)*DF5+(CX5-CW5*CZ5/(DA5-CZ5))*DD5</f>
        <v>7.51004607719716e-106</v>
      </c>
      <c r="DH5" s="306">
        <f ca="1" t="shared" ref="DH5:DH27" si="91">(DA5*(DE5-DC5)+CZ5*(DD5-DE5)+DB5*(DC5-DD5))*CW5*DA5*CZ5/(DA5-CZ5)/(DA5-DB5)/(CZ5-DB5)+(DD5-DE5)*CX5*DA5/(DB5-DA5)+CY5*DE5</f>
        <v>2.8883927162485e-112</v>
      </c>
      <c r="DI5" s="307">
        <f ca="1" t="shared" ref="DI5:DI27" si="92">(CW5+CX5+CY5)*EXP(-CV5*$B5)-DF5-DG5</f>
        <v>4.57439193076358e-108</v>
      </c>
      <c r="DJ5" s="247">
        <f ca="1" t="shared" ref="DJ5:DJ27" si="93">CW5*CZ5/($B5+CZ5)*(1-DC5)</f>
        <v>1.11111300261766e-5</v>
      </c>
      <c r="DK5" s="247">
        <f ca="1" t="shared" ref="DK5:DK27" si="94">DA5/(DA5-CZ5)*(DJ5-1/($B5+DA5)*(CZ5*CW5+CZ5*CX5-DA5*CX5)*(1-DD5))</f>
        <v>3.0979758568382e-8</v>
      </c>
      <c r="DL5" s="308">
        <f ca="1" t="shared" ref="DL5:DL27" si="95">IF(DB5&gt;0.1/24/3600,(DK5+CY5)*MIN(DB5*CV5,1),IF(CZ5,DB5/$B5*(CW5+CX5+CY5)*(1-EXP(-CV5*$B5))-DB5/CZ5*DJ5-DB5/DA5*DK5,DB5/(DB5-DA5)*(DK5-1/($B5+DB5)*(DA5*CX5+DA5*CY5-DB5*CY5)*(1-DE5))))</f>
        <v>3.0979758568382e-8</v>
      </c>
      <c r="DM5" s="321"/>
      <c r="DN5" s="322">
        <f ca="1" t="shared" ref="DN5:DN27" si="96">AD5</f>
        <v>103017315809.586</v>
      </c>
      <c r="DO5" s="323">
        <f ca="1" t="shared" ref="DO5:DO27" si="97">AV5</f>
        <v>933347955.749131</v>
      </c>
      <c r="DP5" s="323">
        <f ca="1" t="shared" ref="DP5:DP27" si="98">BM5</f>
        <v>1331613475.6333</v>
      </c>
      <c r="DQ5" s="323">
        <f ca="1" t="shared" ref="DQ5:DQ27" si="99">CD5</f>
        <v>67943394.7014531</v>
      </c>
      <c r="DR5" s="323">
        <f ca="1" t="shared" ref="DR5:DR27" si="100">CU5</f>
        <v>229566.197452984</v>
      </c>
      <c r="DS5" s="323">
        <f ca="1" t="shared" ref="DS5:DS27" si="101">DL5</f>
        <v>3.0979758568382e-8</v>
      </c>
      <c r="DT5" s="352">
        <f ca="1" t="shared" ref="DT5:DT27" si="102">SUM(DN5:DS5)</f>
        <v>105350450201.868</v>
      </c>
      <c r="DU5" s="353">
        <f ca="1" t="shared" ref="DU5:DU27" si="103">Y5</f>
        <v>103017315809.586</v>
      </c>
      <c r="DV5" s="126"/>
      <c r="DW5" s="354">
        <v>514933723.179882</v>
      </c>
      <c r="DX5" s="355"/>
      <c r="DY5" s="355"/>
      <c r="DZ5" s="355"/>
      <c r="EA5" s="354">
        <f t="shared" ref="EA5:EA26" si="104">SUM(DW5:DZ5)</f>
        <v>514933723.179882</v>
      </c>
      <c r="EB5" s="365">
        <f ca="1" t="shared" ref="EB5:EB26" si="105">DN5/DW5</f>
        <v>200.059369142539</v>
      </c>
      <c r="EC5" s="365"/>
      <c r="ED5" s="365"/>
      <c r="EE5" s="365"/>
      <c r="EF5" s="365">
        <f ca="1" t="shared" ref="EF5:EF26" si="106">SUM(DN5:DR5)/EA5</f>
        <v>204.590310285554</v>
      </c>
      <c r="EG5" s="369">
        <f ca="1" t="shared" ref="EG5:EG26" si="107">DT5/EA5</f>
        <v>204.590310285554</v>
      </c>
      <c r="EI5" s="354">
        <v>0</v>
      </c>
      <c r="EJ5" s="355">
        <v>29632464.5500403</v>
      </c>
      <c r="EK5" s="355">
        <v>2313636.17142162</v>
      </c>
      <c r="EL5" s="355">
        <v>259250.357747333</v>
      </c>
      <c r="EM5" s="355">
        <v>574.267604646754</v>
      </c>
      <c r="EN5" s="355">
        <v>6.44269175910229e-10</v>
      </c>
      <c r="EO5" s="370">
        <v>32205925.3468139</v>
      </c>
      <c r="EP5" s="365"/>
      <c r="EQ5" s="365">
        <f ca="1" t="shared" ref="EQ5:EV5" si="108">DO5/EJ5</f>
        <v>31.4974798728937</v>
      </c>
      <c r="ER5" s="365">
        <f ca="1" t="shared" si="108"/>
        <v>575.550076577116</v>
      </c>
      <c r="ES5" s="365">
        <f ca="1" t="shared" si="108"/>
        <v>262.076377798757</v>
      </c>
      <c r="ET5" s="365">
        <f ca="1" t="shared" si="108"/>
        <v>399.754740813207</v>
      </c>
      <c r="EU5" s="365">
        <f ca="1" t="shared" si="108"/>
        <v>48.0851167908406</v>
      </c>
      <c r="EV5" s="365">
        <f ca="1" t="shared" si="108"/>
        <v>3271.15116449495</v>
      </c>
      <c r="EW5" s="126">
        <f t="shared" ref="EW5:EW27" si="109">B5</f>
        <v>0.000105213597534903</v>
      </c>
      <c r="EX5" s="91">
        <f t="shared" ref="EX5:EX27" si="110">LN(2)/EW5</f>
        <v>6588.00000000004</v>
      </c>
    </row>
    <row r="6" ht="15.75" spans="1:154">
      <c r="A6" s="185" t="s">
        <v>47</v>
      </c>
      <c r="B6" s="180">
        <f>VLOOKUP(A6,衰变常数!$A$1:$H$3800,7,FALSE)</f>
        <v>2.04207062814938e-9</v>
      </c>
      <c r="C6" s="181">
        <v>1860000000000000</v>
      </c>
      <c r="D6" s="182"/>
      <c r="E6" s="183">
        <v>46200000</v>
      </c>
      <c r="F6" s="183">
        <v>73000000</v>
      </c>
      <c r="G6" s="184">
        <v>0.632876712328767</v>
      </c>
      <c r="H6" s="183">
        <v>1030000000</v>
      </c>
      <c r="I6" s="217"/>
      <c r="J6" s="215"/>
      <c r="K6" s="216"/>
      <c r="L6" s="216"/>
      <c r="M6" s="218">
        <v>0.00066</v>
      </c>
      <c r="N6" s="218">
        <v>5.457e-5</v>
      </c>
      <c r="O6" s="219">
        <f>C6*(M6-N6)*0.00000209</f>
        <v>2353548.582</v>
      </c>
      <c r="P6" s="219">
        <f>(0.00016*10%+0.00026*30%)/2*C6</f>
        <v>87420000000</v>
      </c>
      <c r="Q6" s="216">
        <f ca="1">'进水-事故进程'!Z28</f>
        <v>4.413424e-13</v>
      </c>
      <c r="R6" s="216">
        <f ca="1" t="shared" si="2"/>
        <v>79626.9716829556</v>
      </c>
      <c r="S6" s="244">
        <f ca="1" t="shared" si="3"/>
        <v>87468631389.384</v>
      </c>
      <c r="T6" s="245">
        <f ca="1" t="shared" si="4"/>
        <v>87468631389.384</v>
      </c>
      <c r="U6" s="216">
        <f t="shared" si="5"/>
        <v>0</v>
      </c>
      <c r="V6" s="246">
        <f t="shared" si="6"/>
        <v>1</v>
      </c>
      <c r="W6" s="216">
        <f t="shared" si="7"/>
        <v>1859999962017490</v>
      </c>
      <c r="X6" s="247">
        <f ca="1" t="shared" si="8"/>
        <v>0</v>
      </c>
      <c r="Y6" s="275">
        <f ca="1" t="shared" si="9"/>
        <v>87468631389.384</v>
      </c>
      <c r="Z6" s="216">
        <f ca="1" t="shared" si="10"/>
        <v>87468631389.384</v>
      </c>
      <c r="AA6" s="276">
        <f ca="1" t="shared" si="11"/>
        <v>0</v>
      </c>
      <c r="AB6" s="277">
        <f t="shared" si="12"/>
        <v>1</v>
      </c>
      <c r="AC6" s="247">
        <f ca="1" t="shared" si="13"/>
        <v>87468631389.384</v>
      </c>
      <c r="AD6" s="278">
        <f ca="1" t="shared" si="14"/>
        <v>87468631389.384</v>
      </c>
      <c r="AE6" s="279">
        <f ca="1" t="shared" si="15"/>
        <v>0</v>
      </c>
      <c r="AF6" s="280">
        <f t="shared" si="16"/>
        <v>7200</v>
      </c>
      <c r="AG6" s="247">
        <f t="shared" si="17"/>
        <v>1859999962017490</v>
      </c>
      <c r="AH6" s="247">
        <f ca="1" t="shared" si="18"/>
        <v>0</v>
      </c>
      <c r="AI6" s="298">
        <f ca="1" t="shared" si="19"/>
        <v>0</v>
      </c>
      <c r="AJ6" s="247">
        <f ca="1">'DN65-事故进程'!Z28</f>
        <v>6.006338e-13</v>
      </c>
      <c r="AK6" s="247">
        <f ca="1" t="shared" si="20"/>
        <v>3.41550507006928e-5</v>
      </c>
      <c r="AL6" s="247">
        <f t="shared" si="21"/>
        <v>0.0115740740740741</v>
      </c>
      <c r="AM6" s="299">
        <f ca="1" t="shared" si="22"/>
        <v>0.999985292875065</v>
      </c>
      <c r="AN6" s="299">
        <f ca="1" t="shared" si="23"/>
        <v>0.781976126282381</v>
      </c>
      <c r="AO6" s="299">
        <f t="shared" si="24"/>
        <v>6.43853097444978e-37</v>
      </c>
      <c r="AP6" s="247">
        <f ca="1" t="shared" si="25"/>
        <v>1859972606765670</v>
      </c>
      <c r="AQ6" s="247">
        <f ca="1" t="shared" si="26"/>
        <v>7130870.2010555</v>
      </c>
      <c r="AR6" s="306">
        <f ca="1" t="shared" si="27"/>
        <v>20819.7726975434</v>
      </c>
      <c r="AS6" s="307">
        <f ca="1" t="shared" si="28"/>
        <v>912699.298944496</v>
      </c>
      <c r="AT6" s="247">
        <f ca="1" t="shared" si="29"/>
        <v>8043628.53544739</v>
      </c>
      <c r="AU6" s="247">
        <f ca="1" t="shared" si="30"/>
        <v>912703.765433165</v>
      </c>
      <c r="AV6" s="308">
        <f ca="1" t="shared" si="31"/>
        <v>912703.765433165</v>
      </c>
      <c r="AW6" s="280">
        <f t="shared" si="32"/>
        <v>21600</v>
      </c>
      <c r="AX6" s="247">
        <f ca="1" t="shared" si="33"/>
        <v>1859972606765670</v>
      </c>
      <c r="AY6" s="247">
        <f ca="1" t="shared" si="34"/>
        <v>7130870.2010555</v>
      </c>
      <c r="AZ6" s="298">
        <f ca="1" t="shared" si="35"/>
        <v>0</v>
      </c>
      <c r="BA6" s="247">
        <f ca="1">'DN65-事故进程'!AA28</f>
        <v>6.0576651e-12</v>
      </c>
      <c r="BB6" s="247">
        <f ca="1" t="shared" si="36"/>
        <v>8.73428285176643e-6</v>
      </c>
      <c r="BC6" s="247">
        <f t="shared" si="37"/>
        <v>0.0115740740740741</v>
      </c>
      <c r="BD6" s="299">
        <f ca="1" t="shared" si="38"/>
        <v>0.999955761407421</v>
      </c>
      <c r="BE6" s="299">
        <f ca="1" t="shared" si="39"/>
        <v>0.828031055776561</v>
      </c>
      <c r="BF6" s="299">
        <f t="shared" si="40"/>
        <v>2.66907248355907e-109</v>
      </c>
      <c r="BG6" s="247">
        <f ca="1" t="shared" si="41"/>
        <v>1859890324195310</v>
      </c>
      <c r="BH6" s="247">
        <f ca="1" t="shared" si="42"/>
        <v>227684973.697812</v>
      </c>
      <c r="BI6" s="306">
        <f ca="1" t="shared" si="43"/>
        <v>171215.264975283</v>
      </c>
      <c r="BJ6" s="307">
        <f ca="1" t="shared" si="44"/>
        <v>22804000.3021876</v>
      </c>
      <c r="BK6" s="247">
        <f ca="1" t="shared" si="45"/>
        <v>243363785.579617</v>
      </c>
      <c r="BL6" s="247">
        <f ca="1" t="shared" si="46"/>
        <v>22804350.4380056</v>
      </c>
      <c r="BM6" s="308">
        <f ca="1" t="shared" si="47"/>
        <v>22804350.4380056</v>
      </c>
      <c r="BN6" s="280">
        <f t="shared" si="48"/>
        <v>57600</v>
      </c>
      <c r="BO6" s="247">
        <f ca="1" t="shared" si="49"/>
        <v>1859890324195310</v>
      </c>
      <c r="BP6" s="247">
        <f ca="1" t="shared" si="50"/>
        <v>227684973.697812</v>
      </c>
      <c r="BQ6" s="298">
        <f ca="1" t="shared" si="51"/>
        <v>0</v>
      </c>
      <c r="BR6" s="247">
        <f ca="1">'DN65-事故进程'!AB28</f>
        <v>1.04281898e-11</v>
      </c>
      <c r="BS6" s="247">
        <f ca="1" t="shared" si="52"/>
        <v>9.71204011720554e-7</v>
      </c>
      <c r="BT6" s="247">
        <f t="shared" si="53"/>
        <v>0.0115740740740741</v>
      </c>
      <c r="BU6" s="299">
        <f ca="1" t="shared" si="54"/>
        <v>0.99988178305626</v>
      </c>
      <c r="BV6" s="299">
        <f ca="1" t="shared" si="55"/>
        <v>0.945483374985054</v>
      </c>
      <c r="BW6" s="299">
        <f t="shared" si="56"/>
        <v>2.95320989363675e-290</v>
      </c>
      <c r="BX6" s="247">
        <f ca="1" t="shared" si="57"/>
        <v>1859670453645490</v>
      </c>
      <c r="BY6" s="247">
        <f ca="1" t="shared" si="58"/>
        <v>1301639566.04682</v>
      </c>
      <c r="BZ6" s="306">
        <f ca="1" t="shared" si="59"/>
        <v>109091.768810647</v>
      </c>
      <c r="CA6" s="307">
        <f ca="1" t="shared" si="60"/>
        <v>43055559.7031822</v>
      </c>
      <c r="CB6" s="247">
        <f ca="1" t="shared" si="61"/>
        <v>1117102628.70108</v>
      </c>
      <c r="CC6" s="247">
        <f ca="1" t="shared" si="62"/>
        <v>43057502.8895706</v>
      </c>
      <c r="CD6" s="308">
        <f ca="1" t="shared" si="63"/>
        <v>43057502.8895706</v>
      </c>
      <c r="CE6" s="280">
        <f t="shared" si="64"/>
        <v>259200</v>
      </c>
      <c r="CF6" s="247">
        <f ca="1" t="shared" si="65"/>
        <v>1859670453645490</v>
      </c>
      <c r="CG6" s="247">
        <f ca="1" t="shared" si="66"/>
        <v>1301639566.04682</v>
      </c>
      <c r="CH6" s="298">
        <f ca="1" t="shared" si="67"/>
        <v>0</v>
      </c>
      <c r="CI6" s="247">
        <f ca="1">'DN65-事故进程'!AC28</f>
        <v>1.98225697e-11</v>
      </c>
      <c r="CJ6" s="247">
        <f ca="1" t="shared" si="68"/>
        <v>3.43152347017181e-7</v>
      </c>
      <c r="CK6" s="247">
        <f t="shared" si="69"/>
        <v>0.0115740740740741</v>
      </c>
      <c r="CL6" s="299">
        <f ca="1" t="shared" si="70"/>
        <v>0.999465700072188</v>
      </c>
      <c r="CM6" s="299">
        <f ca="1" t="shared" si="71"/>
        <v>0.914411680115327</v>
      </c>
      <c r="CN6" s="299">
        <f t="shared" si="72"/>
        <v>0</v>
      </c>
      <c r="CO6" s="247">
        <f ca="1" t="shared" si="73"/>
        <v>1858676831856350</v>
      </c>
      <c r="CP6" s="247">
        <f ca="1" t="shared" si="74"/>
        <v>10327766277.6301</v>
      </c>
      <c r="CQ6" s="306">
        <f ca="1" t="shared" si="75"/>
        <v>306116.057533654</v>
      </c>
      <c r="CR6" s="307">
        <f ca="1" t="shared" si="76"/>
        <v>523109312.619888</v>
      </c>
      <c r="CS6" s="247">
        <f ca="1" t="shared" si="77"/>
        <v>9552452663.97076</v>
      </c>
      <c r="CT6" s="247">
        <f ca="1" t="shared" si="78"/>
        <v>523212359.8342</v>
      </c>
      <c r="CU6" s="308">
        <f ca="1" t="shared" si="79"/>
        <v>523212359.8342</v>
      </c>
      <c r="CV6" s="280">
        <f t="shared" si="80"/>
        <v>2246400</v>
      </c>
      <c r="CW6" s="247">
        <f ca="1" t="shared" si="81"/>
        <v>1858676831856350</v>
      </c>
      <c r="CX6" s="247">
        <f ca="1" t="shared" si="82"/>
        <v>10327766277.6301</v>
      </c>
      <c r="CY6" s="298">
        <f ca="1" t="shared" si="83"/>
        <v>0</v>
      </c>
      <c r="CZ6" s="247">
        <f ca="1">'DN65-事故进程'!AE28</f>
        <v>1.13098073e-11</v>
      </c>
      <c r="DA6" s="247">
        <f t="shared" si="84"/>
        <v>4.45156695156695e-9</v>
      </c>
      <c r="DB6" s="247">
        <f t="shared" si="85"/>
        <v>0.0115740740740741</v>
      </c>
      <c r="DC6" s="299">
        <f ca="1" t="shared" si="86"/>
        <v>0.995397908415449</v>
      </c>
      <c r="DD6" s="299">
        <f t="shared" si="87"/>
        <v>0.98551857185379</v>
      </c>
      <c r="DE6" s="299">
        <f t="shared" si="88"/>
        <v>0</v>
      </c>
      <c r="DF6" s="247">
        <f ca="1" t="shared" si="89"/>
        <v>1850123030850070</v>
      </c>
      <c r="DG6" s="247">
        <f ca="1" t="shared" si="90"/>
        <v>56949431040.6182</v>
      </c>
      <c r="DH6" s="306">
        <f ca="1" t="shared" si="91"/>
        <v>21902.9404091291</v>
      </c>
      <c r="DI6" s="307">
        <f ca="1" t="shared" si="92"/>
        <v>336539548.381836</v>
      </c>
      <c r="DJ6" s="247">
        <f ca="1" t="shared" si="93"/>
        <v>47113452233.9379</v>
      </c>
      <c r="DK6" s="247">
        <f ca="1" t="shared" si="94"/>
        <v>337133821.529436</v>
      </c>
      <c r="DL6" s="308">
        <f ca="1" t="shared" si="95"/>
        <v>337133821.529436</v>
      </c>
      <c r="DM6" s="321"/>
      <c r="DN6" s="322">
        <f ca="1" t="shared" si="96"/>
        <v>87468631389.384</v>
      </c>
      <c r="DO6" s="323">
        <f ca="1" t="shared" si="97"/>
        <v>912703.765433165</v>
      </c>
      <c r="DP6" s="323">
        <f ca="1" t="shared" si="98"/>
        <v>22804350.4380056</v>
      </c>
      <c r="DQ6" s="323">
        <f ca="1" t="shared" si="99"/>
        <v>43057502.8895706</v>
      </c>
      <c r="DR6" s="323">
        <f ca="1" t="shared" si="100"/>
        <v>523212359.8342</v>
      </c>
      <c r="DS6" s="323">
        <f ca="1" t="shared" si="101"/>
        <v>337133821.529436</v>
      </c>
      <c r="DT6" s="352">
        <f ca="1" t="shared" si="102"/>
        <v>88395752127.8407</v>
      </c>
      <c r="DU6" s="353">
        <f ca="1" t="shared" si="103"/>
        <v>87468631389.384</v>
      </c>
      <c r="DV6" s="126"/>
      <c r="DW6" s="354">
        <v>12503398775.2419</v>
      </c>
      <c r="DX6" s="355"/>
      <c r="DY6" s="355"/>
      <c r="DZ6" s="355"/>
      <c r="EA6" s="354">
        <f t="shared" si="104"/>
        <v>12503398775.2419</v>
      </c>
      <c r="EB6" s="365">
        <f ca="1" t="shared" si="105"/>
        <v>6.99558839653915</v>
      </c>
      <c r="EC6" s="365"/>
      <c r="ED6" s="365"/>
      <c r="EE6" s="365"/>
      <c r="EF6" s="365">
        <f ca="1" t="shared" si="106"/>
        <v>7.0427745198911</v>
      </c>
      <c r="EG6" s="369">
        <f ca="1" t="shared" si="107"/>
        <v>7.06973789421753</v>
      </c>
      <c r="EI6" s="354">
        <v>0</v>
      </c>
      <c r="EJ6" s="355">
        <v>725461988.345024</v>
      </c>
      <c r="EK6" s="355">
        <v>291520759.039354</v>
      </c>
      <c r="EL6" s="355">
        <v>742621171.810254</v>
      </c>
      <c r="EM6" s="355">
        <v>2791073450.30231</v>
      </c>
      <c r="EN6" s="355">
        <v>7372844012.21169</v>
      </c>
      <c r="EO6" s="370">
        <v>11923521381.7086</v>
      </c>
      <c r="EP6" s="365"/>
      <c r="EQ6" s="365">
        <f ca="1" t="shared" ref="EQ6:EV6" si="111">DO6/EJ6</f>
        <v>0.00125810005223746</v>
      </c>
      <c r="ER6" s="365">
        <f ca="1" t="shared" si="111"/>
        <v>0.0782254770231545</v>
      </c>
      <c r="ES6" s="365">
        <f ca="1" t="shared" si="111"/>
        <v>0.0579804408008073</v>
      </c>
      <c r="ET6" s="365">
        <f ca="1" t="shared" si="111"/>
        <v>0.187459186993997</v>
      </c>
      <c r="EU6" s="365">
        <f ca="1" t="shared" si="111"/>
        <v>0.0457264280881351</v>
      </c>
      <c r="EV6" s="365">
        <f ca="1" t="shared" si="111"/>
        <v>7.41356091862636</v>
      </c>
      <c r="EW6" s="126">
        <f t="shared" si="109"/>
        <v>2.04207062814938e-9</v>
      </c>
      <c r="EX6" s="91">
        <f t="shared" si="110"/>
        <v>339433500.000001</v>
      </c>
    </row>
    <row r="7" ht="15.75" spans="1:154">
      <c r="A7" s="185" t="s">
        <v>48</v>
      </c>
      <c r="B7" s="180">
        <f>VLOOKUP(A7,衰变常数!$A$1:$H$3800,7,FALSE)</f>
        <v>4.29778757787664e-5</v>
      </c>
      <c r="C7" s="181">
        <v>6.59e+16</v>
      </c>
      <c r="D7" s="182"/>
      <c r="E7" s="183">
        <v>17900000000</v>
      </c>
      <c r="F7" s="183">
        <v>24000000000</v>
      </c>
      <c r="G7" s="184">
        <v>0.745833333333333</v>
      </c>
      <c r="H7" s="183">
        <v>1580000000</v>
      </c>
      <c r="I7" s="214"/>
      <c r="J7" s="215"/>
      <c r="K7" s="216"/>
      <c r="L7" s="210"/>
      <c r="M7" s="218"/>
      <c r="N7" s="218"/>
      <c r="O7" s="216">
        <f t="shared" si="0"/>
        <v>9641170</v>
      </c>
      <c r="P7" s="216">
        <f t="shared" si="1"/>
        <v>276780000000</v>
      </c>
      <c r="Q7" s="216">
        <f ca="1">'进水-事故进程'!Z29</f>
        <v>4.90034336111046e-11</v>
      </c>
      <c r="R7" s="216">
        <f ca="1" t="shared" si="2"/>
        <v>311941500.807933</v>
      </c>
      <c r="S7" s="244">
        <f ca="1" t="shared" si="3"/>
        <v>294874958535.024</v>
      </c>
      <c r="T7" s="245">
        <f ca="1" t="shared" si="4"/>
        <v>294874958535.024</v>
      </c>
      <c r="U7" s="216">
        <f t="shared" si="5"/>
        <v>0</v>
      </c>
      <c r="V7" s="246">
        <f t="shared" si="6"/>
        <v>1</v>
      </c>
      <c r="W7" s="216">
        <f t="shared" si="7"/>
        <v>6.58716836651773e+16</v>
      </c>
      <c r="X7" s="247">
        <f ca="1" t="shared" si="8"/>
        <v>0</v>
      </c>
      <c r="Y7" s="275">
        <f ca="1" t="shared" si="9"/>
        <v>294874958535.024</v>
      </c>
      <c r="Z7" s="216">
        <f ca="1" t="shared" si="10"/>
        <v>294874958535.024</v>
      </c>
      <c r="AA7" s="276">
        <f ca="1" t="shared" si="11"/>
        <v>0</v>
      </c>
      <c r="AB7" s="277">
        <f t="shared" si="12"/>
        <v>1</v>
      </c>
      <c r="AC7" s="247">
        <f ca="1" t="shared" si="13"/>
        <v>294874958535.024</v>
      </c>
      <c r="AD7" s="278">
        <f ca="1" t="shared" si="14"/>
        <v>294874958535.024</v>
      </c>
      <c r="AE7" s="279">
        <f ca="1" t="shared" si="15"/>
        <v>0</v>
      </c>
      <c r="AF7" s="280">
        <f t="shared" si="16"/>
        <v>7200</v>
      </c>
      <c r="AG7" s="247">
        <f t="shared" si="17"/>
        <v>6.58716836651773e+16</v>
      </c>
      <c r="AH7" s="247">
        <f ca="1" t="shared" si="18"/>
        <v>0</v>
      </c>
      <c r="AI7" s="298">
        <f ca="1" t="shared" si="19"/>
        <v>0</v>
      </c>
      <c r="AJ7" s="247">
        <f ca="1">'DN65-事故进程'!Z29</f>
        <v>5.06760369035609e-11</v>
      </c>
      <c r="AK7" s="247">
        <f ca="1" t="shared" si="20"/>
        <v>3.41550507006928e-5</v>
      </c>
      <c r="AL7" s="247">
        <f t="shared" si="21"/>
        <v>0.0115740740740741</v>
      </c>
      <c r="AM7" s="299">
        <f ca="1" t="shared" si="22"/>
        <v>0.733857015970024</v>
      </c>
      <c r="AN7" s="299">
        <f ca="1" t="shared" si="23"/>
        <v>0.573867313432368</v>
      </c>
      <c r="AO7" s="299">
        <f t="shared" si="24"/>
        <v>4.72503232333253e-37</v>
      </c>
      <c r="AP7" s="247">
        <f ca="1" t="shared" si="25"/>
        <v>4.83403972114484e+16</v>
      </c>
      <c r="AQ7" s="247">
        <f ca="1" t="shared" si="26"/>
        <v>15636485582.274</v>
      </c>
      <c r="AR7" s="306">
        <f ca="1" t="shared" si="27"/>
        <v>45653344.8492941</v>
      </c>
      <c r="AS7" s="307">
        <f ca="1" t="shared" si="28"/>
        <v>2001355857.72603</v>
      </c>
      <c r="AT7" s="247">
        <f ca="1" t="shared" si="29"/>
        <v>20671451430.5464</v>
      </c>
      <c r="AU7" s="247">
        <f ca="1" t="shared" si="30"/>
        <v>2229521446.58739</v>
      </c>
      <c r="AV7" s="308">
        <f ca="1" t="shared" si="31"/>
        <v>2229521446.58739</v>
      </c>
      <c r="AW7" s="280">
        <f t="shared" si="32"/>
        <v>21600</v>
      </c>
      <c r="AX7" s="247">
        <f ca="1" t="shared" si="33"/>
        <v>4.83403972114484e+16</v>
      </c>
      <c r="AY7" s="247">
        <f ca="1" t="shared" si="34"/>
        <v>15636485582.274</v>
      </c>
      <c r="AZ7" s="298">
        <f ca="1" t="shared" si="35"/>
        <v>0</v>
      </c>
      <c r="BA7" s="247">
        <f ca="1">'DN65-事故进程'!AA29</f>
        <v>1.10287476883107e-10</v>
      </c>
      <c r="BB7" s="247">
        <f ca="1" t="shared" si="36"/>
        <v>8.73428285176643e-6</v>
      </c>
      <c r="BC7" s="247">
        <f t="shared" si="37"/>
        <v>0.0115740740740741</v>
      </c>
      <c r="BD7" s="299">
        <f ca="1" t="shared" si="38"/>
        <v>0.39521533962115</v>
      </c>
      <c r="BE7" s="299">
        <f ca="1" t="shared" si="39"/>
        <v>0.32726578946449</v>
      </c>
      <c r="BF7" s="299">
        <f t="shared" si="40"/>
        <v>1.0549074305561e-109</v>
      </c>
      <c r="BG7" s="247">
        <f ca="1" t="shared" si="41"/>
        <v>1.91048665013439e+16</v>
      </c>
      <c r="BH7" s="247">
        <f ca="1" t="shared" si="42"/>
        <v>46593703936.1616</v>
      </c>
      <c r="BI7" s="306">
        <f ca="1" t="shared" si="43"/>
        <v>35050637.9447485</v>
      </c>
      <c r="BJ7" s="307">
        <f ca="1" t="shared" si="44"/>
        <v>5097938443.83838</v>
      </c>
      <c r="BK7" s="247">
        <f ca="1" t="shared" si="45"/>
        <v>75022429212.6271</v>
      </c>
      <c r="BL7" s="247">
        <f ca="1" t="shared" si="46"/>
        <v>7442698695.15199</v>
      </c>
      <c r="BM7" s="308">
        <f ca="1" t="shared" si="47"/>
        <v>7442698695.15199</v>
      </c>
      <c r="BN7" s="280">
        <f t="shared" si="48"/>
        <v>57600</v>
      </c>
      <c r="BO7" s="247">
        <f ca="1" t="shared" si="49"/>
        <v>1.91048665013439e+16</v>
      </c>
      <c r="BP7" s="247">
        <f ca="1" t="shared" si="50"/>
        <v>46593703936.1616</v>
      </c>
      <c r="BQ7" s="298">
        <f ca="1" t="shared" si="51"/>
        <v>0</v>
      </c>
      <c r="BR7" s="247">
        <f ca="1">'DN65-事故进程'!AB29</f>
        <v>1.88079648325236e-10</v>
      </c>
      <c r="BS7" s="247">
        <f ca="1" t="shared" si="52"/>
        <v>9.71204011720554e-7</v>
      </c>
      <c r="BT7" s="247">
        <f t="shared" si="53"/>
        <v>0.0115740740740741</v>
      </c>
      <c r="BU7" s="299">
        <f ca="1" t="shared" si="54"/>
        <v>0.084117850753293</v>
      </c>
      <c r="BV7" s="299">
        <f ca="1" t="shared" si="55"/>
        <v>0.0795422465014632</v>
      </c>
      <c r="BW7" s="299">
        <f t="shared" si="56"/>
        <v>2.48449582028816e-291</v>
      </c>
      <c r="BX7" s="247">
        <f ca="1" t="shared" si="57"/>
        <v>1607060309021630</v>
      </c>
      <c r="BY7" s="247">
        <f ca="1" t="shared" si="58"/>
        <v>20638154268.0872</v>
      </c>
      <c r="BZ7" s="306">
        <f ca="1" t="shared" si="59"/>
        <v>1729743.14547056</v>
      </c>
      <c r="CA7" s="307">
        <f ca="1" t="shared" si="60"/>
        <v>691252185.412781</v>
      </c>
      <c r="CB7" s="247">
        <f ca="1" t="shared" si="61"/>
        <v>76573510755.5517</v>
      </c>
      <c r="CC7" s="247">
        <f ca="1" t="shared" si="62"/>
        <v>2265727411.72431</v>
      </c>
      <c r="CD7" s="308">
        <f ca="1" t="shared" si="63"/>
        <v>2265727411.72431</v>
      </c>
      <c r="CE7" s="280">
        <f t="shared" si="64"/>
        <v>259200</v>
      </c>
      <c r="CF7" s="247">
        <f ca="1" t="shared" si="65"/>
        <v>1607060309021630</v>
      </c>
      <c r="CG7" s="247">
        <f ca="1" t="shared" si="66"/>
        <v>20638154268.0872</v>
      </c>
      <c r="CH7" s="298">
        <f ca="1" t="shared" si="67"/>
        <v>0</v>
      </c>
      <c r="CI7" s="247">
        <f ca="1">'DN65-事故进程'!AC29</f>
        <v>4.36554377573549e-10</v>
      </c>
      <c r="CJ7" s="247">
        <f ca="1" t="shared" si="68"/>
        <v>3.43152347017181e-7</v>
      </c>
      <c r="CK7" s="247">
        <f t="shared" si="69"/>
        <v>0.0115740740740741</v>
      </c>
      <c r="CL7" s="299">
        <f ca="1" t="shared" si="70"/>
        <v>1.45200724813595e-5</v>
      </c>
      <c r="CM7" s="299">
        <f ca="1" t="shared" si="71"/>
        <v>1.32858567580039e-5</v>
      </c>
      <c r="CN7" s="299">
        <f t="shared" si="72"/>
        <v>0</v>
      </c>
      <c r="CO7" s="247">
        <f ca="1" t="shared" si="73"/>
        <v>23334632168.91</v>
      </c>
      <c r="CP7" s="247">
        <f ca="1" t="shared" si="74"/>
        <v>2800743.13288377</v>
      </c>
      <c r="CQ7" s="306">
        <f ca="1" t="shared" si="75"/>
        <v>83.0138148988943</v>
      </c>
      <c r="CR7" s="307">
        <f ca="1" t="shared" si="76"/>
        <v>139535.513196245</v>
      </c>
      <c r="CS7" s="247">
        <f ca="1" t="shared" si="77"/>
        <v>16323559209.4491</v>
      </c>
      <c r="CT7" s="247">
        <f ca="1" t="shared" si="78"/>
        <v>292757078.876099</v>
      </c>
      <c r="CU7" s="308">
        <f ca="1" t="shared" si="79"/>
        <v>292757078.876099</v>
      </c>
      <c r="CV7" s="280">
        <f t="shared" si="80"/>
        <v>2246400</v>
      </c>
      <c r="CW7" s="247">
        <f ca="1" t="shared" si="81"/>
        <v>23334632168.91</v>
      </c>
      <c r="CX7" s="247">
        <f ca="1" t="shared" si="82"/>
        <v>2800743.13288377</v>
      </c>
      <c r="CY7" s="298">
        <f ca="1" t="shared" si="83"/>
        <v>0</v>
      </c>
      <c r="CZ7" s="247">
        <f ca="1">'DN65-事故进程'!AE29</f>
        <v>1.96901790136962e-10</v>
      </c>
      <c r="DA7" s="247">
        <f t="shared" si="84"/>
        <v>4.45156695156695e-9</v>
      </c>
      <c r="DB7" s="247">
        <f t="shared" si="85"/>
        <v>0.0115740740740741</v>
      </c>
      <c r="DC7" s="299">
        <f ca="1" t="shared" si="86"/>
        <v>1.17660295644595e-42</v>
      </c>
      <c r="DD7" s="299">
        <f t="shared" si="87"/>
        <v>1.16541093220513e-42</v>
      </c>
      <c r="DE7" s="299">
        <f t="shared" si="88"/>
        <v>0</v>
      </c>
      <c r="DF7" s="247">
        <f ca="1" t="shared" si="89"/>
        <v>2.74555971975183e-32</v>
      </c>
      <c r="DG7" s="247">
        <f ca="1" t="shared" si="90"/>
        <v>1.53503308305696e-35</v>
      </c>
      <c r="DH7" s="306">
        <f ca="1" t="shared" si="91"/>
        <v>5.90379601965345e-42</v>
      </c>
      <c r="DI7" s="307">
        <f ca="1" t="shared" si="92"/>
        <v>9.3340679719412e-38</v>
      </c>
      <c r="DJ7" s="247">
        <f ca="1" t="shared" si="93"/>
        <v>106906.395742696</v>
      </c>
      <c r="DK7" s="247">
        <f ca="1" t="shared" si="94"/>
        <v>301.137638366242</v>
      </c>
      <c r="DL7" s="308">
        <f ca="1" t="shared" si="95"/>
        <v>301.137638366242</v>
      </c>
      <c r="DM7" s="321"/>
      <c r="DN7" s="322">
        <f ca="1" t="shared" si="96"/>
        <v>294874958535.024</v>
      </c>
      <c r="DO7" s="323">
        <f ca="1" t="shared" si="97"/>
        <v>2229521446.58739</v>
      </c>
      <c r="DP7" s="323">
        <f ca="1" t="shared" si="98"/>
        <v>7442698695.15199</v>
      </c>
      <c r="DQ7" s="323">
        <f ca="1" t="shared" si="99"/>
        <v>2265727411.72431</v>
      </c>
      <c r="DR7" s="323">
        <f ca="1" t="shared" si="100"/>
        <v>292757078.876099</v>
      </c>
      <c r="DS7" s="323">
        <f ca="1" t="shared" si="101"/>
        <v>301.137638366242</v>
      </c>
      <c r="DT7" s="352">
        <f ca="1" t="shared" si="102"/>
        <v>307105663468.501</v>
      </c>
      <c r="DU7" s="353">
        <f ca="1" t="shared" si="103"/>
        <v>294874958535.024</v>
      </c>
      <c r="DV7" s="126"/>
      <c r="DW7" s="354">
        <v>3211659586.14565</v>
      </c>
      <c r="DX7" s="355"/>
      <c r="DY7" s="355"/>
      <c r="DZ7" s="355"/>
      <c r="EA7" s="354">
        <f t="shared" si="104"/>
        <v>3211659586.14565</v>
      </c>
      <c r="EB7" s="365">
        <f ca="1" t="shared" si="105"/>
        <v>91.813889556367</v>
      </c>
      <c r="EC7" s="365"/>
      <c r="ED7" s="365"/>
      <c r="EE7" s="365"/>
      <c r="EF7" s="365">
        <f ca="1" t="shared" si="106"/>
        <v>95.6221090467202</v>
      </c>
      <c r="EG7" s="369">
        <f ca="1" t="shared" si="107"/>
        <v>95.6221091404841</v>
      </c>
      <c r="EI7" s="354">
        <v>0</v>
      </c>
      <c r="EJ7" s="355">
        <v>193197473.815678</v>
      </c>
      <c r="EK7" s="355">
        <v>37897008.7205792</v>
      </c>
      <c r="EL7" s="355">
        <v>21884906.5936541</v>
      </c>
      <c r="EM7" s="355">
        <v>1866703.00990726</v>
      </c>
      <c r="EN7" s="355">
        <v>19.9672819785386</v>
      </c>
      <c r="EO7" s="370">
        <v>254846112.1071</v>
      </c>
      <c r="EP7" s="365"/>
      <c r="EQ7" s="365">
        <f ca="1" t="shared" ref="EQ7:EV7" si="112">DO7/EJ7</f>
        <v>11.5401169723083</v>
      </c>
      <c r="ER7" s="365">
        <f ca="1" t="shared" si="112"/>
        <v>196.39277469175</v>
      </c>
      <c r="ES7" s="365">
        <f ca="1" t="shared" si="112"/>
        <v>103.529224674932</v>
      </c>
      <c r="ET7" s="365">
        <f ca="1" t="shared" si="112"/>
        <v>156.831095960275</v>
      </c>
      <c r="EU7" s="365">
        <f ca="1" t="shared" si="112"/>
        <v>15.0815538484363</v>
      </c>
      <c r="EV7" s="365">
        <f ca="1" t="shared" si="112"/>
        <v>1205.06316902115</v>
      </c>
      <c r="EW7" s="126">
        <f t="shared" si="109"/>
        <v>4.29778757787664e-5</v>
      </c>
      <c r="EX7" s="91">
        <f t="shared" si="110"/>
        <v>16128</v>
      </c>
    </row>
    <row r="8" ht="15.75" spans="1:154">
      <c r="A8" s="185" t="s">
        <v>49</v>
      </c>
      <c r="B8" s="180">
        <f>VLOOKUP(A8,衰变常数!$A$1:$H$3800,7,FALSE)</f>
        <v>0.000151408296321525</v>
      </c>
      <c r="C8" s="181">
        <v>1.29e+17</v>
      </c>
      <c r="D8" s="182"/>
      <c r="E8" s="183">
        <v>19400000000</v>
      </c>
      <c r="F8" s="183">
        <v>27000000000</v>
      </c>
      <c r="G8" s="184">
        <v>0.718518518518519</v>
      </c>
      <c r="H8" s="183">
        <v>567000000</v>
      </c>
      <c r="I8" s="214"/>
      <c r="J8" s="215"/>
      <c r="K8" s="216"/>
      <c r="L8" s="210"/>
      <c r="M8" s="218"/>
      <c r="N8" s="218"/>
      <c r="O8" s="216">
        <f t="shared" si="0"/>
        <v>18872700</v>
      </c>
      <c r="P8" s="216">
        <f t="shared" si="1"/>
        <v>541800000000</v>
      </c>
      <c r="Q8" s="216">
        <f ca="1">'进水-事故进程'!Z30</f>
        <v>9.11473632576864e-11</v>
      </c>
      <c r="R8" s="216">
        <f ca="1" t="shared" si="2"/>
        <v>1123898886.95663</v>
      </c>
      <c r="S8" s="244">
        <f ca="1" t="shared" si="3"/>
        <v>561493682610.951</v>
      </c>
      <c r="T8" s="245">
        <f ca="1" t="shared" si="4"/>
        <v>561493682610.951</v>
      </c>
      <c r="U8" s="216">
        <f t="shared" si="5"/>
        <v>0</v>
      </c>
      <c r="V8" s="246">
        <f t="shared" si="6"/>
        <v>1</v>
      </c>
      <c r="W8" s="216">
        <f t="shared" si="7"/>
        <v>1.28804831085994e+17</v>
      </c>
      <c r="X8" s="247">
        <f ca="1" t="shared" si="8"/>
        <v>0</v>
      </c>
      <c r="Y8" s="275">
        <f ca="1" t="shared" si="9"/>
        <v>561493682610.951</v>
      </c>
      <c r="Z8" s="216">
        <f ca="1" t="shared" si="10"/>
        <v>561493682610.951</v>
      </c>
      <c r="AA8" s="276">
        <f ca="1" t="shared" si="11"/>
        <v>0</v>
      </c>
      <c r="AB8" s="277">
        <f t="shared" si="12"/>
        <v>1</v>
      </c>
      <c r="AC8" s="247">
        <f ca="1" t="shared" si="13"/>
        <v>561493682610.951</v>
      </c>
      <c r="AD8" s="278">
        <f ca="1" t="shared" si="14"/>
        <v>561493682610.951</v>
      </c>
      <c r="AE8" s="279">
        <f ca="1" t="shared" si="15"/>
        <v>0</v>
      </c>
      <c r="AF8" s="280">
        <f t="shared" si="16"/>
        <v>7200</v>
      </c>
      <c r="AG8" s="247">
        <f t="shared" si="17"/>
        <v>1.28804831085994e+17</v>
      </c>
      <c r="AH8" s="247">
        <f ca="1" t="shared" si="18"/>
        <v>0</v>
      </c>
      <c r="AI8" s="298">
        <f ca="1" t="shared" si="19"/>
        <v>0</v>
      </c>
      <c r="AJ8" s="247">
        <f ca="1">'DN65-事故进程'!Z30</f>
        <v>9.42700052103368e-11</v>
      </c>
      <c r="AK8" s="247">
        <f ca="1" t="shared" si="20"/>
        <v>3.41550507006928e-5</v>
      </c>
      <c r="AL8" s="247">
        <f t="shared" si="21"/>
        <v>0.0115740740740741</v>
      </c>
      <c r="AM8" s="299">
        <f ca="1" t="shared" si="22"/>
        <v>0.336169288103533</v>
      </c>
      <c r="AN8" s="299">
        <f ca="1" t="shared" si="23"/>
        <v>0.262880401190205</v>
      </c>
      <c r="AO8" s="299">
        <f t="shared" si="24"/>
        <v>2.1644696669777e-37</v>
      </c>
      <c r="AP8" s="247">
        <f ca="1" t="shared" si="25"/>
        <v>4.33002283704745e+16</v>
      </c>
      <c r="AQ8" s="247">
        <f ca="1" t="shared" si="26"/>
        <v>26054939775.9945</v>
      </c>
      <c r="AR8" s="306">
        <f ca="1" t="shared" si="27"/>
        <v>76071771.1635074</v>
      </c>
      <c r="AS8" s="307">
        <f ca="1" t="shared" si="28"/>
        <v>3334842024.00554</v>
      </c>
      <c r="AT8" s="247">
        <f ca="1" t="shared" si="29"/>
        <v>53236939591.0527</v>
      </c>
      <c r="AU8" s="247">
        <f ca="1" t="shared" si="30"/>
        <v>5003157125.19658</v>
      </c>
      <c r="AV8" s="308">
        <f ca="1" t="shared" si="31"/>
        <v>5003157125.19658</v>
      </c>
      <c r="AW8" s="280">
        <f t="shared" si="32"/>
        <v>21600</v>
      </c>
      <c r="AX8" s="247">
        <f ca="1" t="shared" si="33"/>
        <v>4.33002283704745e+16</v>
      </c>
      <c r="AY8" s="247">
        <f ca="1" t="shared" si="34"/>
        <v>26054939775.9945</v>
      </c>
      <c r="AZ8" s="298">
        <f ca="1" t="shared" si="35"/>
        <v>0</v>
      </c>
      <c r="BA8" s="247">
        <f ca="1">'DN65-事故进程'!AA30</f>
        <v>2.05686025602387e-10</v>
      </c>
      <c r="BB8" s="247">
        <f ca="1" t="shared" si="36"/>
        <v>8.73428285176643e-6</v>
      </c>
      <c r="BC8" s="247">
        <f t="shared" si="37"/>
        <v>0.0115740740740741</v>
      </c>
      <c r="BD8" s="299">
        <f ca="1" t="shared" si="38"/>
        <v>0.0379903293146845</v>
      </c>
      <c r="BE8" s="299">
        <f ca="1" t="shared" si="39"/>
        <v>0.0314586998230999</v>
      </c>
      <c r="BF8" s="299">
        <f t="shared" si="40"/>
        <v>1.01403865809884e-110</v>
      </c>
      <c r="BG8" s="247">
        <f ca="1" t="shared" si="41"/>
        <v>1644989935195370</v>
      </c>
      <c r="BH8" s="247">
        <f ca="1" t="shared" si="42"/>
        <v>7480041922.61143</v>
      </c>
      <c r="BI8" s="306">
        <f ca="1" t="shared" si="43"/>
        <v>5626939.53170183</v>
      </c>
      <c r="BJ8" s="307">
        <f ca="1" t="shared" si="44"/>
        <v>818205597.888565</v>
      </c>
      <c r="BK8" s="247">
        <f ca="1" t="shared" si="45"/>
        <v>56587974424.6136</v>
      </c>
      <c r="BL8" s="247">
        <f ca="1" t="shared" si="46"/>
        <v>4099433079.04902</v>
      </c>
      <c r="BM8" s="308">
        <f ca="1" t="shared" si="47"/>
        <v>4099433079.04902</v>
      </c>
      <c r="BN8" s="280">
        <f t="shared" si="48"/>
        <v>57600</v>
      </c>
      <c r="BO8" s="247">
        <f ca="1" t="shared" si="49"/>
        <v>1644989935195370</v>
      </c>
      <c r="BP8" s="247">
        <f ca="1" t="shared" si="50"/>
        <v>7480041922.61143</v>
      </c>
      <c r="BQ8" s="298">
        <f ca="1" t="shared" si="51"/>
        <v>0</v>
      </c>
      <c r="BR8" s="247">
        <f ca="1">'DN65-事故进程'!AB30</f>
        <v>3.52565599500059e-10</v>
      </c>
      <c r="BS8" s="247">
        <f ca="1" t="shared" si="52"/>
        <v>9.71204011720554e-7</v>
      </c>
      <c r="BT8" s="247">
        <f t="shared" si="53"/>
        <v>0.0115740740740741</v>
      </c>
      <c r="BU8" s="299">
        <f ca="1" t="shared" si="54"/>
        <v>0.00016310144710121</v>
      </c>
      <c r="BV8" s="299">
        <f ca="1" t="shared" si="55"/>
        <v>0.000154230978443438</v>
      </c>
      <c r="BW8" s="299">
        <f t="shared" si="56"/>
        <v>4.81739249462409e-294</v>
      </c>
      <c r="BX8" s="247">
        <f ca="1" t="shared" si="57"/>
        <v>268300238897.29</v>
      </c>
      <c r="BY8" s="247">
        <f ca="1" t="shared" si="58"/>
        <v>6452691.33222228</v>
      </c>
      <c r="BZ8" s="306">
        <f ca="1" t="shared" si="59"/>
        <v>540.817985589541</v>
      </c>
      <c r="CA8" s="307">
        <f ca="1" t="shared" si="60"/>
        <v>215976.261527717</v>
      </c>
      <c r="CB8" s="247">
        <f ca="1" t="shared" si="61"/>
        <v>3829849044.30024</v>
      </c>
      <c r="CC8" s="247">
        <f ca="1" t="shared" si="62"/>
        <v>72043447.9406362</v>
      </c>
      <c r="CD8" s="308">
        <f ca="1" t="shared" si="63"/>
        <v>72043447.9406362</v>
      </c>
      <c r="CE8" s="280">
        <f t="shared" si="64"/>
        <v>259200</v>
      </c>
      <c r="CF8" s="247">
        <f ca="1" t="shared" si="65"/>
        <v>268300238897.29</v>
      </c>
      <c r="CG8" s="247">
        <f ca="1" t="shared" si="66"/>
        <v>6452691.33222228</v>
      </c>
      <c r="CH8" s="298">
        <f ca="1" t="shared" si="67"/>
        <v>0</v>
      </c>
      <c r="CI8" s="247">
        <f ca="1">'DN65-事故进程'!AC30</f>
        <v>8.32204452660593e-10</v>
      </c>
      <c r="CJ8" s="247">
        <f ca="1" t="shared" si="68"/>
        <v>3.43152347017181e-7</v>
      </c>
      <c r="CK8" s="247">
        <f t="shared" si="69"/>
        <v>0.0115740740740741</v>
      </c>
      <c r="CL8" s="299">
        <f ca="1" t="shared" si="70"/>
        <v>9.03662315627828e-18</v>
      </c>
      <c r="CM8" s="299">
        <f ca="1" t="shared" si="71"/>
        <v>8.26935223603093e-18</v>
      </c>
      <c r="CN8" s="299">
        <f t="shared" si="72"/>
        <v>0</v>
      </c>
      <c r="CO8" s="247">
        <f ca="1" t="shared" si="73"/>
        <v>2.42452815165425e-6</v>
      </c>
      <c r="CP8" s="247">
        <f ca="1" t="shared" si="74"/>
        <v>5.53817281125722e-10</v>
      </c>
      <c r="CQ8" s="306">
        <f ca="1" t="shared" si="75"/>
        <v>1.64150937604591e-14</v>
      </c>
      <c r="CR8" s="307">
        <f ca="1" t="shared" si="76"/>
        <v>2.75508980528833e-11</v>
      </c>
      <c r="CS8" s="247">
        <f ca="1" t="shared" si="77"/>
        <v>1474684.22567347</v>
      </c>
      <c r="CT8" s="247">
        <f ca="1" t="shared" si="78"/>
        <v>17926.0069821164</v>
      </c>
      <c r="CU8" s="308">
        <f ca="1" t="shared" si="79"/>
        <v>17926.0069821164</v>
      </c>
      <c r="CV8" s="280">
        <f t="shared" si="80"/>
        <v>2246400</v>
      </c>
      <c r="CW8" s="247">
        <f ca="1" t="shared" si="81"/>
        <v>2.42452815165425e-6</v>
      </c>
      <c r="CX8" s="247">
        <f ca="1" t="shared" si="82"/>
        <v>5.53817281125722e-10</v>
      </c>
      <c r="CY8" s="298">
        <f ca="1" t="shared" si="83"/>
        <v>0</v>
      </c>
      <c r="CZ8" s="247">
        <f ca="1">'DN65-事故进程'!AE30</f>
        <v>3.69025004877795e-10</v>
      </c>
      <c r="DA8" s="247">
        <f t="shared" si="84"/>
        <v>4.45156695156695e-9</v>
      </c>
      <c r="DB8" s="247">
        <f t="shared" si="85"/>
        <v>0.0115740740740741</v>
      </c>
      <c r="DC8" s="299">
        <f ca="1" t="shared" si="86"/>
        <v>1.93125090191342e-148</v>
      </c>
      <c r="DD8" s="299">
        <f t="shared" si="87"/>
        <v>1.91362032573723e-148</v>
      </c>
      <c r="DE8" s="299">
        <f t="shared" si="88"/>
        <v>0</v>
      </c>
      <c r="DF8" s="247">
        <f ca="1" t="shared" si="89"/>
        <v>4.68237217959675e-154</v>
      </c>
      <c r="DG8" s="247">
        <f ca="1" t="shared" si="90"/>
        <v>4.92363370591875e-157</v>
      </c>
      <c r="DH8" s="306">
        <f ca="1" t="shared" si="91"/>
        <v>1.89364857997299e-163</v>
      </c>
      <c r="DI8" s="307">
        <f ca="1" t="shared" si="92"/>
        <v>3.00051967762152e-159</v>
      </c>
      <c r="DJ8" s="247">
        <f ca="1" t="shared" si="93"/>
        <v>5.909249057462e-12</v>
      </c>
      <c r="DK8" s="247">
        <f ca="1" t="shared" si="94"/>
        <v>1.64560788865277e-14</v>
      </c>
      <c r="DL8" s="308">
        <f ca="1" t="shared" si="95"/>
        <v>1.64560788865277e-14</v>
      </c>
      <c r="DM8" s="321"/>
      <c r="DN8" s="322">
        <f ca="1" t="shared" si="96"/>
        <v>561493682610.951</v>
      </c>
      <c r="DO8" s="323">
        <f ca="1" t="shared" si="97"/>
        <v>5003157125.19658</v>
      </c>
      <c r="DP8" s="323">
        <f ca="1" t="shared" si="98"/>
        <v>4099433079.04902</v>
      </c>
      <c r="DQ8" s="323">
        <f ca="1" t="shared" si="99"/>
        <v>72043447.9406362</v>
      </c>
      <c r="DR8" s="323">
        <f ca="1" t="shared" si="100"/>
        <v>17926.0069821164</v>
      </c>
      <c r="DS8" s="323">
        <f ca="1" t="shared" si="101"/>
        <v>1.64560788865277e-14</v>
      </c>
      <c r="DT8" s="352">
        <f ca="1" t="shared" si="102"/>
        <v>570668334189.144</v>
      </c>
      <c r="DU8" s="353">
        <f ca="1" t="shared" si="103"/>
        <v>561493682610.951</v>
      </c>
      <c r="DV8" s="126"/>
      <c r="DW8" s="354">
        <v>2435154190.73044</v>
      </c>
      <c r="DX8" s="355"/>
      <c r="DY8" s="355"/>
      <c r="DZ8" s="355"/>
      <c r="EA8" s="354">
        <f t="shared" si="104"/>
        <v>2435154190.73044</v>
      </c>
      <c r="EB8" s="365">
        <f ca="1" t="shared" si="105"/>
        <v>230.578287300373</v>
      </c>
      <c r="EC8" s="365"/>
      <c r="ED8" s="365"/>
      <c r="EE8" s="365"/>
      <c r="EF8" s="365">
        <f ca="1" t="shared" si="106"/>
        <v>234.345872783509</v>
      </c>
      <c r="EG8" s="369">
        <f ca="1" t="shared" si="107"/>
        <v>234.345872783509</v>
      </c>
      <c r="EI8" s="354">
        <v>0</v>
      </c>
      <c r="EJ8" s="355">
        <v>136866426.980269</v>
      </c>
      <c r="EK8" s="355">
        <v>5807957.87926457</v>
      </c>
      <c r="EL8" s="355">
        <v>225501.176678721</v>
      </c>
      <c r="EM8" s="355">
        <v>35.2325446083134</v>
      </c>
      <c r="EN8" s="355">
        <v>2.62250955853629e-16</v>
      </c>
      <c r="EO8" s="370">
        <v>142899921.268757</v>
      </c>
      <c r="EP8" s="365"/>
      <c r="EQ8" s="365">
        <f ca="1" t="shared" ref="EQ8:EV8" si="113">DO8/EJ8</f>
        <v>36.5550357058554</v>
      </c>
      <c r="ER8" s="365">
        <f ca="1" t="shared" si="113"/>
        <v>705.830373475109</v>
      </c>
      <c r="ES8" s="365">
        <f ca="1" t="shared" si="113"/>
        <v>319.481472344062</v>
      </c>
      <c r="ET8" s="365">
        <f ca="1" t="shared" si="113"/>
        <v>508.791152651707</v>
      </c>
      <c r="EU8" s="365">
        <f ca="1" t="shared" si="113"/>
        <v>62.7493571299406</v>
      </c>
      <c r="EV8" s="365">
        <f ca="1" t="shared" si="113"/>
        <v>3993.48249545826</v>
      </c>
      <c r="EW8" s="126">
        <f t="shared" si="109"/>
        <v>0.000151408296321525</v>
      </c>
      <c r="EX8" s="91">
        <f t="shared" si="110"/>
        <v>4578.00000000003</v>
      </c>
    </row>
    <row r="9" ht="15.75" spans="1:154">
      <c r="A9" s="185" t="s">
        <v>50</v>
      </c>
      <c r="B9" s="180">
        <f>VLOOKUP(A9,衰变常数!$A$1:$H$3800,7,FALSE)</f>
        <v>6.77960857355189e-5</v>
      </c>
      <c r="C9" s="181">
        <v>1.88e+17</v>
      </c>
      <c r="D9" s="182"/>
      <c r="E9" s="183">
        <v>41500000000</v>
      </c>
      <c r="F9" s="183">
        <v>55000000000</v>
      </c>
      <c r="G9" s="184">
        <v>0.754545454545455</v>
      </c>
      <c r="H9" s="183">
        <v>2390000000</v>
      </c>
      <c r="I9" s="214"/>
      <c r="J9" s="215"/>
      <c r="K9" s="216"/>
      <c r="L9" s="210"/>
      <c r="M9" s="218"/>
      <c r="N9" s="218"/>
      <c r="O9" s="216">
        <f t="shared" si="0"/>
        <v>27504400</v>
      </c>
      <c r="P9" s="216">
        <f t="shared" si="1"/>
        <v>789600000000</v>
      </c>
      <c r="Q9" s="216">
        <f ca="1">'进水-事故进程'!Z31</f>
        <v>6.14343148397861e-11</v>
      </c>
      <c r="R9" s="216">
        <f ca="1" t="shared" si="2"/>
        <v>1112972886.74095</v>
      </c>
      <c r="S9" s="244">
        <f ca="1" t="shared" si="3"/>
        <v>831677196334.08</v>
      </c>
      <c r="T9" s="245">
        <f ca="1" t="shared" si="4"/>
        <v>831677196334.08</v>
      </c>
      <c r="U9" s="216">
        <f t="shared" si="5"/>
        <v>0</v>
      </c>
      <c r="V9" s="246">
        <f t="shared" si="6"/>
        <v>1</v>
      </c>
      <c r="W9" s="216">
        <f t="shared" si="7"/>
        <v>1.87872586554362e+17</v>
      </c>
      <c r="X9" s="247">
        <f ca="1" t="shared" si="8"/>
        <v>0</v>
      </c>
      <c r="Y9" s="275">
        <f ca="1" t="shared" si="9"/>
        <v>831677196334.08</v>
      </c>
      <c r="Z9" s="216">
        <f ca="1" t="shared" si="10"/>
        <v>831677196334.08</v>
      </c>
      <c r="AA9" s="276">
        <f ca="1" t="shared" si="11"/>
        <v>0</v>
      </c>
      <c r="AB9" s="277">
        <f t="shared" si="12"/>
        <v>1</v>
      </c>
      <c r="AC9" s="247">
        <f ca="1" t="shared" si="13"/>
        <v>831677196334.08</v>
      </c>
      <c r="AD9" s="278">
        <f ca="1" t="shared" si="14"/>
        <v>831677196334.08</v>
      </c>
      <c r="AE9" s="279">
        <f ca="1" t="shared" si="15"/>
        <v>0</v>
      </c>
      <c r="AF9" s="280">
        <f t="shared" si="16"/>
        <v>7200</v>
      </c>
      <c r="AG9" s="247">
        <f t="shared" si="17"/>
        <v>1.87872586554362e+17</v>
      </c>
      <c r="AH9" s="247">
        <f ca="1" t="shared" si="18"/>
        <v>0</v>
      </c>
      <c r="AI9" s="298">
        <f ca="1" t="shared" si="19"/>
        <v>0</v>
      </c>
      <c r="AJ9" s="247">
        <f ca="1">'DN65-事故进程'!Z31</f>
        <v>6.35346165888635e-11</v>
      </c>
      <c r="AK9" s="247">
        <f ca="1" t="shared" si="20"/>
        <v>3.41550507006928e-5</v>
      </c>
      <c r="AL9" s="247">
        <f t="shared" si="21"/>
        <v>0.0115740740740741</v>
      </c>
      <c r="AM9" s="299">
        <f ca="1" t="shared" si="22"/>
        <v>0.613771681180518</v>
      </c>
      <c r="AN9" s="299">
        <f ca="1" t="shared" si="23"/>
        <v>0.479962078013024</v>
      </c>
      <c r="AO9" s="299">
        <f t="shared" si="24"/>
        <v>3.95184789149462e-37</v>
      </c>
      <c r="AP9" s="247">
        <f ca="1" t="shared" si="25"/>
        <v>1.15310873297203e+17</v>
      </c>
      <c r="AQ9" s="247">
        <f ca="1" t="shared" si="26"/>
        <v>46763497410.4535</v>
      </c>
      <c r="AR9" s="306">
        <f ca="1" t="shared" si="27"/>
        <v>136533881.8415</v>
      </c>
      <c r="AS9" s="307">
        <f ca="1" t="shared" si="28"/>
        <v>5985385933.54648</v>
      </c>
      <c r="AT9" s="247">
        <f ca="1" t="shared" si="29"/>
        <v>68000626590.9774</v>
      </c>
      <c r="AU9" s="247">
        <f ca="1" t="shared" si="30"/>
        <v>7114734070.19638</v>
      </c>
      <c r="AV9" s="308">
        <f ca="1" t="shared" si="31"/>
        <v>7114734070.19638</v>
      </c>
      <c r="AW9" s="280">
        <f t="shared" si="32"/>
        <v>21600</v>
      </c>
      <c r="AX9" s="247">
        <f ca="1" t="shared" si="33"/>
        <v>1.15310873297203e+17</v>
      </c>
      <c r="AY9" s="247">
        <f ca="1" t="shared" si="34"/>
        <v>46763497410.4535</v>
      </c>
      <c r="AZ9" s="298">
        <f ca="1" t="shared" si="35"/>
        <v>0</v>
      </c>
      <c r="BA9" s="247">
        <f ca="1">'DN65-事故进程'!AA31</f>
        <v>1.38426065867998e-10</v>
      </c>
      <c r="BB9" s="247">
        <f ca="1" t="shared" si="36"/>
        <v>8.73428285176643e-6</v>
      </c>
      <c r="BC9" s="247">
        <f t="shared" si="37"/>
        <v>0.0115740740740741</v>
      </c>
      <c r="BD9" s="299">
        <f ca="1" t="shared" si="38"/>
        <v>0.231217040135823</v>
      </c>
      <c r="BE9" s="299">
        <f ca="1" t="shared" si="39"/>
        <v>0.191463907351447</v>
      </c>
      <c r="BF9" s="299">
        <f t="shared" si="40"/>
        <v>6.17164106516737e-110</v>
      </c>
      <c r="BG9" s="247">
        <f ca="1" t="shared" si="41"/>
        <v>2.66618388192562e+16</v>
      </c>
      <c r="BH9" s="247">
        <f ca="1" t="shared" si="42"/>
        <v>81604108957.126</v>
      </c>
      <c r="BI9" s="306">
        <f ca="1" t="shared" si="43"/>
        <v>61387579.5997188</v>
      </c>
      <c r="BJ9" s="307">
        <f ca="1" t="shared" si="44"/>
        <v>8927538674.87402</v>
      </c>
      <c r="BK9" s="247">
        <f ca="1" t="shared" si="45"/>
        <v>181003252578.364</v>
      </c>
      <c r="BL9" s="247">
        <f ca="1" t="shared" si="46"/>
        <v>16681297538.4532</v>
      </c>
      <c r="BM9" s="308">
        <f ca="1" t="shared" si="47"/>
        <v>16681297538.4532</v>
      </c>
      <c r="BN9" s="280">
        <f t="shared" si="48"/>
        <v>57600</v>
      </c>
      <c r="BO9" s="247">
        <f ca="1" t="shared" si="49"/>
        <v>2.66618388192562e+16</v>
      </c>
      <c r="BP9" s="247">
        <f ca="1" t="shared" si="50"/>
        <v>81604108957.126</v>
      </c>
      <c r="BQ9" s="298">
        <f ca="1" t="shared" si="51"/>
        <v>0</v>
      </c>
      <c r="BR9" s="247">
        <f ca="1">'DN65-事故进程'!AB31</f>
        <v>2.36594799740354e-10</v>
      </c>
      <c r="BS9" s="247">
        <f ca="1" t="shared" si="52"/>
        <v>9.71204011720554e-7</v>
      </c>
      <c r="BT9" s="247">
        <f t="shared" si="53"/>
        <v>0.0115740740740741</v>
      </c>
      <c r="BU9" s="299">
        <f ca="1" t="shared" si="54"/>
        <v>0.0201395816052185</v>
      </c>
      <c r="BV9" s="299">
        <f ca="1" t="shared" si="55"/>
        <v>0.0190441389875969</v>
      </c>
      <c r="BW9" s="299">
        <f t="shared" si="56"/>
        <v>5.94842185087138e-292</v>
      </c>
      <c r="BX9" s="247">
        <f ca="1" t="shared" si="57"/>
        <v>536958278645593</v>
      </c>
      <c r="BY9" s="247">
        <f ca="1" t="shared" si="58"/>
        <v>8670806394.28018</v>
      </c>
      <c r="BZ9" s="306">
        <f ca="1" t="shared" si="59"/>
        <v>726724.866823046</v>
      </c>
      <c r="CA9" s="307">
        <f ca="1" t="shared" si="60"/>
        <v>290330973.282318</v>
      </c>
      <c r="CB9" s="247">
        <f ca="1" t="shared" si="61"/>
        <v>91170297551.4098</v>
      </c>
      <c r="CC9" s="247">
        <f ca="1" t="shared" si="62"/>
        <v>2317643684.29465</v>
      </c>
      <c r="CD9" s="308">
        <f ca="1" t="shared" si="63"/>
        <v>2317643684.29465</v>
      </c>
      <c r="CE9" s="280">
        <f t="shared" si="64"/>
        <v>259200</v>
      </c>
      <c r="CF9" s="247">
        <f ca="1" t="shared" si="65"/>
        <v>536958278645593</v>
      </c>
      <c r="CG9" s="247">
        <f ca="1" t="shared" si="66"/>
        <v>8670806394.28018</v>
      </c>
      <c r="CH9" s="298">
        <f ca="1" t="shared" si="67"/>
        <v>0</v>
      </c>
      <c r="CI9" s="247">
        <f ca="1">'DN65-事故进程'!AC31</f>
        <v>5.53241214582662e-10</v>
      </c>
      <c r="CJ9" s="247">
        <f ca="1" t="shared" si="68"/>
        <v>3.43152347017181e-7</v>
      </c>
      <c r="CK9" s="247">
        <f t="shared" si="69"/>
        <v>0.0115740740740741</v>
      </c>
      <c r="CL9" s="299">
        <f ca="1" t="shared" si="70"/>
        <v>2.33448642668261e-8</v>
      </c>
      <c r="CM9" s="299">
        <f ca="1" t="shared" si="71"/>
        <v>2.13611814940274e-8</v>
      </c>
      <c r="CN9" s="299">
        <f t="shared" si="72"/>
        <v>0</v>
      </c>
      <c r="CO9" s="247">
        <f ca="1" t="shared" si="73"/>
        <v>12535218.13193</v>
      </c>
      <c r="CP9" s="247">
        <f ca="1" t="shared" si="74"/>
        <v>1905.26864427891</v>
      </c>
      <c r="CQ9" s="306">
        <f ca="1" t="shared" si="75"/>
        <v>0.0564720054421242</v>
      </c>
      <c r="CR9" s="307">
        <f ca="1" t="shared" si="76"/>
        <v>94.8598935137998</v>
      </c>
      <c r="CS9" s="247">
        <f ca="1" t="shared" si="77"/>
        <v>4381742927.18334</v>
      </c>
      <c r="CT9" s="247">
        <f ca="1" t="shared" si="78"/>
        <v>65733231.0495603</v>
      </c>
      <c r="CU9" s="308">
        <f ca="1" t="shared" si="79"/>
        <v>65733231.0495603</v>
      </c>
      <c r="CV9" s="280">
        <f t="shared" si="80"/>
        <v>2246400</v>
      </c>
      <c r="CW9" s="247">
        <f ca="1" t="shared" si="81"/>
        <v>12535218.13193</v>
      </c>
      <c r="CX9" s="247">
        <f ca="1" t="shared" si="82"/>
        <v>1905.26864427891</v>
      </c>
      <c r="CY9" s="298">
        <f ca="1" t="shared" si="83"/>
        <v>0</v>
      </c>
      <c r="CZ9" s="247">
        <f ca="1">'DN65-事故进程'!AE31</f>
        <v>2.47669610895786e-10</v>
      </c>
      <c r="DA9" s="247">
        <f t="shared" si="84"/>
        <v>4.45156695156695e-9</v>
      </c>
      <c r="DB9" s="247">
        <f t="shared" si="85"/>
        <v>0.0115740740740741</v>
      </c>
      <c r="DC9" s="299">
        <f ca="1" t="shared" si="86"/>
        <v>7.21035270755544e-67</v>
      </c>
      <c r="DD9" s="299">
        <f t="shared" si="87"/>
        <v>7.14258127645993e-67</v>
      </c>
      <c r="DE9" s="299">
        <f t="shared" si="88"/>
        <v>0</v>
      </c>
      <c r="DF9" s="247">
        <f ca="1" t="shared" si="89"/>
        <v>9.03833439973593e-60</v>
      </c>
      <c r="DG9" s="247">
        <f ca="1" t="shared" si="90"/>
        <v>6.36579703327012e-63</v>
      </c>
      <c r="DH9" s="306">
        <f ca="1" t="shared" si="91"/>
        <v>2.44831002822387e-69</v>
      </c>
      <c r="DI9" s="307">
        <f ca="1" t="shared" si="92"/>
        <v>3.87455632347824e-65</v>
      </c>
      <c r="DJ9" s="247">
        <f ca="1" t="shared" si="93"/>
        <v>45.79292774842</v>
      </c>
      <c r="DK9" s="247">
        <f ca="1" t="shared" si="94"/>
        <v>0.128100477666757</v>
      </c>
      <c r="DL9" s="308">
        <f ca="1" t="shared" si="95"/>
        <v>0.128100477666757</v>
      </c>
      <c r="DM9" s="321"/>
      <c r="DN9" s="322">
        <f ca="1" t="shared" si="96"/>
        <v>831677196334.08</v>
      </c>
      <c r="DO9" s="323">
        <f ca="1" t="shared" si="97"/>
        <v>7114734070.19638</v>
      </c>
      <c r="DP9" s="323">
        <f ca="1" t="shared" si="98"/>
        <v>16681297538.4532</v>
      </c>
      <c r="DQ9" s="323">
        <f ca="1" t="shared" si="99"/>
        <v>2317643684.29465</v>
      </c>
      <c r="DR9" s="323">
        <f ca="1" t="shared" si="100"/>
        <v>65733231.0495603</v>
      </c>
      <c r="DS9" s="323">
        <f ca="1" t="shared" si="101"/>
        <v>0.128100477666757</v>
      </c>
      <c r="DT9" s="352">
        <f ca="1" t="shared" si="102"/>
        <v>857856604858.202</v>
      </c>
      <c r="DU9" s="353">
        <f ca="1" t="shared" si="103"/>
        <v>831677196334.08</v>
      </c>
      <c r="DV9" s="126"/>
      <c r="DW9" s="354">
        <v>5531335236.94463</v>
      </c>
      <c r="DX9" s="355"/>
      <c r="DY9" s="355"/>
      <c r="DZ9" s="355"/>
      <c r="EA9" s="354">
        <f t="shared" si="104"/>
        <v>5531335236.94463</v>
      </c>
      <c r="EB9" s="365">
        <f ca="1" t="shared" si="105"/>
        <v>150.357402093292</v>
      </c>
      <c r="EC9" s="365"/>
      <c r="ED9" s="365"/>
      <c r="EE9" s="365"/>
      <c r="EF9" s="365">
        <f ca="1" t="shared" si="106"/>
        <v>155.090329569671</v>
      </c>
      <c r="EG9" s="369">
        <f ca="1" t="shared" si="107"/>
        <v>155.090329569694</v>
      </c>
      <c r="EI9" s="354">
        <v>0</v>
      </c>
      <c r="EJ9" s="355">
        <v>326796511.894993</v>
      </c>
      <c r="EK9" s="355">
        <v>43026569.443295</v>
      </c>
      <c r="EL9" s="355">
        <v>11966583.7917088</v>
      </c>
      <c r="EM9" s="355">
        <v>216646.951318333</v>
      </c>
      <c r="EN9" s="355">
        <v>0.00288873776575846</v>
      </c>
      <c r="EO9" s="370">
        <v>382006312.084204</v>
      </c>
      <c r="EP9" s="365"/>
      <c r="EQ9" s="365">
        <f ca="1" t="shared" ref="EQ9:EV9" si="114">DO9/EJ9</f>
        <v>21.7711444621615</v>
      </c>
      <c r="ER9" s="365">
        <f ca="1" t="shared" si="114"/>
        <v>387.697596026975</v>
      </c>
      <c r="ES9" s="365">
        <f ca="1" t="shared" si="114"/>
        <v>193.676300992473</v>
      </c>
      <c r="ET9" s="365">
        <f ca="1" t="shared" si="114"/>
        <v>303.411751928945</v>
      </c>
      <c r="EU9" s="365">
        <f ca="1" t="shared" si="114"/>
        <v>44.3447927967677</v>
      </c>
      <c r="EV9" s="365">
        <f ca="1" t="shared" si="114"/>
        <v>2245.66081167033</v>
      </c>
      <c r="EW9" s="126">
        <f t="shared" si="109"/>
        <v>6.77960857355189e-5</v>
      </c>
      <c r="EX9" s="91">
        <f t="shared" si="110"/>
        <v>10224</v>
      </c>
    </row>
    <row r="10" ht="15.75" spans="1:154">
      <c r="A10" s="185" t="s">
        <v>51</v>
      </c>
      <c r="B10" s="180">
        <f>VLOOKUP(A10,衰变常数!$A$1:$H$3800,7,FALSE)</f>
        <v>6.77579122638209e-7</v>
      </c>
      <c r="C10" s="181">
        <v>2500000000000000</v>
      </c>
      <c r="D10" s="182"/>
      <c r="E10" s="183">
        <v>939000000</v>
      </c>
      <c r="F10" s="183">
        <v>1600000000</v>
      </c>
      <c r="G10" s="184">
        <v>0.586875</v>
      </c>
      <c r="H10" s="183">
        <v>4820000000</v>
      </c>
      <c r="I10" s="214"/>
      <c r="J10" s="215"/>
      <c r="K10" s="216"/>
      <c r="L10" s="210"/>
      <c r="M10" s="218"/>
      <c r="N10" s="218"/>
      <c r="O10" s="216">
        <f t="shared" si="0"/>
        <v>365750</v>
      </c>
      <c r="P10" s="216">
        <f t="shared" si="1"/>
        <v>10500000000</v>
      </c>
      <c r="Q10" s="216">
        <f ca="1">'进水-事故进程'!Z32</f>
        <v>6.04276271361969e-12</v>
      </c>
      <c r="R10" s="216">
        <f ca="1" t="shared" si="2"/>
        <v>1465273.73567906</v>
      </c>
      <c r="S10" s="244">
        <f ca="1" t="shared" si="3"/>
        <v>11440753513.2442</v>
      </c>
      <c r="T10" s="245">
        <f ca="1" t="shared" si="4"/>
        <v>11440753513.2442</v>
      </c>
      <c r="U10" s="216">
        <f t="shared" si="5"/>
        <v>0</v>
      </c>
      <c r="V10" s="246">
        <f t="shared" si="6"/>
        <v>1</v>
      </c>
      <c r="W10" s="216">
        <f t="shared" si="7"/>
        <v>2499983060579320</v>
      </c>
      <c r="X10" s="247">
        <f ca="1" t="shared" si="8"/>
        <v>0</v>
      </c>
      <c r="Y10" s="275">
        <f ca="1" t="shared" si="9"/>
        <v>11440753513.2442</v>
      </c>
      <c r="Z10" s="216">
        <f ca="1" t="shared" si="10"/>
        <v>11440753513.2442</v>
      </c>
      <c r="AA10" s="276">
        <f ca="1" t="shared" si="11"/>
        <v>0</v>
      </c>
      <c r="AB10" s="277">
        <f t="shared" si="12"/>
        <v>1</v>
      </c>
      <c r="AC10" s="247">
        <f ca="1" t="shared" si="13"/>
        <v>11440753513.2442</v>
      </c>
      <c r="AD10" s="278">
        <f ca="1" t="shared" si="14"/>
        <v>11440753513.2442</v>
      </c>
      <c r="AE10" s="279">
        <f ca="1" t="shared" si="15"/>
        <v>0</v>
      </c>
      <c r="AF10" s="280">
        <f t="shared" si="16"/>
        <v>7200</v>
      </c>
      <c r="AG10" s="247">
        <f t="shared" si="17"/>
        <v>2499983060579320</v>
      </c>
      <c r="AH10" s="247">
        <f ca="1" t="shared" si="18"/>
        <v>0</v>
      </c>
      <c r="AI10" s="298">
        <f ca="1" t="shared" si="19"/>
        <v>0</v>
      </c>
      <c r="AJ10" s="247">
        <f ca="1">'DN65-事故进程'!Z32</f>
        <v>6.23478119625342e-12</v>
      </c>
      <c r="AK10" s="247">
        <f ca="1" t="shared" si="20"/>
        <v>3.41550507006928e-5</v>
      </c>
      <c r="AL10" s="247">
        <f t="shared" si="21"/>
        <v>0.0115740740740741</v>
      </c>
      <c r="AM10" s="299">
        <f ca="1" t="shared" si="22"/>
        <v>0.995133266537685</v>
      </c>
      <c r="AN10" s="299">
        <f ca="1" t="shared" si="23"/>
        <v>0.778181933287942</v>
      </c>
      <c r="AO10" s="299">
        <f t="shared" si="24"/>
        <v>6.40729085304889e-37</v>
      </c>
      <c r="AP10" s="247">
        <f ca="1" t="shared" si="25"/>
        <v>2487816309363180</v>
      </c>
      <c r="AQ10" s="247">
        <f ca="1" t="shared" si="26"/>
        <v>99006965.808131</v>
      </c>
      <c r="AR10" s="306">
        <f ca="1" t="shared" si="27"/>
        <v>289067.458250756</v>
      </c>
      <c r="AS10" s="307">
        <f ca="1" t="shared" si="28"/>
        <v>12672167.191869</v>
      </c>
      <c r="AT10" s="247">
        <f ca="1" t="shared" si="29"/>
        <v>111951993.754404</v>
      </c>
      <c r="AU10" s="247">
        <f ca="1" t="shared" si="30"/>
        <v>12693215.7597442</v>
      </c>
      <c r="AV10" s="308">
        <f ca="1" t="shared" si="31"/>
        <v>12693215.7597442</v>
      </c>
      <c r="AW10" s="280">
        <f t="shared" si="32"/>
        <v>21600</v>
      </c>
      <c r="AX10" s="247">
        <f ca="1" t="shared" si="33"/>
        <v>2487816309363180</v>
      </c>
      <c r="AY10" s="247">
        <f ca="1" t="shared" si="34"/>
        <v>99006965.808131</v>
      </c>
      <c r="AZ10" s="298">
        <f ca="1" t="shared" si="35"/>
        <v>0</v>
      </c>
      <c r="BA10" s="247">
        <f ca="1">'DN65-事故进程'!AA32</f>
        <v>1.30518468117115e-11</v>
      </c>
      <c r="BB10" s="247">
        <f ca="1" t="shared" si="36"/>
        <v>8.73428285176643e-6</v>
      </c>
      <c r="BC10" s="247">
        <f t="shared" si="37"/>
        <v>0.0115740740740741</v>
      </c>
      <c r="BD10" s="299">
        <f ca="1" t="shared" si="38"/>
        <v>0.9854705945186</v>
      </c>
      <c r="BE10" s="299">
        <f ca="1" t="shared" si="39"/>
        <v>0.816036480398075</v>
      </c>
      <c r="BF10" s="299">
        <f t="shared" si="40"/>
        <v>2.63040921015729e-109</v>
      </c>
      <c r="BG10" s="247">
        <f ca="1" t="shared" si="41"/>
        <v>2451669817441200</v>
      </c>
      <c r="BH10" s="247">
        <f ca="1" t="shared" si="42"/>
        <v>710683032.045905</v>
      </c>
      <c r="BI10" s="306">
        <f ca="1" t="shared" si="43"/>
        <v>534628.387709981</v>
      </c>
      <c r="BJ10" s="307">
        <f ca="1" t="shared" si="44"/>
        <v>78060034.4540949</v>
      </c>
      <c r="BK10" s="247">
        <f ca="1" t="shared" si="45"/>
        <v>696257266.703216</v>
      </c>
      <c r="BL10" s="247">
        <f ca="1" t="shared" si="46"/>
        <v>78492027.4878823</v>
      </c>
      <c r="BM10" s="308">
        <f ca="1" t="shared" si="47"/>
        <v>78492027.4878823</v>
      </c>
      <c r="BN10" s="280">
        <f t="shared" si="48"/>
        <v>57600</v>
      </c>
      <c r="BO10" s="247">
        <f ca="1" t="shared" si="49"/>
        <v>2451669817441200</v>
      </c>
      <c r="BP10" s="247">
        <f ca="1" t="shared" si="50"/>
        <v>710683032.045905</v>
      </c>
      <c r="BQ10" s="298">
        <f ca="1" t="shared" si="51"/>
        <v>0</v>
      </c>
      <c r="BR10" s="247">
        <f ca="1">'DN65-事故进程'!AB32</f>
        <v>2.04927983190433e-11</v>
      </c>
      <c r="BS10" s="247">
        <f ca="1" t="shared" si="52"/>
        <v>9.71204011720554e-7</v>
      </c>
      <c r="BT10" s="247">
        <f t="shared" si="53"/>
        <v>0.0115740740740741</v>
      </c>
      <c r="BU10" s="299">
        <f ca="1" t="shared" si="54"/>
        <v>0.961722109174117</v>
      </c>
      <c r="BV10" s="299">
        <f ca="1" t="shared" si="55"/>
        <v>0.909400299240085</v>
      </c>
      <c r="BW10" s="299">
        <f t="shared" si="56"/>
        <v>2.84050469003205e-290</v>
      </c>
      <c r="BX10" s="247">
        <f ca="1" t="shared" si="57"/>
        <v>2357825067828070</v>
      </c>
      <c r="BY10" s="247">
        <f ca="1" t="shared" si="58"/>
        <v>3353023897.51942</v>
      </c>
      <c r="BZ10" s="306">
        <f ca="1" t="shared" si="59"/>
        <v>281032.303911082</v>
      </c>
      <c r="CA10" s="307">
        <f ca="1" t="shared" si="60"/>
        <v>113599910.980576</v>
      </c>
      <c r="CB10" s="247">
        <f ca="1" t="shared" si="61"/>
        <v>2838167973.109</v>
      </c>
      <c r="CC10" s="247">
        <f ca="1" t="shared" si="62"/>
        <v>115350568.898903</v>
      </c>
      <c r="CD10" s="308">
        <f ca="1" t="shared" si="63"/>
        <v>115350568.898903</v>
      </c>
      <c r="CE10" s="280">
        <f t="shared" si="64"/>
        <v>259200</v>
      </c>
      <c r="CF10" s="247">
        <f ca="1" t="shared" si="65"/>
        <v>2357825067828070</v>
      </c>
      <c r="CG10" s="247">
        <f ca="1" t="shared" si="66"/>
        <v>3353023897.51942</v>
      </c>
      <c r="CH10" s="298">
        <f ca="1" t="shared" si="67"/>
        <v>0</v>
      </c>
      <c r="CI10" s="247">
        <f ca="1">'DN65-事故进程'!AC32</f>
        <v>3.80537973715599e-11</v>
      </c>
      <c r="CJ10" s="247">
        <f ca="1" t="shared" si="68"/>
        <v>3.43152347017181e-7</v>
      </c>
      <c r="CK10" s="247">
        <f t="shared" si="69"/>
        <v>0.0115740740740741</v>
      </c>
      <c r="CL10" s="299">
        <f ca="1" t="shared" si="70"/>
        <v>0.838921305811993</v>
      </c>
      <c r="CM10" s="299">
        <f ca="1" t="shared" si="71"/>
        <v>0.767533158701103</v>
      </c>
      <c r="CN10" s="299">
        <f t="shared" si="72"/>
        <v>0</v>
      </c>
      <c r="CO10" s="247">
        <f ca="1" t="shared" si="73"/>
        <v>1978029684778580</v>
      </c>
      <c r="CP10" s="247">
        <f ca="1" t="shared" si="74"/>
        <v>21241517897.3412</v>
      </c>
      <c r="CQ10" s="306">
        <f ca="1" t="shared" si="75"/>
        <v>629602.078362123</v>
      </c>
      <c r="CR10" s="307">
        <f ca="1" t="shared" si="76"/>
        <v>1081912636.15881</v>
      </c>
      <c r="CS10" s="247">
        <f ca="1" t="shared" si="77"/>
        <v>21328645512.2695</v>
      </c>
      <c r="CT10" s="247">
        <f ca="1" t="shared" si="78"/>
        <v>1156519712.27035</v>
      </c>
      <c r="CU10" s="308">
        <f ca="1" t="shared" si="79"/>
        <v>1156519712.27035</v>
      </c>
      <c r="CV10" s="280">
        <f t="shared" si="80"/>
        <v>2246400</v>
      </c>
      <c r="CW10" s="247">
        <f ca="1" t="shared" si="81"/>
        <v>1978029684778580</v>
      </c>
      <c r="CX10" s="247">
        <f ca="1" t="shared" si="82"/>
        <v>21241517897.3412</v>
      </c>
      <c r="CY10" s="298">
        <f ca="1" t="shared" si="83"/>
        <v>0</v>
      </c>
      <c r="CZ10" s="247">
        <f ca="1">'DN65-事故进程'!AE32</f>
        <v>2.15301673670494e-11</v>
      </c>
      <c r="DA10" s="247">
        <f t="shared" si="84"/>
        <v>4.45156695156695e-9</v>
      </c>
      <c r="DB10" s="247">
        <f t="shared" si="85"/>
        <v>0.0115740740740741</v>
      </c>
      <c r="DC10" s="299">
        <f ca="1" t="shared" si="86"/>
        <v>0.218239519406498</v>
      </c>
      <c r="DD10" s="299">
        <f t="shared" si="87"/>
        <v>0.216078450366943</v>
      </c>
      <c r="DE10" s="299">
        <f t="shared" si="88"/>
        <v>0</v>
      </c>
      <c r="DF10" s="247">
        <f ca="1" t="shared" si="89"/>
        <v>431684247777864</v>
      </c>
      <c r="DG10" s="247">
        <f ca="1" t="shared" si="90"/>
        <v>25364857587.6973</v>
      </c>
      <c r="DH10" s="306">
        <f ca="1" t="shared" si="91"/>
        <v>9755.40935433773</v>
      </c>
      <c r="DI10" s="307">
        <f ca="1" t="shared" si="92"/>
        <v>150177684.302734</v>
      </c>
      <c r="DJ10" s="247">
        <f ca="1" t="shared" si="93"/>
        <v>49133772123.8166</v>
      </c>
      <c r="DK10" s="247">
        <f ca="1" t="shared" si="94"/>
        <v>293779967.023263</v>
      </c>
      <c r="DL10" s="308">
        <f ca="1" t="shared" si="95"/>
        <v>293779967.023263</v>
      </c>
      <c r="DM10" s="321"/>
      <c r="DN10" s="322">
        <f ca="1" t="shared" si="96"/>
        <v>11440753513.2442</v>
      </c>
      <c r="DO10" s="323">
        <f ca="1" t="shared" si="97"/>
        <v>12693215.7597442</v>
      </c>
      <c r="DP10" s="323">
        <f ca="1" t="shared" si="98"/>
        <v>78492027.4878823</v>
      </c>
      <c r="DQ10" s="323">
        <f ca="1" t="shared" si="99"/>
        <v>115350568.898903</v>
      </c>
      <c r="DR10" s="323">
        <f ca="1" t="shared" si="100"/>
        <v>1156519712.27035</v>
      </c>
      <c r="DS10" s="323">
        <f ca="1" t="shared" si="101"/>
        <v>293779967.023263</v>
      </c>
      <c r="DT10" s="352">
        <f ca="1" t="shared" si="102"/>
        <v>13097589004.6843</v>
      </c>
      <c r="DU10" s="353">
        <f ca="1" t="shared" si="103"/>
        <v>11440753513.2442</v>
      </c>
      <c r="DV10" s="126"/>
      <c r="DW10" s="354">
        <v>1695760891.50229</v>
      </c>
      <c r="DX10" s="355"/>
      <c r="DY10" s="355"/>
      <c r="DZ10" s="355"/>
      <c r="EA10" s="354">
        <f t="shared" si="104"/>
        <v>1695760891.50229</v>
      </c>
      <c r="EB10" s="365">
        <f ca="1" t="shared" si="105"/>
        <v>6.74667847959905</v>
      </c>
      <c r="EC10" s="365"/>
      <c r="ED10" s="365"/>
      <c r="EE10" s="365"/>
      <c r="EF10" s="365">
        <f ca="1" t="shared" si="106"/>
        <v>7.5504802014381</v>
      </c>
      <c r="EG10" s="369">
        <f ca="1" t="shared" si="107"/>
        <v>7.72372394617561</v>
      </c>
      <c r="EI10" s="354">
        <v>0</v>
      </c>
      <c r="EJ10" s="355">
        <v>116230140.991822</v>
      </c>
      <c r="EK10" s="355">
        <v>46166374.6804063</v>
      </c>
      <c r="EL10" s="355">
        <v>114570533.375016</v>
      </c>
      <c r="EM10" s="355">
        <v>389542651.1856</v>
      </c>
      <c r="EN10" s="355">
        <v>633171124.313589</v>
      </c>
      <c r="EO10" s="370">
        <v>1299680824.54643</v>
      </c>
      <c r="EP10" s="365"/>
      <c r="EQ10" s="365">
        <f ca="1" t="shared" ref="EQ10:EV10" si="115">DO10/EJ10</f>
        <v>0.109207608727217</v>
      </c>
      <c r="ER10" s="365">
        <f ca="1" t="shared" si="115"/>
        <v>1.70019907413686</v>
      </c>
      <c r="ES10" s="365">
        <f ca="1" t="shared" si="115"/>
        <v>1.00680834330529</v>
      </c>
      <c r="ET10" s="365">
        <f ca="1" t="shared" si="115"/>
        <v>2.96891677650804</v>
      </c>
      <c r="EU10" s="365">
        <f ca="1" t="shared" si="115"/>
        <v>0.463981940651108</v>
      </c>
      <c r="EV10" s="365">
        <f ca="1" t="shared" si="115"/>
        <v>10.0775426991894</v>
      </c>
      <c r="EW10" s="126">
        <f t="shared" si="109"/>
        <v>6.77579122638209e-7</v>
      </c>
      <c r="EX10" s="91">
        <f t="shared" si="110"/>
        <v>1022976</v>
      </c>
    </row>
    <row r="11" s="164" customFormat="1" ht="15.75" spans="1:154">
      <c r="A11" s="185" t="s">
        <v>52</v>
      </c>
      <c r="B11" s="180">
        <f>VLOOKUP(A11,衰变常数!$A$1:$H$3800,7,FALSE)</f>
        <v>1.53014243983147e-6</v>
      </c>
      <c r="C11" s="181">
        <v>4.58e+17</v>
      </c>
      <c r="D11" s="182"/>
      <c r="E11" s="183">
        <v>216000000000</v>
      </c>
      <c r="F11" s="183">
        <v>340000000000</v>
      </c>
      <c r="G11" s="184">
        <v>0.635294117647059</v>
      </c>
      <c r="H11" s="183">
        <v>492000000000</v>
      </c>
      <c r="I11" s="214"/>
      <c r="J11" s="215"/>
      <c r="K11" s="216"/>
      <c r="L11" s="210"/>
      <c r="M11" s="218"/>
      <c r="N11" s="218"/>
      <c r="O11" s="216">
        <f t="shared" si="0"/>
        <v>67005400</v>
      </c>
      <c r="P11" s="216">
        <f t="shared" si="1"/>
        <v>1923600000000</v>
      </c>
      <c r="Q11" s="216">
        <f ca="1">'进水-事故进程'!Z33</f>
        <v>9.14491405557229e-12</v>
      </c>
      <c r="R11" s="216">
        <f ca="1" t="shared" si="2"/>
        <v>406211690.728853</v>
      </c>
      <c r="S11" s="244">
        <f ca="1" t="shared" si="3"/>
        <v>2140040477388.29</v>
      </c>
      <c r="T11" s="245">
        <f ca="1" t="shared" si="4"/>
        <v>2140040477388.29</v>
      </c>
      <c r="U11" s="216">
        <f t="shared" si="5"/>
        <v>0</v>
      </c>
      <c r="V11" s="246">
        <f t="shared" si="6"/>
        <v>1</v>
      </c>
      <c r="W11" s="216">
        <f t="shared" si="7"/>
        <v>4.57992992001242e+17</v>
      </c>
      <c r="X11" s="247">
        <f ca="1" t="shared" si="8"/>
        <v>0</v>
      </c>
      <c r="Y11" s="275">
        <f ca="1" t="shared" si="9"/>
        <v>2140040477388.29</v>
      </c>
      <c r="Z11" s="216">
        <f ca="1" t="shared" si="10"/>
        <v>2140040477388.29</v>
      </c>
      <c r="AA11" s="276">
        <f ca="1" t="shared" si="11"/>
        <v>0</v>
      </c>
      <c r="AB11" s="277">
        <f t="shared" si="12"/>
        <v>1</v>
      </c>
      <c r="AC11" s="247">
        <f ca="1" t="shared" si="13"/>
        <v>2140040477388.29</v>
      </c>
      <c r="AD11" s="278">
        <f ca="1" t="shared" si="14"/>
        <v>2140040477388.29</v>
      </c>
      <c r="AE11" s="279">
        <f ca="1" t="shared" si="15"/>
        <v>0</v>
      </c>
      <c r="AF11" s="280">
        <f t="shared" si="16"/>
        <v>7200</v>
      </c>
      <c r="AG11" s="247">
        <f t="shared" si="17"/>
        <v>4.57992992001242e+17</v>
      </c>
      <c r="AH11" s="247">
        <f ca="1" t="shared" si="18"/>
        <v>0</v>
      </c>
      <c r="AI11" s="298">
        <f ca="1" t="shared" si="19"/>
        <v>0</v>
      </c>
      <c r="AJ11" s="247">
        <f ca="1">'DN65-事故进程'!Z33</f>
        <v>9.44202883828994e-12</v>
      </c>
      <c r="AK11" s="247">
        <f ca="1" t="shared" si="20"/>
        <v>3.41550507006928e-5</v>
      </c>
      <c r="AL11" s="247">
        <f t="shared" si="21"/>
        <v>0.0115740740740741</v>
      </c>
      <c r="AM11" s="299">
        <f ca="1" t="shared" si="22"/>
        <v>0.989043372369135</v>
      </c>
      <c r="AN11" s="299">
        <f ca="1" t="shared" si="23"/>
        <v>0.773419729064723</v>
      </c>
      <c r="AO11" s="299">
        <f t="shared" si="24"/>
        <v>6.36808044960133e-37</v>
      </c>
      <c r="AP11" s="247">
        <f ca="1" t="shared" si="25"/>
        <v>4.52974933330339e+17</v>
      </c>
      <c r="AQ11" s="247">
        <f ca="1" t="shared" si="26"/>
        <v>27300193218.3644</v>
      </c>
      <c r="AR11" s="306">
        <f ca="1" t="shared" si="27"/>
        <v>79707497.3477077</v>
      </c>
      <c r="AS11" s="307">
        <f ca="1" t="shared" si="28"/>
        <v>3494224957.63562</v>
      </c>
      <c r="AT11" s="247">
        <f ca="1" t="shared" si="29"/>
        <v>30964674320.6273</v>
      </c>
      <c r="AU11" s="247">
        <f ca="1" t="shared" si="30"/>
        <v>3507352120.71436</v>
      </c>
      <c r="AV11" s="308">
        <f ca="1" t="shared" si="31"/>
        <v>3507352120.71436</v>
      </c>
      <c r="AW11" s="280">
        <f t="shared" si="32"/>
        <v>21600</v>
      </c>
      <c r="AX11" s="247">
        <f ca="1" t="shared" si="33"/>
        <v>4.52974933330339e+17</v>
      </c>
      <c r="AY11" s="247">
        <f ca="1" t="shared" si="34"/>
        <v>27300193218.3644</v>
      </c>
      <c r="AZ11" s="298">
        <f ca="1" t="shared" si="35"/>
        <v>0</v>
      </c>
      <c r="BA11" s="247">
        <f ca="1">'DN65-事故进程'!AA33</f>
        <v>2.00766514710595e-11</v>
      </c>
      <c r="BB11" s="247">
        <f ca="1" t="shared" si="36"/>
        <v>8.73428285176643e-6</v>
      </c>
      <c r="BC11" s="247">
        <f t="shared" si="37"/>
        <v>0.0115740740740741</v>
      </c>
      <c r="BD11" s="299">
        <f ca="1" t="shared" si="38"/>
        <v>0.967488722616924</v>
      </c>
      <c r="BE11" s="299">
        <f ca="1" t="shared" si="39"/>
        <v>0.801146392613722</v>
      </c>
      <c r="BF11" s="299">
        <f t="shared" si="40"/>
        <v>2.58241255193323e-109</v>
      </c>
      <c r="BG11" s="247">
        <f ca="1" t="shared" si="41"/>
        <v>4.38248139625256e+17</v>
      </c>
      <c r="BH11" s="247">
        <f ca="1" t="shared" si="42"/>
        <v>195069093781.858</v>
      </c>
      <c r="BI11" s="306">
        <f ca="1" t="shared" si="43"/>
        <v>146744402.823892</v>
      </c>
      <c r="BJ11" s="307">
        <f ca="1" t="shared" si="44"/>
        <v>21392379370.1422</v>
      </c>
      <c r="BK11" s="247">
        <f ca="1" t="shared" si="45"/>
        <v>193224380625.086</v>
      </c>
      <c r="BL11" s="247">
        <f ca="1" t="shared" si="46"/>
        <v>21660770736.7162</v>
      </c>
      <c r="BM11" s="308">
        <f ca="1" t="shared" si="47"/>
        <v>21660770736.7162</v>
      </c>
      <c r="BN11" s="280">
        <f t="shared" si="48"/>
        <v>57600</v>
      </c>
      <c r="BO11" s="247">
        <f ca="1" t="shared" si="49"/>
        <v>4.38248139625256e+17</v>
      </c>
      <c r="BP11" s="247">
        <f ca="1" t="shared" si="50"/>
        <v>195069093781.858</v>
      </c>
      <c r="BQ11" s="298">
        <f ca="1" t="shared" si="51"/>
        <v>0</v>
      </c>
      <c r="BR11" s="247">
        <f ca="1">'DN65-事故进程'!AB33</f>
        <v>3.25872322727982e-11</v>
      </c>
      <c r="BS11" s="247">
        <f ca="1" t="shared" si="52"/>
        <v>9.71204011720554e-7</v>
      </c>
      <c r="BT11" s="247">
        <f t="shared" si="53"/>
        <v>0.0115740740740741</v>
      </c>
      <c r="BU11" s="299">
        <f ca="1" t="shared" si="54"/>
        <v>0.915634435763697</v>
      </c>
      <c r="BV11" s="299">
        <f ca="1" t="shared" si="55"/>
        <v>0.86582059621127</v>
      </c>
      <c r="BW11" s="299">
        <f t="shared" si="56"/>
        <v>2.70438383000247e-290</v>
      </c>
      <c r="BX11" s="247">
        <f ca="1" t="shared" si="57"/>
        <v>4.01275088050261e+17</v>
      </c>
      <c r="BY11" s="247">
        <f ca="1" t="shared" si="58"/>
        <v>901418537727.773</v>
      </c>
      <c r="BZ11" s="306">
        <f ca="1" t="shared" si="59"/>
        <v>75551391.7862408</v>
      </c>
      <c r="CA11" s="307">
        <f ca="1" t="shared" si="60"/>
        <v>30397687168.2266</v>
      </c>
      <c r="CB11" s="247">
        <f ca="1" t="shared" si="61"/>
        <v>787393205482.176</v>
      </c>
      <c r="CC11" s="247">
        <f ca="1" t="shared" si="62"/>
        <v>31467062981.2608</v>
      </c>
      <c r="CD11" s="308">
        <f ca="1" t="shared" si="63"/>
        <v>31467062981.2608</v>
      </c>
      <c r="CE11" s="280">
        <f t="shared" si="64"/>
        <v>259200</v>
      </c>
      <c r="CF11" s="247">
        <f ca="1" t="shared" si="65"/>
        <v>4.01275088050261e+17</v>
      </c>
      <c r="CG11" s="247">
        <f ca="1" t="shared" si="66"/>
        <v>901418537727.773</v>
      </c>
      <c r="CH11" s="298">
        <f ca="1" t="shared" si="67"/>
        <v>0</v>
      </c>
      <c r="CI11" s="247">
        <f ca="1">'DN65-事故进程'!AC33</f>
        <v>6.47342491968004e-11</v>
      </c>
      <c r="CJ11" s="247">
        <f ca="1" t="shared" si="68"/>
        <v>3.43152347017181e-7</v>
      </c>
      <c r="CK11" s="247">
        <f t="shared" si="69"/>
        <v>0.0115740740740741</v>
      </c>
      <c r="CL11" s="299">
        <f ca="1" t="shared" si="70"/>
        <v>0.672583037345653</v>
      </c>
      <c r="CM11" s="299">
        <f ca="1" t="shared" si="71"/>
        <v>0.61535372817857</v>
      </c>
      <c r="CN11" s="299">
        <f t="shared" si="72"/>
        <v>0</v>
      </c>
      <c r="CO11" s="247">
        <f ca="1" t="shared" si="73"/>
        <v>2.69890817531989e+17</v>
      </c>
      <c r="CP11" s="247">
        <f ca="1" t="shared" si="74"/>
        <v>4887702136487.38</v>
      </c>
      <c r="CQ11" s="306">
        <f ca="1" t="shared" si="75"/>
        <v>144871906.831684</v>
      </c>
      <c r="CR11" s="307">
        <f ca="1" t="shared" si="76"/>
        <v>247154557336.617</v>
      </c>
      <c r="CS11" s="247">
        <f ca="1" t="shared" si="77"/>
        <v>5558111510867.42</v>
      </c>
      <c r="CT11" s="247">
        <f ca="1" t="shared" si="78"/>
        <v>287929289577.684</v>
      </c>
      <c r="CU11" s="308">
        <f ca="1" t="shared" si="79"/>
        <v>287929289577.684</v>
      </c>
      <c r="CV11" s="280">
        <f t="shared" si="80"/>
        <v>2246400</v>
      </c>
      <c r="CW11" s="247">
        <f ca="1" t="shared" si="81"/>
        <v>2.69890817531989e+17</v>
      </c>
      <c r="CX11" s="247">
        <f ca="1" t="shared" si="82"/>
        <v>4887702136487.38</v>
      </c>
      <c r="CY11" s="298">
        <f ca="1" t="shared" si="83"/>
        <v>0</v>
      </c>
      <c r="CZ11" s="247">
        <f ca="1">'DN65-事故进程'!AE33</f>
        <v>3.41865688472557e-11</v>
      </c>
      <c r="DA11" s="247">
        <f t="shared" si="84"/>
        <v>4.45156695156695e-9</v>
      </c>
      <c r="DB11" s="247">
        <f t="shared" si="85"/>
        <v>0.0115740740740741</v>
      </c>
      <c r="DC11" s="299">
        <f ca="1" t="shared" si="86"/>
        <v>0.0321485228942369</v>
      </c>
      <c r="DD11" s="299">
        <f t="shared" si="87"/>
        <v>0.0318310841753423</v>
      </c>
      <c r="DE11" s="299">
        <f t="shared" si="88"/>
        <v>0</v>
      </c>
      <c r="DF11" s="247">
        <f ca="1" t="shared" si="89"/>
        <v>8676591126371470</v>
      </c>
      <c r="DG11" s="247">
        <f ca="1" t="shared" si="90"/>
        <v>818619322034.602</v>
      </c>
      <c r="DH11" s="306">
        <f ca="1" t="shared" si="91"/>
        <v>314843.849485211</v>
      </c>
      <c r="DI11" s="307">
        <f ca="1" t="shared" si="92"/>
        <v>4884373899.39844</v>
      </c>
      <c r="DJ11" s="247">
        <f ca="1" t="shared" si="93"/>
        <v>5835939447007.37</v>
      </c>
      <c r="DK11" s="247">
        <f ca="1" t="shared" si="94"/>
        <v>28732596086.4935</v>
      </c>
      <c r="DL11" s="308">
        <f ca="1" t="shared" si="95"/>
        <v>28732596086.4935</v>
      </c>
      <c r="DM11" s="321"/>
      <c r="DN11" s="322">
        <f ca="1" t="shared" si="96"/>
        <v>2140040477388.29</v>
      </c>
      <c r="DO11" s="323">
        <f ca="1" t="shared" si="97"/>
        <v>3507352120.71436</v>
      </c>
      <c r="DP11" s="323">
        <f ca="1" t="shared" si="98"/>
        <v>21660770736.7162</v>
      </c>
      <c r="DQ11" s="323">
        <f ca="1" t="shared" si="99"/>
        <v>31467062981.2608</v>
      </c>
      <c r="DR11" s="323">
        <f ca="1" t="shared" si="100"/>
        <v>287929289577.684</v>
      </c>
      <c r="DS11" s="323">
        <f ca="1" t="shared" si="101"/>
        <v>28732596086.4935</v>
      </c>
      <c r="DT11" s="352">
        <f ca="1" t="shared" si="102"/>
        <v>2513337548891.16</v>
      </c>
      <c r="DU11" s="353">
        <f ca="1" t="shared" si="103"/>
        <v>2140040477388.29</v>
      </c>
      <c r="DV11" s="126"/>
      <c r="DW11" s="354">
        <v>299690819789.638</v>
      </c>
      <c r="DX11" s="355"/>
      <c r="DY11" s="355"/>
      <c r="DZ11" s="355"/>
      <c r="EA11" s="354">
        <f t="shared" si="104"/>
        <v>299690819789.638</v>
      </c>
      <c r="EB11" s="365">
        <f ca="1" t="shared" si="105"/>
        <v>7.14082759989261</v>
      </c>
      <c r="EC11" s="365"/>
      <c r="ED11" s="365"/>
      <c r="EE11" s="365"/>
      <c r="EF11" s="365">
        <f ca="1" t="shared" si="106"/>
        <v>8.29056076708885</v>
      </c>
      <c r="EG11" s="369">
        <f ca="1" t="shared" si="107"/>
        <v>8.38643489532094</v>
      </c>
      <c r="EI11" s="354">
        <v>0</v>
      </c>
      <c r="EJ11" s="355">
        <v>19886545915.2235</v>
      </c>
      <c r="EK11" s="355">
        <v>7782492966.11719</v>
      </c>
      <c r="EL11" s="355">
        <v>18681468922.0704</v>
      </c>
      <c r="EM11" s="355">
        <v>56064603704.2754</v>
      </c>
      <c r="EN11" s="355">
        <v>55834152492.6037</v>
      </c>
      <c r="EO11" s="370">
        <v>158249264000.29</v>
      </c>
      <c r="EP11" s="365"/>
      <c r="EQ11" s="365">
        <f ca="1" t="shared" ref="EQ11:EV11" si="116">DO11/EJ11</f>
        <v>0.176368090047725</v>
      </c>
      <c r="ER11" s="365">
        <f ca="1" t="shared" si="116"/>
        <v>2.78326891280483</v>
      </c>
      <c r="ES11" s="365">
        <f ca="1" t="shared" si="116"/>
        <v>1.68439982490271</v>
      </c>
      <c r="ET11" s="365">
        <f ca="1" t="shared" si="116"/>
        <v>5.13566975513513</v>
      </c>
      <c r="EU11" s="365">
        <f ca="1" t="shared" si="116"/>
        <v>0.514606111202272</v>
      </c>
      <c r="EV11" s="365">
        <f ca="1" t="shared" si="116"/>
        <v>15.8821436849561</v>
      </c>
      <c r="EW11" s="126">
        <f t="shared" si="109"/>
        <v>1.53014243983147e-6</v>
      </c>
      <c r="EX11" s="91">
        <f t="shared" si="110"/>
        <v>452995.2</v>
      </c>
    </row>
    <row r="12" ht="15.75" spans="1:154">
      <c r="A12" s="185" t="s">
        <v>53</v>
      </c>
      <c r="B12" s="180">
        <f>VLOOKUP(A12,衰变常数!$A$1:$H$3800,7,FALSE)</f>
        <v>3.66325881828146e-6</v>
      </c>
      <c r="C12" s="181">
        <v>1.32e+16</v>
      </c>
      <c r="D12" s="182"/>
      <c r="E12" s="183">
        <v>6770000000</v>
      </c>
      <c r="F12" s="183">
        <v>11000000000</v>
      </c>
      <c r="G12" s="184">
        <v>0.615454545454545</v>
      </c>
      <c r="H12" s="183">
        <v>6490000000</v>
      </c>
      <c r="I12" s="214"/>
      <c r="J12" s="215"/>
      <c r="K12" s="216"/>
      <c r="L12" s="210"/>
      <c r="M12" s="218"/>
      <c r="N12" s="218"/>
      <c r="O12" s="216">
        <f t="shared" si="0"/>
        <v>1931160</v>
      </c>
      <c r="P12" s="216">
        <f t="shared" si="1"/>
        <v>55440000000</v>
      </c>
      <c r="Q12" s="216">
        <f ca="1">'进水-事故进程'!Z34</f>
        <v>1.42169352087719e-11</v>
      </c>
      <c r="R12" s="216">
        <f ca="1" t="shared" si="2"/>
        <v>18196897.3222979</v>
      </c>
      <c r="S12" s="244">
        <f ca="1" t="shared" si="3"/>
        <v>62227849115.0101</v>
      </c>
      <c r="T12" s="245">
        <f ca="1" t="shared" si="4"/>
        <v>62227849115.0101</v>
      </c>
      <c r="U12" s="216">
        <f t="shared" si="5"/>
        <v>0</v>
      </c>
      <c r="V12" s="246">
        <f t="shared" si="6"/>
        <v>1</v>
      </c>
      <c r="W12" s="216">
        <f t="shared" si="7"/>
        <v>1.31995164586927e+16</v>
      </c>
      <c r="X12" s="247">
        <f ca="1" t="shared" si="8"/>
        <v>0</v>
      </c>
      <c r="Y12" s="275">
        <f ca="1" t="shared" si="9"/>
        <v>62227849115.0101</v>
      </c>
      <c r="Z12" s="216">
        <f ca="1" t="shared" si="10"/>
        <v>62227849115.0101</v>
      </c>
      <c r="AA12" s="276">
        <f ca="1" t="shared" si="11"/>
        <v>0</v>
      </c>
      <c r="AB12" s="277">
        <f t="shared" si="12"/>
        <v>1</v>
      </c>
      <c r="AC12" s="247">
        <f ca="1" t="shared" si="13"/>
        <v>62227849115.0101</v>
      </c>
      <c r="AD12" s="278">
        <f ca="1" t="shared" si="14"/>
        <v>62227849115.0101</v>
      </c>
      <c r="AE12" s="279">
        <f ca="1" t="shared" si="15"/>
        <v>0</v>
      </c>
      <c r="AF12" s="280">
        <f t="shared" si="16"/>
        <v>7200</v>
      </c>
      <c r="AG12" s="247">
        <f t="shared" si="17"/>
        <v>1.31995164586927e+16</v>
      </c>
      <c r="AH12" s="247">
        <f ca="1" t="shared" si="18"/>
        <v>0</v>
      </c>
      <c r="AI12" s="298">
        <f ca="1" t="shared" si="19"/>
        <v>0</v>
      </c>
      <c r="AJ12" s="247">
        <f ca="1">'DN65-事故进程'!Z34</f>
        <v>1.4685883692189e-11</v>
      </c>
      <c r="AK12" s="247">
        <f ca="1" t="shared" si="20"/>
        <v>3.41550507006928e-5</v>
      </c>
      <c r="AL12" s="247">
        <f t="shared" si="21"/>
        <v>0.0115740740740741</v>
      </c>
      <c r="AM12" s="299">
        <f ca="1" t="shared" si="22"/>
        <v>0.973969228036868</v>
      </c>
      <c r="AN12" s="299">
        <f ca="1" t="shared" si="23"/>
        <v>0.761631962713793</v>
      </c>
      <c r="AO12" s="299">
        <f t="shared" si="24"/>
        <v>6.27102390756738e-37</v>
      </c>
      <c r="AP12" s="247">
        <f ca="1" t="shared" si="25"/>
        <v>1.28559228557329e+16</v>
      </c>
      <c r="AQ12" s="247">
        <f ca="1" t="shared" si="26"/>
        <v>1205118014.49093</v>
      </c>
      <c r="AR12" s="306">
        <f ca="1" t="shared" si="27"/>
        <v>3518544.36335494</v>
      </c>
      <c r="AS12" s="307">
        <f ca="1" t="shared" si="28"/>
        <v>154246289.509072</v>
      </c>
      <c r="AT12" s="247">
        <f ca="1" t="shared" si="29"/>
        <v>1377449891.39112</v>
      </c>
      <c r="AU12" s="247">
        <f ca="1" t="shared" si="30"/>
        <v>155639003.110871</v>
      </c>
      <c r="AV12" s="308">
        <f ca="1" t="shared" si="31"/>
        <v>155639003.110871</v>
      </c>
      <c r="AW12" s="280">
        <f t="shared" si="32"/>
        <v>21600</v>
      </c>
      <c r="AX12" s="247">
        <f ca="1" t="shared" si="33"/>
        <v>1.28559228557329e+16</v>
      </c>
      <c r="AY12" s="247">
        <f ca="1" t="shared" si="34"/>
        <v>1205118014.49093</v>
      </c>
      <c r="AZ12" s="298">
        <f ca="1" t="shared" si="35"/>
        <v>0</v>
      </c>
      <c r="BA12" s="247">
        <f ca="1">'DN65-事故进程'!AA34</f>
        <v>3.15622767583691e-11</v>
      </c>
      <c r="BB12" s="247">
        <f ca="1" t="shared" si="36"/>
        <v>8.73428285176643e-6</v>
      </c>
      <c r="BC12" s="247">
        <f t="shared" si="37"/>
        <v>0.0115740740740741</v>
      </c>
      <c r="BD12" s="299">
        <f ca="1" t="shared" si="38"/>
        <v>0.923922512100547</v>
      </c>
      <c r="BE12" s="299">
        <f ca="1" t="shared" si="39"/>
        <v>0.765070800264221</v>
      </c>
      <c r="BF12" s="299">
        <f t="shared" si="40"/>
        <v>2.46612661048648e-109</v>
      </c>
      <c r="BG12" s="247">
        <f ca="1" t="shared" si="41"/>
        <v>1.18778765402396e+16</v>
      </c>
      <c r="BH12" s="247">
        <f ca="1" t="shared" si="42"/>
        <v>8301685154.01953</v>
      </c>
      <c r="BI12" s="306">
        <f ca="1" t="shared" si="43"/>
        <v>6245069.98477203</v>
      </c>
      <c r="BJ12" s="307">
        <f ca="1" t="shared" si="44"/>
        <v>909439081.980469</v>
      </c>
      <c r="BK12" s="247">
        <f ca="1" t="shared" si="45"/>
        <v>8426678009.45641</v>
      </c>
      <c r="BL12" s="247">
        <f ca="1" t="shared" si="46"/>
        <v>937086147.508286</v>
      </c>
      <c r="BM12" s="308">
        <f ca="1" t="shared" si="47"/>
        <v>937086147.508286</v>
      </c>
      <c r="BN12" s="280">
        <f t="shared" si="48"/>
        <v>57600</v>
      </c>
      <c r="BO12" s="247">
        <f ca="1" t="shared" si="49"/>
        <v>1.18778765402396e+16</v>
      </c>
      <c r="BP12" s="247">
        <f ca="1" t="shared" si="50"/>
        <v>8301685154.01953</v>
      </c>
      <c r="BQ12" s="298">
        <f ca="1" t="shared" si="51"/>
        <v>0</v>
      </c>
      <c r="BR12" s="247">
        <f ca="1">'DN65-事故进程'!AB34</f>
        <v>5.2407536087185e-11</v>
      </c>
      <c r="BS12" s="247">
        <f ca="1" t="shared" si="52"/>
        <v>9.71204011720554e-7</v>
      </c>
      <c r="BT12" s="247">
        <f t="shared" si="53"/>
        <v>0.0115740740740741</v>
      </c>
      <c r="BU12" s="299">
        <f ca="1" t="shared" si="54"/>
        <v>0.809768619867616</v>
      </c>
      <c r="BV12" s="299">
        <f ca="1" t="shared" si="55"/>
        <v>0.765715139458997</v>
      </c>
      <c r="BW12" s="299">
        <f t="shared" si="56"/>
        <v>2.39170522230867e-290</v>
      </c>
      <c r="BX12" s="247">
        <f ca="1" t="shared" si="57"/>
        <v>9618331692947720</v>
      </c>
      <c r="BY12" s="247">
        <f ca="1" t="shared" si="58"/>
        <v>34594193384.3656</v>
      </c>
      <c r="BZ12" s="306">
        <f ca="1" t="shared" si="59"/>
        <v>2899457.64599344</v>
      </c>
      <c r="CA12" s="307">
        <f ca="1" t="shared" si="60"/>
        <v>1162923421.6344</v>
      </c>
      <c r="CB12" s="247">
        <f ca="1" t="shared" si="61"/>
        <v>32325175456.1565</v>
      </c>
      <c r="CC12" s="247">
        <f ca="1" t="shared" si="62"/>
        <v>1264213529.37677</v>
      </c>
      <c r="CD12" s="308">
        <f ca="1" t="shared" si="63"/>
        <v>1264213529.37677</v>
      </c>
      <c r="CE12" s="280">
        <f t="shared" si="64"/>
        <v>259200</v>
      </c>
      <c r="CF12" s="247">
        <f ca="1" t="shared" si="65"/>
        <v>9618331692947720</v>
      </c>
      <c r="CG12" s="247">
        <f ca="1" t="shared" si="66"/>
        <v>34594193384.3656</v>
      </c>
      <c r="CH12" s="298">
        <f ca="1" t="shared" si="67"/>
        <v>0</v>
      </c>
      <c r="CI12" s="247">
        <f ca="1">'DN65-事故进程'!AC34</f>
        <v>1.10906459352765e-10</v>
      </c>
      <c r="CJ12" s="247">
        <f ca="1" t="shared" si="68"/>
        <v>3.43152347017181e-7</v>
      </c>
      <c r="CK12" s="247">
        <f t="shared" si="69"/>
        <v>0.0115740740740741</v>
      </c>
      <c r="CL12" s="299">
        <f ca="1" t="shared" si="70"/>
        <v>0.386916863258068</v>
      </c>
      <c r="CM12" s="299">
        <f ca="1" t="shared" si="71"/>
        <v>0.353998793500302</v>
      </c>
      <c r="CN12" s="299">
        <f t="shared" si="72"/>
        <v>0</v>
      </c>
      <c r="CO12" s="247">
        <f ca="1" t="shared" si="73"/>
        <v>3721494728410990</v>
      </c>
      <c r="CP12" s="247">
        <f ca="1" t="shared" si="74"/>
        <v>114609623034.751</v>
      </c>
      <c r="CQ12" s="306">
        <f ca="1" t="shared" si="75"/>
        <v>3397031.12166383</v>
      </c>
      <c r="CR12" s="307">
        <f ca="1" t="shared" si="76"/>
        <v>5759015007.74927</v>
      </c>
      <c r="CS12" s="247">
        <f ca="1" t="shared" si="77"/>
        <v>178523424676.593</v>
      </c>
      <c r="CT12" s="247">
        <f ca="1" t="shared" si="78"/>
        <v>8437289209.35153</v>
      </c>
      <c r="CU12" s="308">
        <f ca="1" t="shared" si="79"/>
        <v>8437289209.35153</v>
      </c>
      <c r="CV12" s="280">
        <f t="shared" si="80"/>
        <v>2246400</v>
      </c>
      <c r="CW12" s="247">
        <f ca="1" t="shared" si="81"/>
        <v>3721494728410990</v>
      </c>
      <c r="CX12" s="247">
        <f ca="1" t="shared" si="82"/>
        <v>114609623034.751</v>
      </c>
      <c r="CY12" s="298">
        <f ca="1" t="shared" si="83"/>
        <v>0</v>
      </c>
      <c r="CZ12" s="247">
        <f ca="1">'DN65-事故进程'!AE34</f>
        <v>5.49256953120647e-11</v>
      </c>
      <c r="DA12" s="247">
        <f t="shared" si="84"/>
        <v>4.45156695156695e-9</v>
      </c>
      <c r="DB12" s="247">
        <f t="shared" si="85"/>
        <v>0.0115740740740741</v>
      </c>
      <c r="DC12" s="299">
        <f ca="1" t="shared" si="86"/>
        <v>0.000266731507747251</v>
      </c>
      <c r="DD12" s="299">
        <f t="shared" si="87"/>
        <v>0.000264110070133171</v>
      </c>
      <c r="DE12" s="299">
        <f t="shared" si="88"/>
        <v>0</v>
      </c>
      <c r="DF12" s="247">
        <f ca="1" t="shared" si="89"/>
        <v>992639899982.51</v>
      </c>
      <c r="DG12" s="247">
        <f ca="1" t="shared" si="90"/>
        <v>152143668.434052</v>
      </c>
      <c r="DH12" s="306">
        <f ca="1" t="shared" si="91"/>
        <v>58.5150062680411</v>
      </c>
      <c r="DI12" s="307">
        <f ca="1" t="shared" si="92"/>
        <v>914612.865264893</v>
      </c>
      <c r="DJ12" s="247">
        <f ca="1" t="shared" si="93"/>
        <v>55783145644.4184</v>
      </c>
      <c r="DK12" s="247">
        <f ca="1" t="shared" si="94"/>
        <v>206624149.813769</v>
      </c>
      <c r="DL12" s="308">
        <f ca="1" t="shared" si="95"/>
        <v>206624149.813769</v>
      </c>
      <c r="DM12" s="321"/>
      <c r="DN12" s="322">
        <f ca="1" t="shared" si="96"/>
        <v>62227849115.0101</v>
      </c>
      <c r="DO12" s="323">
        <f ca="1" t="shared" si="97"/>
        <v>155639003.110871</v>
      </c>
      <c r="DP12" s="323">
        <f ca="1" t="shared" si="98"/>
        <v>937086147.508286</v>
      </c>
      <c r="DQ12" s="323">
        <f ca="1" t="shared" si="99"/>
        <v>1264213529.37677</v>
      </c>
      <c r="DR12" s="323">
        <f ca="1" t="shared" si="100"/>
        <v>8437289209.35153</v>
      </c>
      <c r="DS12" s="323">
        <f ca="1" t="shared" si="101"/>
        <v>206624149.813769</v>
      </c>
      <c r="DT12" s="352">
        <f ca="1" t="shared" si="102"/>
        <v>73228701154.1713</v>
      </c>
      <c r="DU12" s="353">
        <f ca="1" t="shared" si="103"/>
        <v>62227849115.0101</v>
      </c>
      <c r="DV12" s="126"/>
      <c r="DW12" s="354">
        <v>8164666373.22361</v>
      </c>
      <c r="DX12" s="355"/>
      <c r="DY12" s="355"/>
      <c r="DZ12" s="355"/>
      <c r="EA12" s="354">
        <f t="shared" si="104"/>
        <v>8164666373.22361</v>
      </c>
      <c r="EB12" s="365">
        <f ca="1" t="shared" si="105"/>
        <v>7.62160341530783</v>
      </c>
      <c r="EC12" s="365"/>
      <c r="ED12" s="365"/>
      <c r="EE12" s="365"/>
      <c r="EF12" s="365">
        <f ca="1" t="shared" si="106"/>
        <v>8.94366942461198</v>
      </c>
      <c r="EG12" s="369">
        <f ca="1" t="shared" si="107"/>
        <v>8.96897653948582</v>
      </c>
      <c r="EI12" s="354">
        <v>0</v>
      </c>
      <c r="EJ12" s="355">
        <v>518812568.031219</v>
      </c>
      <c r="EK12" s="355">
        <v>195659764.966375</v>
      </c>
      <c r="EL12" s="355">
        <v>432497603.525074</v>
      </c>
      <c r="EM12" s="355">
        <v>965694369.726192</v>
      </c>
      <c r="EN12" s="355">
        <v>389905718.974384</v>
      </c>
      <c r="EO12" s="370">
        <v>2502570025.22324</v>
      </c>
      <c r="EP12" s="365"/>
      <c r="EQ12" s="365">
        <f ca="1" t="shared" ref="EQ12:EV12" si="117">DO12/EJ12</f>
        <v>0.299990811135295</v>
      </c>
      <c r="ER12" s="365">
        <f ca="1" t="shared" si="117"/>
        <v>4.78936559935727</v>
      </c>
      <c r="ES12" s="365">
        <f ca="1" t="shared" si="117"/>
        <v>2.92305325872973</v>
      </c>
      <c r="ET12" s="365">
        <f ca="1" t="shared" si="117"/>
        <v>8.73701812276673</v>
      </c>
      <c r="EU12" s="365">
        <f ca="1" t="shared" si="117"/>
        <v>0.529933621792666</v>
      </c>
      <c r="EV12" s="365">
        <f ca="1" t="shared" si="117"/>
        <v>29.2613994478093</v>
      </c>
      <c r="EW12" s="126">
        <f t="shared" si="109"/>
        <v>3.66325881828146e-6</v>
      </c>
      <c r="EX12" s="91">
        <f t="shared" si="110"/>
        <v>189216</v>
      </c>
    </row>
    <row r="13" ht="15.75" spans="1:154">
      <c r="A13" s="185" t="s">
        <v>54</v>
      </c>
      <c r="B13" s="180">
        <f>VLOOKUP(A13,衰变常数!$A$1:$H$3800,7,FALSE)</f>
        <v>2.10657421760255e-5</v>
      </c>
      <c r="C13" s="181">
        <v>1.06e+17</v>
      </c>
      <c r="D13" s="182"/>
      <c r="E13" s="183">
        <v>37900000000</v>
      </c>
      <c r="F13" s="183">
        <v>51000000000</v>
      </c>
      <c r="G13" s="184">
        <v>0.743137254901961</v>
      </c>
      <c r="H13" s="183">
        <v>6490000000</v>
      </c>
      <c r="I13" s="214"/>
      <c r="J13" s="215"/>
      <c r="K13" s="216"/>
      <c r="L13" s="210"/>
      <c r="M13" s="218"/>
      <c r="N13" s="218"/>
      <c r="O13" s="216">
        <f t="shared" si="0"/>
        <v>15507800</v>
      </c>
      <c r="P13" s="216">
        <f t="shared" si="1"/>
        <v>445200000000</v>
      </c>
      <c r="Q13" s="216">
        <f ca="1">'进水-事故进程'!Z35</f>
        <v>3.42023095104613e-11</v>
      </c>
      <c r="R13" s="216">
        <f ca="1" t="shared" si="2"/>
        <v>350950292.382635</v>
      </c>
      <c r="S13" s="244">
        <f ca="1" t="shared" si="3"/>
        <v>483364696943.844</v>
      </c>
      <c r="T13" s="245">
        <f ca="1" t="shared" si="4"/>
        <v>483364696943.844</v>
      </c>
      <c r="U13" s="216">
        <f t="shared" si="5"/>
        <v>0</v>
      </c>
      <c r="V13" s="246">
        <f t="shared" si="6"/>
        <v>1</v>
      </c>
      <c r="W13" s="216">
        <f t="shared" si="7"/>
        <v>1.05977672665085e+17</v>
      </c>
      <c r="X13" s="247">
        <f ca="1" t="shared" si="8"/>
        <v>0</v>
      </c>
      <c r="Y13" s="275">
        <f ca="1" t="shared" si="9"/>
        <v>483364696943.844</v>
      </c>
      <c r="Z13" s="216">
        <f ca="1" t="shared" si="10"/>
        <v>483364696943.844</v>
      </c>
      <c r="AA13" s="276">
        <f ca="1" t="shared" si="11"/>
        <v>0</v>
      </c>
      <c r="AB13" s="277">
        <f t="shared" si="12"/>
        <v>1</v>
      </c>
      <c r="AC13" s="247">
        <f ca="1" t="shared" si="13"/>
        <v>483364696943.844</v>
      </c>
      <c r="AD13" s="278">
        <f ca="1" t="shared" si="14"/>
        <v>483364696943.844</v>
      </c>
      <c r="AE13" s="279">
        <f ca="1" t="shared" si="15"/>
        <v>0</v>
      </c>
      <c r="AF13" s="280">
        <f t="shared" si="16"/>
        <v>7200</v>
      </c>
      <c r="AG13" s="247">
        <f t="shared" si="17"/>
        <v>1.05977672665085e+17</v>
      </c>
      <c r="AH13" s="247">
        <f ca="1" t="shared" si="18"/>
        <v>0</v>
      </c>
      <c r="AI13" s="298">
        <f ca="1" t="shared" si="19"/>
        <v>0</v>
      </c>
      <c r="AJ13" s="247">
        <f ca="1">'DN65-事故进程'!Z35</f>
        <v>3.53483509630726e-11</v>
      </c>
      <c r="AK13" s="247">
        <f ca="1" t="shared" si="20"/>
        <v>3.41550507006928e-5</v>
      </c>
      <c r="AL13" s="247">
        <f t="shared" si="21"/>
        <v>0.0115740740740741</v>
      </c>
      <c r="AM13" s="299">
        <f ca="1" t="shared" si="22"/>
        <v>0.859268701845663</v>
      </c>
      <c r="AN13" s="299">
        <f ca="1" t="shared" si="23"/>
        <v>0.67193766128136</v>
      </c>
      <c r="AO13" s="299">
        <f t="shared" si="24"/>
        <v>5.53251090366042e-37</v>
      </c>
      <c r="AP13" s="247">
        <f ca="1" t="shared" si="25"/>
        <v>9.10632972155522e+16</v>
      </c>
      <c r="AQ13" s="247">
        <f ca="1" t="shared" si="26"/>
        <v>20546544677.825</v>
      </c>
      <c r="AR13" s="306">
        <f ca="1" t="shared" si="27"/>
        <v>59989086.6805415</v>
      </c>
      <c r="AS13" s="307">
        <f ca="1" t="shared" si="28"/>
        <v>2629807482.17505</v>
      </c>
      <c r="AT13" s="247">
        <f ca="1" t="shared" si="29"/>
        <v>25026305208.7712</v>
      </c>
      <c r="AU13" s="247">
        <f ca="1" t="shared" si="30"/>
        <v>2770812226.52893</v>
      </c>
      <c r="AV13" s="308">
        <f ca="1" t="shared" si="31"/>
        <v>2770812226.52893</v>
      </c>
      <c r="AW13" s="280">
        <f t="shared" si="32"/>
        <v>21600</v>
      </c>
      <c r="AX13" s="247">
        <f ca="1" t="shared" si="33"/>
        <v>9.10632972155522e+16</v>
      </c>
      <c r="AY13" s="247">
        <f ca="1" t="shared" si="34"/>
        <v>20546544677.825</v>
      </c>
      <c r="AZ13" s="298">
        <f ca="1" t="shared" si="35"/>
        <v>0</v>
      </c>
      <c r="BA13" s="247">
        <f ca="1">'DN65-事故进程'!AA35</f>
        <v>7.68199656630356e-11</v>
      </c>
      <c r="BB13" s="247">
        <f ca="1" t="shared" si="36"/>
        <v>8.73428285176643e-6</v>
      </c>
      <c r="BC13" s="247">
        <f t="shared" si="37"/>
        <v>0.0115740740740741</v>
      </c>
      <c r="BD13" s="299">
        <f ca="1" t="shared" si="38"/>
        <v>0.634434206722205</v>
      </c>
      <c r="BE13" s="299">
        <f ca="1" t="shared" si="39"/>
        <v>0.525355269942068</v>
      </c>
      <c r="BF13" s="299">
        <f t="shared" si="40"/>
        <v>1.69342838691003e-109</v>
      </c>
      <c r="BG13" s="247">
        <f ca="1" t="shared" si="41"/>
        <v>5.77736707304572e+16</v>
      </c>
      <c r="BH13" s="247">
        <f ca="1" t="shared" si="42"/>
        <v>98158725056.9684</v>
      </c>
      <c r="BI13" s="306">
        <f ca="1" t="shared" si="43"/>
        <v>73841050.3882395</v>
      </c>
      <c r="BJ13" s="307">
        <f ca="1" t="shared" si="44"/>
        <v>10741309151.0316</v>
      </c>
      <c r="BK13" s="247">
        <f ca="1" t="shared" si="45"/>
        <v>121396085478.895</v>
      </c>
      <c r="BL13" s="247">
        <f ca="1" t="shared" si="46"/>
        <v>12832909071.0319</v>
      </c>
      <c r="BM13" s="308">
        <f ca="1" t="shared" si="47"/>
        <v>12832909071.0319</v>
      </c>
      <c r="BN13" s="280">
        <f t="shared" si="48"/>
        <v>57600</v>
      </c>
      <c r="BO13" s="247">
        <f ca="1" t="shared" si="49"/>
        <v>5.77736707304572e+16</v>
      </c>
      <c r="BP13" s="247">
        <f ca="1" t="shared" si="50"/>
        <v>98158725056.9684</v>
      </c>
      <c r="BQ13" s="298">
        <f ca="1" t="shared" si="51"/>
        <v>0</v>
      </c>
      <c r="BR13" s="247">
        <f ca="1">'DN65-事故进程'!AB35</f>
        <v>1.30517798809954e-10</v>
      </c>
      <c r="BS13" s="247">
        <f ca="1" t="shared" si="52"/>
        <v>9.71204011720554e-7</v>
      </c>
      <c r="BT13" s="247">
        <f t="shared" si="53"/>
        <v>0.0115740740740741</v>
      </c>
      <c r="BU13" s="299">
        <f ca="1" t="shared" si="54"/>
        <v>0.297186834026783</v>
      </c>
      <c r="BV13" s="299">
        <f ca="1" t="shared" si="55"/>
        <v>0.281020375833525</v>
      </c>
      <c r="BW13" s="299">
        <f t="shared" si="56"/>
        <v>8.77764936097637e-291</v>
      </c>
      <c r="BX13" s="247">
        <f ca="1" t="shared" si="57"/>
        <v>1.71695742944904e+16</v>
      </c>
      <c r="BY13" s="247">
        <f ca="1" t="shared" si="58"/>
        <v>153118925233.049</v>
      </c>
      <c r="BZ13" s="306">
        <f ca="1" t="shared" si="59"/>
        <v>12833349.4241855</v>
      </c>
      <c r="CA13" s="307">
        <f ca="1" t="shared" si="60"/>
        <v>5131118494.95142</v>
      </c>
      <c r="CB13" s="247">
        <f ca="1" t="shared" si="61"/>
        <v>251570745086.82</v>
      </c>
      <c r="CC13" s="247">
        <f ca="1" t="shared" si="62"/>
        <v>8664946056.36665</v>
      </c>
      <c r="CD13" s="308">
        <f ca="1" t="shared" si="63"/>
        <v>8664946056.36665</v>
      </c>
      <c r="CE13" s="280">
        <f t="shared" si="64"/>
        <v>259200</v>
      </c>
      <c r="CF13" s="247">
        <f ca="1" t="shared" si="65"/>
        <v>1.71695742944904e+16</v>
      </c>
      <c r="CG13" s="247">
        <f ca="1" t="shared" si="66"/>
        <v>153118925233.049</v>
      </c>
      <c r="CH13" s="298">
        <f ca="1" t="shared" si="67"/>
        <v>0</v>
      </c>
      <c r="CI13" s="247">
        <f ca="1">'DN65-事故进程'!AC35</f>
        <v>2.9844774267088e-10</v>
      </c>
      <c r="CJ13" s="247">
        <f ca="1" t="shared" si="68"/>
        <v>3.43152347017181e-7</v>
      </c>
      <c r="CK13" s="247">
        <f t="shared" si="69"/>
        <v>0.0115740740740741</v>
      </c>
      <c r="CL13" s="299">
        <f ca="1" t="shared" si="70"/>
        <v>0.0042522044785865</v>
      </c>
      <c r="CM13" s="299">
        <f ca="1" t="shared" si="71"/>
        <v>0.00389062502141571</v>
      </c>
      <c r="CN13" s="299">
        <f t="shared" si="72"/>
        <v>0</v>
      </c>
      <c r="CO13" s="247">
        <f ca="1" t="shared" si="73"/>
        <v>73008540710455.8</v>
      </c>
      <c r="CP13" s="247">
        <f ca="1" t="shared" si="74"/>
        <v>5999817176.30894</v>
      </c>
      <c r="CQ13" s="306">
        <f ca="1" t="shared" si="75"/>
        <v>177834.213056094</v>
      </c>
      <c r="CR13" s="307">
        <f ca="1" t="shared" si="76"/>
        <v>299314124.097305</v>
      </c>
      <c r="CS13" s="247">
        <f ca="1" t="shared" si="77"/>
        <v>242211222686.193</v>
      </c>
      <c r="CT13" s="247">
        <f ca="1" t="shared" si="78"/>
        <v>6240379045.05614</v>
      </c>
      <c r="CU13" s="308">
        <f ca="1" t="shared" si="79"/>
        <v>6240379045.05614</v>
      </c>
      <c r="CV13" s="280">
        <f t="shared" si="80"/>
        <v>2246400</v>
      </c>
      <c r="CW13" s="247">
        <f ca="1" t="shared" si="81"/>
        <v>73008540710455.8</v>
      </c>
      <c r="CX13" s="247">
        <f ca="1" t="shared" si="82"/>
        <v>5999817176.30894</v>
      </c>
      <c r="CY13" s="298">
        <f ca="1" t="shared" si="83"/>
        <v>0</v>
      </c>
      <c r="CZ13" s="247">
        <f ca="1">'DN65-事故进程'!AE35</f>
        <v>1.36656472517855e-10</v>
      </c>
      <c r="DA13" s="247">
        <f t="shared" si="84"/>
        <v>4.45156695156695e-9</v>
      </c>
      <c r="DB13" s="247">
        <f t="shared" si="85"/>
        <v>0.0115740740740741</v>
      </c>
      <c r="DC13" s="299">
        <f ca="1" t="shared" si="86"/>
        <v>2.80638378005306e-21</v>
      </c>
      <c r="DD13" s="299">
        <f t="shared" si="87"/>
        <v>2.77931287156971e-21</v>
      </c>
      <c r="DE13" s="299">
        <f t="shared" si="88"/>
        <v>0</v>
      </c>
      <c r="DF13" s="247">
        <f ca="1" t="shared" si="89"/>
        <v>2.04889984455166e-7</v>
      </c>
      <c r="DG13" s="247">
        <f ca="1" t="shared" si="90"/>
        <v>7.92696875294724e-11</v>
      </c>
      <c r="DH13" s="306">
        <f ca="1" t="shared" si="91"/>
        <v>3.04874226370732e-17</v>
      </c>
      <c r="DI13" s="307">
        <f ca="1" t="shared" si="92"/>
        <v>4.81099550275468e-13</v>
      </c>
      <c r="DJ13" s="247">
        <f ca="1" t="shared" si="93"/>
        <v>473613738.904432</v>
      </c>
      <c r="DK13" s="247">
        <f ca="1" t="shared" si="94"/>
        <v>1367662.37068988</v>
      </c>
      <c r="DL13" s="308">
        <f ca="1" t="shared" si="95"/>
        <v>1367662.37068988</v>
      </c>
      <c r="DM13" s="321"/>
      <c r="DN13" s="322">
        <f ca="1" t="shared" si="96"/>
        <v>483364696943.844</v>
      </c>
      <c r="DO13" s="323">
        <f ca="1" t="shared" si="97"/>
        <v>2770812226.52893</v>
      </c>
      <c r="DP13" s="323">
        <f ca="1" t="shared" si="98"/>
        <v>12832909071.0319</v>
      </c>
      <c r="DQ13" s="323">
        <f ca="1" t="shared" si="99"/>
        <v>8664946056.36665</v>
      </c>
      <c r="DR13" s="323">
        <f ca="1" t="shared" si="100"/>
        <v>6240379045.05614</v>
      </c>
      <c r="DS13" s="323">
        <f ca="1" t="shared" si="101"/>
        <v>1367662.37068988</v>
      </c>
      <c r="DT13" s="352">
        <f ca="1" t="shared" si="102"/>
        <v>513875111005.198</v>
      </c>
      <c r="DU13" s="353">
        <f ca="1" t="shared" si="103"/>
        <v>483364696943.844</v>
      </c>
      <c r="DV13" s="126"/>
      <c r="DW13" s="354">
        <v>15975620821.9</v>
      </c>
      <c r="DX13" s="355"/>
      <c r="DY13" s="355"/>
      <c r="DZ13" s="355"/>
      <c r="EA13" s="354">
        <f t="shared" si="104"/>
        <v>15975620821.9</v>
      </c>
      <c r="EB13" s="365">
        <f ca="1" t="shared" si="105"/>
        <v>30.2563951869231</v>
      </c>
      <c r="EC13" s="365"/>
      <c r="ED13" s="365"/>
      <c r="EE13" s="365"/>
      <c r="EF13" s="365">
        <f ca="1" t="shared" si="106"/>
        <v>32.1661204326025</v>
      </c>
      <c r="EG13" s="369">
        <f ca="1" t="shared" si="107"/>
        <v>32.1662060419435</v>
      </c>
      <c r="EI13" s="354">
        <v>0</v>
      </c>
      <c r="EJ13" s="355">
        <v>962566419.342535</v>
      </c>
      <c r="EK13" s="355">
        <v>270229835.819023</v>
      </c>
      <c r="EL13" s="355">
        <v>317384422.727823</v>
      </c>
      <c r="EM13" s="355">
        <v>122469339.018951</v>
      </c>
      <c r="EN13" s="355">
        <v>393714.342288366</v>
      </c>
      <c r="EO13" s="370">
        <v>1673043731.25062</v>
      </c>
      <c r="EP13" s="365"/>
      <c r="EQ13" s="365">
        <f ca="1" t="shared" ref="EQ13:EV13" si="118">DO13/EJ13</f>
        <v>2.87856730803209</v>
      </c>
      <c r="ER13" s="365">
        <f ca="1" t="shared" si="118"/>
        <v>47.4888682522322</v>
      </c>
      <c r="ES13" s="365">
        <f ca="1" t="shared" si="118"/>
        <v>27.3011069097029</v>
      </c>
      <c r="ET13" s="365">
        <f ca="1" t="shared" si="118"/>
        <v>50.9546233779419</v>
      </c>
      <c r="EU13" s="365">
        <f ca="1" t="shared" si="118"/>
        <v>3.4737428226279</v>
      </c>
      <c r="EV13" s="365">
        <f ca="1" t="shared" si="118"/>
        <v>307.149837990828</v>
      </c>
      <c r="EW13" s="126">
        <f t="shared" si="109"/>
        <v>2.10657421760255e-5</v>
      </c>
      <c r="EX13" s="91">
        <f t="shared" si="110"/>
        <v>32904.0000000001</v>
      </c>
    </row>
    <row r="14" ht="15.75" spans="1:154">
      <c r="A14" s="185" t="s">
        <v>55</v>
      </c>
      <c r="B14" s="180">
        <f>VLOOKUP(A14,衰变常数!$A$1:$H$3800,7,FALSE)</f>
        <v>9.99668118007245e-7</v>
      </c>
      <c r="C14" s="181">
        <v>2.27e+17</v>
      </c>
      <c r="D14" s="183"/>
      <c r="E14" s="183">
        <v>19600000</v>
      </c>
      <c r="F14" s="183">
        <v>76000000</v>
      </c>
      <c r="G14" s="184">
        <v>0.257894736842105</v>
      </c>
      <c r="H14" s="186"/>
      <c r="I14" s="220">
        <v>435000000000</v>
      </c>
      <c r="J14" s="221">
        <v>1</v>
      </c>
      <c r="K14" s="222">
        <f t="shared" ref="K14:K23" si="119">100%</f>
        <v>1</v>
      </c>
      <c r="L14" s="216">
        <f t="shared" ref="L14:L23" si="120">I14*J14*K14</f>
        <v>435000000000</v>
      </c>
      <c r="M14" s="218"/>
      <c r="N14" s="218"/>
      <c r="O14" s="216">
        <f t="shared" si="0"/>
        <v>33210100</v>
      </c>
      <c r="P14" s="216">
        <f t="shared" si="1"/>
        <v>953400000000</v>
      </c>
      <c r="Q14" s="216">
        <f ca="1">'进水-事故进程'!Z36</f>
        <v>2.6744960147142e-12</v>
      </c>
      <c r="R14" s="216">
        <f ca="1" t="shared" si="2"/>
        <v>58884014.5532288</v>
      </c>
      <c r="S14" s="244">
        <f ca="1" t="shared" si="3"/>
        <v>1388497814263.85</v>
      </c>
      <c r="T14" s="245">
        <f ca="1" t="shared" si="4"/>
        <v>953502162798.431</v>
      </c>
      <c r="U14" s="216">
        <f t="shared" si="5"/>
        <v>0</v>
      </c>
      <c r="V14" s="246">
        <f t="shared" si="6"/>
        <v>1</v>
      </c>
      <c r="W14" s="216">
        <f t="shared" si="7"/>
        <v>2.26997730764715e+17</v>
      </c>
      <c r="X14" s="247">
        <f ca="1" t="shared" si="8"/>
        <v>0</v>
      </c>
      <c r="Y14" s="275">
        <f ca="1" t="shared" si="9"/>
        <v>1388497814263.85</v>
      </c>
      <c r="Z14" s="216">
        <f ca="1" t="shared" si="10"/>
        <v>953502162798.431</v>
      </c>
      <c r="AA14" s="276">
        <f ca="1" t="shared" si="11"/>
        <v>434995651465.422</v>
      </c>
      <c r="AB14" s="277">
        <f t="shared" si="12"/>
        <v>1</v>
      </c>
      <c r="AC14" s="247">
        <f ca="1" t="shared" si="13"/>
        <v>953502162798.431</v>
      </c>
      <c r="AD14" s="278">
        <f ca="1" t="shared" si="14"/>
        <v>953502162798.431</v>
      </c>
      <c r="AE14" s="279">
        <f ca="1" t="shared" si="15"/>
        <v>0</v>
      </c>
      <c r="AF14" s="280">
        <f t="shared" si="16"/>
        <v>7200</v>
      </c>
      <c r="AG14" s="247">
        <f t="shared" si="17"/>
        <v>2.26997730764715e+17</v>
      </c>
      <c r="AH14" s="247">
        <f ca="1" t="shared" si="18"/>
        <v>0</v>
      </c>
      <c r="AI14" s="298">
        <f ca="1" t="shared" si="19"/>
        <v>434995651465.422</v>
      </c>
      <c r="AJ14" s="247">
        <f ca="1">'DN65-事故进程'!Z36</f>
        <v>3.30377728087424e-12</v>
      </c>
      <c r="AK14" s="247">
        <f ca="1" t="shared" si="20"/>
        <v>3.41550507006928e-5</v>
      </c>
      <c r="AL14" s="247">
        <f t="shared" si="21"/>
        <v>0.0115740740740741</v>
      </c>
      <c r="AM14" s="299">
        <f ca="1" t="shared" si="22"/>
        <v>0.992828206697422</v>
      </c>
      <c r="AN14" s="299">
        <f ca="1" t="shared" si="23"/>
        <v>0.776379388555963</v>
      </c>
      <c r="AO14" s="299">
        <f t="shared" si="24"/>
        <v>6.39244930009139e-37</v>
      </c>
      <c r="AP14" s="247">
        <f ca="1" t="shared" si="25"/>
        <v>2.25369749959516e+17</v>
      </c>
      <c r="AQ14" s="247">
        <f ca="1" t="shared" si="26"/>
        <v>4752614672.96173</v>
      </c>
      <c r="AR14" s="306">
        <f ca="1" t="shared" si="27"/>
        <v>13876056.4184412</v>
      </c>
      <c r="AS14" s="307">
        <f ca="1" t="shared" si="28"/>
        <v>432484262703.038</v>
      </c>
      <c r="AT14" s="247">
        <f ca="1" t="shared" si="29"/>
        <v>5380253832.11798</v>
      </c>
      <c r="AU14" s="247">
        <f ca="1" t="shared" si="30"/>
        <v>609791459.669393</v>
      </c>
      <c r="AV14" s="308">
        <f ca="1" t="shared" si="31"/>
        <v>435605442925.092</v>
      </c>
      <c r="AW14" s="280">
        <f t="shared" si="32"/>
        <v>21600</v>
      </c>
      <c r="AX14" s="247">
        <f ca="1" t="shared" si="33"/>
        <v>2.25369749959516e+17</v>
      </c>
      <c r="AY14" s="247">
        <f ca="1" t="shared" si="34"/>
        <v>4752614672.96173</v>
      </c>
      <c r="AZ14" s="298">
        <f ca="1" t="shared" si="35"/>
        <v>0</v>
      </c>
      <c r="BA14" s="247">
        <f ca="1">'DN65-事故进程'!AA36</f>
        <v>1.25504687751411e-11</v>
      </c>
      <c r="BB14" s="247">
        <f ca="1" t="shared" si="36"/>
        <v>8.73428285176643e-6</v>
      </c>
      <c r="BC14" s="247">
        <f t="shared" si="37"/>
        <v>0.0115740740740741</v>
      </c>
      <c r="BD14" s="299">
        <f ca="1" t="shared" si="38"/>
        <v>0.978638359609307</v>
      </c>
      <c r="BE14" s="299">
        <f ca="1" t="shared" si="39"/>
        <v>0.810378917799714</v>
      </c>
      <c r="BF14" s="299">
        <f t="shared" si="40"/>
        <v>2.61217264215672e-109</v>
      </c>
      <c r="BG14" s="247">
        <f ca="1" t="shared" si="41"/>
        <v>2.20555482405941e+17</v>
      </c>
      <c r="BH14" s="247">
        <f ca="1" t="shared" si="42"/>
        <v>58340362097.5921</v>
      </c>
      <c r="BI14" s="306">
        <f ca="1" t="shared" si="43"/>
        <v>43878721.0633778</v>
      </c>
      <c r="BJ14" s="307">
        <f ca="1" t="shared" si="44"/>
        <v>6101151758.40787</v>
      </c>
      <c r="BK14" s="247">
        <f ca="1" t="shared" si="45"/>
        <v>60440615200.0875</v>
      </c>
      <c r="BL14" s="247">
        <f ca="1" t="shared" si="46"/>
        <v>6149084342.26368</v>
      </c>
      <c r="BM14" s="308">
        <f ca="1" t="shared" si="47"/>
        <v>6149084342.26368</v>
      </c>
      <c r="BN14" s="280">
        <f t="shared" si="48"/>
        <v>57600</v>
      </c>
      <c r="BO14" s="247">
        <f ca="1" t="shared" si="49"/>
        <v>2.20555482405941e+17</v>
      </c>
      <c r="BP14" s="247">
        <f ca="1" t="shared" si="50"/>
        <v>58340362097.5921</v>
      </c>
      <c r="BQ14" s="298">
        <f ca="1" t="shared" si="51"/>
        <v>0</v>
      </c>
      <c r="BR14" s="247">
        <f ca="1">'DN65-事故进程'!AB36</f>
        <v>2.24251832538325e-11</v>
      </c>
      <c r="BS14" s="247">
        <f ca="1" t="shared" si="52"/>
        <v>9.71204011720554e-7</v>
      </c>
      <c r="BT14" s="247">
        <f t="shared" si="53"/>
        <v>0.0115740740740741</v>
      </c>
      <c r="BU14" s="299">
        <f ca="1" t="shared" si="54"/>
        <v>0.944044310086023</v>
      </c>
      <c r="BV14" s="299">
        <f ca="1" t="shared" si="55"/>
        <v>0.892684347646564</v>
      </c>
      <c r="BW14" s="299">
        <f t="shared" si="56"/>
        <v>2.78829254655731e-290</v>
      </c>
      <c r="BX14" s="247">
        <f ca="1" t="shared" si="57"/>
        <v>2.08214148223606e+17</v>
      </c>
      <c r="BY14" s="247">
        <f ca="1" t="shared" si="58"/>
        <v>313643615937</v>
      </c>
      <c r="BZ14" s="306">
        <f ca="1" t="shared" si="59"/>
        <v>26286825.2391968</v>
      </c>
      <c r="CA14" s="307">
        <f ca="1" t="shared" si="60"/>
        <v>10380764575</v>
      </c>
      <c r="CB14" s="247">
        <f ca="1" t="shared" si="61"/>
        <v>276842351386.434</v>
      </c>
      <c r="CC14" s="247">
        <f ca="1" t="shared" si="62"/>
        <v>10614010737.1662</v>
      </c>
      <c r="CD14" s="308">
        <f ca="1" t="shared" si="63"/>
        <v>10614010737.1662</v>
      </c>
      <c r="CE14" s="280">
        <f t="shared" si="64"/>
        <v>259200</v>
      </c>
      <c r="CF14" s="247">
        <f ca="1" t="shared" si="65"/>
        <v>2.08214148223606e+17</v>
      </c>
      <c r="CG14" s="247">
        <f ca="1" t="shared" si="66"/>
        <v>313643615937</v>
      </c>
      <c r="CH14" s="298">
        <f ca="1" t="shared" si="67"/>
        <v>0</v>
      </c>
      <c r="CI14" s="247">
        <f ca="1">'DN65-事故进程'!AC36</f>
        <v>4.64742771888971e-11</v>
      </c>
      <c r="CJ14" s="247">
        <f ca="1" t="shared" si="68"/>
        <v>3.43152347017181e-7</v>
      </c>
      <c r="CK14" s="247">
        <f t="shared" si="69"/>
        <v>0.0115740740740741</v>
      </c>
      <c r="CL14" s="299">
        <f ca="1" t="shared" si="70"/>
        <v>0.771725762244258</v>
      </c>
      <c r="CM14" s="299">
        <f ca="1" t="shared" si="71"/>
        <v>0.7060571720447</v>
      </c>
      <c r="CN14" s="299">
        <f t="shared" si="72"/>
        <v>0</v>
      </c>
      <c r="CO14" s="247">
        <f ca="1" t="shared" si="73"/>
        <v>1.60684222247901e+17</v>
      </c>
      <c r="CP14" s="247">
        <f ca="1" t="shared" si="74"/>
        <v>2073499106879.83</v>
      </c>
      <c r="CQ14" s="306">
        <f ca="1" t="shared" si="75"/>
        <v>61458546.5392498</v>
      </c>
      <c r="CR14" s="307">
        <f ca="1" t="shared" si="76"/>
        <v>104185781440.168</v>
      </c>
      <c r="CS14" s="247">
        <f ca="1" t="shared" si="77"/>
        <v>2209549577059.88</v>
      </c>
      <c r="CT14" s="247">
        <f ca="1" t="shared" si="78"/>
        <v>114917507671.441</v>
      </c>
      <c r="CU14" s="308">
        <f ca="1" t="shared" si="79"/>
        <v>114917507671.441</v>
      </c>
      <c r="CV14" s="280">
        <f t="shared" si="80"/>
        <v>2246400</v>
      </c>
      <c r="CW14" s="247">
        <f ca="1" t="shared" si="81"/>
        <v>1.60684222247901e+17</v>
      </c>
      <c r="CX14" s="247">
        <f ca="1" t="shared" si="82"/>
        <v>2073499106879.83</v>
      </c>
      <c r="CY14" s="298">
        <f ca="1" t="shared" si="83"/>
        <v>0</v>
      </c>
      <c r="CZ14" s="247">
        <f ca="1">'DN65-事故进程'!AE36</f>
        <v>2.38944424233005e-11</v>
      </c>
      <c r="DA14" s="247">
        <f t="shared" si="84"/>
        <v>4.45156695156695e-9</v>
      </c>
      <c r="DB14" s="247">
        <f t="shared" si="85"/>
        <v>0.0115740740740741</v>
      </c>
      <c r="DC14" s="299">
        <f ca="1" t="shared" si="86"/>
        <v>0.105852555740397</v>
      </c>
      <c r="DD14" s="299">
        <f t="shared" si="87"/>
        <v>0.104804930621014</v>
      </c>
      <c r="DE14" s="299">
        <f t="shared" si="88"/>
        <v>0</v>
      </c>
      <c r="DF14" s="247">
        <f ca="1" t="shared" si="89"/>
        <v>1.70088355920983e+16</v>
      </c>
      <c r="DG14" s="247">
        <f ca="1" t="shared" si="90"/>
        <v>1125761923157.56</v>
      </c>
      <c r="DH14" s="306">
        <f ca="1" t="shared" si="91"/>
        <v>432972.0160506</v>
      </c>
      <c r="DI14" s="307">
        <f ca="1" t="shared" si="92"/>
        <v>6733887460.4375</v>
      </c>
      <c r="DJ14" s="247">
        <f ca="1" t="shared" si="93"/>
        <v>3434100914420.75</v>
      </c>
      <c r="DK14" s="247">
        <f ca="1" t="shared" si="94"/>
        <v>19426016596.4285</v>
      </c>
      <c r="DL14" s="308">
        <f ca="1" t="shared" si="95"/>
        <v>19426016596.4285</v>
      </c>
      <c r="DM14" s="321"/>
      <c r="DN14" s="322">
        <f ca="1" t="shared" si="96"/>
        <v>953502162798.431</v>
      </c>
      <c r="DO14" s="323">
        <f ca="1" t="shared" si="97"/>
        <v>435605442925.092</v>
      </c>
      <c r="DP14" s="323">
        <f ca="1" t="shared" si="98"/>
        <v>6149084342.26368</v>
      </c>
      <c r="DQ14" s="323">
        <f ca="1" t="shared" si="99"/>
        <v>10614010737.1662</v>
      </c>
      <c r="DR14" s="323">
        <f ca="1" t="shared" si="100"/>
        <v>114917507671.441</v>
      </c>
      <c r="DS14" s="323">
        <f ca="1" t="shared" si="101"/>
        <v>19426016596.4285</v>
      </c>
      <c r="DT14" s="352">
        <f ca="1" t="shared" si="102"/>
        <v>1540214225070.82</v>
      </c>
      <c r="DU14" s="353">
        <f ca="1" t="shared" si="103"/>
        <v>1388497814263.85</v>
      </c>
      <c r="DV14" s="126"/>
      <c r="DW14" s="354">
        <v>141714585026.664</v>
      </c>
      <c r="DX14" s="355"/>
      <c r="DY14" s="355"/>
      <c r="DZ14" s="355"/>
      <c r="EA14" s="354">
        <f t="shared" si="104"/>
        <v>141714585026.664</v>
      </c>
      <c r="EB14" s="365">
        <f ca="1" t="shared" si="105"/>
        <v>6.72832766379711</v>
      </c>
      <c r="EC14" s="365"/>
      <c r="ED14" s="365"/>
      <c r="EE14" s="365"/>
      <c r="EF14" s="365">
        <f ca="1" t="shared" si="106"/>
        <v>10.7313457410771</v>
      </c>
      <c r="EG14" s="369">
        <f ca="1" t="shared" si="107"/>
        <v>10.8684241977001</v>
      </c>
      <c r="EI14" s="354">
        <v>0</v>
      </c>
      <c r="EJ14" s="355">
        <v>8291894256.85646</v>
      </c>
      <c r="EK14" s="355">
        <v>3274685790.34463</v>
      </c>
      <c r="EL14" s="355">
        <v>8022803852.95152</v>
      </c>
      <c r="EM14" s="355">
        <v>25982551795.5755</v>
      </c>
      <c r="EN14" s="355">
        <v>34465296057.5352</v>
      </c>
      <c r="EO14" s="370">
        <v>80037231753.2633</v>
      </c>
      <c r="EP14" s="365"/>
      <c r="EQ14" s="365">
        <f ca="1" t="shared" ref="EQ14:EV14" si="121">DO14/EJ14</f>
        <v>52.533887846543</v>
      </c>
      <c r="ER14" s="365">
        <f ca="1" t="shared" si="121"/>
        <v>1.87776316139832</v>
      </c>
      <c r="ES14" s="365">
        <f ca="1" t="shared" si="121"/>
        <v>1.32298021137104</v>
      </c>
      <c r="ET14" s="365">
        <f ca="1" t="shared" si="121"/>
        <v>4.42287226349375</v>
      </c>
      <c r="EU14" s="365">
        <f ca="1" t="shared" si="121"/>
        <v>0.563639916628001</v>
      </c>
      <c r="EV14" s="365">
        <f ca="1" t="shared" si="121"/>
        <v>19.2437218445905</v>
      </c>
      <c r="EW14" s="126">
        <f t="shared" si="109"/>
        <v>9.99668118007245e-7</v>
      </c>
      <c r="EX14" s="91">
        <f t="shared" si="110"/>
        <v>693377.3</v>
      </c>
    </row>
    <row r="15" ht="15.75" spans="1:154">
      <c r="A15" s="185" t="s">
        <v>56</v>
      </c>
      <c r="B15" s="180">
        <f>VLOOKUP(A15,衰变常数!$A$1:$H$3800,7,FALSE)</f>
        <v>8.38958097990735e-5</v>
      </c>
      <c r="C15" s="181">
        <v>3.35e+17</v>
      </c>
      <c r="D15" s="183"/>
      <c r="E15" s="183">
        <v>261000000</v>
      </c>
      <c r="F15" s="183">
        <v>950000000</v>
      </c>
      <c r="G15" s="184">
        <v>0.274736842105263</v>
      </c>
      <c r="H15" s="186"/>
      <c r="I15" s="220">
        <v>69400000000</v>
      </c>
      <c r="J15" s="221">
        <v>1</v>
      </c>
      <c r="K15" s="222">
        <f t="shared" si="119"/>
        <v>1</v>
      </c>
      <c r="L15" s="216">
        <f t="shared" si="120"/>
        <v>69400000000</v>
      </c>
      <c r="M15" s="218"/>
      <c r="N15" s="218"/>
      <c r="O15" s="216">
        <f t="shared" si="0"/>
        <v>49010500</v>
      </c>
      <c r="P15" s="216">
        <f t="shared" si="1"/>
        <v>1407000000000</v>
      </c>
      <c r="Q15" s="216">
        <f ca="1">'进水-事故进程'!Z37</f>
        <v>2.39451640247382e-11</v>
      </c>
      <c r="R15" s="216">
        <f ca="1" t="shared" si="2"/>
        <v>771791721.0881</v>
      </c>
      <c r="S15" s="244">
        <f ca="1" t="shared" si="3"/>
        <v>1476243423945.77</v>
      </c>
      <c r="T15" s="245">
        <f ca="1" t="shared" si="4"/>
        <v>1406901623220.98</v>
      </c>
      <c r="U15" s="216">
        <f t="shared" si="5"/>
        <v>0</v>
      </c>
      <c r="V15" s="246">
        <f t="shared" si="6"/>
        <v>1</v>
      </c>
      <c r="W15" s="216">
        <f t="shared" si="7"/>
        <v>3.34719066899201e+17</v>
      </c>
      <c r="X15" s="247">
        <f ca="1" t="shared" si="8"/>
        <v>0</v>
      </c>
      <c r="Y15" s="275">
        <f ca="1" t="shared" si="9"/>
        <v>1476243423945.77</v>
      </c>
      <c r="Z15" s="216">
        <f ca="1" t="shared" si="10"/>
        <v>1406901623220.98</v>
      </c>
      <c r="AA15" s="276">
        <f ca="1" t="shared" si="11"/>
        <v>69341800724.7898</v>
      </c>
      <c r="AB15" s="277">
        <f t="shared" si="12"/>
        <v>1</v>
      </c>
      <c r="AC15" s="247">
        <f ca="1" t="shared" si="13"/>
        <v>1406901623220.98</v>
      </c>
      <c r="AD15" s="278">
        <f ca="1" t="shared" si="14"/>
        <v>1406901623220.98</v>
      </c>
      <c r="AE15" s="279">
        <f ca="1" t="shared" si="15"/>
        <v>0</v>
      </c>
      <c r="AF15" s="280">
        <f t="shared" si="16"/>
        <v>7200</v>
      </c>
      <c r="AG15" s="247">
        <f t="shared" si="17"/>
        <v>3.34719066899201e+17</v>
      </c>
      <c r="AH15" s="247">
        <f ca="1" t="shared" si="18"/>
        <v>0</v>
      </c>
      <c r="AI15" s="298">
        <f ca="1" t="shared" si="19"/>
        <v>69341800724.7898</v>
      </c>
      <c r="AJ15" s="247">
        <f ca="1">'DN65-事故进程'!Z37</f>
        <v>2.96310438525152e-11</v>
      </c>
      <c r="AK15" s="247">
        <f ca="1" t="shared" si="20"/>
        <v>3.41550507006928e-5</v>
      </c>
      <c r="AL15" s="247">
        <f t="shared" si="21"/>
        <v>0.0115740740740741</v>
      </c>
      <c r="AM15" s="299">
        <f ca="1" t="shared" si="22"/>
        <v>0.546593419845425</v>
      </c>
      <c r="AN15" s="299">
        <f ca="1" t="shared" si="23"/>
        <v>0.427429380698986</v>
      </c>
      <c r="AO15" s="299">
        <f t="shared" si="24"/>
        <v>3.51931115864594e-37</v>
      </c>
      <c r="AP15" s="247">
        <f ca="1" t="shared" si="25"/>
        <v>1.82955239463904e+17</v>
      </c>
      <c r="AQ15" s="247">
        <f ca="1" t="shared" si="26"/>
        <v>34603343291.8282</v>
      </c>
      <c r="AR15" s="306">
        <f ca="1" t="shared" si="27"/>
        <v>101030270.158377</v>
      </c>
      <c r="AS15" s="307">
        <f ca="1" t="shared" si="28"/>
        <v>42330754948.1718</v>
      </c>
      <c r="AT15" s="247">
        <f ca="1" t="shared" si="29"/>
        <v>53601235252.0369</v>
      </c>
      <c r="AU15" s="247">
        <f ca="1" t="shared" si="30"/>
        <v>5496562755.74965</v>
      </c>
      <c r="AV15" s="308">
        <f ca="1" t="shared" si="31"/>
        <v>74838363480.5394</v>
      </c>
      <c r="AW15" s="280">
        <f t="shared" si="32"/>
        <v>21600</v>
      </c>
      <c r="AX15" s="247">
        <f ca="1" t="shared" si="33"/>
        <v>1.82955239463904e+17</v>
      </c>
      <c r="AY15" s="247">
        <f ca="1" t="shared" si="34"/>
        <v>34603343291.8282</v>
      </c>
      <c r="AZ15" s="298">
        <f ca="1" t="shared" si="35"/>
        <v>0</v>
      </c>
      <c r="BA15" s="247">
        <f ca="1">'DN65-事故进程'!AA37</f>
        <v>1.17931979441473e-10</v>
      </c>
      <c r="BB15" s="247">
        <f ca="1" t="shared" si="36"/>
        <v>8.73428285176643e-6</v>
      </c>
      <c r="BC15" s="247">
        <f t="shared" si="37"/>
        <v>0.0115740740740741</v>
      </c>
      <c r="BD15" s="299">
        <f ca="1" t="shared" si="38"/>
        <v>0.163302325411002</v>
      </c>
      <c r="BE15" s="299">
        <f ca="1" t="shared" si="39"/>
        <v>0.135225705871813</v>
      </c>
      <c r="BF15" s="299">
        <f t="shared" si="40"/>
        <v>4.35886079506796e-110</v>
      </c>
      <c r="BG15" s="247">
        <f ca="1" t="shared" si="41"/>
        <v>2.98770160505823e+16</v>
      </c>
      <c r="BH15" s="247">
        <f ca="1" t="shared" si="42"/>
        <v>74037789646.6166</v>
      </c>
      <c r="BI15" s="306">
        <f ca="1" t="shared" si="43"/>
        <v>55684317.1357978</v>
      </c>
      <c r="BJ15" s="307">
        <f ca="1" t="shared" si="44"/>
        <v>7719769985.38342</v>
      </c>
      <c r="BK15" s="247">
        <f ca="1" t="shared" si="45"/>
        <v>215181098591.453</v>
      </c>
      <c r="BL15" s="247">
        <f ca="1" t="shared" si="46"/>
        <v>16571515011.5651</v>
      </c>
      <c r="BM15" s="308">
        <f ca="1" t="shared" si="47"/>
        <v>16571515011.5651</v>
      </c>
      <c r="BN15" s="280">
        <f t="shared" si="48"/>
        <v>57600</v>
      </c>
      <c r="BO15" s="247">
        <f ca="1" t="shared" si="49"/>
        <v>2.98770160505823e+16</v>
      </c>
      <c r="BP15" s="247">
        <f ca="1" t="shared" si="50"/>
        <v>74037789646.6166</v>
      </c>
      <c r="BQ15" s="298">
        <f ca="1" t="shared" si="51"/>
        <v>0</v>
      </c>
      <c r="BR15" s="247">
        <f ca="1">'DN65-事故进程'!AB37</f>
        <v>2.27091572838889e-10</v>
      </c>
      <c r="BS15" s="247">
        <f ca="1" t="shared" si="52"/>
        <v>9.71204011720554e-7</v>
      </c>
      <c r="BT15" s="247">
        <f t="shared" si="53"/>
        <v>0.0115740740740741</v>
      </c>
      <c r="BU15" s="299">
        <f ca="1" t="shared" si="54"/>
        <v>0.00796728318155253</v>
      </c>
      <c r="BV15" s="299">
        <f ca="1" t="shared" si="55"/>
        <v>0.00753391843894377</v>
      </c>
      <c r="BW15" s="299">
        <f t="shared" si="56"/>
        <v>2.35321350542973e-292</v>
      </c>
      <c r="BX15" s="247">
        <f ca="1" t="shared" si="57"/>
        <v>238038647494779</v>
      </c>
      <c r="BY15" s="247">
        <f ca="1" t="shared" si="58"/>
        <v>3585983177.28008</v>
      </c>
      <c r="BZ15" s="306">
        <f ca="1" t="shared" si="59"/>
        <v>300540.424662865</v>
      </c>
      <c r="CA15" s="307">
        <f ca="1" t="shared" si="60"/>
        <v>117583420.469925</v>
      </c>
      <c r="CB15" s="247">
        <f ca="1" t="shared" si="61"/>
        <v>80227412941.7649</v>
      </c>
      <c r="CC15" s="247">
        <f ca="1" t="shared" si="62"/>
        <v>1724347962.81674</v>
      </c>
      <c r="CD15" s="308">
        <f ca="1" t="shared" si="63"/>
        <v>1724347962.81674</v>
      </c>
      <c r="CE15" s="280">
        <f t="shared" si="64"/>
        <v>259200</v>
      </c>
      <c r="CF15" s="247">
        <f ca="1" t="shared" si="65"/>
        <v>238038647494779</v>
      </c>
      <c r="CG15" s="247">
        <f ca="1" t="shared" si="66"/>
        <v>3585983177.28008</v>
      </c>
      <c r="CH15" s="298">
        <f ca="1" t="shared" si="67"/>
        <v>0</v>
      </c>
      <c r="CI15" s="247">
        <f ca="1">'DN65-事故进程'!AC37</f>
        <v>5.76808771153386e-10</v>
      </c>
      <c r="CJ15" s="247">
        <f ca="1" t="shared" si="68"/>
        <v>3.43152347017181e-7</v>
      </c>
      <c r="CK15" s="247">
        <f t="shared" si="69"/>
        <v>0.0115740740740741</v>
      </c>
      <c r="CL15" s="299">
        <f ca="1" t="shared" si="70"/>
        <v>3.59630712797647e-10</v>
      </c>
      <c r="CM15" s="299">
        <f ca="1" t="shared" si="71"/>
        <v>3.2907382828131e-10</v>
      </c>
      <c r="CN15" s="299">
        <f t="shared" si="72"/>
        <v>0</v>
      </c>
      <c r="CO15" s="247">
        <f ca="1" t="shared" si="73"/>
        <v>85606.0084719352</v>
      </c>
      <c r="CP15" s="247">
        <f ca="1" t="shared" si="74"/>
        <v>13.4271190887115</v>
      </c>
      <c r="CQ15" s="306">
        <f ca="1" t="shared" si="75"/>
        <v>0.000397977408875213</v>
      </c>
      <c r="CR15" s="307">
        <f ca="1" t="shared" si="76"/>
        <v>0.662514707317911</v>
      </c>
      <c r="CS15" s="247">
        <f ca="1" t="shared" si="77"/>
        <v>1636575605.34629</v>
      </c>
      <c r="CT15" s="247">
        <f ca="1" t="shared" si="78"/>
        <v>21274399.0836201</v>
      </c>
      <c r="CU15" s="308">
        <f ca="1" t="shared" si="79"/>
        <v>21274399.0836201</v>
      </c>
      <c r="CV15" s="280">
        <f t="shared" si="80"/>
        <v>2246400</v>
      </c>
      <c r="CW15" s="247">
        <f ca="1" t="shared" si="81"/>
        <v>85606.0084719352</v>
      </c>
      <c r="CX15" s="247">
        <f ca="1" t="shared" si="82"/>
        <v>13.4271190887115</v>
      </c>
      <c r="CY15" s="298">
        <f ca="1" t="shared" si="83"/>
        <v>0</v>
      </c>
      <c r="CZ15" s="247">
        <f ca="1">'DN65-事故进程'!AE37</f>
        <v>2.40766709700896e-10</v>
      </c>
      <c r="DA15" s="247">
        <f t="shared" si="84"/>
        <v>4.45156695156695e-9</v>
      </c>
      <c r="DB15" s="247">
        <f t="shared" si="85"/>
        <v>0.0115740740740741</v>
      </c>
      <c r="DC15" s="299">
        <f ca="1" t="shared" si="86"/>
        <v>1.4160759552361e-82</v>
      </c>
      <c r="DD15" s="299">
        <f t="shared" si="87"/>
        <v>1.40274424484293e-82</v>
      </c>
      <c r="DE15" s="299">
        <f t="shared" si="88"/>
        <v>0</v>
      </c>
      <c r="DF15" s="247">
        <f ca="1" t="shared" si="89"/>
        <v>1.21224610220845e-77</v>
      </c>
      <c r="DG15" s="247">
        <f ca="1" t="shared" si="90"/>
        <v>8.40910345889148e-81</v>
      </c>
      <c r="DH15" s="306">
        <f ca="1" t="shared" si="91"/>
        <v>3.23417481487401e-87</v>
      </c>
      <c r="DI15" s="307">
        <f ca="1" t="shared" si="92"/>
        <v>5.16147491641172e-83</v>
      </c>
      <c r="DJ15" s="247">
        <f ca="1" t="shared" si="93"/>
        <v>0.245673984072154</v>
      </c>
      <c r="DK15" s="247">
        <f ca="1" t="shared" si="94"/>
        <v>0.000725448917410233</v>
      </c>
      <c r="DL15" s="308">
        <f ca="1" t="shared" si="95"/>
        <v>0.000725448917410233</v>
      </c>
      <c r="DM15" s="321"/>
      <c r="DN15" s="322">
        <f ca="1" t="shared" si="96"/>
        <v>1406901623220.98</v>
      </c>
      <c r="DO15" s="323">
        <f ca="1" t="shared" si="97"/>
        <v>74838363480.5394</v>
      </c>
      <c r="DP15" s="323">
        <f ca="1" t="shared" si="98"/>
        <v>16571515011.5651</v>
      </c>
      <c r="DQ15" s="323">
        <f ca="1" t="shared" si="99"/>
        <v>1724347962.81674</v>
      </c>
      <c r="DR15" s="323">
        <f ca="1" t="shared" si="100"/>
        <v>21274399.0836201</v>
      </c>
      <c r="DS15" s="323">
        <f ca="1" t="shared" si="101"/>
        <v>0.000725448917410233</v>
      </c>
      <c r="DT15" s="352">
        <f ca="1" t="shared" si="102"/>
        <v>1500057124074.99</v>
      </c>
      <c r="DU15" s="353">
        <f ca="1" t="shared" si="103"/>
        <v>1476243423945.77</v>
      </c>
      <c r="DV15" s="126"/>
      <c r="DW15" s="354">
        <v>10206771749.0249</v>
      </c>
      <c r="DX15" s="355"/>
      <c r="DY15" s="355"/>
      <c r="DZ15" s="355"/>
      <c r="EA15" s="354">
        <f t="shared" si="104"/>
        <v>10206771749.0249</v>
      </c>
      <c r="EB15" s="365">
        <f ca="1" t="shared" si="105"/>
        <v>137.840020117565</v>
      </c>
      <c r="EC15" s="365"/>
      <c r="ED15" s="365"/>
      <c r="EE15" s="365"/>
      <c r="EF15" s="365">
        <f ca="1" t="shared" si="106"/>
        <v>146.966853081465</v>
      </c>
      <c r="EG15" s="369">
        <f ca="1" t="shared" si="107"/>
        <v>146.966853081465</v>
      </c>
      <c r="EI15" s="354">
        <v>0</v>
      </c>
      <c r="EJ15" s="355">
        <v>571520576.380978</v>
      </c>
      <c r="EK15" s="355">
        <v>60383701.4825556</v>
      </c>
      <c r="EL15" s="355">
        <v>11410357.5423405</v>
      </c>
      <c r="EM15" s="355">
        <v>86665.5757353232</v>
      </c>
      <c r="EN15" s="355">
        <v>2.42952921240521e-5</v>
      </c>
      <c r="EO15" s="370">
        <v>643401300.981634</v>
      </c>
      <c r="EP15" s="365"/>
      <c r="EQ15" s="365">
        <f ca="1" t="shared" ref="EQ15:EV15" si="122">DO15/EJ15</f>
        <v>130.946052641597</v>
      </c>
      <c r="ER15" s="365">
        <f ca="1" t="shared" si="122"/>
        <v>274.436886191094</v>
      </c>
      <c r="ES15" s="365">
        <f ca="1" t="shared" si="122"/>
        <v>151.121291021617</v>
      </c>
      <c r="ET15" s="365">
        <f ca="1" t="shared" si="122"/>
        <v>245.476925562604</v>
      </c>
      <c r="EU15" s="365">
        <f ca="1" t="shared" si="122"/>
        <v>29.8596499151392</v>
      </c>
      <c r="EV15" s="365">
        <f ca="1" t="shared" si="122"/>
        <v>2331.44869583938</v>
      </c>
      <c r="EW15" s="126">
        <f t="shared" si="109"/>
        <v>8.38958097990735e-5</v>
      </c>
      <c r="EX15" s="91">
        <f t="shared" si="110"/>
        <v>8262</v>
      </c>
    </row>
    <row r="16" ht="15.75" spans="1:154">
      <c r="A16" s="185" t="s">
        <v>57</v>
      </c>
      <c r="B16" s="180">
        <f>VLOOKUP(A16,衰变常数!$A$1:$H$3800,7,FALSE)</f>
        <v>9.25677324465738e-6</v>
      </c>
      <c r="C16" s="181">
        <v>4.55e+17</v>
      </c>
      <c r="D16" s="183"/>
      <c r="E16" s="183">
        <v>119000000</v>
      </c>
      <c r="F16" s="183">
        <v>370000000</v>
      </c>
      <c r="G16" s="184">
        <v>0.321621621621622</v>
      </c>
      <c r="H16" s="186"/>
      <c r="I16" s="220">
        <v>286000000000</v>
      </c>
      <c r="J16" s="221">
        <v>1</v>
      </c>
      <c r="K16" s="222">
        <f t="shared" si="119"/>
        <v>1</v>
      </c>
      <c r="L16" s="216">
        <f t="shared" si="120"/>
        <v>286000000000</v>
      </c>
      <c r="M16" s="218"/>
      <c r="N16" s="218"/>
      <c r="O16" s="216">
        <f t="shared" si="0"/>
        <v>66566500</v>
      </c>
      <c r="P16" s="216">
        <f t="shared" si="1"/>
        <v>1911000000000</v>
      </c>
      <c r="Q16" s="216">
        <f ca="1">'进水-事故进程'!Z38</f>
        <v>8.16827442259147e-12</v>
      </c>
      <c r="R16" s="216">
        <f ca="1" t="shared" si="2"/>
        <v>360183257.108737</v>
      </c>
      <c r="S16" s="244">
        <f ca="1" t="shared" si="3"/>
        <v>2197342370684.77</v>
      </c>
      <c r="T16" s="245">
        <f ca="1" t="shared" si="4"/>
        <v>1911368843830.95</v>
      </c>
      <c r="U16" s="216">
        <f t="shared" si="5"/>
        <v>0</v>
      </c>
      <c r="V16" s="246">
        <f t="shared" si="6"/>
        <v>1</v>
      </c>
      <c r="W16" s="216">
        <f t="shared" si="7"/>
        <v>4.54957883631075e+17</v>
      </c>
      <c r="X16" s="247">
        <f ca="1" t="shared" si="8"/>
        <v>0</v>
      </c>
      <c r="Y16" s="275">
        <f ca="1" t="shared" si="9"/>
        <v>2197342370684.77</v>
      </c>
      <c r="Z16" s="216">
        <f ca="1" t="shared" si="10"/>
        <v>1911368843830.95</v>
      </c>
      <c r="AA16" s="276">
        <f ca="1" t="shared" si="11"/>
        <v>285973526853.819</v>
      </c>
      <c r="AB16" s="277">
        <f t="shared" si="12"/>
        <v>1</v>
      </c>
      <c r="AC16" s="247">
        <f ca="1" t="shared" si="13"/>
        <v>1911368843830.95</v>
      </c>
      <c r="AD16" s="278">
        <f ca="1" t="shared" si="14"/>
        <v>1911368843830.95</v>
      </c>
      <c r="AE16" s="279">
        <f ca="1" t="shared" si="15"/>
        <v>0</v>
      </c>
      <c r="AF16" s="280">
        <f t="shared" si="16"/>
        <v>7200</v>
      </c>
      <c r="AG16" s="247">
        <f t="shared" si="17"/>
        <v>4.54957883631075e+17</v>
      </c>
      <c r="AH16" s="247">
        <f ca="1" t="shared" si="18"/>
        <v>0</v>
      </c>
      <c r="AI16" s="298">
        <f ca="1" t="shared" si="19"/>
        <v>285973526853.819</v>
      </c>
      <c r="AJ16" s="247">
        <f ca="1">'DN65-事故进程'!Z38</f>
        <v>1.01035399313577e-11</v>
      </c>
      <c r="AK16" s="247">
        <f ca="1" t="shared" si="20"/>
        <v>3.41550507006928e-5</v>
      </c>
      <c r="AL16" s="247">
        <f t="shared" si="21"/>
        <v>0.0115740740740741</v>
      </c>
      <c r="AM16" s="299">
        <f ca="1" t="shared" si="22"/>
        <v>0.935523662051332</v>
      </c>
      <c r="AN16" s="299">
        <f ca="1" t="shared" si="23"/>
        <v>0.731567978611887</v>
      </c>
      <c r="AO16" s="299">
        <f t="shared" si="24"/>
        <v>6.02348707575171e-37</v>
      </c>
      <c r="AP16" s="247">
        <f ca="1" t="shared" si="25"/>
        <v>4.25623865373667e+17</v>
      </c>
      <c r="AQ16" s="247">
        <f ca="1" t="shared" si="26"/>
        <v>27448951714.9196</v>
      </c>
      <c r="AR16" s="306">
        <f ca="1" t="shared" si="27"/>
        <v>80141822.7549177</v>
      </c>
      <c r="AS16" s="307">
        <f ca="1" t="shared" si="28"/>
        <v>271048285533.08</v>
      </c>
      <c r="AT16" s="247">
        <f ca="1" t="shared" si="29"/>
        <v>32017323260.4189</v>
      </c>
      <c r="AU16" s="247">
        <f ca="1" t="shared" si="30"/>
        <v>3594250311.90938</v>
      </c>
      <c r="AV16" s="308">
        <f ca="1" t="shared" si="31"/>
        <v>289567777165.728</v>
      </c>
      <c r="AW16" s="280">
        <f t="shared" si="32"/>
        <v>21600</v>
      </c>
      <c r="AX16" s="247">
        <f ca="1" t="shared" si="33"/>
        <v>4.25623865373667e+17</v>
      </c>
      <c r="AY16" s="247">
        <f ca="1" t="shared" si="34"/>
        <v>27448951714.9196</v>
      </c>
      <c r="AZ16" s="298">
        <f ca="1" t="shared" si="35"/>
        <v>0</v>
      </c>
      <c r="BA16" s="247">
        <f ca="1">'DN65-事故进程'!AA38</f>
        <v>3.97649506127805e-11</v>
      </c>
      <c r="BB16" s="247">
        <f ca="1" t="shared" si="36"/>
        <v>8.73428285176643e-6</v>
      </c>
      <c r="BC16" s="247">
        <f t="shared" si="37"/>
        <v>0.0115740740740741</v>
      </c>
      <c r="BD16" s="299">
        <f ca="1" t="shared" si="38"/>
        <v>0.818774015129028</v>
      </c>
      <c r="BE16" s="299">
        <f ca="1" t="shared" si="39"/>
        <v>0.678000799605865</v>
      </c>
      <c r="BF16" s="299">
        <f t="shared" si="40"/>
        <v>2.18546546706748e-109</v>
      </c>
      <c r="BG16" s="247">
        <f ca="1" t="shared" si="41"/>
        <v>3.48489761186734e+17</v>
      </c>
      <c r="BH16" s="247">
        <f ca="1" t="shared" si="42"/>
        <v>291395844254.593</v>
      </c>
      <c r="BI16" s="306">
        <f ca="1" t="shared" si="43"/>
        <v>219161406.823147</v>
      </c>
      <c r="BJ16" s="307">
        <f ca="1" t="shared" si="44"/>
        <v>30404639905.407</v>
      </c>
      <c r="BK16" s="247">
        <f ca="1" t="shared" si="45"/>
        <v>331348795786.504</v>
      </c>
      <c r="BL16" s="247">
        <f ca="1" t="shared" si="46"/>
        <v>32722219560.0976</v>
      </c>
      <c r="BM16" s="308">
        <f ca="1" t="shared" si="47"/>
        <v>32722219560.0976</v>
      </c>
      <c r="BN16" s="280">
        <f t="shared" si="48"/>
        <v>57600</v>
      </c>
      <c r="BO16" s="247">
        <f ca="1" t="shared" si="49"/>
        <v>3.48489761186734e+17</v>
      </c>
      <c r="BP16" s="247">
        <f ca="1" t="shared" si="50"/>
        <v>291395844254.593</v>
      </c>
      <c r="BQ16" s="298">
        <f ca="1" t="shared" si="51"/>
        <v>0</v>
      </c>
      <c r="BR16" s="247">
        <f ca="1">'DN65-事故进程'!AB38</f>
        <v>7.52625101519844e-11</v>
      </c>
      <c r="BS16" s="247">
        <f ca="1" t="shared" si="52"/>
        <v>9.71204011720554e-7</v>
      </c>
      <c r="BT16" s="247">
        <f t="shared" si="53"/>
        <v>0.0115740740740741</v>
      </c>
      <c r="BU16" s="299">
        <f ca="1" t="shared" si="54"/>
        <v>0.586727686461529</v>
      </c>
      <c r="BV16" s="299">
        <f ca="1" t="shared" si="55"/>
        <v>0.554808932670416</v>
      </c>
      <c r="BW16" s="299">
        <f t="shared" si="56"/>
        <v>1.73294134237567e-290</v>
      </c>
      <c r="BX16" s="247">
        <f ca="1" t="shared" si="57"/>
        <v>2.04468591336623e+17</v>
      </c>
      <c r="BY16" s="247">
        <f ca="1" t="shared" si="58"/>
        <v>1023729698543.47</v>
      </c>
      <c r="BZ16" s="306">
        <f ca="1" t="shared" si="59"/>
        <v>85798864.3371918</v>
      </c>
      <c r="CA16" s="307">
        <f ca="1" t="shared" si="60"/>
        <v>33638972720.5273</v>
      </c>
      <c r="CB16" s="247">
        <f ca="1" t="shared" si="61"/>
        <v>1170959506310.57</v>
      </c>
      <c r="CC16" s="247">
        <f ca="1" t="shared" si="62"/>
        <v>41649974595.0615</v>
      </c>
      <c r="CD16" s="308">
        <f ca="1" t="shared" si="63"/>
        <v>41649974595.0615</v>
      </c>
      <c r="CE16" s="280">
        <f t="shared" si="64"/>
        <v>259200</v>
      </c>
      <c r="CF16" s="247">
        <f ca="1" t="shared" si="65"/>
        <v>2.04468591336623e+17</v>
      </c>
      <c r="CG16" s="247">
        <f ca="1" t="shared" si="66"/>
        <v>1023729698543.47</v>
      </c>
      <c r="CH16" s="298">
        <f ca="1" t="shared" si="67"/>
        <v>0</v>
      </c>
      <c r="CI16" s="247">
        <f ca="1">'DN65-事故进程'!AC38</f>
        <v>1.80969415284839e-10</v>
      </c>
      <c r="CJ16" s="247">
        <f ca="1" t="shared" si="68"/>
        <v>3.43152347017181e-7</v>
      </c>
      <c r="CK16" s="247">
        <f t="shared" si="69"/>
        <v>0.0115740740740741</v>
      </c>
      <c r="CL16" s="299">
        <f ca="1" t="shared" si="70"/>
        <v>0.090772170532348</v>
      </c>
      <c r="CM16" s="299">
        <f ca="1" t="shared" si="71"/>
        <v>0.0830509741457365</v>
      </c>
      <c r="CN16" s="299">
        <f t="shared" si="72"/>
        <v>0</v>
      </c>
      <c r="CO16" s="247">
        <f ca="1" t="shared" si="73"/>
        <v>1.8560057841317e+16</v>
      </c>
      <c r="CP16" s="247">
        <f ca="1" t="shared" si="74"/>
        <v>918047657523.533</v>
      </c>
      <c r="CQ16" s="306">
        <f ca="1" t="shared" si="75"/>
        <v>27210812.7860203</v>
      </c>
      <c r="CR16" s="307">
        <f ca="1" t="shared" si="76"/>
        <v>45504977060.4668</v>
      </c>
      <c r="CS16" s="247">
        <f ca="1" t="shared" si="77"/>
        <v>3634430702051.15</v>
      </c>
      <c r="CT16" s="247">
        <f ca="1" t="shared" si="78"/>
        <v>133691501422.34</v>
      </c>
      <c r="CU16" s="308">
        <f ca="1" t="shared" si="79"/>
        <v>133691501422.34</v>
      </c>
      <c r="CV16" s="280">
        <f t="shared" si="80"/>
        <v>2246400</v>
      </c>
      <c r="CW16" s="247">
        <f ca="1" t="shared" si="81"/>
        <v>1.8560057841317e+16</v>
      </c>
      <c r="CX16" s="247">
        <f ca="1" t="shared" si="82"/>
        <v>918047657523.533</v>
      </c>
      <c r="CY16" s="298">
        <f ca="1" t="shared" si="83"/>
        <v>0</v>
      </c>
      <c r="CZ16" s="247">
        <f ca="1">'DN65-事故进程'!AE38</f>
        <v>7.98839791826187e-11</v>
      </c>
      <c r="DA16" s="247">
        <f t="shared" si="84"/>
        <v>4.45156695156695e-9</v>
      </c>
      <c r="DB16" s="247">
        <f t="shared" si="85"/>
        <v>0.0115740740740741</v>
      </c>
      <c r="DC16" s="299">
        <f ca="1" t="shared" si="86"/>
        <v>9.31155462497491e-10</v>
      </c>
      <c r="DD16" s="299">
        <f t="shared" si="87"/>
        <v>9.22055760164924e-10</v>
      </c>
      <c r="DE16" s="299">
        <f t="shared" si="88"/>
        <v>0</v>
      </c>
      <c r="DF16" s="247">
        <f ca="1" t="shared" si="89"/>
        <v>17282299.2432117</v>
      </c>
      <c r="DG16" s="247">
        <f ca="1" t="shared" si="90"/>
        <v>3932.64475706697</v>
      </c>
      <c r="DH16" s="306">
        <f ca="1" t="shared" si="91"/>
        <v>0.00151251037983282</v>
      </c>
      <c r="DI16" s="307">
        <f ca="1" t="shared" si="92"/>
        <v>23.9643271741224</v>
      </c>
      <c r="DJ16" s="247">
        <f ca="1" t="shared" si="93"/>
        <v>160167959050.438</v>
      </c>
      <c r="DK16" s="247">
        <f ca="1" t="shared" si="94"/>
        <v>518262874.029477</v>
      </c>
      <c r="DL16" s="308">
        <f ca="1" t="shared" si="95"/>
        <v>518262874.029477</v>
      </c>
      <c r="DM16" s="321"/>
      <c r="DN16" s="322">
        <f ca="1" t="shared" si="96"/>
        <v>1911368843830.95</v>
      </c>
      <c r="DO16" s="323">
        <f ca="1" t="shared" si="97"/>
        <v>289567777165.728</v>
      </c>
      <c r="DP16" s="323">
        <f ca="1" t="shared" si="98"/>
        <v>32722219560.0976</v>
      </c>
      <c r="DQ16" s="323">
        <f ca="1" t="shared" si="99"/>
        <v>41649974595.0615</v>
      </c>
      <c r="DR16" s="323">
        <f ca="1" t="shared" si="100"/>
        <v>133691501422.34</v>
      </c>
      <c r="DS16" s="323">
        <f ca="1" t="shared" si="101"/>
        <v>518262874.029477</v>
      </c>
      <c r="DT16" s="352">
        <f ca="1" t="shared" si="102"/>
        <v>2409518579448.21</v>
      </c>
      <c r="DU16" s="353">
        <f ca="1" t="shared" si="103"/>
        <v>2197342370684.77</v>
      </c>
      <c r="DV16" s="126"/>
      <c r="DW16" s="354">
        <v>131265629759.531</v>
      </c>
      <c r="DX16" s="355"/>
      <c r="DY16" s="355"/>
      <c r="DZ16" s="355"/>
      <c r="EA16" s="354">
        <f t="shared" si="104"/>
        <v>131265629759.531</v>
      </c>
      <c r="EB16" s="365">
        <f ca="1" t="shared" si="105"/>
        <v>14.5610762492241</v>
      </c>
      <c r="EC16" s="365"/>
      <c r="ED16" s="365"/>
      <c r="EE16" s="365"/>
      <c r="EF16" s="365">
        <f ca="1" t="shared" si="106"/>
        <v>18.3521026866461</v>
      </c>
      <c r="EG16" s="369">
        <f ca="1" t="shared" si="107"/>
        <v>18.3560508859956</v>
      </c>
      <c r="EI16" s="354">
        <v>0</v>
      </c>
      <c r="EJ16" s="355">
        <v>7598822468.81826</v>
      </c>
      <c r="EK16" s="355">
        <v>2601736466.52823</v>
      </c>
      <c r="EL16" s="355">
        <v>4652141280.68969</v>
      </c>
      <c r="EM16" s="355">
        <v>5277998047.76806</v>
      </c>
      <c r="EN16" s="355">
        <v>380188312.318256</v>
      </c>
      <c r="EO16" s="370">
        <v>20510886576.1225</v>
      </c>
      <c r="EP16" s="365"/>
      <c r="EQ16" s="365">
        <f ca="1" t="shared" ref="EQ16:EV16" si="123">DO16/EJ16</f>
        <v>38.1069275343606</v>
      </c>
      <c r="ER16" s="365">
        <f ca="1" t="shared" si="123"/>
        <v>12.5770691924699</v>
      </c>
      <c r="ES16" s="365">
        <f ca="1" t="shared" si="123"/>
        <v>8.95286107667108</v>
      </c>
      <c r="ET16" s="365">
        <f ca="1" t="shared" si="123"/>
        <v>25.3299641667876</v>
      </c>
      <c r="EU16" s="365">
        <f ca="1" t="shared" si="123"/>
        <v>1.36317413565212</v>
      </c>
      <c r="EV16" s="365">
        <f ca="1" t="shared" si="123"/>
        <v>117.475106232279</v>
      </c>
      <c r="EW16" s="126">
        <f t="shared" si="109"/>
        <v>9.25677324465738e-6</v>
      </c>
      <c r="EX16" s="91">
        <f t="shared" si="110"/>
        <v>74880.0000000001</v>
      </c>
    </row>
    <row r="17" ht="15.75" spans="1:154">
      <c r="A17" s="185" t="s">
        <v>58</v>
      </c>
      <c r="B17" s="180">
        <f>VLOOKUP(A17,衰变常数!$A$1:$H$3800,7,FALSE)</f>
        <v>0.000220046723987284</v>
      </c>
      <c r="C17" s="181">
        <v>5.26e+17</v>
      </c>
      <c r="D17" s="183"/>
      <c r="E17" s="183">
        <v>653000000</v>
      </c>
      <c r="F17" s="183">
        <v>1900000000</v>
      </c>
      <c r="G17" s="184">
        <v>0.343684210526316</v>
      </c>
      <c r="H17" s="186"/>
      <c r="I17" s="220">
        <v>66500000000</v>
      </c>
      <c r="J17" s="221">
        <v>1</v>
      </c>
      <c r="K17" s="222">
        <f t="shared" si="119"/>
        <v>1</v>
      </c>
      <c r="L17" s="216">
        <f t="shared" si="120"/>
        <v>66500000000</v>
      </c>
      <c r="M17" s="218"/>
      <c r="N17" s="218"/>
      <c r="O17" s="216">
        <f t="shared" si="0"/>
        <v>76953800</v>
      </c>
      <c r="P17" s="216">
        <f t="shared" si="1"/>
        <v>2209200000000</v>
      </c>
      <c r="Q17" s="216">
        <f ca="1">'进水-事故进程'!Z39</f>
        <v>3.69441587269252e-11</v>
      </c>
      <c r="R17" s="216">
        <f ca="1" t="shared" si="2"/>
        <v>1845157545.19943</v>
      </c>
      <c r="S17" s="244">
        <f ca="1" t="shared" si="3"/>
        <v>2273271409068.48</v>
      </c>
      <c r="T17" s="245">
        <f ca="1" t="shared" si="4"/>
        <v>2206917579259.6</v>
      </c>
      <c r="U17" s="216">
        <f t="shared" si="5"/>
        <v>0</v>
      </c>
      <c r="V17" s="246">
        <f t="shared" si="6"/>
        <v>1</v>
      </c>
      <c r="W17" s="216">
        <f t="shared" si="7"/>
        <v>5.24843826759018e+17</v>
      </c>
      <c r="X17" s="247">
        <f ca="1" t="shared" si="8"/>
        <v>0</v>
      </c>
      <c r="Y17" s="275">
        <f ca="1" t="shared" si="9"/>
        <v>2273271409068.48</v>
      </c>
      <c r="Z17" s="216">
        <f ca="1" t="shared" si="10"/>
        <v>2206917579259.6</v>
      </c>
      <c r="AA17" s="276">
        <f ca="1" t="shared" si="11"/>
        <v>66353829808.8877</v>
      </c>
      <c r="AB17" s="277">
        <f t="shared" si="12"/>
        <v>1</v>
      </c>
      <c r="AC17" s="247">
        <f ca="1" t="shared" si="13"/>
        <v>2206917579259.6</v>
      </c>
      <c r="AD17" s="278">
        <f ca="1" t="shared" si="14"/>
        <v>2206917579259.6</v>
      </c>
      <c r="AE17" s="279">
        <f ca="1" t="shared" si="15"/>
        <v>0</v>
      </c>
      <c r="AF17" s="280">
        <f t="shared" si="16"/>
        <v>7200</v>
      </c>
      <c r="AG17" s="247">
        <f t="shared" si="17"/>
        <v>5.24843826759018e+17</v>
      </c>
      <c r="AH17" s="247">
        <f ca="1" t="shared" si="18"/>
        <v>0</v>
      </c>
      <c r="AI17" s="298">
        <f ca="1" t="shared" si="19"/>
        <v>66353829808.8877</v>
      </c>
      <c r="AJ17" s="247">
        <f ca="1">'DN65-事故进程'!Z39</f>
        <v>4.57204168879066e-11</v>
      </c>
      <c r="AK17" s="247">
        <f ca="1" t="shared" si="20"/>
        <v>3.41550507006928e-5</v>
      </c>
      <c r="AL17" s="247">
        <f t="shared" si="21"/>
        <v>0.0115740740740741</v>
      </c>
      <c r="AM17" s="299">
        <f ca="1" t="shared" si="22"/>
        <v>0.205083771490987</v>
      </c>
      <c r="AN17" s="299">
        <f ca="1" t="shared" si="23"/>
        <v>0.160373023918399</v>
      </c>
      <c r="AO17" s="299">
        <f t="shared" si="24"/>
        <v>1.32045806420427e-37</v>
      </c>
      <c r="AP17" s="247">
        <f ca="1" t="shared" si="25"/>
        <v>1.07636951435502e+17</v>
      </c>
      <c r="AQ17" s="247">
        <f ca="1" t="shared" si="26"/>
        <v>31412163806.4052</v>
      </c>
      <c r="AR17" s="306">
        <f ca="1" t="shared" si="27"/>
        <v>91713085.9643923</v>
      </c>
      <c r="AS17" s="307">
        <f ca="1" t="shared" si="28"/>
        <v>17628625489.5948</v>
      </c>
      <c r="AT17" s="247">
        <f ca="1" t="shared" si="29"/>
        <v>86685536414.0548</v>
      </c>
      <c r="AU17" s="247">
        <f ca="1" t="shared" si="30"/>
        <v>7426639118.19592</v>
      </c>
      <c r="AV17" s="308">
        <f ca="1" t="shared" si="31"/>
        <v>73780468927.0836</v>
      </c>
      <c r="AW17" s="280">
        <f t="shared" si="32"/>
        <v>21600</v>
      </c>
      <c r="AX17" s="247">
        <f ca="1" t="shared" si="33"/>
        <v>1.07636951435502e+17</v>
      </c>
      <c r="AY17" s="247">
        <f ca="1" t="shared" si="34"/>
        <v>31412163806.4052</v>
      </c>
      <c r="AZ17" s="298">
        <f ca="1" t="shared" si="35"/>
        <v>0</v>
      </c>
      <c r="BA17" s="247">
        <f ca="1">'DN65-事故进程'!AA39</f>
        <v>1.82351793927569e-10</v>
      </c>
      <c r="BB17" s="247">
        <f ca="1" t="shared" si="36"/>
        <v>8.73428285176643e-6</v>
      </c>
      <c r="BC17" s="247">
        <f t="shared" si="37"/>
        <v>0.0115740740740741</v>
      </c>
      <c r="BD17" s="299">
        <f ca="1" t="shared" si="38"/>
        <v>0.0086256653507499</v>
      </c>
      <c r="BE17" s="299">
        <f ca="1" t="shared" si="39"/>
        <v>0.00714266196613673</v>
      </c>
      <c r="BF17" s="299">
        <f t="shared" si="40"/>
        <v>2.30236322420301e-111</v>
      </c>
      <c r="BG17" s="247">
        <f ca="1" t="shared" si="41"/>
        <v>928440322457555</v>
      </c>
      <c r="BH17" s="247">
        <f ca="1" t="shared" si="42"/>
        <v>3557060059.10946</v>
      </c>
      <c r="BI17" s="306">
        <f ca="1" t="shared" si="43"/>
        <v>2675287.21635853</v>
      </c>
      <c r="BJ17" s="307">
        <f ca="1" t="shared" si="44"/>
        <v>370838604.015537</v>
      </c>
      <c r="BK17" s="247">
        <f ca="1" t="shared" si="45"/>
        <v>88428820711.6136</v>
      </c>
      <c r="BL17" s="247">
        <f ca="1" t="shared" si="46"/>
        <v>4439427474.20498</v>
      </c>
      <c r="BM17" s="308">
        <f ca="1" t="shared" si="47"/>
        <v>4439427474.20498</v>
      </c>
      <c r="BN17" s="280">
        <f t="shared" si="48"/>
        <v>57600</v>
      </c>
      <c r="BO17" s="247">
        <f ca="1" t="shared" si="49"/>
        <v>928440322457555</v>
      </c>
      <c r="BP17" s="247">
        <f ca="1" t="shared" si="50"/>
        <v>3557060059.10946</v>
      </c>
      <c r="BQ17" s="298">
        <f ca="1" t="shared" si="51"/>
        <v>0</v>
      </c>
      <c r="BR17" s="247">
        <f ca="1">'DN65-事故进程'!AB39</f>
        <v>3.52263172824572e-10</v>
      </c>
      <c r="BS17" s="247">
        <f ca="1" t="shared" si="52"/>
        <v>9.71204011720554e-7</v>
      </c>
      <c r="BT17" s="247">
        <f t="shared" si="53"/>
        <v>0.0115740740740741</v>
      </c>
      <c r="BU17" s="299">
        <f ca="1" t="shared" si="54"/>
        <v>3.1292675448526e-6</v>
      </c>
      <c r="BV17" s="299">
        <f ca="1" t="shared" si="55"/>
        <v>2.95907850864816e-6</v>
      </c>
      <c r="BW17" s="299">
        <f t="shared" si="56"/>
        <v>9.24265847395329e-296</v>
      </c>
      <c r="BX17" s="247">
        <f ca="1" t="shared" si="57"/>
        <v>2905338168.39891</v>
      </c>
      <c r="BY17" s="247">
        <f ca="1" t="shared" si="58"/>
        <v>67857.9903626563</v>
      </c>
      <c r="BZ17" s="306">
        <f ca="1" t="shared" si="59"/>
        <v>5.68715874850514</v>
      </c>
      <c r="CA17" s="307">
        <f ca="1" t="shared" si="60"/>
        <v>2224.17989634257</v>
      </c>
      <c r="CB17" s="247">
        <f ca="1" t="shared" si="61"/>
        <v>1486292460.21553</v>
      </c>
      <c r="CC17" s="247">
        <f ca="1" t="shared" si="62"/>
        <v>22161361.9296936</v>
      </c>
      <c r="CD17" s="308">
        <f ca="1" t="shared" si="63"/>
        <v>22161361.9296936</v>
      </c>
      <c r="CE17" s="280">
        <f t="shared" si="64"/>
        <v>259200</v>
      </c>
      <c r="CF17" s="247">
        <f ca="1" t="shared" si="65"/>
        <v>2905338168.39891</v>
      </c>
      <c r="CG17" s="247">
        <f ca="1" t="shared" si="66"/>
        <v>67857.9903626563</v>
      </c>
      <c r="CH17" s="298">
        <f ca="1" t="shared" si="67"/>
        <v>0</v>
      </c>
      <c r="CI17" s="247">
        <f ca="1">'DN65-事故进程'!AC39</f>
        <v>9.03525162799031e-10</v>
      </c>
      <c r="CJ17" s="247">
        <f ca="1" t="shared" si="68"/>
        <v>3.43152347017181e-7</v>
      </c>
      <c r="CK17" s="247">
        <f t="shared" si="69"/>
        <v>0.0115740740740741</v>
      </c>
      <c r="CL17" s="299">
        <f ca="1" t="shared" si="70"/>
        <v>1.69601651276923e-25</v>
      </c>
      <c r="CM17" s="299">
        <f ca="1" t="shared" si="71"/>
        <v>1.55204183819924e-25</v>
      </c>
      <c r="CN17" s="299">
        <f t="shared" si="72"/>
        <v>0</v>
      </c>
      <c r="CO17" s="247">
        <f ca="1" t="shared" si="73"/>
        <v>4.92750150878328e-16</v>
      </c>
      <c r="CP17" s="247">
        <f ca="1" t="shared" si="74"/>
        <v>1.20960321723481e-19</v>
      </c>
      <c r="CQ17" s="306">
        <f ca="1" t="shared" si="75"/>
        <v>3.5852413334403e-24</v>
      </c>
      <c r="CR17" s="307">
        <f ca="1" t="shared" si="76"/>
        <v>5.9637069684802e-21</v>
      </c>
      <c r="CS17" s="247">
        <f ca="1" t="shared" si="77"/>
        <v>11929.4453262868</v>
      </c>
      <c r="CT17" s="247">
        <f ca="1" t="shared" si="78"/>
        <v>124.230959581884</v>
      </c>
      <c r="CU17" s="308">
        <f ca="1" t="shared" si="79"/>
        <v>124.230959581884</v>
      </c>
      <c r="CV17" s="280">
        <f t="shared" si="80"/>
        <v>2246400</v>
      </c>
      <c r="CW17" s="247">
        <f ca="1" t="shared" si="81"/>
        <v>4.92750150878328e-16</v>
      </c>
      <c r="CX17" s="247">
        <f ca="1" t="shared" si="82"/>
        <v>1.20960321723481e-19</v>
      </c>
      <c r="CY17" s="298">
        <f ca="1" t="shared" si="83"/>
        <v>0</v>
      </c>
      <c r="CZ17" s="247">
        <f ca="1">'DN65-事故进程'!AE39</f>
        <v>3.73399356193286e-10</v>
      </c>
      <c r="DA17" s="247">
        <f t="shared" si="84"/>
        <v>4.45156695156695e-9</v>
      </c>
      <c r="DB17" s="247">
        <f t="shared" si="85"/>
        <v>0.0115740740740741</v>
      </c>
      <c r="DC17" s="299">
        <f ca="1" t="shared" si="86"/>
        <v>2.10012197078999e-215</v>
      </c>
      <c r="DD17" s="299">
        <f t="shared" si="87"/>
        <v>2.08097020294355e-215</v>
      </c>
      <c r="DE17" s="299">
        <f t="shared" si="88"/>
        <v>0</v>
      </c>
      <c r="DF17" s="247">
        <f ca="1" t="shared" si="89"/>
        <v>1.03483541796966e-230</v>
      </c>
      <c r="DG17" s="247">
        <f ca="1" t="shared" si="90"/>
        <v>1.11577528120737e-233</v>
      </c>
      <c r="DH17" s="306">
        <f ca="1" t="shared" si="91"/>
        <v>4.29131663378318e-240</v>
      </c>
      <c r="DI17" s="307">
        <f ca="1" t="shared" si="92"/>
        <v>6.85788586303458e-236</v>
      </c>
      <c r="DJ17" s="247">
        <f ca="1" t="shared" si="93"/>
        <v>8.36150948080095e-22</v>
      </c>
      <c r="DK17" s="247">
        <f ca="1" t="shared" si="94"/>
        <v>2.46390482212408e-24</v>
      </c>
      <c r="DL17" s="308">
        <f ca="1" t="shared" si="95"/>
        <v>2.46390482212408e-24</v>
      </c>
      <c r="DM17" s="321"/>
      <c r="DN17" s="322">
        <f ca="1" t="shared" si="96"/>
        <v>2206917579259.6</v>
      </c>
      <c r="DO17" s="323">
        <f ca="1" t="shared" si="97"/>
        <v>73780468927.0836</v>
      </c>
      <c r="DP17" s="323">
        <f ca="1" t="shared" si="98"/>
        <v>4439427474.20498</v>
      </c>
      <c r="DQ17" s="323">
        <f ca="1" t="shared" si="99"/>
        <v>22161361.9296936</v>
      </c>
      <c r="DR17" s="323">
        <f ca="1" t="shared" si="100"/>
        <v>124.230959581884</v>
      </c>
      <c r="DS17" s="323">
        <f ca="1" t="shared" si="101"/>
        <v>2.46390482212408e-24</v>
      </c>
      <c r="DT17" s="352">
        <f ca="1" t="shared" si="102"/>
        <v>2285159637147.04</v>
      </c>
      <c r="DU17" s="353">
        <f ca="1" t="shared" si="103"/>
        <v>2273271409068.48</v>
      </c>
      <c r="DV17" s="126"/>
      <c r="DW17" s="354">
        <v>8775317064.5056</v>
      </c>
      <c r="DX17" s="355"/>
      <c r="DY17" s="355"/>
      <c r="DZ17" s="355"/>
      <c r="EA17" s="354">
        <f t="shared" si="104"/>
        <v>8775317064.5056</v>
      </c>
      <c r="EB17" s="365">
        <f ca="1" t="shared" si="105"/>
        <v>251.491491764569</v>
      </c>
      <c r="EC17" s="365"/>
      <c r="ED17" s="365"/>
      <c r="EE17" s="365"/>
      <c r="EF17" s="365">
        <f ca="1" t="shared" si="106"/>
        <v>260.407643433199</v>
      </c>
      <c r="EG17" s="369">
        <f ca="1" t="shared" si="107"/>
        <v>260.407643433199</v>
      </c>
      <c r="EI17" s="354">
        <v>0</v>
      </c>
      <c r="EJ17" s="355">
        <v>474083662.258476</v>
      </c>
      <c r="EK17" s="355">
        <v>8812013.45276664</v>
      </c>
      <c r="EL17" s="355">
        <v>74837.9555027779</v>
      </c>
      <c r="EM17" s="355">
        <v>0.219680014822599</v>
      </c>
      <c r="EN17" s="355">
        <v>2.79443278925111e-26</v>
      </c>
      <c r="EO17" s="370">
        <v>482970513.886426</v>
      </c>
      <c r="EP17" s="365"/>
      <c r="EQ17" s="365">
        <f ca="1" t="shared" ref="EQ17:EV17" si="124">DO17/EJ17</f>
        <v>155.62752906439</v>
      </c>
      <c r="ER17" s="365">
        <f ca="1" t="shared" si="124"/>
        <v>503.792634680008</v>
      </c>
      <c r="ES17" s="365">
        <f ca="1" t="shared" si="124"/>
        <v>296.124630621035</v>
      </c>
      <c r="ET17" s="365">
        <f ca="1" t="shared" si="124"/>
        <v>565.508699925233</v>
      </c>
      <c r="EU17" s="365">
        <f ca="1" t="shared" si="124"/>
        <v>88.1719120818216</v>
      </c>
      <c r="EV17" s="365">
        <f ca="1" t="shared" si="124"/>
        <v>4731.46821895719</v>
      </c>
      <c r="EW17" s="126">
        <f t="shared" si="109"/>
        <v>0.000220046723987284</v>
      </c>
      <c r="EX17" s="91">
        <f t="shared" si="110"/>
        <v>3150</v>
      </c>
    </row>
    <row r="18" ht="15.75" spans="1:154">
      <c r="A18" s="185" t="s">
        <v>59</v>
      </c>
      <c r="B18" s="180">
        <f>VLOOKUP(A18,衰变常数!$A$1:$H$3800,7,FALSE)</f>
        <v>2.93060705462517e-5</v>
      </c>
      <c r="C18" s="181">
        <v>3.77e+17</v>
      </c>
      <c r="D18" s="183"/>
      <c r="E18" s="183">
        <v>173000000</v>
      </c>
      <c r="F18" s="183">
        <v>560000000</v>
      </c>
      <c r="G18" s="184">
        <v>0.308928571428571</v>
      </c>
      <c r="H18" s="186"/>
      <c r="I18" s="220">
        <v>134000000000</v>
      </c>
      <c r="J18" s="221">
        <v>1</v>
      </c>
      <c r="K18" s="222">
        <f t="shared" si="119"/>
        <v>1</v>
      </c>
      <c r="L18" s="216">
        <f t="shared" si="120"/>
        <v>134000000000</v>
      </c>
      <c r="M18" s="218"/>
      <c r="N18" s="218"/>
      <c r="O18" s="216">
        <f t="shared" si="0"/>
        <v>55155100</v>
      </c>
      <c r="P18" s="216">
        <f t="shared" si="1"/>
        <v>1583400000000</v>
      </c>
      <c r="Q18" s="216">
        <f ca="1">'进水-事故进程'!Z40</f>
        <v>1.44407353018696e-11</v>
      </c>
      <c r="R18" s="216">
        <f ca="1" t="shared" si="2"/>
        <v>526584227.77796</v>
      </c>
      <c r="S18" s="244">
        <f ca="1" t="shared" si="3"/>
        <v>1717651443760.6</v>
      </c>
      <c r="T18" s="245">
        <f ca="1" t="shared" si="4"/>
        <v>1583690708141.43</v>
      </c>
      <c r="U18" s="216">
        <f t="shared" si="5"/>
        <v>0</v>
      </c>
      <c r="V18" s="246">
        <f t="shared" si="6"/>
        <v>1</v>
      </c>
      <c r="W18" s="216">
        <f t="shared" si="7"/>
        <v>3.76889532301702e+17</v>
      </c>
      <c r="X18" s="247">
        <f ca="1" t="shared" si="8"/>
        <v>0</v>
      </c>
      <c r="Y18" s="275">
        <f ca="1" t="shared" si="9"/>
        <v>1717651443760.6</v>
      </c>
      <c r="Z18" s="216">
        <f ca="1" t="shared" si="10"/>
        <v>1583690708141.43</v>
      </c>
      <c r="AA18" s="276">
        <f ca="1" t="shared" si="11"/>
        <v>133960735619.173</v>
      </c>
      <c r="AB18" s="277">
        <f t="shared" si="12"/>
        <v>1</v>
      </c>
      <c r="AC18" s="247">
        <f ca="1" t="shared" si="13"/>
        <v>1583690708141.43</v>
      </c>
      <c r="AD18" s="278">
        <f ca="1" t="shared" si="14"/>
        <v>1583690708141.43</v>
      </c>
      <c r="AE18" s="279">
        <f ca="1" t="shared" si="15"/>
        <v>0</v>
      </c>
      <c r="AF18" s="280">
        <f t="shared" si="16"/>
        <v>7200</v>
      </c>
      <c r="AG18" s="247">
        <f t="shared" si="17"/>
        <v>3.76889532301702e+17</v>
      </c>
      <c r="AH18" s="247">
        <f ca="1" t="shared" si="18"/>
        <v>0</v>
      </c>
      <c r="AI18" s="298">
        <f ca="1" t="shared" si="19"/>
        <v>133960735619.173</v>
      </c>
      <c r="AJ18" s="247">
        <f ca="1">'DN65-事故进程'!Z40</f>
        <v>1.78671205160526e-11</v>
      </c>
      <c r="AK18" s="247">
        <f ca="1" t="shared" si="20"/>
        <v>3.41550507006928e-5</v>
      </c>
      <c r="AL18" s="247">
        <f t="shared" si="21"/>
        <v>0.0115740740740741</v>
      </c>
      <c r="AM18" s="299">
        <f ca="1" t="shared" si="22"/>
        <v>0.809770960127259</v>
      </c>
      <c r="AN18" s="299">
        <f ca="1" t="shared" si="23"/>
        <v>0.633230950304266</v>
      </c>
      <c r="AO18" s="299">
        <f t="shared" si="24"/>
        <v>5.21381273734957e-37</v>
      </c>
      <c r="AP18" s="247">
        <f ca="1" t="shared" si="25"/>
        <v>3.05194198433863e+17</v>
      </c>
      <c r="AQ18" s="247">
        <f ca="1" t="shared" si="26"/>
        <v>34806237687.2245</v>
      </c>
      <c r="AR18" s="306">
        <f ca="1" t="shared" si="27"/>
        <v>101622654.353652</v>
      </c>
      <c r="AS18" s="307">
        <f ca="1" t="shared" si="28"/>
        <v>112932471240.775</v>
      </c>
      <c r="AT18" s="247">
        <f ca="1" t="shared" si="29"/>
        <v>43710684025.3306</v>
      </c>
      <c r="AU18" s="247">
        <f ca="1" t="shared" si="30"/>
        <v>4792411639.81569</v>
      </c>
      <c r="AV18" s="308">
        <f ca="1" t="shared" si="31"/>
        <v>138753147258.988</v>
      </c>
      <c r="AW18" s="280">
        <f t="shared" si="32"/>
        <v>21600</v>
      </c>
      <c r="AX18" s="247">
        <f ca="1" t="shared" si="33"/>
        <v>3.05194198433863e+17</v>
      </c>
      <c r="AY18" s="247">
        <f ca="1" t="shared" si="34"/>
        <v>34806237687.2245</v>
      </c>
      <c r="AZ18" s="298">
        <f ca="1" t="shared" si="35"/>
        <v>0</v>
      </c>
      <c r="BA18" s="247">
        <f ca="1">'DN65-事故进程'!AA40</f>
        <v>7.08396422917574e-11</v>
      </c>
      <c r="BB18" s="247">
        <f ca="1" t="shared" si="36"/>
        <v>8.73428285176643e-6</v>
      </c>
      <c r="BC18" s="247">
        <f t="shared" si="37"/>
        <v>0.0115740740740741</v>
      </c>
      <c r="BD18" s="299">
        <f ca="1" t="shared" si="38"/>
        <v>0.530989700720279</v>
      </c>
      <c r="BE18" s="299">
        <f ca="1" t="shared" si="39"/>
        <v>0.439696029262309</v>
      </c>
      <c r="BF18" s="299">
        <f t="shared" si="40"/>
        <v>1.41731468239875e-109</v>
      </c>
      <c r="BG18" s="247">
        <f ca="1" t="shared" si="41"/>
        <v>1.62054976087962e+17</v>
      </c>
      <c r="BH18" s="247">
        <f ca="1" t="shared" si="42"/>
        <v>241283941906.036</v>
      </c>
      <c r="BI18" s="306">
        <f ca="1" t="shared" si="43"/>
        <v>181471448.864805</v>
      </c>
      <c r="BJ18" s="307">
        <f ca="1" t="shared" si="44"/>
        <v>25164227021.9644</v>
      </c>
      <c r="BK18" s="247">
        <f ca="1" t="shared" si="45"/>
        <v>346000218022.035</v>
      </c>
      <c r="BL18" s="247">
        <f ca="1" t="shared" si="46"/>
        <v>32035167680.9169</v>
      </c>
      <c r="BM18" s="308">
        <f ca="1" t="shared" si="47"/>
        <v>32035167680.9169</v>
      </c>
      <c r="BN18" s="280">
        <f t="shared" si="48"/>
        <v>57600</v>
      </c>
      <c r="BO18" s="247">
        <f ca="1" t="shared" si="49"/>
        <v>1.62054976087962e+17</v>
      </c>
      <c r="BP18" s="247">
        <f ca="1" t="shared" si="50"/>
        <v>241283941906.036</v>
      </c>
      <c r="BQ18" s="298">
        <f ca="1" t="shared" si="51"/>
        <v>0</v>
      </c>
      <c r="BR18" s="247">
        <f ca="1">'DN65-事故进程'!AB40</f>
        <v>1.35614280355551e-10</v>
      </c>
      <c r="BS18" s="247">
        <f ca="1" t="shared" si="52"/>
        <v>9.71204011720554e-7</v>
      </c>
      <c r="BT18" s="247">
        <f t="shared" si="53"/>
        <v>0.0115740740740741</v>
      </c>
      <c r="BU18" s="299">
        <f ca="1" t="shared" si="54"/>
        <v>0.184882003771611</v>
      </c>
      <c r="BV18" s="299">
        <f ca="1" t="shared" si="55"/>
        <v>0.174824788611004</v>
      </c>
      <c r="BW18" s="299">
        <f t="shared" si="56"/>
        <v>5.46063853726886e-291</v>
      </c>
      <c r="BX18" s="247">
        <f ca="1" t="shared" si="57"/>
        <v>2.9961048700303e+16</v>
      </c>
      <c r="BY18" s="247">
        <f ca="1" t="shared" si="58"/>
        <v>269794707972.626</v>
      </c>
      <c r="BZ18" s="306">
        <f ca="1" t="shared" si="59"/>
        <v>22611460.2832022</v>
      </c>
      <c r="CA18" s="307">
        <f ca="1" t="shared" si="60"/>
        <v>8852826175.37354</v>
      </c>
      <c r="CB18" s="247">
        <f ca="1" t="shared" si="61"/>
        <v>611263798660.545</v>
      </c>
      <c r="CC18" s="247">
        <f ca="1" t="shared" si="62"/>
        <v>18692966634.5594</v>
      </c>
      <c r="CD18" s="308">
        <f ca="1" t="shared" si="63"/>
        <v>18692966634.5594</v>
      </c>
      <c r="CE18" s="280">
        <f t="shared" si="64"/>
        <v>259200</v>
      </c>
      <c r="CF18" s="247">
        <f ca="1" t="shared" si="65"/>
        <v>2.9961048700303e+16</v>
      </c>
      <c r="CG18" s="247">
        <f ca="1" t="shared" si="66"/>
        <v>269794707972.626</v>
      </c>
      <c r="CH18" s="298">
        <f ca="1" t="shared" si="67"/>
        <v>0</v>
      </c>
      <c r="CI18" s="247">
        <f ca="1">'DN65-事故进程'!AC40</f>
        <v>3.38240744373038e-10</v>
      </c>
      <c r="CJ18" s="247">
        <f ca="1" t="shared" si="68"/>
        <v>3.43152347017181e-7</v>
      </c>
      <c r="CK18" s="247">
        <f t="shared" si="69"/>
        <v>0.0115740740740741</v>
      </c>
      <c r="CL18" s="299">
        <f ca="1" t="shared" si="70"/>
        <v>0.000502346138182425</v>
      </c>
      <c r="CM18" s="299">
        <f ca="1" t="shared" si="71"/>
        <v>0.000459634672637595</v>
      </c>
      <c r="CN18" s="299">
        <f t="shared" si="72"/>
        <v>0</v>
      </c>
      <c r="CO18" s="247">
        <f ca="1" t="shared" si="73"/>
        <v>15050817110492.8</v>
      </c>
      <c r="CP18" s="247">
        <f ca="1" t="shared" si="74"/>
        <v>1386615538.67671</v>
      </c>
      <c r="CQ18" s="306">
        <f ca="1" t="shared" si="75"/>
        <v>41099.0583630338</v>
      </c>
      <c r="CR18" s="307">
        <f ca="1" t="shared" si="76"/>
        <v>68519770.4209423</v>
      </c>
      <c r="CS18" s="247">
        <f ca="1" t="shared" si="77"/>
        <v>345622579983.219</v>
      </c>
      <c r="CT18" s="247">
        <f ca="1" t="shared" si="78"/>
        <v>7106630320.09262</v>
      </c>
      <c r="CU18" s="308">
        <f ca="1" t="shared" si="79"/>
        <v>7106630320.09262</v>
      </c>
      <c r="CV18" s="280">
        <f t="shared" si="80"/>
        <v>2246400</v>
      </c>
      <c r="CW18" s="247">
        <f ca="1" t="shared" si="81"/>
        <v>15050817110492.8</v>
      </c>
      <c r="CX18" s="247">
        <f ca="1" t="shared" si="82"/>
        <v>1386615538.67671</v>
      </c>
      <c r="CY18" s="298">
        <f ca="1" t="shared" si="83"/>
        <v>0</v>
      </c>
      <c r="CZ18" s="247">
        <f ca="1">'DN65-事故进程'!AE40</f>
        <v>1.43835017478882e-10</v>
      </c>
      <c r="DA18" s="247">
        <f t="shared" si="84"/>
        <v>4.45156695156695e-9</v>
      </c>
      <c r="DB18" s="247">
        <f t="shared" si="85"/>
        <v>0.0115740740740741</v>
      </c>
      <c r="DC18" s="299">
        <f ca="1" t="shared" si="86"/>
        <v>2.56379276457781e-29</v>
      </c>
      <c r="DD18" s="299">
        <f t="shared" si="87"/>
        <v>2.53910287983788e-29</v>
      </c>
      <c r="DE18" s="299">
        <f t="shared" si="88"/>
        <v>0</v>
      </c>
      <c r="DF18" s="247">
        <f ca="1" t="shared" si="89"/>
        <v>3.85871760088653e-16</v>
      </c>
      <c r="DG18" s="247">
        <f ca="1" t="shared" si="90"/>
        <v>1.59285685691306e-19</v>
      </c>
      <c r="DH18" s="306">
        <f ca="1" t="shared" si="91"/>
        <v>6.1261904458257e-26</v>
      </c>
      <c r="DI18" s="307">
        <f ca="1" t="shared" si="92"/>
        <v>9.7530022299938e-22</v>
      </c>
      <c r="DJ18" s="247">
        <f ca="1" t="shared" si="93"/>
        <v>73869470.6179047</v>
      </c>
      <c r="DK18" s="247">
        <f ca="1" t="shared" si="94"/>
        <v>221812.725666399</v>
      </c>
      <c r="DL18" s="308">
        <f ca="1" t="shared" si="95"/>
        <v>221812.725666399</v>
      </c>
      <c r="DM18" s="321"/>
      <c r="DN18" s="322">
        <f ca="1" t="shared" si="96"/>
        <v>1583690708141.43</v>
      </c>
      <c r="DO18" s="323">
        <f ca="1" t="shared" si="97"/>
        <v>138753147258.988</v>
      </c>
      <c r="DP18" s="323">
        <f ca="1" t="shared" si="98"/>
        <v>32035167680.9169</v>
      </c>
      <c r="DQ18" s="323">
        <f ca="1" t="shared" si="99"/>
        <v>18692966634.5594</v>
      </c>
      <c r="DR18" s="323">
        <f ca="1" t="shared" si="100"/>
        <v>7106630320.09262</v>
      </c>
      <c r="DS18" s="323">
        <f ca="1" t="shared" si="101"/>
        <v>221812.725666399</v>
      </c>
      <c r="DT18" s="352">
        <f ca="1" t="shared" si="102"/>
        <v>1780278841848.71</v>
      </c>
      <c r="DU18" s="353">
        <f ca="1" t="shared" si="103"/>
        <v>1717651443760.6</v>
      </c>
      <c r="DV18" s="126"/>
      <c r="DW18" s="354">
        <v>33747720224.2158</v>
      </c>
      <c r="DX18" s="355"/>
      <c r="DY18" s="355"/>
      <c r="DZ18" s="355"/>
      <c r="EA18" s="354">
        <f t="shared" si="104"/>
        <v>33747720224.2158</v>
      </c>
      <c r="EB18" s="365">
        <f ca="1" t="shared" si="105"/>
        <v>46.9273390208162</v>
      </c>
      <c r="EC18" s="365"/>
      <c r="ED18" s="365"/>
      <c r="EE18" s="365"/>
      <c r="EF18" s="365">
        <f ca="1" t="shared" si="106"/>
        <v>52.7525595272222</v>
      </c>
      <c r="EG18" s="369">
        <f ca="1" t="shared" si="107"/>
        <v>52.7525660998951</v>
      </c>
      <c r="EI18" s="354">
        <v>0</v>
      </c>
      <c r="EJ18" s="355">
        <v>1932583620.16573</v>
      </c>
      <c r="EK18" s="355">
        <v>477620225.367762</v>
      </c>
      <c r="EL18" s="355">
        <v>432834408.073816</v>
      </c>
      <c r="EM18" s="355">
        <v>94395391.8276479</v>
      </c>
      <c r="EN18" s="355">
        <v>41126.1067202608</v>
      </c>
      <c r="EO18" s="370">
        <v>2937474771.54168</v>
      </c>
      <c r="EP18" s="365"/>
      <c r="EQ18" s="365">
        <f ca="1" t="shared" ref="EQ18:EV18" si="125">DO18/EJ18</f>
        <v>71.7967107923068</v>
      </c>
      <c r="ER18" s="365">
        <f ca="1" t="shared" si="125"/>
        <v>67.0724688349414</v>
      </c>
      <c r="ES18" s="365">
        <f ca="1" t="shared" si="125"/>
        <v>43.1873397444213</v>
      </c>
      <c r="ET18" s="365">
        <f ca="1" t="shared" si="125"/>
        <v>75.2857759525833</v>
      </c>
      <c r="EU18" s="365">
        <f ca="1" t="shared" si="125"/>
        <v>5.39347736402977</v>
      </c>
      <c r="EV18" s="365">
        <f ca="1" t="shared" si="125"/>
        <v>606.057576764945</v>
      </c>
      <c r="EW18" s="126">
        <f t="shared" si="109"/>
        <v>2.93060705462517e-5</v>
      </c>
      <c r="EX18" s="91">
        <f t="shared" si="110"/>
        <v>23652</v>
      </c>
    </row>
    <row r="19" s="165" customFormat="1" ht="15.75" spans="1:154">
      <c r="A19" s="185" t="s">
        <v>60</v>
      </c>
      <c r="B19" s="180">
        <f>VLOOKUP(A19,衰变常数!$A$1:$H$3800,7,FALSE)</f>
        <v>1.58767797586313e-7</v>
      </c>
      <c r="C19" s="181">
        <v>2.39e+17</v>
      </c>
      <c r="D19" s="183"/>
      <c r="E19" s="183">
        <v>2860</v>
      </c>
      <c r="F19" s="183">
        <v>26000</v>
      </c>
      <c r="G19" s="184">
        <v>0.11</v>
      </c>
      <c r="H19" s="186"/>
      <c r="I19" s="220">
        <v>5990000000</v>
      </c>
      <c r="J19" s="221">
        <v>0.95</v>
      </c>
      <c r="K19" s="222">
        <f t="shared" si="119"/>
        <v>1</v>
      </c>
      <c r="L19" s="216">
        <f t="shared" si="120"/>
        <v>5690500000</v>
      </c>
      <c r="M19" s="218">
        <v>0.00041</v>
      </c>
      <c r="N19" s="218">
        <v>2.47e-9</v>
      </c>
      <c r="O19" s="223">
        <f t="shared" ref="O19:O21" si="126">C19*(M19-N19)*0.00000209</f>
        <v>204797866.2103</v>
      </c>
      <c r="P19" s="216"/>
      <c r="Q19" s="216">
        <f>'进水-事故进程'!Z41</f>
        <v>5.684759915e-15</v>
      </c>
      <c r="R19" s="216">
        <f t="shared" si="2"/>
        <v>131796.018543184</v>
      </c>
      <c r="S19" s="244">
        <f t="shared" si="3"/>
        <v>5895423162.39715</v>
      </c>
      <c r="T19" s="245">
        <f t="shared" si="4"/>
        <v>204932197.071499</v>
      </c>
      <c r="U19" s="216">
        <f t="shared" si="5"/>
        <v>0</v>
      </c>
      <c r="V19" s="246">
        <f t="shared" si="6"/>
        <v>1</v>
      </c>
      <c r="W19" s="216">
        <f t="shared" si="7"/>
        <v>2.38999620545265e+17</v>
      </c>
      <c r="X19" s="247">
        <f t="shared" si="8"/>
        <v>0</v>
      </c>
      <c r="Y19" s="275">
        <f t="shared" si="9"/>
        <v>5895423162.39715</v>
      </c>
      <c r="Z19" s="216">
        <f t="shared" si="10"/>
        <v>204932197.071499</v>
      </c>
      <c r="AA19" s="276">
        <f t="shared" si="11"/>
        <v>5690490965.32565</v>
      </c>
      <c r="AB19" s="277">
        <f t="shared" si="12"/>
        <v>1</v>
      </c>
      <c r="AC19" s="247">
        <f t="shared" si="13"/>
        <v>204932197.071499</v>
      </c>
      <c r="AD19" s="278">
        <f t="shared" si="14"/>
        <v>204932197.071499</v>
      </c>
      <c r="AE19" s="279">
        <f t="shared" si="15"/>
        <v>0</v>
      </c>
      <c r="AF19" s="280">
        <f t="shared" si="16"/>
        <v>7200</v>
      </c>
      <c r="AG19" s="247">
        <f t="shared" si="17"/>
        <v>2.38999620545265e+17</v>
      </c>
      <c r="AH19" s="247">
        <f t="shared" si="18"/>
        <v>0</v>
      </c>
      <c r="AI19" s="298">
        <f t="shared" si="19"/>
        <v>5690490965.32565</v>
      </c>
      <c r="AJ19" s="247">
        <f>'DN65-事故进程'!Z41</f>
        <v>5.79065103325e-15</v>
      </c>
      <c r="AK19" s="247">
        <f ca="1" t="shared" si="20"/>
        <v>3.41550507006928e-5</v>
      </c>
      <c r="AL19" s="247">
        <f t="shared" si="21"/>
        <v>0.0115740740740741</v>
      </c>
      <c r="AM19" s="299">
        <f t="shared" si="22"/>
        <v>0.998857524937818</v>
      </c>
      <c r="AN19" s="299">
        <f ca="1" t="shared" si="23"/>
        <v>0.781094222363919</v>
      </c>
      <c r="AO19" s="299">
        <f t="shared" si="24"/>
        <v>6.43126967131712e-37</v>
      </c>
      <c r="AP19" s="247">
        <f t="shared" si="25"/>
        <v>2.38726569438921e+17</v>
      </c>
      <c r="AQ19" s="247">
        <f ca="1" t="shared" si="26"/>
        <v>8823773.77339529</v>
      </c>
      <c r="AR19" s="306">
        <f ca="1" t="shared" si="27"/>
        <v>25762.4888845116</v>
      </c>
      <c r="AS19" s="307">
        <f ca="1" t="shared" si="28"/>
        <v>5685119106.2266</v>
      </c>
      <c r="AT19" s="247">
        <f t="shared" si="29"/>
        <v>9958843.27584268</v>
      </c>
      <c r="AU19" s="247">
        <f ca="1" t="shared" si="30"/>
        <v>1129817.60997673</v>
      </c>
      <c r="AV19" s="308">
        <f ca="1" t="shared" si="31"/>
        <v>5691620782.93563</v>
      </c>
      <c r="AW19" s="280">
        <f t="shared" si="32"/>
        <v>21600</v>
      </c>
      <c r="AX19" s="247">
        <f t="shared" si="33"/>
        <v>2.38726569438921e+17</v>
      </c>
      <c r="AY19" s="247">
        <f ca="1" t="shared" si="34"/>
        <v>8823773.77339529</v>
      </c>
      <c r="AZ19" s="298">
        <f ca="1" t="shared" si="35"/>
        <v>0</v>
      </c>
      <c r="BA19" s="247">
        <f>'DN65-事故进程'!AA41</f>
        <v>1.89586185e-13</v>
      </c>
      <c r="BB19" s="247">
        <f ca="1" t="shared" si="36"/>
        <v>8.73428285176643e-6</v>
      </c>
      <c r="BC19" s="247">
        <f t="shared" si="37"/>
        <v>0.0115740740740741</v>
      </c>
      <c r="BD19" s="299">
        <f t="shared" si="38"/>
        <v>0.996576485113649</v>
      </c>
      <c r="BE19" s="299">
        <f ca="1" t="shared" si="39"/>
        <v>0.825232681669098</v>
      </c>
      <c r="BF19" s="299">
        <f t="shared" si="40"/>
        <v>2.66005221399699e-109</v>
      </c>
      <c r="BG19" s="247">
        <f t="shared" si="41"/>
        <v>2.37909285474679e+17</v>
      </c>
      <c r="BH19" s="247">
        <f ca="1" t="shared" si="42"/>
        <v>895150078.096567</v>
      </c>
      <c r="BI19" s="306">
        <f ca="1" t="shared" si="43"/>
        <v>673084.968197005</v>
      </c>
      <c r="BJ19" s="307">
        <f ca="1" t="shared" si="44"/>
        <v>87896961.9034333</v>
      </c>
      <c r="BK19" s="247">
        <f t="shared" si="45"/>
        <v>975925635.902336</v>
      </c>
      <c r="BL19" s="247">
        <f ca="1" t="shared" si="46"/>
        <v>87999713.0566813</v>
      </c>
      <c r="BM19" s="308">
        <f ca="1" t="shared" si="47"/>
        <v>87999713.0566813</v>
      </c>
      <c r="BN19" s="280">
        <f t="shared" si="48"/>
        <v>57600</v>
      </c>
      <c r="BO19" s="247">
        <f t="shared" si="49"/>
        <v>2.37909285474679e+17</v>
      </c>
      <c r="BP19" s="247">
        <f ca="1" t="shared" si="50"/>
        <v>895150078.096567</v>
      </c>
      <c r="BQ19" s="298">
        <f ca="1" t="shared" si="51"/>
        <v>0</v>
      </c>
      <c r="BR19" s="247">
        <f>'DN65-事故进程'!AB41</f>
        <v>3.207465e-13</v>
      </c>
      <c r="BS19" s="247">
        <f ca="1" t="shared" si="52"/>
        <v>9.71204011720554e-7</v>
      </c>
      <c r="BT19" s="247">
        <f t="shared" si="53"/>
        <v>0.0115740740740741</v>
      </c>
      <c r="BU19" s="299">
        <f t="shared" si="54"/>
        <v>0.990896645116851</v>
      </c>
      <c r="BV19" s="299">
        <f ca="1" t="shared" si="55"/>
        <v>0.936986526531269</v>
      </c>
      <c r="BW19" s="299">
        <f t="shared" si="56"/>
        <v>2.9266700542466e-290</v>
      </c>
      <c r="BX19" s="247">
        <f t="shared" si="57"/>
        <v>2.35743512819007e+17</v>
      </c>
      <c r="BY19" s="247">
        <f ca="1" t="shared" si="58"/>
        <v>5074522452.22549</v>
      </c>
      <c r="BZ19" s="306">
        <f ca="1" t="shared" si="59"/>
        <v>425300.95016729</v>
      </c>
      <c r="CA19" s="307">
        <f ca="1" t="shared" si="60"/>
        <v>167839339.774506</v>
      </c>
      <c r="CB19" s="247">
        <f t="shared" si="61"/>
        <v>4375336852.24186</v>
      </c>
      <c r="CC19" s="247">
        <f ca="1" t="shared" si="62"/>
        <v>168430296.871659</v>
      </c>
      <c r="CD19" s="308">
        <f ca="1" t="shared" si="63"/>
        <v>168430296.871659</v>
      </c>
      <c r="CE19" s="280">
        <f t="shared" si="64"/>
        <v>259200</v>
      </c>
      <c r="CF19" s="247">
        <f t="shared" si="65"/>
        <v>2.35743512819007e+17</v>
      </c>
      <c r="CG19" s="247">
        <f ca="1" t="shared" si="66"/>
        <v>5074522452.22549</v>
      </c>
      <c r="CH19" s="298">
        <f ca="1" t="shared" si="67"/>
        <v>0</v>
      </c>
      <c r="CI19" s="247">
        <f>'DN65-事故进程'!AC41</f>
        <v>1.29055825e-13</v>
      </c>
      <c r="CJ19" s="247">
        <f ca="1" t="shared" si="68"/>
        <v>3.43152347017181e-7</v>
      </c>
      <c r="CK19" s="247">
        <f t="shared" si="69"/>
        <v>0.0115740740740741</v>
      </c>
      <c r="CL19" s="299">
        <f t="shared" si="70"/>
        <v>0.959682626490223</v>
      </c>
      <c r="CM19" s="299">
        <f ca="1" t="shared" si="71"/>
        <v>0.878009643887131</v>
      </c>
      <c r="CN19" s="299">
        <f t="shared" si="72"/>
        <v>0</v>
      </c>
      <c r="CO19" s="247">
        <f t="shared" si="73"/>
        <v>2.26238953560176e+17</v>
      </c>
      <c r="CP19" s="247">
        <f ca="1" t="shared" si="74"/>
        <v>11696653388.3651</v>
      </c>
      <c r="CQ19" s="306">
        <f ca="1" t="shared" si="75"/>
        <v>346722.109998125</v>
      </c>
      <c r="CR19" s="307">
        <f ca="1" t="shared" si="76"/>
        <v>741258483.634903</v>
      </c>
      <c r="CS19" s="247">
        <f t="shared" si="77"/>
        <v>7725859764.9548</v>
      </c>
      <c r="CT19" s="247">
        <f ca="1" t="shared" si="78"/>
        <v>754596407.716669</v>
      </c>
      <c r="CU19" s="308">
        <f ca="1" t="shared" si="79"/>
        <v>754596407.716669</v>
      </c>
      <c r="CV19" s="280">
        <f t="shared" si="80"/>
        <v>2246400</v>
      </c>
      <c r="CW19" s="247">
        <f t="shared" si="81"/>
        <v>2.26238953560176e+17</v>
      </c>
      <c r="CX19" s="247">
        <f ca="1" t="shared" si="82"/>
        <v>11696653388.3651</v>
      </c>
      <c r="CY19" s="298">
        <f ca="1" t="shared" si="83"/>
        <v>0</v>
      </c>
      <c r="CZ19" s="247">
        <f>'DN65-事故进程'!AE41</f>
        <v>3.80097e-14</v>
      </c>
      <c r="DA19" s="247">
        <f t="shared" si="84"/>
        <v>4.45156695156695e-9</v>
      </c>
      <c r="DB19" s="247">
        <f t="shared" si="85"/>
        <v>0.0115740740740741</v>
      </c>
      <c r="DC19" s="299">
        <f t="shared" si="86"/>
        <v>0.700013214763828</v>
      </c>
      <c r="DD19" s="299">
        <f t="shared" si="87"/>
        <v>0.693048026075045</v>
      </c>
      <c r="DE19" s="299">
        <f t="shared" si="88"/>
        <v>0</v>
      </c>
      <c r="DF19" s="247">
        <f t="shared" si="89"/>
        <v>1.58370257186463e+17</v>
      </c>
      <c r="DG19" s="247">
        <f ca="1" t="shared" si="90"/>
        <v>21561398552.3372</v>
      </c>
      <c r="DH19" s="306">
        <f ca="1" t="shared" si="91"/>
        <v>8292.64875039707</v>
      </c>
      <c r="DI19" s="307">
        <f ca="1" t="shared" si="92"/>
        <v>148857767.662842</v>
      </c>
      <c r="DJ19" s="247">
        <f t="shared" si="93"/>
        <v>16248056660.0398</v>
      </c>
      <c r="DK19" s="247">
        <f ca="1" t="shared" si="94"/>
        <v>174095387.381815</v>
      </c>
      <c r="DL19" s="308">
        <f ca="1" t="shared" si="95"/>
        <v>174095387.381815</v>
      </c>
      <c r="DM19" s="321"/>
      <c r="DN19" s="322">
        <f t="shared" si="96"/>
        <v>204932197.071499</v>
      </c>
      <c r="DO19" s="323">
        <f ca="1" t="shared" si="97"/>
        <v>5691620782.93563</v>
      </c>
      <c r="DP19" s="323">
        <f ca="1" t="shared" si="98"/>
        <v>87999713.0566813</v>
      </c>
      <c r="DQ19" s="323">
        <f ca="1" t="shared" si="99"/>
        <v>168430296.871659</v>
      </c>
      <c r="DR19" s="323">
        <f ca="1" t="shared" si="100"/>
        <v>754596407.716669</v>
      </c>
      <c r="DS19" s="323">
        <f ca="1" t="shared" si="101"/>
        <v>174095387.381815</v>
      </c>
      <c r="DT19" s="352">
        <f ca="1" t="shared" si="102"/>
        <v>7081674785.03395</v>
      </c>
      <c r="DU19" s="353">
        <f t="shared" si="103"/>
        <v>5895423162.39715</v>
      </c>
      <c r="DV19" s="126"/>
      <c r="DW19" s="354">
        <v>158562056.848836</v>
      </c>
      <c r="DX19" s="355"/>
      <c r="DY19" s="355"/>
      <c r="DZ19" s="355"/>
      <c r="EA19" s="354">
        <f t="shared" si="104"/>
        <v>158562056.848836</v>
      </c>
      <c r="EB19" s="365">
        <f t="shared" si="105"/>
        <v>1.29244159128731</v>
      </c>
      <c r="EC19" s="365"/>
      <c r="ED19" s="365"/>
      <c r="EE19" s="365"/>
      <c r="EF19" s="365">
        <f ca="1" t="shared" si="106"/>
        <v>43.5638861839275</v>
      </c>
      <c r="EG19" s="369">
        <f ca="1" t="shared" si="107"/>
        <v>44.6618499139754</v>
      </c>
      <c r="EI19" s="354">
        <v>0</v>
      </c>
      <c r="EJ19" s="355">
        <v>9193596.0016345</v>
      </c>
      <c r="EK19" s="355">
        <v>3684256.70523057</v>
      </c>
      <c r="EL19" s="355">
        <v>9327566.70397049</v>
      </c>
      <c r="EM19" s="355">
        <v>34231267.6439377</v>
      </c>
      <c r="EN19" s="355">
        <v>79803821.0366511</v>
      </c>
      <c r="EO19" s="370">
        <v>136240508.091424</v>
      </c>
      <c r="EP19" s="365"/>
      <c r="EQ19" s="365">
        <f ca="1" t="shared" ref="EQ19:EV19" si="127">DO19/EJ19</f>
        <v>619.085370068875</v>
      </c>
      <c r="ER19" s="365">
        <f ca="1" t="shared" si="127"/>
        <v>23.885337015672</v>
      </c>
      <c r="ES19" s="365">
        <f ca="1" t="shared" si="127"/>
        <v>18.0572599711308</v>
      </c>
      <c r="ET19" s="365">
        <f ca="1" t="shared" si="127"/>
        <v>22.0440684687967</v>
      </c>
      <c r="EU19" s="365">
        <f ca="1" t="shared" si="127"/>
        <v>2.18154200037438</v>
      </c>
      <c r="EV19" s="365">
        <f ca="1" t="shared" si="127"/>
        <v>51.9792159045811</v>
      </c>
      <c r="EW19" s="126">
        <f t="shared" si="109"/>
        <v>1.58767797586313e-7</v>
      </c>
      <c r="EX19" s="91">
        <f t="shared" si="110"/>
        <v>4365792</v>
      </c>
    </row>
    <row r="20" s="165" customFormat="1" ht="15.75" spans="1:154">
      <c r="A20" s="185" t="s">
        <v>61</v>
      </c>
      <c r="B20" s="180">
        <f>VLOOKUP(A20,衰变常数!$A$1:$H$3800,7,FALSE)</f>
        <v>7.62921459615568e-10</v>
      </c>
      <c r="C20" s="181">
        <v>1.12e+16</v>
      </c>
      <c r="D20" s="183"/>
      <c r="E20" s="183">
        <v>39.4</v>
      </c>
      <c r="F20" s="183">
        <v>170</v>
      </c>
      <c r="G20" s="184">
        <v>0.231764705882353</v>
      </c>
      <c r="H20" s="186"/>
      <c r="I20" s="220">
        <v>1790000000</v>
      </c>
      <c r="J20" s="221">
        <v>0.95</v>
      </c>
      <c r="K20" s="222">
        <f t="shared" si="119"/>
        <v>1</v>
      </c>
      <c r="L20" s="216">
        <f t="shared" si="120"/>
        <v>1700500000</v>
      </c>
      <c r="M20" s="218">
        <v>0.00066</v>
      </c>
      <c r="N20" s="218">
        <v>6.468e-8</v>
      </c>
      <c r="O20" s="224">
        <f t="shared" si="126"/>
        <v>15447765.97056</v>
      </c>
      <c r="P20" s="216"/>
      <c r="Q20" s="216">
        <f>'进水-事故进程'!Z42</f>
        <v>5.45393451e-15</v>
      </c>
      <c r="R20" s="216">
        <f t="shared" si="2"/>
        <v>5925.03823781954</v>
      </c>
      <c r="S20" s="244">
        <f t="shared" si="3"/>
        <v>1715953717.31746</v>
      </c>
      <c r="T20" s="245">
        <f t="shared" si="4"/>
        <v>15453730.2909432</v>
      </c>
      <c r="U20" s="216">
        <f t="shared" si="5"/>
        <v>0</v>
      </c>
      <c r="V20" s="246">
        <f t="shared" si="6"/>
        <v>1</v>
      </c>
      <c r="W20" s="216">
        <f t="shared" si="7"/>
        <v>1.11999999145528e+16</v>
      </c>
      <c r="X20" s="247">
        <f t="shared" si="8"/>
        <v>0</v>
      </c>
      <c r="Y20" s="275">
        <f t="shared" si="9"/>
        <v>1715953717.31746</v>
      </c>
      <c r="Z20" s="216">
        <f t="shared" si="10"/>
        <v>15453730.2909432</v>
      </c>
      <c r="AA20" s="276">
        <f t="shared" si="11"/>
        <v>1700499987.02652</v>
      </c>
      <c r="AB20" s="277">
        <f t="shared" si="12"/>
        <v>1</v>
      </c>
      <c r="AC20" s="247">
        <f t="shared" si="13"/>
        <v>15453730.2909432</v>
      </c>
      <c r="AD20" s="278">
        <f t="shared" si="14"/>
        <v>15453730.2909432</v>
      </c>
      <c r="AE20" s="279">
        <f t="shared" si="15"/>
        <v>0</v>
      </c>
      <c r="AF20" s="280">
        <f t="shared" si="16"/>
        <v>7200</v>
      </c>
      <c r="AG20" s="247">
        <f t="shared" si="17"/>
        <v>1.11999999145528e+16</v>
      </c>
      <c r="AH20" s="247">
        <f t="shared" si="18"/>
        <v>0</v>
      </c>
      <c r="AI20" s="298">
        <f t="shared" si="19"/>
        <v>1700499987.02652</v>
      </c>
      <c r="AJ20" s="247">
        <f>'DN65-事故进程'!Z42</f>
        <v>5.55517599125e-15</v>
      </c>
      <c r="AK20" s="247">
        <f ca="1" t="shared" si="20"/>
        <v>3.41550507006928e-5</v>
      </c>
      <c r="AL20" s="247">
        <f t="shared" si="21"/>
        <v>0.0115740740740741</v>
      </c>
      <c r="AM20" s="299">
        <f t="shared" si="22"/>
        <v>0.99999450694058</v>
      </c>
      <c r="AN20" s="299">
        <f ca="1" t="shared" si="23"/>
        <v>0.78198332821715</v>
      </c>
      <c r="AO20" s="299">
        <f t="shared" si="24"/>
        <v>6.43859027278192e-37</v>
      </c>
      <c r="AP20" s="247">
        <f t="shared" si="25"/>
        <v>1.11999383922878e+16</v>
      </c>
      <c r="AQ20" s="247">
        <f ca="1" t="shared" si="26"/>
        <v>397136.377729759</v>
      </c>
      <c r="AR20" s="306">
        <f ca="1" t="shared" si="27"/>
        <v>1159.50632684466</v>
      </c>
      <c r="AS20" s="307">
        <f ca="1" t="shared" si="28"/>
        <v>1700541447.62227</v>
      </c>
      <c r="AT20" s="247">
        <f t="shared" si="29"/>
        <v>447968.158150701</v>
      </c>
      <c r="AU20" s="247">
        <f ca="1" t="shared" si="30"/>
        <v>50830.6450166921</v>
      </c>
      <c r="AV20" s="308">
        <f ca="1" t="shared" si="31"/>
        <v>1700550817.67154</v>
      </c>
      <c r="AW20" s="280">
        <f t="shared" si="32"/>
        <v>21600</v>
      </c>
      <c r="AX20" s="247">
        <f t="shared" si="33"/>
        <v>1.11999383922878e+16</v>
      </c>
      <c r="AY20" s="247">
        <f ca="1" t="shared" si="34"/>
        <v>397136.377729759</v>
      </c>
      <c r="AZ20" s="298">
        <f ca="1" t="shared" si="35"/>
        <v>0</v>
      </c>
      <c r="BA20" s="247">
        <f>'DN65-事故进程'!AA42</f>
        <v>1.844157675e-13</v>
      </c>
      <c r="BB20" s="247">
        <f ca="1" t="shared" si="36"/>
        <v>8.73428285176643e-6</v>
      </c>
      <c r="BC20" s="247">
        <f t="shared" si="37"/>
        <v>0.0115740740740741</v>
      </c>
      <c r="BD20" s="299">
        <f t="shared" si="38"/>
        <v>0.999983517048937</v>
      </c>
      <c r="BE20" s="299">
        <f ca="1" t="shared" si="39"/>
        <v>0.828053934277731</v>
      </c>
      <c r="BF20" s="299">
        <f t="shared" si="40"/>
        <v>2.66914623004182e-109</v>
      </c>
      <c r="BG20" s="247">
        <f t="shared" si="41"/>
        <v>1.11997537842513e+16</v>
      </c>
      <c r="BH20" s="247">
        <f ca="1" t="shared" si="42"/>
        <v>40986011.4304481</v>
      </c>
      <c r="BI20" s="306">
        <f ca="1" t="shared" si="43"/>
        <v>30818.3570152671</v>
      </c>
      <c r="BJ20" s="307">
        <f ca="1" t="shared" si="44"/>
        <v>4024070.56955189</v>
      </c>
      <c r="BK20" s="247">
        <f t="shared" si="45"/>
        <v>44613249.3835686</v>
      </c>
      <c r="BL20" s="247">
        <f ca="1" t="shared" si="46"/>
        <v>4024022.84081437</v>
      </c>
      <c r="BM20" s="308">
        <f ca="1" t="shared" si="47"/>
        <v>4024022.84081437</v>
      </c>
      <c r="BN20" s="280">
        <f t="shared" si="48"/>
        <v>57600</v>
      </c>
      <c r="BO20" s="247">
        <f t="shared" si="49"/>
        <v>1.11997537842513e+16</v>
      </c>
      <c r="BP20" s="247">
        <f ca="1" t="shared" si="50"/>
        <v>40986011.4304481</v>
      </c>
      <c r="BQ20" s="298">
        <f ca="1" t="shared" si="51"/>
        <v>0</v>
      </c>
      <c r="BR20" s="247">
        <f>'DN65-事故进程'!AB42</f>
        <v>3.2442075e-13</v>
      </c>
      <c r="BS20" s="247">
        <f ca="1" t="shared" si="52"/>
        <v>9.71204011720554e-7</v>
      </c>
      <c r="BT20" s="247">
        <f t="shared" si="53"/>
        <v>0.0115740740740741</v>
      </c>
      <c r="BU20" s="299">
        <f t="shared" si="54"/>
        <v>0.999956038003648</v>
      </c>
      <c r="BV20" s="299">
        <f ca="1" t="shared" si="55"/>
        <v>0.945553039813563</v>
      </c>
      <c r="BW20" s="299">
        <f t="shared" si="56"/>
        <v>2.95342749118116e-290</v>
      </c>
      <c r="BX20" s="247">
        <f t="shared" si="57"/>
        <v>1.11992614207163e+16</v>
      </c>
      <c r="BY20" s="247">
        <f ca="1" t="shared" si="58"/>
        <v>242285000.073631</v>
      </c>
      <c r="BZ20" s="306">
        <f ca="1" t="shared" si="59"/>
        <v>20305.988066184</v>
      </c>
      <c r="CA20" s="307">
        <f ca="1" t="shared" si="60"/>
        <v>7975717.92636919</v>
      </c>
      <c r="CB20" s="247">
        <f t="shared" si="61"/>
        <v>209281112.953419</v>
      </c>
      <c r="CC20" s="247">
        <f ca="1" t="shared" si="62"/>
        <v>7975858.93873112</v>
      </c>
      <c r="CD20" s="308">
        <f ca="1" t="shared" si="63"/>
        <v>7975858.93873112</v>
      </c>
      <c r="CE20" s="280">
        <f t="shared" si="64"/>
        <v>259200</v>
      </c>
      <c r="CF20" s="247">
        <f t="shared" si="65"/>
        <v>1.11992614207163e+16</v>
      </c>
      <c r="CG20" s="247">
        <f ca="1" t="shared" si="66"/>
        <v>242285000.073631</v>
      </c>
      <c r="CH20" s="298">
        <f ca="1" t="shared" si="67"/>
        <v>0</v>
      </c>
      <c r="CI20" s="247">
        <f>'DN65-事故进程'!AC42</f>
        <v>1.32439375e-13</v>
      </c>
      <c r="CJ20" s="247">
        <f ca="1" t="shared" si="68"/>
        <v>3.43152347017181e-7</v>
      </c>
      <c r="CK20" s="247">
        <f t="shared" si="69"/>
        <v>0.0115740740740741</v>
      </c>
      <c r="CL20" s="299">
        <f t="shared" si="70"/>
        <v>0.999802235987263</v>
      </c>
      <c r="CM20" s="299">
        <f ca="1" t="shared" si="71"/>
        <v>0.914714908570405</v>
      </c>
      <c r="CN20" s="299">
        <f t="shared" si="72"/>
        <v>0</v>
      </c>
      <c r="CO20" s="247">
        <f t="shared" si="73"/>
        <v>1.11970466098381e+16</v>
      </c>
      <c r="CP20" s="247">
        <f ca="1" t="shared" si="74"/>
        <v>589398715.052423</v>
      </c>
      <c r="CQ20" s="306">
        <f ca="1" t="shared" si="75"/>
        <v>17471.4262258527</v>
      </c>
      <c r="CR20" s="307">
        <f ca="1" t="shared" si="76"/>
        <v>37213746.9475765</v>
      </c>
      <c r="CS20" s="247">
        <f t="shared" si="77"/>
        <v>384413432.455406</v>
      </c>
      <c r="CT20" s="247">
        <f ca="1" t="shared" si="78"/>
        <v>37216973.9711591</v>
      </c>
      <c r="CU20" s="308">
        <f ca="1" t="shared" si="79"/>
        <v>37216973.9711591</v>
      </c>
      <c r="CV20" s="280">
        <f t="shared" si="80"/>
        <v>2246400</v>
      </c>
      <c r="CW20" s="247">
        <f t="shared" si="81"/>
        <v>1.11970466098381e+16</v>
      </c>
      <c r="CX20" s="247">
        <f ca="1" t="shared" si="82"/>
        <v>589398715.052423</v>
      </c>
      <c r="CY20" s="298">
        <f ca="1" t="shared" si="83"/>
        <v>0</v>
      </c>
      <c r="CZ20" s="247">
        <f>'DN65-事故进程'!AE42</f>
        <v>4.02206e-14</v>
      </c>
      <c r="DA20" s="247">
        <f t="shared" si="84"/>
        <v>4.45156695156695e-9</v>
      </c>
      <c r="DB20" s="247">
        <f t="shared" si="85"/>
        <v>0.0115740740740741</v>
      </c>
      <c r="DC20" s="299">
        <f t="shared" si="86"/>
        <v>0.998287550798759</v>
      </c>
      <c r="DD20" s="299">
        <f t="shared" si="87"/>
        <v>0.988354513001539</v>
      </c>
      <c r="DE20" s="299">
        <f t="shared" si="88"/>
        <v>0</v>
      </c>
      <c r="DF20" s="247">
        <f t="shared" si="89"/>
        <v>1.11778722363148e+16</v>
      </c>
      <c r="DG20" s="247">
        <f ca="1" t="shared" si="90"/>
        <v>1587440172.40076</v>
      </c>
      <c r="DH20" s="306">
        <f ca="1" t="shared" si="91"/>
        <v>610.539207371261</v>
      </c>
      <c r="DI20" s="307">
        <f ca="1" t="shared" si="92"/>
        <v>10887497.5992432</v>
      </c>
      <c r="DJ20" s="247">
        <f t="shared" si="93"/>
        <v>1010804117.3344</v>
      </c>
      <c r="DK20" s="247">
        <f ca="1" t="shared" si="94"/>
        <v>10895380.510431</v>
      </c>
      <c r="DL20" s="308">
        <f ca="1" t="shared" si="95"/>
        <v>10895380.510431</v>
      </c>
      <c r="DM20" s="321"/>
      <c r="DN20" s="322">
        <f t="shared" si="96"/>
        <v>15453730.2909432</v>
      </c>
      <c r="DO20" s="323">
        <f ca="1" t="shared" si="97"/>
        <v>1700550817.67154</v>
      </c>
      <c r="DP20" s="323">
        <f ca="1" t="shared" si="98"/>
        <v>4024022.84081437</v>
      </c>
      <c r="DQ20" s="323">
        <f ca="1" t="shared" si="99"/>
        <v>7975858.93873112</v>
      </c>
      <c r="DR20" s="323">
        <f ca="1" t="shared" si="100"/>
        <v>37216973.9711591</v>
      </c>
      <c r="DS20" s="323">
        <f ca="1" t="shared" si="101"/>
        <v>10895380.510431</v>
      </c>
      <c r="DT20" s="352">
        <f ca="1" t="shared" si="102"/>
        <v>1776116784.22362</v>
      </c>
      <c r="DU20" s="353">
        <f t="shared" si="103"/>
        <v>1715953717.31746</v>
      </c>
      <c r="DV20" s="126"/>
      <c r="DW20" s="354">
        <v>19297884.5801851</v>
      </c>
      <c r="DX20" s="355"/>
      <c r="DY20" s="355"/>
      <c r="DZ20" s="355"/>
      <c r="EA20" s="354">
        <f t="shared" si="104"/>
        <v>19297884.5801851</v>
      </c>
      <c r="EB20" s="365">
        <f t="shared" si="105"/>
        <v>0.800799187430676</v>
      </c>
      <c r="EC20" s="365"/>
      <c r="ED20" s="365"/>
      <c r="EE20" s="365"/>
      <c r="EF20" s="365">
        <f ca="1" t="shared" si="106"/>
        <v>91.4722749210397</v>
      </c>
      <c r="EG20" s="369">
        <f ca="1" t="shared" si="107"/>
        <v>92.0368642917119</v>
      </c>
      <c r="EI20" s="354">
        <v>0</v>
      </c>
      <c r="EJ20" s="355">
        <v>1337566.91610456</v>
      </c>
      <c r="EK20" s="355">
        <v>537501.855619295</v>
      </c>
      <c r="EL20" s="355">
        <v>1369302.75219258</v>
      </c>
      <c r="EM20" s="355">
        <v>5147392.95402511</v>
      </c>
      <c r="EN20" s="355">
        <v>13611396.8441045</v>
      </c>
      <c r="EO20" s="370">
        <v>22003161.3220461</v>
      </c>
      <c r="EP20" s="365"/>
      <c r="EQ20" s="365">
        <f ca="1" t="shared" ref="EQ20:EV20" si="128">DO20/EJ20</f>
        <v>1271.37625579444</v>
      </c>
      <c r="ER20" s="365">
        <f ca="1" t="shared" si="128"/>
        <v>7.48652827659172</v>
      </c>
      <c r="ES20" s="365">
        <f ca="1" t="shared" si="128"/>
        <v>5.82475929881823</v>
      </c>
      <c r="ET20" s="365">
        <f ca="1" t="shared" si="128"/>
        <v>7.23025700652144</v>
      </c>
      <c r="EU20" s="365">
        <f ca="1" t="shared" si="128"/>
        <v>0.800460131698395</v>
      </c>
      <c r="EV20" s="365">
        <f ca="1" t="shared" si="128"/>
        <v>80.7209817820148</v>
      </c>
      <c r="EW20" s="126">
        <f t="shared" si="109"/>
        <v>7.62921459615568e-10</v>
      </c>
      <c r="EX20" s="91">
        <f t="shared" si="110"/>
        <v>908543300</v>
      </c>
    </row>
    <row r="21" s="165" customFormat="1" ht="15.75" spans="1:154">
      <c r="A21" s="185" t="s">
        <v>62</v>
      </c>
      <c r="B21" s="180">
        <f>VLOOKUP(A21,衰变常数!$A$1:$H$3800,7,FALSE)</f>
        <v>1.06355351616218e-8</v>
      </c>
      <c r="C21" s="181">
        <v>1.46e+16</v>
      </c>
      <c r="D21" s="183"/>
      <c r="E21" s="183">
        <v>385000</v>
      </c>
      <c r="F21" s="187">
        <v>150000</v>
      </c>
      <c r="G21" s="188">
        <v>2.56666666666667</v>
      </c>
      <c r="H21" s="186"/>
      <c r="I21" s="220">
        <v>806000000000</v>
      </c>
      <c r="J21" s="221">
        <v>0.95</v>
      </c>
      <c r="K21" s="222">
        <f t="shared" si="119"/>
        <v>1</v>
      </c>
      <c r="L21" s="216">
        <f t="shared" si="120"/>
        <v>765700000000</v>
      </c>
      <c r="M21" s="218">
        <v>0.00066</v>
      </c>
      <c r="N21" s="218">
        <v>0.000144</v>
      </c>
      <c r="O21" s="224">
        <f t="shared" si="126"/>
        <v>15745224</v>
      </c>
      <c r="P21" s="216"/>
      <c r="Q21" s="216">
        <f>'进水-事故进程'!Z43</f>
        <v>1.6575995e-12</v>
      </c>
      <c r="R21" s="216">
        <f t="shared" si="2"/>
        <v>2347489.31404738</v>
      </c>
      <c r="S21" s="244">
        <f t="shared" si="3"/>
        <v>765718396275.31</v>
      </c>
      <c r="T21" s="245">
        <f t="shared" si="4"/>
        <v>18477711.5985118</v>
      </c>
      <c r="U21" s="216">
        <f t="shared" si="5"/>
        <v>0</v>
      </c>
      <c r="V21" s="246">
        <f t="shared" si="6"/>
        <v>1</v>
      </c>
      <c r="W21" s="216">
        <f t="shared" si="7"/>
        <v>1.45999984472119e+16</v>
      </c>
      <c r="X21" s="247">
        <f t="shared" si="8"/>
        <v>0</v>
      </c>
      <c r="Y21" s="275">
        <f t="shared" si="9"/>
        <v>765718396275.31</v>
      </c>
      <c r="Z21" s="216">
        <f t="shared" si="10"/>
        <v>18477711.5985118</v>
      </c>
      <c r="AA21" s="276">
        <f t="shared" si="11"/>
        <v>765699918563.712</v>
      </c>
      <c r="AB21" s="277">
        <f t="shared" si="12"/>
        <v>1</v>
      </c>
      <c r="AC21" s="247">
        <f t="shared" si="13"/>
        <v>18477711.5985118</v>
      </c>
      <c r="AD21" s="278">
        <f t="shared" si="14"/>
        <v>18477711.5985118</v>
      </c>
      <c r="AE21" s="279">
        <f t="shared" si="15"/>
        <v>0</v>
      </c>
      <c r="AF21" s="280">
        <f t="shared" si="16"/>
        <v>7200</v>
      </c>
      <c r="AG21" s="247">
        <f t="shared" si="17"/>
        <v>1.45999984472119e+16</v>
      </c>
      <c r="AH21" s="247">
        <f t="shared" si="18"/>
        <v>0</v>
      </c>
      <c r="AI21" s="298">
        <f t="shared" si="19"/>
        <v>765699918563.712</v>
      </c>
      <c r="AJ21" s="247">
        <f>'DN65-事故进程'!Z43</f>
        <v>1.733029225e-12</v>
      </c>
      <c r="AK21" s="247">
        <f ca="1" t="shared" si="20"/>
        <v>3.41550507006928e-5</v>
      </c>
      <c r="AL21" s="247">
        <f t="shared" si="21"/>
        <v>0.0115740740740741</v>
      </c>
      <c r="AM21" s="299">
        <f t="shared" si="22"/>
        <v>0.999923414601837</v>
      </c>
      <c r="AN21" s="299">
        <f ca="1" t="shared" si="23"/>
        <v>0.781927744613582</v>
      </c>
      <c r="AO21" s="299">
        <f t="shared" si="24"/>
        <v>6.43813261590325e-37</v>
      </c>
      <c r="AP21" s="247">
        <f t="shared" si="25"/>
        <v>1.45988803005177e+16</v>
      </c>
      <c r="AQ21" s="247">
        <f ca="1" t="shared" si="26"/>
        <v>161492237.26721</v>
      </c>
      <c r="AR21" s="306">
        <f ca="1" t="shared" si="27"/>
        <v>471503.698384411</v>
      </c>
      <c r="AS21" s="307">
        <f ca="1" t="shared" si="28"/>
        <v>765661956452.733</v>
      </c>
      <c r="AT21" s="247">
        <f t="shared" si="29"/>
        <v>182169036.656438</v>
      </c>
      <c r="AU21" s="247">
        <f ca="1" t="shared" si="30"/>
        <v>20670362.8486206</v>
      </c>
      <c r="AV21" s="308">
        <f ca="1" t="shared" si="31"/>
        <v>765720588926.561</v>
      </c>
      <c r="AW21" s="280">
        <f t="shared" si="32"/>
        <v>21600</v>
      </c>
      <c r="AX21" s="247">
        <f t="shared" si="33"/>
        <v>1.45988803005177e+16</v>
      </c>
      <c r="AY21" s="247">
        <f ca="1" t="shared" si="34"/>
        <v>161492237.26721</v>
      </c>
      <c r="AZ21" s="298">
        <f ca="1" t="shared" si="35"/>
        <v>0</v>
      </c>
      <c r="BA21" s="247">
        <f>'DN65-事故进程'!AA43</f>
        <v>2.0738575e-11</v>
      </c>
      <c r="BB21" s="247">
        <f ca="1" t="shared" si="36"/>
        <v>8.73428285176643e-6</v>
      </c>
      <c r="BC21" s="247">
        <f t="shared" si="37"/>
        <v>0.0115740740740741</v>
      </c>
      <c r="BD21" s="299">
        <f t="shared" si="38"/>
        <v>0.99976985097564</v>
      </c>
      <c r="BE21" s="299">
        <f ca="1" t="shared" si="39"/>
        <v>0.82787737188129</v>
      </c>
      <c r="BF21" s="299">
        <f t="shared" si="40"/>
        <v>2.66857709941487e-109</v>
      </c>
      <c r="BG21" s="247">
        <f t="shared" si="41"/>
        <v>1.45955203824598e+16</v>
      </c>
      <c r="BH21" s="247">
        <f ca="1" t="shared" si="42"/>
        <v>6092088342.01291</v>
      </c>
      <c r="BI21" s="306">
        <f ca="1" t="shared" si="43"/>
        <v>4581067.29871767</v>
      </c>
      <c r="BJ21" s="307">
        <f ca="1" t="shared" si="44"/>
        <v>607478603.987091</v>
      </c>
      <c r="BK21" s="247">
        <f t="shared" si="45"/>
        <v>6538862867.08433</v>
      </c>
      <c r="BL21" s="247">
        <f ca="1" t="shared" si="46"/>
        <v>607526990.707617</v>
      </c>
      <c r="BM21" s="308">
        <f ca="1" t="shared" si="47"/>
        <v>607526990.707617</v>
      </c>
      <c r="BN21" s="280">
        <f t="shared" si="48"/>
        <v>57600</v>
      </c>
      <c r="BO21" s="247">
        <f t="shared" si="49"/>
        <v>1.45955203824598e+16</v>
      </c>
      <c r="BP21" s="247">
        <f ca="1" t="shared" si="50"/>
        <v>6092088342.01291</v>
      </c>
      <c r="BQ21" s="298">
        <f ca="1" t="shared" si="51"/>
        <v>0</v>
      </c>
      <c r="BR21" s="247">
        <f>'DN65-事故进程'!AB43</f>
        <v>3.5338375e-10</v>
      </c>
      <c r="BS21" s="247">
        <f ca="1" t="shared" si="52"/>
        <v>9.71204011720554e-7</v>
      </c>
      <c r="BT21" s="247">
        <f t="shared" si="53"/>
        <v>0.0115740740740741</v>
      </c>
      <c r="BU21" s="299">
        <f t="shared" si="54"/>
        <v>0.999367238548708</v>
      </c>
      <c r="BV21" s="299">
        <f ca="1" t="shared" si="55"/>
        <v>0.945015492067627</v>
      </c>
      <c r="BW21" s="299">
        <f t="shared" si="56"/>
        <v>2.95174846502038e-290</v>
      </c>
      <c r="BX21" s="247">
        <f t="shared" si="57"/>
        <v>1.45862848998002e+16</v>
      </c>
      <c r="BY21" s="247">
        <f ca="1" t="shared" si="58"/>
        <v>294510610998.7</v>
      </c>
      <c r="BZ21" s="306">
        <f ca="1" t="shared" si="59"/>
        <v>24677682.4542725</v>
      </c>
      <c r="CA21" s="307">
        <f ca="1" t="shared" si="60"/>
        <v>8483197041.2998</v>
      </c>
      <c r="CB21" s="247">
        <f t="shared" si="61"/>
        <v>296996412617.791</v>
      </c>
      <c r="CC21" s="247">
        <f ca="1" t="shared" si="62"/>
        <v>8484972079.97531</v>
      </c>
      <c r="CD21" s="308">
        <f ca="1" t="shared" si="63"/>
        <v>8484972079.97531</v>
      </c>
      <c r="CE21" s="280">
        <f t="shared" si="64"/>
        <v>259200</v>
      </c>
      <c r="CF21" s="247">
        <f t="shared" si="65"/>
        <v>1.45862848998002e+16</v>
      </c>
      <c r="CG21" s="247">
        <f ca="1" t="shared" si="66"/>
        <v>294510610998.7</v>
      </c>
      <c r="CH21" s="298">
        <f ca="1" t="shared" si="67"/>
        <v>0</v>
      </c>
      <c r="CI21" s="247">
        <f>'DN65-事故进程'!AC43</f>
        <v>3.00556875e-10</v>
      </c>
      <c r="CJ21" s="247">
        <f ca="1" t="shared" si="68"/>
        <v>3.43152347017181e-7</v>
      </c>
      <c r="CK21" s="247">
        <f t="shared" si="69"/>
        <v>0.0115740740740741</v>
      </c>
      <c r="CL21" s="299">
        <f t="shared" si="70"/>
        <v>0.997169378728624</v>
      </c>
      <c r="CM21" s="299">
        <f ca="1" t="shared" si="71"/>
        <v>0.912377162467799</v>
      </c>
      <c r="CN21" s="299">
        <f t="shared" si="72"/>
        <v>0</v>
      </c>
      <c r="CO21" s="247">
        <f t="shared" si="73"/>
        <v>1.45449966514925e+16</v>
      </c>
      <c r="CP21" s="247">
        <f ca="1" t="shared" si="74"/>
        <v>1352933517670.01</v>
      </c>
      <c r="CQ21" s="306">
        <f ca="1" t="shared" si="75"/>
        <v>40102254.3496842</v>
      </c>
      <c r="CR21" s="307">
        <f ca="1" t="shared" si="76"/>
        <v>73928856997.9941</v>
      </c>
      <c r="CS21" s="247">
        <f t="shared" si="77"/>
        <v>1134725900626.91</v>
      </c>
      <c r="CT21" s="247">
        <f ca="1" t="shared" si="78"/>
        <v>74009181148.4891</v>
      </c>
      <c r="CU21" s="308">
        <f ca="1" t="shared" si="79"/>
        <v>74009181148.4891</v>
      </c>
      <c r="CV21" s="280">
        <f t="shared" si="80"/>
        <v>2246400</v>
      </c>
      <c r="CW21" s="247">
        <f t="shared" si="81"/>
        <v>1.45449966514925e+16</v>
      </c>
      <c r="CX21" s="247">
        <f ca="1" t="shared" si="82"/>
        <v>1352933517670.01</v>
      </c>
      <c r="CY21" s="298">
        <f ca="1" t="shared" si="83"/>
        <v>0</v>
      </c>
      <c r="CZ21" s="247">
        <f>'DN65-事故进程'!AE43</f>
        <v>9.672285e-11</v>
      </c>
      <c r="DA21" s="247">
        <f t="shared" si="84"/>
        <v>4.45156695156695e-9</v>
      </c>
      <c r="DB21" s="247">
        <f t="shared" si="85"/>
        <v>0.0115740740740741</v>
      </c>
      <c r="DC21" s="299">
        <f t="shared" si="86"/>
        <v>0.97617935469316</v>
      </c>
      <c r="DD21" s="299">
        <f t="shared" si="87"/>
        <v>0.966676222686227</v>
      </c>
      <c r="DE21" s="299">
        <f t="shared" si="88"/>
        <v>0</v>
      </c>
      <c r="DF21" s="247">
        <f t="shared" si="89"/>
        <v>1.41985254452681e+16</v>
      </c>
      <c r="DG21" s="247">
        <f ca="1" t="shared" si="90"/>
        <v>4377837950105.25</v>
      </c>
      <c r="DH21" s="306">
        <f ca="1" t="shared" si="91"/>
        <v>1683738.83801384</v>
      </c>
      <c r="DI21" s="307">
        <f ca="1" t="shared" si="92"/>
        <v>28520185884.75</v>
      </c>
      <c r="DJ21" s="247">
        <f t="shared" si="93"/>
        <v>3122519275316.61</v>
      </c>
      <c r="DK21" s="247">
        <f ca="1" t="shared" si="94"/>
        <v>28802019452.8706</v>
      </c>
      <c r="DL21" s="308">
        <f ca="1" t="shared" si="95"/>
        <v>28802019452.8706</v>
      </c>
      <c r="DM21" s="321"/>
      <c r="DN21" s="322">
        <f t="shared" si="96"/>
        <v>18477711.5985118</v>
      </c>
      <c r="DO21" s="323">
        <f ca="1" t="shared" si="97"/>
        <v>765720588926.561</v>
      </c>
      <c r="DP21" s="323">
        <f ca="1" t="shared" si="98"/>
        <v>607526990.707617</v>
      </c>
      <c r="DQ21" s="323">
        <f ca="1" t="shared" si="99"/>
        <v>8484972079.97531</v>
      </c>
      <c r="DR21" s="323">
        <f ca="1" t="shared" si="100"/>
        <v>74009181148.4891</v>
      </c>
      <c r="DS21" s="323">
        <f ca="1" t="shared" si="101"/>
        <v>28802019452.8706</v>
      </c>
      <c r="DT21" s="352">
        <f ca="1" t="shared" si="102"/>
        <v>877642766310.202</v>
      </c>
      <c r="DU21" s="353">
        <f t="shared" si="103"/>
        <v>765718396275.31</v>
      </c>
      <c r="DV21" s="126"/>
      <c r="DW21" s="354">
        <v>1487400901.76169</v>
      </c>
      <c r="DX21" s="355"/>
      <c r="DY21" s="355"/>
      <c r="DZ21" s="355"/>
      <c r="EA21" s="354">
        <f t="shared" si="104"/>
        <v>1487400901.76169</v>
      </c>
      <c r="EB21" s="365">
        <f t="shared" si="105"/>
        <v>0.0124228186070256</v>
      </c>
      <c r="EC21" s="365"/>
      <c r="ED21" s="365"/>
      <c r="EE21" s="365"/>
      <c r="EF21" s="365">
        <f ca="1" t="shared" si="106"/>
        <v>570.687261149269</v>
      </c>
      <c r="EG21" s="369">
        <f ca="1" t="shared" si="107"/>
        <v>590.051253344485</v>
      </c>
      <c r="EI21" s="354">
        <v>0</v>
      </c>
      <c r="EJ21" s="355">
        <v>86161833.7796364</v>
      </c>
      <c r="EK21" s="355">
        <v>34618167.2268247</v>
      </c>
      <c r="EL21" s="355">
        <v>88156434.4888433</v>
      </c>
      <c r="EM21" s="355">
        <v>330891394.842001</v>
      </c>
      <c r="EN21" s="355">
        <v>867906856.386319</v>
      </c>
      <c r="EO21" s="370">
        <v>1407734686.72362</v>
      </c>
      <c r="EP21" s="365"/>
      <c r="EQ21" s="365">
        <f ca="1" t="shared" ref="EQ21:EV21" si="129">DO21/EJ21</f>
        <v>8887.00431893004</v>
      </c>
      <c r="ER21" s="365">
        <f ca="1" t="shared" si="129"/>
        <v>17.5493689982773</v>
      </c>
      <c r="ES21" s="365">
        <f ca="1" t="shared" si="129"/>
        <v>96.2490387590384</v>
      </c>
      <c r="ET21" s="365">
        <f ca="1" t="shared" si="129"/>
        <v>223.66607987442</v>
      </c>
      <c r="EU21" s="365">
        <f ca="1" t="shared" si="129"/>
        <v>33.1856111527829</v>
      </c>
      <c r="EV21" s="365">
        <f ca="1" t="shared" si="129"/>
        <v>623.44330546606</v>
      </c>
      <c r="EW21" s="126">
        <f t="shared" si="109"/>
        <v>1.06355351616218e-8</v>
      </c>
      <c r="EX21" s="91">
        <f t="shared" si="110"/>
        <v>65172760.0000006</v>
      </c>
    </row>
    <row r="22" s="165" customFormat="1" ht="15.75" spans="1:154">
      <c r="A22" s="185" t="s">
        <v>63</v>
      </c>
      <c r="B22" s="180">
        <f>VLOOKUP(A22,衰变常数!$A$1:$H$3800,7,FALSE)</f>
        <v>7.302030887879e-10</v>
      </c>
      <c r="C22" s="181">
        <v>1.74e+16</v>
      </c>
      <c r="D22" s="183"/>
      <c r="E22" s="183">
        <v>544000</v>
      </c>
      <c r="F22" s="187">
        <v>250000</v>
      </c>
      <c r="G22" s="188">
        <v>2.176</v>
      </c>
      <c r="H22" s="186"/>
      <c r="I22" s="220">
        <v>12400000000000</v>
      </c>
      <c r="J22" s="221">
        <v>0.95</v>
      </c>
      <c r="K22" s="222">
        <f t="shared" si="119"/>
        <v>1</v>
      </c>
      <c r="L22" s="216">
        <f t="shared" si="120"/>
        <v>11780000000000</v>
      </c>
      <c r="M22" s="218">
        <v>0.00066</v>
      </c>
      <c r="N22" s="218">
        <v>0.001958</v>
      </c>
      <c r="O22" s="224">
        <f>C22*(M22)*0.00000209</f>
        <v>24001560</v>
      </c>
      <c r="P22" s="216"/>
      <c r="Q22" s="216">
        <f>'进水-事故进程'!Z44</f>
        <v>1.91444975e-12</v>
      </c>
      <c r="R22" s="216">
        <f t="shared" si="2"/>
        <v>3231207.23511039</v>
      </c>
      <c r="S22" s="244">
        <f t="shared" si="3"/>
        <v>11780027690749.1</v>
      </c>
      <c r="T22" s="245">
        <f t="shared" si="4"/>
        <v>27776767.055878</v>
      </c>
      <c r="U22" s="216">
        <f t="shared" si="5"/>
        <v>0</v>
      </c>
      <c r="V22" s="246">
        <f t="shared" si="6"/>
        <v>1</v>
      </c>
      <c r="W22" s="216">
        <f t="shared" si="7"/>
        <v>1.73999998729447e+16</v>
      </c>
      <c r="X22" s="247">
        <f t="shared" si="8"/>
        <v>0</v>
      </c>
      <c r="Y22" s="275">
        <f t="shared" si="9"/>
        <v>11780027690749.1</v>
      </c>
      <c r="Z22" s="216">
        <f t="shared" si="10"/>
        <v>27776767.055878</v>
      </c>
      <c r="AA22" s="276">
        <f t="shared" si="11"/>
        <v>11779999913982.1</v>
      </c>
      <c r="AB22" s="277">
        <f t="shared" si="12"/>
        <v>1</v>
      </c>
      <c r="AC22" s="247">
        <f t="shared" si="13"/>
        <v>27776767.055878</v>
      </c>
      <c r="AD22" s="278">
        <f t="shared" si="14"/>
        <v>27776767.055878</v>
      </c>
      <c r="AE22" s="279">
        <f t="shared" si="15"/>
        <v>0</v>
      </c>
      <c r="AF22" s="280">
        <f t="shared" si="16"/>
        <v>7200</v>
      </c>
      <c r="AG22" s="247">
        <f t="shared" si="17"/>
        <v>1.73999998729447e+16</v>
      </c>
      <c r="AH22" s="247">
        <f t="shared" si="18"/>
        <v>0</v>
      </c>
      <c r="AI22" s="298">
        <f t="shared" si="19"/>
        <v>11779999913982.1</v>
      </c>
      <c r="AJ22" s="247">
        <f>'DN65-事故进程'!Z44</f>
        <v>2.002341425e-12</v>
      </c>
      <c r="AK22" s="247">
        <f ca="1" t="shared" si="20"/>
        <v>3.41550507006928e-5</v>
      </c>
      <c r="AL22" s="247">
        <f t="shared" si="21"/>
        <v>0.0115740740740741</v>
      </c>
      <c r="AM22" s="299">
        <f t="shared" si="22"/>
        <v>0.999994728134799</v>
      </c>
      <c r="AN22" s="299">
        <f ca="1" t="shared" si="23"/>
        <v>0.781983512430759</v>
      </c>
      <c r="AO22" s="299">
        <f t="shared" si="24"/>
        <v>6.43859178953553e-37</v>
      </c>
      <c r="AP22" s="247">
        <f t="shared" si="25"/>
        <v>1.73999081424908e+16</v>
      </c>
      <c r="AQ22" s="247">
        <f ca="1" t="shared" si="26"/>
        <v>222387977.495402</v>
      </c>
      <c r="AR22" s="306">
        <f ca="1" t="shared" si="27"/>
        <v>649299.0353036</v>
      </c>
      <c r="AS22" s="307">
        <f ca="1" t="shared" si="28"/>
        <v>11779966445342.5</v>
      </c>
      <c r="AT22" s="247">
        <f t="shared" si="29"/>
        <v>250852670.657261</v>
      </c>
      <c r="AU22" s="247">
        <f ca="1" t="shared" si="30"/>
        <v>28464084.6263064</v>
      </c>
      <c r="AV22" s="308">
        <f ca="1" t="shared" si="31"/>
        <v>11780028378066.7</v>
      </c>
      <c r="AW22" s="280">
        <f t="shared" si="32"/>
        <v>21600</v>
      </c>
      <c r="AX22" s="247">
        <f t="shared" si="33"/>
        <v>1.73999081424908e+16</v>
      </c>
      <c r="AY22" s="247">
        <f ca="1" t="shared" si="34"/>
        <v>222387977.495402</v>
      </c>
      <c r="AZ22" s="298">
        <f ca="1" t="shared" si="35"/>
        <v>0</v>
      </c>
      <c r="BA22" s="247">
        <f>'DN65-事故进程'!AA44</f>
        <v>2.35416e-11</v>
      </c>
      <c r="BB22" s="247">
        <f ca="1" t="shared" si="36"/>
        <v>8.73428285176643e-6</v>
      </c>
      <c r="BC22" s="247">
        <f t="shared" si="37"/>
        <v>0.0115740740740741</v>
      </c>
      <c r="BD22" s="299">
        <f t="shared" si="38"/>
        <v>0.999983719247255</v>
      </c>
      <c r="BE22" s="299">
        <f ca="1" t="shared" si="39"/>
        <v>0.828054519477573</v>
      </c>
      <c r="BF22" s="299">
        <f t="shared" si="40"/>
        <v>2.66914811637298e-109</v>
      </c>
      <c r="BG22" s="247">
        <f t="shared" si="41"/>
        <v>1.73996248588886e+16</v>
      </c>
      <c r="BH22" s="247">
        <f ca="1" t="shared" si="42"/>
        <v>8247331916.25543</v>
      </c>
      <c r="BI22" s="306">
        <f ca="1" t="shared" si="43"/>
        <v>6201756.13670713</v>
      </c>
      <c r="BJ22" s="307">
        <f ca="1" t="shared" si="44"/>
        <v>822738935.744568</v>
      </c>
      <c r="BK22" s="247">
        <f t="shared" si="45"/>
        <v>8847756209.75887</v>
      </c>
      <c r="BL22" s="247">
        <f ca="1" t="shared" si="46"/>
        <v>822743488.038043</v>
      </c>
      <c r="BM22" s="308">
        <f ca="1" t="shared" si="47"/>
        <v>822743488.038043</v>
      </c>
      <c r="BN22" s="280">
        <f t="shared" si="48"/>
        <v>57600</v>
      </c>
      <c r="BO22" s="247">
        <f t="shared" si="49"/>
        <v>1.73996248588886e+16</v>
      </c>
      <c r="BP22" s="247">
        <f ca="1" t="shared" si="50"/>
        <v>8247331916.25543</v>
      </c>
      <c r="BQ22" s="298">
        <f ca="1" t="shared" si="51"/>
        <v>0</v>
      </c>
      <c r="BR22" s="247">
        <f>'DN65-事故进程'!AB44</f>
        <v>3.5538275e-10</v>
      </c>
      <c r="BS22" s="247">
        <f ca="1" t="shared" si="52"/>
        <v>9.71204011720554e-7</v>
      </c>
      <c r="BT22" s="247">
        <f t="shared" si="53"/>
        <v>0.0115740740740741</v>
      </c>
      <c r="BU22" s="299">
        <f t="shared" si="54"/>
        <v>0.99993747221063</v>
      </c>
      <c r="BV22" s="299">
        <f ca="1" t="shared" si="55"/>
        <v>0.94555482178385</v>
      </c>
      <c r="BW22" s="299">
        <f t="shared" si="56"/>
        <v>2.95343305715176e-290</v>
      </c>
      <c r="BX22" s="247">
        <f t="shared" si="57"/>
        <v>1.73985368988103e+16</v>
      </c>
      <c r="BY22" s="247">
        <f ca="1" t="shared" si="58"/>
        <v>354172138364.815</v>
      </c>
      <c r="BZ22" s="306">
        <f ca="1" t="shared" si="59"/>
        <v>29676964.3941524</v>
      </c>
      <c r="CA22" s="307">
        <f ca="1" t="shared" si="60"/>
        <v>10227349505.1846</v>
      </c>
      <c r="CB22" s="247">
        <f t="shared" si="61"/>
        <v>356159992791.171</v>
      </c>
      <c r="CC22" s="247">
        <f ca="1" t="shared" si="62"/>
        <v>10227496763.8654</v>
      </c>
      <c r="CD22" s="308">
        <f ca="1" t="shared" si="63"/>
        <v>10227496763.8654</v>
      </c>
      <c r="CE22" s="280">
        <f t="shared" si="64"/>
        <v>259200</v>
      </c>
      <c r="CF22" s="247">
        <f t="shared" si="65"/>
        <v>1.73985368988103e+16</v>
      </c>
      <c r="CG22" s="247">
        <f ca="1" t="shared" si="66"/>
        <v>354172138364.815</v>
      </c>
      <c r="CH22" s="298">
        <f ca="1" t="shared" si="67"/>
        <v>0</v>
      </c>
      <c r="CI22" s="247">
        <f>'DN65-事故进程'!AC44</f>
        <v>3.004945e-10</v>
      </c>
      <c r="CJ22" s="247">
        <f ca="1" t="shared" si="68"/>
        <v>3.43152347017181e-7</v>
      </c>
      <c r="CK22" s="247">
        <f t="shared" si="69"/>
        <v>0.0115740740740741</v>
      </c>
      <c r="CL22" s="299">
        <f t="shared" si="70"/>
        <v>0.99973287886819</v>
      </c>
      <c r="CM22" s="299">
        <f ca="1" t="shared" si="71"/>
        <v>0.914722665936124</v>
      </c>
      <c r="CN22" s="299">
        <f t="shared" si="72"/>
        <v>0</v>
      </c>
      <c r="CO22" s="247">
        <f t="shared" si="73"/>
        <v>1.7393889381942e+16</v>
      </c>
      <c r="CP22" s="247">
        <f ca="1" t="shared" si="74"/>
        <v>1620294172055.79</v>
      </c>
      <c r="CQ22" s="306">
        <f ca="1" t="shared" si="75"/>
        <v>48027104.3657244</v>
      </c>
      <c r="CR22" s="307">
        <f ca="1" t="shared" si="76"/>
        <v>88641990678.2129</v>
      </c>
      <c r="CS22" s="247">
        <f t="shared" si="77"/>
        <v>1354959274918.51</v>
      </c>
      <c r="CT22" s="247">
        <f ca="1" t="shared" si="78"/>
        <v>88648603484.9698</v>
      </c>
      <c r="CU22" s="308">
        <f ca="1" t="shared" si="79"/>
        <v>88648603484.9698</v>
      </c>
      <c r="CV22" s="280">
        <f t="shared" si="80"/>
        <v>2246400</v>
      </c>
      <c r="CW22" s="247">
        <f t="shared" si="81"/>
        <v>1.7393889381942e+16</v>
      </c>
      <c r="CX22" s="247">
        <f ca="1" t="shared" si="82"/>
        <v>1620294172055.79</v>
      </c>
      <c r="CY22" s="298">
        <f ca="1" t="shared" si="83"/>
        <v>0</v>
      </c>
      <c r="CZ22" s="247">
        <f>'DN65-事故进程'!AE44</f>
        <v>9.6846275e-11</v>
      </c>
      <c r="DA22" s="247">
        <f t="shared" si="84"/>
        <v>4.45156695156695e-9</v>
      </c>
      <c r="DB22" s="247">
        <f t="shared" si="85"/>
        <v>0.0115740740740741</v>
      </c>
      <c r="DC22" s="299">
        <f t="shared" si="86"/>
        <v>0.998143841106768</v>
      </c>
      <c r="DD22" s="299">
        <f t="shared" si="87"/>
        <v>0.988427158293008</v>
      </c>
      <c r="DE22" s="299">
        <f t="shared" si="88"/>
        <v>0</v>
      </c>
      <c r="DF22" s="247">
        <f t="shared" si="89"/>
        <v>1.73616035594778e+16</v>
      </c>
      <c r="DG22" s="247">
        <f ca="1" t="shared" si="90"/>
        <v>5360240025811.37</v>
      </c>
      <c r="DH22" s="306">
        <f ca="1" t="shared" si="91"/>
        <v>2061575.69763579</v>
      </c>
      <c r="DI22" s="307">
        <f ca="1" t="shared" si="92"/>
        <v>34921265968.625</v>
      </c>
      <c r="DJ22" s="247">
        <f t="shared" si="93"/>
        <v>3780622751037.53</v>
      </c>
      <c r="DK22" s="247">
        <f ca="1" t="shared" si="94"/>
        <v>34944802687.3272</v>
      </c>
      <c r="DL22" s="308">
        <f ca="1" t="shared" si="95"/>
        <v>34944802687.3272</v>
      </c>
      <c r="DM22" s="321"/>
      <c r="DN22" s="322">
        <f t="shared" si="96"/>
        <v>27776767.055878</v>
      </c>
      <c r="DO22" s="323">
        <f ca="1" t="shared" si="97"/>
        <v>11780028378066.7</v>
      </c>
      <c r="DP22" s="323">
        <f ca="1" t="shared" si="98"/>
        <v>822743488.038043</v>
      </c>
      <c r="DQ22" s="323">
        <f ca="1" t="shared" si="99"/>
        <v>10227496763.8654</v>
      </c>
      <c r="DR22" s="323">
        <f ca="1" t="shared" si="100"/>
        <v>88648603484.9698</v>
      </c>
      <c r="DS22" s="323">
        <f ca="1" t="shared" si="101"/>
        <v>34944802687.3272</v>
      </c>
      <c r="DT22" s="352">
        <f ca="1" t="shared" si="102"/>
        <v>11914699801258</v>
      </c>
      <c r="DU22" s="353">
        <f t="shared" si="103"/>
        <v>11780027690749.1</v>
      </c>
      <c r="DV22" s="126"/>
      <c r="DW22" s="354">
        <v>15228343837.0216</v>
      </c>
      <c r="DX22" s="355"/>
      <c r="DY22" s="355"/>
      <c r="DZ22" s="355"/>
      <c r="EA22" s="354">
        <f t="shared" si="104"/>
        <v>15228343837.0216</v>
      </c>
      <c r="EB22" s="365">
        <f t="shared" si="105"/>
        <v>0.00182401759200826</v>
      </c>
      <c r="EC22" s="365"/>
      <c r="ED22" s="365"/>
      <c r="EE22" s="365"/>
      <c r="EF22" s="365">
        <f ca="1" t="shared" si="106"/>
        <v>780.108140826831</v>
      </c>
      <c r="EG22" s="369">
        <f ca="1" t="shared" si="107"/>
        <v>782.402861977163</v>
      </c>
      <c r="EI22" s="354">
        <v>0</v>
      </c>
      <c r="EJ22" s="355">
        <v>1101853650.4704</v>
      </c>
      <c r="EK22" s="355">
        <v>442780692.849486</v>
      </c>
      <c r="EL22" s="355">
        <v>1127999452.55794</v>
      </c>
      <c r="EM22" s="355">
        <v>4240327910.05306</v>
      </c>
      <c r="EN22" s="355">
        <v>11213195882.054</v>
      </c>
      <c r="EO22" s="370">
        <v>18126157587.9848</v>
      </c>
      <c r="EP22" s="365"/>
      <c r="EQ22" s="365">
        <f ca="1" t="shared" ref="EQ22:EV22" si="130">DO22/EJ22</f>
        <v>10691.100740137</v>
      </c>
      <c r="ER22" s="365">
        <f ca="1" t="shared" si="130"/>
        <v>1.85812864319655</v>
      </c>
      <c r="ES22" s="365">
        <f ca="1" t="shared" si="130"/>
        <v>9.06693415557313</v>
      </c>
      <c r="ET22" s="365">
        <f ca="1" t="shared" si="130"/>
        <v>20.9060726824451</v>
      </c>
      <c r="EU22" s="365">
        <f ca="1" t="shared" si="130"/>
        <v>3.11639991443065</v>
      </c>
      <c r="EV22" s="365">
        <f ca="1" t="shared" si="130"/>
        <v>657.320766600629</v>
      </c>
      <c r="EW22" s="126">
        <f t="shared" si="109"/>
        <v>7.302030887879e-10</v>
      </c>
      <c r="EX22" s="91">
        <f t="shared" si="110"/>
        <v>949252600</v>
      </c>
    </row>
    <row r="23" s="165" customFormat="1" ht="15.75" spans="1:154">
      <c r="A23" s="189" t="s">
        <v>64</v>
      </c>
      <c r="B23" s="180">
        <f>VLOOKUP(A23,衰变常数!$A$1:$H$3800,7,FALSE)</f>
        <v>3.21209893462493e-8</v>
      </c>
      <c r="C23" s="181">
        <v>242000000000000</v>
      </c>
      <c r="D23" s="182"/>
      <c r="E23" s="183">
        <v>409000</v>
      </c>
      <c r="F23" s="187">
        <v>130000</v>
      </c>
      <c r="G23" s="188">
        <v>3.14615384615385</v>
      </c>
      <c r="H23" s="186"/>
      <c r="I23" s="220">
        <v>282000000000</v>
      </c>
      <c r="J23" s="221">
        <v>0.9</v>
      </c>
      <c r="K23" s="222">
        <f t="shared" si="119"/>
        <v>1</v>
      </c>
      <c r="L23" s="216">
        <f t="shared" si="120"/>
        <v>253800000000</v>
      </c>
      <c r="M23" s="218">
        <v>0.00066</v>
      </c>
      <c r="N23" s="218">
        <v>5.457e-5</v>
      </c>
      <c r="O23" s="225">
        <f>C23*(M23-N23)*0.00000209</f>
        <v>306214.3854</v>
      </c>
      <c r="P23" s="216"/>
      <c r="Q23" s="216">
        <f>'进水-事故进程'!Z45</f>
        <v>3.98798975e-10</v>
      </c>
      <c r="R23" s="216">
        <f t="shared" si="2"/>
        <v>9361377.78517754</v>
      </c>
      <c r="S23" s="244">
        <f t="shared" si="3"/>
        <v>253809995068.883</v>
      </c>
      <c r="T23" s="245">
        <f t="shared" si="4"/>
        <v>10076591.9408436</v>
      </c>
      <c r="U23" s="216">
        <f t="shared" si="5"/>
        <v>0</v>
      </c>
      <c r="V23" s="246">
        <f t="shared" si="6"/>
        <v>1</v>
      </c>
      <c r="W23" s="216">
        <f t="shared" si="7"/>
        <v>241999922267218</v>
      </c>
      <c r="X23" s="247">
        <f t="shared" si="8"/>
        <v>0</v>
      </c>
      <c r="Y23" s="275">
        <f t="shared" si="9"/>
        <v>253809995068.883</v>
      </c>
      <c r="Z23" s="216">
        <f t="shared" si="10"/>
        <v>10076591.9408436</v>
      </c>
      <c r="AA23" s="276">
        <f t="shared" si="11"/>
        <v>253799918476.942</v>
      </c>
      <c r="AB23" s="277">
        <f t="shared" si="12"/>
        <v>1</v>
      </c>
      <c r="AC23" s="247">
        <f t="shared" si="13"/>
        <v>10076591.9408436</v>
      </c>
      <c r="AD23" s="278">
        <f t="shared" si="14"/>
        <v>10076591.9408436</v>
      </c>
      <c r="AE23" s="279">
        <f t="shared" si="15"/>
        <v>0</v>
      </c>
      <c r="AF23" s="280">
        <f t="shared" si="16"/>
        <v>7200</v>
      </c>
      <c r="AG23" s="247">
        <f t="shared" si="17"/>
        <v>241999922267218</v>
      </c>
      <c r="AH23" s="247">
        <f t="shared" si="18"/>
        <v>0</v>
      </c>
      <c r="AI23" s="298">
        <f t="shared" si="19"/>
        <v>253799918476.942</v>
      </c>
      <c r="AJ23" s="247">
        <f>'DN65-事故进程'!Z45</f>
        <v>3.85755562e-10</v>
      </c>
      <c r="AK23" s="247">
        <f ca="1" t="shared" si="20"/>
        <v>3.41550507006928e-5</v>
      </c>
      <c r="AL23" s="247">
        <f t="shared" si="21"/>
        <v>0.0115740740740741</v>
      </c>
      <c r="AM23" s="299">
        <f t="shared" si="22"/>
        <v>0.999765978823889</v>
      </c>
      <c r="AN23" s="299">
        <f ca="1" t="shared" si="23"/>
        <v>0.781806793445436</v>
      </c>
      <c r="AO23" s="299">
        <f t="shared" si="24"/>
        <v>6.43713674426943e-37</v>
      </c>
      <c r="AP23" s="247">
        <f t="shared" si="25"/>
        <v>241943289160791</v>
      </c>
      <c r="AQ23" s="247">
        <f ca="1" t="shared" si="26"/>
        <v>595734250.790856</v>
      </c>
      <c r="AR23" s="306">
        <f ca="1" t="shared" si="27"/>
        <v>1739346.18925245</v>
      </c>
      <c r="AS23" s="307">
        <f ca="1" t="shared" si="28"/>
        <v>253817478333.522</v>
      </c>
      <c r="AT23" s="247">
        <f t="shared" si="29"/>
        <v>672061624.733782</v>
      </c>
      <c r="AU23" s="247">
        <f ca="1" t="shared" si="30"/>
        <v>76255659.5938364</v>
      </c>
      <c r="AV23" s="308">
        <f ca="1" t="shared" si="31"/>
        <v>253876174136.536</v>
      </c>
      <c r="AW23" s="280">
        <f t="shared" si="32"/>
        <v>21600</v>
      </c>
      <c r="AX23" s="247">
        <f t="shared" si="33"/>
        <v>241943289160791</v>
      </c>
      <c r="AY23" s="247">
        <f ca="1" t="shared" si="34"/>
        <v>595734250.790856</v>
      </c>
      <c r="AZ23" s="298">
        <f ca="1" t="shared" si="35"/>
        <v>0</v>
      </c>
      <c r="BA23" s="247">
        <f>'DN65-事故进程'!AA45</f>
        <v>4.8268475e-10</v>
      </c>
      <c r="BB23" s="247">
        <f ca="1" t="shared" si="36"/>
        <v>8.73428285176643e-6</v>
      </c>
      <c r="BC23" s="247">
        <f t="shared" si="37"/>
        <v>0.0115740740740741</v>
      </c>
      <c r="BD23" s="299">
        <f t="shared" si="38"/>
        <v>0.999296008557858</v>
      </c>
      <c r="BE23" s="299">
        <f ca="1" t="shared" si="39"/>
        <v>0.827493254878778</v>
      </c>
      <c r="BF23" s="299">
        <f t="shared" si="40"/>
        <v>2.66733893797789e-109</v>
      </c>
      <c r="BG23" s="247">
        <f t="shared" si="41"/>
        <v>241772963155738</v>
      </c>
      <c r="BH23" s="247">
        <f ca="1" t="shared" si="42"/>
        <v>2790193687.58768</v>
      </c>
      <c r="BI23" s="306">
        <f ca="1" t="shared" si="43"/>
        <v>2099572.90448176</v>
      </c>
      <c r="BJ23" s="307">
        <f ca="1" t="shared" si="44"/>
        <v>325863160.037315</v>
      </c>
      <c r="BK23" s="247">
        <f t="shared" si="45"/>
        <v>2521610445.64305</v>
      </c>
      <c r="BL23" s="247">
        <f ca="1" t="shared" si="46"/>
        <v>325952294.497636</v>
      </c>
      <c r="BM23" s="308">
        <f ca="1" t="shared" si="47"/>
        <v>325952294.497636</v>
      </c>
      <c r="BN23" s="280">
        <f t="shared" si="48"/>
        <v>57600</v>
      </c>
      <c r="BO23" s="247">
        <f t="shared" si="49"/>
        <v>241772963155738</v>
      </c>
      <c r="BP23" s="247">
        <f ca="1" t="shared" si="50"/>
        <v>2790193687.58768</v>
      </c>
      <c r="BQ23" s="298">
        <f ca="1" t="shared" si="51"/>
        <v>0</v>
      </c>
      <c r="BR23" s="247">
        <f>'DN65-事故进程'!AB45</f>
        <v>1.4304925e-9</v>
      </c>
      <c r="BS23" s="247">
        <f ca="1" t="shared" si="52"/>
        <v>9.71204011720554e-7</v>
      </c>
      <c r="BT23" s="247">
        <f t="shared" si="53"/>
        <v>0.0115740740740741</v>
      </c>
      <c r="BU23" s="299">
        <f t="shared" si="54"/>
        <v>0.998069300847701</v>
      </c>
      <c r="BV23" s="299">
        <f ca="1" t="shared" si="55"/>
        <v>0.943846700028626</v>
      </c>
      <c r="BW23" s="299">
        <f t="shared" si="56"/>
        <v>2.94809775226918e-290</v>
      </c>
      <c r="BX23" s="247">
        <f t="shared" si="57"/>
        <v>241306172300724</v>
      </c>
      <c r="BY23" s="247">
        <f ca="1" t="shared" si="58"/>
        <v>21971149377.0276</v>
      </c>
      <c r="BZ23" s="306">
        <f ca="1" t="shared" si="59"/>
        <v>1841295.5747255</v>
      </c>
      <c r="CA23" s="307">
        <f ca="1" t="shared" si="60"/>
        <v>697458083.159912</v>
      </c>
      <c r="CB23" s="247">
        <f t="shared" si="61"/>
        <v>19901976914.9232</v>
      </c>
      <c r="CC23" s="247">
        <f ca="1" t="shared" si="62"/>
        <v>697938061.923955</v>
      </c>
      <c r="CD23" s="308">
        <f ca="1" t="shared" si="63"/>
        <v>697938061.923955</v>
      </c>
      <c r="CE23" s="280">
        <f t="shared" si="64"/>
        <v>259200</v>
      </c>
      <c r="CF23" s="247">
        <f t="shared" si="65"/>
        <v>241306172300724</v>
      </c>
      <c r="CG23" s="247">
        <f ca="1" t="shared" si="66"/>
        <v>21971149377.0276</v>
      </c>
      <c r="CH23" s="298">
        <f ca="1" t="shared" si="67"/>
        <v>0</v>
      </c>
      <c r="CI23" s="247">
        <f>'DN65-事故进程'!AC45</f>
        <v>4.091969775e-8</v>
      </c>
      <c r="CJ23" s="247">
        <f ca="1" t="shared" si="68"/>
        <v>3.43152347017181e-7</v>
      </c>
      <c r="CK23" s="247">
        <f t="shared" si="69"/>
        <v>0.0115740740740741</v>
      </c>
      <c r="CL23" s="299">
        <f t="shared" si="70"/>
        <v>0.981245941352499</v>
      </c>
      <c r="CM23" s="299">
        <f ca="1" t="shared" si="71"/>
        <v>0.907310228977053</v>
      </c>
      <c r="CN23" s="299">
        <f t="shared" si="72"/>
        <v>0</v>
      </c>
      <c r="CO23" s="247">
        <f t="shared" si="73"/>
        <v>236780702193392</v>
      </c>
      <c r="CP23" s="247">
        <f ca="1" t="shared" si="74"/>
        <v>2435471856481.25</v>
      </c>
      <c r="CQ23" s="306">
        <f ca="1" t="shared" si="75"/>
        <v>72185073.7198342</v>
      </c>
      <c r="CR23" s="307">
        <f ca="1" t="shared" si="76"/>
        <v>111070152909.152</v>
      </c>
      <c r="CS23" s="247">
        <f t="shared" si="77"/>
        <v>2535311157802.4</v>
      </c>
      <c r="CT23" s="247">
        <f ca="1" t="shared" si="78"/>
        <v>111384257814.163</v>
      </c>
      <c r="CU23" s="308">
        <f ca="1" t="shared" si="79"/>
        <v>111384257814.163</v>
      </c>
      <c r="CV23" s="280">
        <f t="shared" si="80"/>
        <v>2246400</v>
      </c>
      <c r="CW23" s="247">
        <f t="shared" si="81"/>
        <v>236780702193392</v>
      </c>
      <c r="CX23" s="247">
        <f ca="1" t="shared" si="82"/>
        <v>2435471856481.25</v>
      </c>
      <c r="CY23" s="298">
        <f ca="1" t="shared" si="83"/>
        <v>0</v>
      </c>
      <c r="CZ23" s="247">
        <f>'DN65-事故进程'!AE45</f>
        <v>3.5632668e-8</v>
      </c>
      <c r="DA23" s="247">
        <f t="shared" si="84"/>
        <v>4.45156695156695e-9</v>
      </c>
      <c r="DB23" s="247">
        <f t="shared" si="85"/>
        <v>0.0115740740740741</v>
      </c>
      <c r="DC23" s="299">
        <f t="shared" si="86"/>
        <v>0.858814940772236</v>
      </c>
      <c r="DD23" s="299">
        <f t="shared" si="87"/>
        <v>0.92112770758419</v>
      </c>
      <c r="DE23" s="299">
        <f t="shared" si="88"/>
        <v>0</v>
      </c>
      <c r="DF23" s="247">
        <f t="shared" si="89"/>
        <v>203350804730227</v>
      </c>
      <c r="DG23" s="247">
        <f ca="1" t="shared" si="90"/>
        <v>19104260477582.3</v>
      </c>
      <c r="DH23" s="306">
        <f ca="1" t="shared" si="91"/>
        <v>7347554.52873467</v>
      </c>
      <c r="DI23" s="307">
        <f ca="1" t="shared" si="92"/>
        <v>108121521078.406</v>
      </c>
      <c r="DJ23" s="247">
        <f t="shared" si="93"/>
        <v>17581286150967.7</v>
      </c>
      <c r="DK23" s="247">
        <f ca="1" t="shared" si="94"/>
        <v>111068086525.306</v>
      </c>
      <c r="DL23" s="308">
        <f ca="1" t="shared" si="95"/>
        <v>111068086525.306</v>
      </c>
      <c r="DM23" s="321"/>
      <c r="DN23" s="322">
        <f t="shared" si="96"/>
        <v>10076591.9408436</v>
      </c>
      <c r="DO23" s="323">
        <f ca="1" t="shared" si="97"/>
        <v>253876174136.536</v>
      </c>
      <c r="DP23" s="323">
        <f ca="1" t="shared" si="98"/>
        <v>325952294.497636</v>
      </c>
      <c r="DQ23" s="323">
        <f ca="1" t="shared" si="99"/>
        <v>697938061.923955</v>
      </c>
      <c r="DR23" s="323">
        <f ca="1" t="shared" si="100"/>
        <v>111384257814.163</v>
      </c>
      <c r="DS23" s="323">
        <f ca="1" t="shared" si="101"/>
        <v>111068086525.306</v>
      </c>
      <c r="DT23" s="352">
        <f ca="1" t="shared" si="102"/>
        <v>477362485424.368</v>
      </c>
      <c r="DU23" s="353">
        <f t="shared" si="103"/>
        <v>253809995068.883</v>
      </c>
      <c r="DV23" s="126"/>
      <c r="DW23" s="354">
        <v>456850169.866141</v>
      </c>
      <c r="DX23" s="355"/>
      <c r="DY23" s="355"/>
      <c r="DZ23" s="355"/>
      <c r="EA23" s="354">
        <f t="shared" si="104"/>
        <v>456850169.866141</v>
      </c>
      <c r="EB23" s="365">
        <f t="shared" si="105"/>
        <v>0.022056666726853</v>
      </c>
      <c r="EC23" s="365"/>
      <c r="ED23" s="365"/>
      <c r="EE23" s="365"/>
      <c r="EF23" s="365">
        <f ca="1" t="shared" si="106"/>
        <v>801.782341476171</v>
      </c>
      <c r="EG23" s="369">
        <f ca="1" t="shared" si="107"/>
        <v>1044.89943730181</v>
      </c>
      <c r="EI23" s="354">
        <v>0</v>
      </c>
      <c r="EJ23" s="355">
        <v>26468804.61017</v>
      </c>
      <c r="EK23" s="355">
        <v>10630701.1757627</v>
      </c>
      <c r="EL23" s="355">
        <v>27048807.776119</v>
      </c>
      <c r="EM23" s="355">
        <v>101198074.342828</v>
      </c>
      <c r="EN23" s="355">
        <v>260876908.633332</v>
      </c>
      <c r="EO23" s="370">
        <v>426223296.538213</v>
      </c>
      <c r="EP23" s="365"/>
      <c r="EQ23" s="365">
        <f ca="1" t="shared" ref="EQ23:EV23" si="131">DO23/EJ23</f>
        <v>9591.52397985476</v>
      </c>
      <c r="ER23" s="365">
        <f ca="1" t="shared" si="131"/>
        <v>30.6614106735298</v>
      </c>
      <c r="ES23" s="365">
        <f ca="1" t="shared" si="131"/>
        <v>25.8029140397143</v>
      </c>
      <c r="ET23" s="365">
        <f ca="1" t="shared" si="131"/>
        <v>1100.65590217485</v>
      </c>
      <c r="EU23" s="365">
        <f ca="1" t="shared" si="131"/>
        <v>425.749013613984</v>
      </c>
      <c r="EV23" s="365">
        <f ca="1" t="shared" si="131"/>
        <v>1119.98215325513</v>
      </c>
      <c r="EW23" s="126">
        <f t="shared" si="109"/>
        <v>3.21209893462493e-8</v>
      </c>
      <c r="EX23" s="91">
        <f t="shared" si="110"/>
        <v>21579260</v>
      </c>
    </row>
    <row r="24" ht="16.5" spans="1:154">
      <c r="A24" s="185" t="s">
        <v>65</v>
      </c>
      <c r="B24" s="180">
        <f>VLOOKUP(A24,衰变常数!$A$1:$H$3800,7,FALSE)</f>
        <v>1.78283364719618e-9</v>
      </c>
      <c r="C24" s="181">
        <v>111000000000000</v>
      </c>
      <c r="D24" s="183"/>
      <c r="E24" s="183">
        <v>144000000000</v>
      </c>
      <c r="F24" s="183">
        <v>85000000000</v>
      </c>
      <c r="G24" s="184">
        <v>1.69411764705882</v>
      </c>
      <c r="H24" s="183">
        <v>12900000000000</v>
      </c>
      <c r="I24" s="217"/>
      <c r="J24" s="221"/>
      <c r="K24" s="222"/>
      <c r="L24" s="216"/>
      <c r="N24" s="226"/>
      <c r="O24" s="226"/>
      <c r="P24" s="226"/>
      <c r="Q24" s="226"/>
      <c r="R24" s="226"/>
      <c r="S24" s="244">
        <f t="shared" si="3"/>
        <v>143999997432.72</v>
      </c>
      <c r="T24" s="245">
        <f t="shared" si="4"/>
        <v>143999997432.72</v>
      </c>
      <c r="U24" s="216">
        <f t="shared" si="5"/>
        <v>0</v>
      </c>
      <c r="V24" s="246">
        <f t="shared" si="6"/>
        <v>1</v>
      </c>
      <c r="W24" s="216">
        <f t="shared" si="7"/>
        <v>110999998021055</v>
      </c>
      <c r="X24" s="247">
        <f t="shared" si="8"/>
        <v>0</v>
      </c>
      <c r="Y24" s="275">
        <f t="shared" si="9"/>
        <v>143999997432.72</v>
      </c>
      <c r="Z24" s="216">
        <f t="shared" si="10"/>
        <v>143999997432.72</v>
      </c>
      <c r="AA24" s="276">
        <f t="shared" si="11"/>
        <v>0</v>
      </c>
      <c r="AB24" s="277">
        <f t="shared" si="12"/>
        <v>1</v>
      </c>
      <c r="AC24" s="247">
        <f t="shared" si="13"/>
        <v>143999997432.72</v>
      </c>
      <c r="AD24" s="278">
        <f t="shared" si="14"/>
        <v>143999997432.72</v>
      </c>
      <c r="AE24" s="279">
        <f t="shared" si="15"/>
        <v>0</v>
      </c>
      <c r="AF24" s="280">
        <f t="shared" si="16"/>
        <v>7200</v>
      </c>
      <c r="AG24" s="247">
        <f t="shared" si="17"/>
        <v>110999998021055</v>
      </c>
      <c r="AH24" s="247">
        <f t="shared" si="18"/>
        <v>0</v>
      </c>
      <c r="AI24" s="298">
        <f t="shared" si="19"/>
        <v>0</v>
      </c>
      <c r="AJ24" s="247">
        <f ca="1">'DN65-事故进程'!Z46</f>
        <v>0</v>
      </c>
      <c r="AK24" s="247">
        <f ca="1" t="shared" si="20"/>
        <v>3.41550507006928e-5</v>
      </c>
      <c r="AL24" s="247">
        <f t="shared" si="21"/>
        <v>0.0115740740740741</v>
      </c>
      <c r="AM24" s="299">
        <f ca="1" t="shared" si="22"/>
        <v>0.999987163680126</v>
      </c>
      <c r="AN24" s="299">
        <f ca="1" t="shared" si="23"/>
        <v>0.78197758584708</v>
      </c>
      <c r="AO24" s="299">
        <f t="shared" si="24"/>
        <v>6.4385429920195e-37</v>
      </c>
      <c r="AP24" s="247">
        <f ca="1" t="shared" si="25"/>
        <v>110998573189574</v>
      </c>
      <c r="AQ24" s="247">
        <f ca="1" t="shared" si="26"/>
        <v>0</v>
      </c>
      <c r="AR24" s="306">
        <f ca="1" t="shared" si="27"/>
        <v>0</v>
      </c>
      <c r="AS24" s="307">
        <f ca="1" t="shared" si="28"/>
        <v>0</v>
      </c>
      <c r="AT24" s="247">
        <f ca="1" t="shared" si="29"/>
        <v>0</v>
      </c>
      <c r="AU24" s="247">
        <f ca="1" t="shared" si="30"/>
        <v>0</v>
      </c>
      <c r="AV24" s="308">
        <f ca="1" t="shared" si="31"/>
        <v>0</v>
      </c>
      <c r="AW24" s="280">
        <f t="shared" si="32"/>
        <v>21600</v>
      </c>
      <c r="AX24" s="247">
        <f ca="1" t="shared" si="33"/>
        <v>110998573189574</v>
      </c>
      <c r="AY24" s="247">
        <f ca="1" t="shared" si="34"/>
        <v>0</v>
      </c>
      <c r="AZ24" s="298">
        <f ca="1" t="shared" si="35"/>
        <v>0</v>
      </c>
      <c r="BA24" s="247">
        <f ca="1">'DN65-事故进程'!AA46</f>
        <v>0</v>
      </c>
      <c r="BB24" s="247">
        <f ca="1" t="shared" si="36"/>
        <v>8.73428285176643e-6</v>
      </c>
      <c r="BC24" s="247">
        <f t="shared" si="37"/>
        <v>0.0115740740740741</v>
      </c>
      <c r="BD24" s="299">
        <f ca="1" t="shared" si="38"/>
        <v>0.99996149153469</v>
      </c>
      <c r="BE24" s="299">
        <f ca="1" t="shared" si="39"/>
        <v>0.828035692364997</v>
      </c>
      <c r="BF24" s="299">
        <f t="shared" si="40"/>
        <v>2.66908742912255e-109</v>
      </c>
      <c r="BG24" s="247">
        <f ca="1" t="shared" si="41"/>
        <v>110994298804869</v>
      </c>
      <c r="BH24" s="247">
        <f ca="1" t="shared" si="42"/>
        <v>0</v>
      </c>
      <c r="BI24" s="306">
        <f ca="1" t="shared" si="43"/>
        <v>0</v>
      </c>
      <c r="BJ24" s="307">
        <f ca="1" t="shared" si="44"/>
        <v>0</v>
      </c>
      <c r="BK24" s="247">
        <f ca="1" t="shared" si="45"/>
        <v>0</v>
      </c>
      <c r="BL24" s="247">
        <f ca="1" t="shared" si="46"/>
        <v>0</v>
      </c>
      <c r="BM24" s="308">
        <f ca="1" t="shared" si="47"/>
        <v>0</v>
      </c>
      <c r="BN24" s="280">
        <f t="shared" si="48"/>
        <v>57600</v>
      </c>
      <c r="BO24" s="247">
        <f ca="1" t="shared" si="49"/>
        <v>110994298804869</v>
      </c>
      <c r="BP24" s="247">
        <f ca="1" t="shared" si="50"/>
        <v>0</v>
      </c>
      <c r="BQ24" s="298">
        <f ca="1" t="shared" si="51"/>
        <v>0</v>
      </c>
      <c r="BR24" s="247">
        <f ca="1">'DN65-事故进程'!AB46</f>
        <v>0</v>
      </c>
      <c r="BS24" s="247">
        <f ca="1" t="shared" si="52"/>
        <v>9.71204011720554e-7</v>
      </c>
      <c r="BT24" s="247">
        <f t="shared" si="53"/>
        <v>0.0115740740740741</v>
      </c>
      <c r="BU24" s="299">
        <f ca="1" t="shared" si="54"/>
        <v>0.999897314054484</v>
      </c>
      <c r="BV24" s="299">
        <f ca="1" t="shared" si="55"/>
        <v>0.945497493095587</v>
      </c>
      <c r="BW24" s="299">
        <f t="shared" si="56"/>
        <v>2.95325399144452e-290</v>
      </c>
      <c r="BX24" s="247">
        <f ca="1" t="shared" si="57"/>
        <v>110982901250350</v>
      </c>
      <c r="BY24" s="247">
        <f ca="1" t="shared" si="58"/>
        <v>0</v>
      </c>
      <c r="BZ24" s="306">
        <f ca="1" t="shared" si="59"/>
        <v>0</v>
      </c>
      <c r="CA24" s="307">
        <f ca="1" t="shared" si="60"/>
        <v>0</v>
      </c>
      <c r="CB24" s="247">
        <f ca="1" t="shared" si="61"/>
        <v>0</v>
      </c>
      <c r="CC24" s="247">
        <f ca="1" t="shared" si="62"/>
        <v>0</v>
      </c>
      <c r="CD24" s="308">
        <f ca="1" t="shared" si="63"/>
        <v>0</v>
      </c>
      <c r="CE24" s="280">
        <f t="shared" si="64"/>
        <v>259200</v>
      </c>
      <c r="CF24" s="247">
        <f ca="1" t="shared" si="65"/>
        <v>110982901250350</v>
      </c>
      <c r="CG24" s="247">
        <f ca="1" t="shared" si="66"/>
        <v>0</v>
      </c>
      <c r="CH24" s="298">
        <f ca="1" t="shared" si="67"/>
        <v>0</v>
      </c>
      <c r="CI24" s="247">
        <f ca="1">'DN65-事故进程'!AC46</f>
        <v>0</v>
      </c>
      <c r="CJ24" s="247">
        <f ca="1" t="shared" si="68"/>
        <v>3.43152347017181e-7</v>
      </c>
      <c r="CK24" s="247">
        <f t="shared" si="69"/>
        <v>0.0115740740740741</v>
      </c>
      <c r="CL24" s="299">
        <f ca="1" t="shared" si="70"/>
        <v>0.99953799627525</v>
      </c>
      <c r="CM24" s="299">
        <f ca="1" t="shared" si="71"/>
        <v>0.914473125364286</v>
      </c>
      <c r="CN24" s="299">
        <f t="shared" si="72"/>
        <v>0</v>
      </c>
      <c r="CO24" s="247">
        <f ca="1" t="shared" si="73"/>
        <v>110931626736588</v>
      </c>
      <c r="CP24" s="247">
        <f ca="1" t="shared" si="74"/>
        <v>0</v>
      </c>
      <c r="CQ24" s="306">
        <f ca="1" t="shared" si="75"/>
        <v>0</v>
      </c>
      <c r="CR24" s="307">
        <f ca="1" t="shared" si="76"/>
        <v>0</v>
      </c>
      <c r="CS24" s="247">
        <f ca="1" t="shared" si="77"/>
        <v>0</v>
      </c>
      <c r="CT24" s="247">
        <f ca="1" t="shared" si="78"/>
        <v>0</v>
      </c>
      <c r="CU24" s="308">
        <f ca="1" t="shared" si="79"/>
        <v>0</v>
      </c>
      <c r="CV24" s="280">
        <f t="shared" si="80"/>
        <v>2246400</v>
      </c>
      <c r="CW24" s="247">
        <f ca="1" t="shared" si="81"/>
        <v>110931626736588</v>
      </c>
      <c r="CX24" s="247">
        <f ca="1" t="shared" si="82"/>
        <v>0</v>
      </c>
      <c r="CY24" s="298">
        <f ca="1" t="shared" si="83"/>
        <v>0</v>
      </c>
      <c r="CZ24" s="247">
        <f ca="1">'DN65-事故进程'!AE46</f>
        <v>0</v>
      </c>
      <c r="DA24" s="247">
        <f t="shared" si="84"/>
        <v>4.45156695156695e-9</v>
      </c>
      <c r="DB24" s="247">
        <f t="shared" si="85"/>
        <v>0.0115740740740741</v>
      </c>
      <c r="DC24" s="299">
        <f ca="1" t="shared" si="86"/>
        <v>0.996003051641582</v>
      </c>
      <c r="DD24" s="299">
        <f t="shared" si="87"/>
        <v>0.986092655691413</v>
      </c>
      <c r="DE24" s="299">
        <f t="shared" si="88"/>
        <v>0</v>
      </c>
      <c r="DF24" s="247">
        <f ca="1" t="shared" si="89"/>
        <v>110488238753207</v>
      </c>
      <c r="DG24" s="247">
        <f ca="1" t="shared" si="90"/>
        <v>0</v>
      </c>
      <c r="DH24" s="306">
        <f ca="1" t="shared" si="91"/>
        <v>0</v>
      </c>
      <c r="DI24" s="307">
        <f ca="1" t="shared" si="92"/>
        <v>0</v>
      </c>
      <c r="DJ24" s="247">
        <f ca="1" t="shared" si="93"/>
        <v>0</v>
      </c>
      <c r="DK24" s="247">
        <f ca="1" t="shared" si="94"/>
        <v>0</v>
      </c>
      <c r="DL24" s="308">
        <f ca="1" t="shared" si="95"/>
        <v>0</v>
      </c>
      <c r="DM24" s="321"/>
      <c r="DN24" s="322">
        <f t="shared" si="96"/>
        <v>143999997432.72</v>
      </c>
      <c r="DO24" s="323">
        <f ca="1" t="shared" si="97"/>
        <v>0</v>
      </c>
      <c r="DP24" s="323">
        <f ca="1" t="shared" si="98"/>
        <v>0</v>
      </c>
      <c r="DQ24" s="323">
        <f ca="1" t="shared" si="99"/>
        <v>0</v>
      </c>
      <c r="DR24" s="323">
        <f ca="1" t="shared" si="100"/>
        <v>0</v>
      </c>
      <c r="DS24" s="323">
        <f ca="1" t="shared" si="101"/>
        <v>0</v>
      </c>
      <c r="DT24" s="352">
        <f ca="1" t="shared" si="102"/>
        <v>143999997432.72</v>
      </c>
      <c r="DU24" s="353">
        <f t="shared" si="103"/>
        <v>143999997432.72</v>
      </c>
      <c r="DV24" s="126"/>
      <c r="DW24" s="354">
        <v>10750861437.4106</v>
      </c>
      <c r="DX24" s="355"/>
      <c r="DY24" s="355"/>
      <c r="DZ24" s="355"/>
      <c r="EA24" s="354">
        <f t="shared" si="104"/>
        <v>10750861437.4106</v>
      </c>
      <c r="EB24" s="365">
        <f t="shared" si="105"/>
        <v>13.3942752653877</v>
      </c>
      <c r="EC24" s="365"/>
      <c r="ED24" s="365"/>
      <c r="EE24" s="365"/>
      <c r="EF24" s="365">
        <f ca="1" t="shared" si="106"/>
        <v>13.3942752653878</v>
      </c>
      <c r="EG24" s="369">
        <f ca="1" t="shared" si="107"/>
        <v>13.3942752653878</v>
      </c>
      <c r="EI24" s="354">
        <v>0</v>
      </c>
      <c r="EJ24" s="355">
        <v>3544345933.69008</v>
      </c>
      <c r="EK24" s="355">
        <v>1424271629.66753</v>
      </c>
      <c r="EL24" s="355">
        <v>3628231033.97156</v>
      </c>
      <c r="EM24" s="355">
        <v>13636892027.4606</v>
      </c>
      <c r="EN24" s="355">
        <v>36030320999.2165</v>
      </c>
      <c r="EO24" s="370">
        <v>58264061624.0063</v>
      </c>
      <c r="EP24" s="365"/>
      <c r="EQ24" s="365">
        <f ca="1" t="shared" ref="EQ24:EV24" si="132">DO24/EJ24</f>
        <v>0</v>
      </c>
      <c r="ER24" s="365">
        <f ca="1" t="shared" si="132"/>
        <v>0</v>
      </c>
      <c r="ES24" s="365">
        <f ca="1" t="shared" si="132"/>
        <v>0</v>
      </c>
      <c r="ET24" s="365">
        <f ca="1" t="shared" si="132"/>
        <v>0</v>
      </c>
      <c r="EU24" s="365">
        <f ca="1" t="shared" si="132"/>
        <v>0</v>
      </c>
      <c r="EV24" s="365">
        <f ca="1" t="shared" si="132"/>
        <v>2.47150633544896</v>
      </c>
      <c r="EW24" s="126">
        <f t="shared" si="109"/>
        <v>1.78283364719618e-9</v>
      </c>
      <c r="EX24" s="91">
        <f t="shared" si="110"/>
        <v>388789600.000001</v>
      </c>
    </row>
    <row r="25" ht="15.75" spans="1:154">
      <c r="A25" s="185" t="s">
        <v>66</v>
      </c>
      <c r="B25" s="180">
        <f>VLOOKUP(A25,衰变常数!$A$1:$H$3800,7,FALSE)</f>
        <v>3.8534294386192e-12</v>
      </c>
      <c r="C25" s="190"/>
      <c r="D25" s="182"/>
      <c r="E25" s="183">
        <v>208000000</v>
      </c>
      <c r="F25" s="183">
        <v>210000000</v>
      </c>
      <c r="G25" s="184">
        <v>0.990476190476191</v>
      </c>
      <c r="H25" s="183">
        <v>18700000000</v>
      </c>
      <c r="I25" s="220">
        <v>22000000000</v>
      </c>
      <c r="J25" s="221"/>
      <c r="K25" s="222"/>
      <c r="L25" s="216"/>
      <c r="N25" s="226"/>
      <c r="O25" s="226"/>
      <c r="P25" s="226"/>
      <c r="Q25" s="226"/>
      <c r="R25" s="226"/>
      <c r="S25" s="244">
        <f t="shared" si="3"/>
        <v>207999999.991985</v>
      </c>
      <c r="T25" s="245">
        <f t="shared" si="4"/>
        <v>207999999.991985</v>
      </c>
      <c r="U25" s="216">
        <f t="shared" si="5"/>
        <v>0</v>
      </c>
      <c r="V25" s="246">
        <f t="shared" si="6"/>
        <v>1</v>
      </c>
      <c r="W25" s="216">
        <f t="shared" si="7"/>
        <v>0</v>
      </c>
      <c r="X25" s="247">
        <f t="shared" si="8"/>
        <v>0</v>
      </c>
      <c r="Y25" s="275">
        <f t="shared" si="9"/>
        <v>207999999.991985</v>
      </c>
      <c r="Z25" s="216">
        <f t="shared" si="10"/>
        <v>207999999.991985</v>
      </c>
      <c r="AA25" s="276">
        <f t="shared" si="11"/>
        <v>0</v>
      </c>
      <c r="AB25" s="277">
        <f t="shared" si="12"/>
        <v>1</v>
      </c>
      <c r="AC25" s="247">
        <f t="shared" si="13"/>
        <v>207999999.991985</v>
      </c>
      <c r="AD25" s="278">
        <f t="shared" si="14"/>
        <v>207999999.991985</v>
      </c>
      <c r="AE25" s="279">
        <f t="shared" si="15"/>
        <v>0</v>
      </c>
      <c r="AF25" s="280">
        <f t="shared" si="16"/>
        <v>7200</v>
      </c>
      <c r="AG25" s="247">
        <f t="shared" si="17"/>
        <v>0</v>
      </c>
      <c r="AH25" s="247">
        <f t="shared" si="18"/>
        <v>0</v>
      </c>
      <c r="AI25" s="298">
        <f t="shared" si="19"/>
        <v>0</v>
      </c>
      <c r="AJ25" s="247">
        <f ca="1">'DN65-事故进程'!Z47</f>
        <v>0</v>
      </c>
      <c r="AK25" s="247">
        <f ca="1" t="shared" si="20"/>
        <v>3.41550507006928e-5</v>
      </c>
      <c r="AL25" s="247">
        <f t="shared" si="21"/>
        <v>0.0115740740740741</v>
      </c>
      <c r="AM25" s="299">
        <f ca="1" t="shared" si="22"/>
        <v>0.999999972255308</v>
      </c>
      <c r="AN25" s="299">
        <f ca="1" t="shared" si="23"/>
        <v>0.78198760199435</v>
      </c>
      <c r="AO25" s="299">
        <f t="shared" si="24"/>
        <v>6.43862546164002e-37</v>
      </c>
      <c r="AP25" s="247">
        <f ca="1" t="shared" si="25"/>
        <v>0</v>
      </c>
      <c r="AQ25" s="247">
        <f ca="1" t="shared" si="26"/>
        <v>0</v>
      </c>
      <c r="AR25" s="306">
        <f ca="1" t="shared" si="27"/>
        <v>0</v>
      </c>
      <c r="AS25" s="307">
        <f ca="1" t="shared" si="28"/>
        <v>0</v>
      </c>
      <c r="AT25" s="247">
        <f ca="1" t="shared" si="29"/>
        <v>0</v>
      </c>
      <c r="AU25" s="247">
        <f ca="1" t="shared" si="30"/>
        <v>0</v>
      </c>
      <c r="AV25" s="308">
        <f ca="1" t="shared" si="31"/>
        <v>0</v>
      </c>
      <c r="AW25" s="280">
        <f t="shared" si="32"/>
        <v>21600</v>
      </c>
      <c r="AX25" s="247">
        <f ca="1" t="shared" si="33"/>
        <v>0</v>
      </c>
      <c r="AY25" s="247">
        <f ca="1" t="shared" si="34"/>
        <v>0</v>
      </c>
      <c r="AZ25" s="298">
        <f ca="1" t="shared" si="35"/>
        <v>0</v>
      </c>
      <c r="BA25" s="247">
        <f ca="1">'DN65-事故进程'!AA47</f>
        <v>0</v>
      </c>
      <c r="BB25" s="247">
        <f ca="1" t="shared" si="36"/>
        <v>8.73428285176643e-6</v>
      </c>
      <c r="BC25" s="247">
        <f t="shared" si="37"/>
        <v>0.0115740740740741</v>
      </c>
      <c r="BD25" s="299">
        <f ca="1" t="shared" si="38"/>
        <v>0.999999916765928</v>
      </c>
      <c r="BE25" s="299">
        <f ca="1" t="shared" si="39"/>
        <v>0.828067511053238</v>
      </c>
      <c r="BF25" s="299">
        <f t="shared" si="40"/>
        <v>2.66918999337376e-109</v>
      </c>
      <c r="BG25" s="247">
        <f ca="1" t="shared" si="41"/>
        <v>0</v>
      </c>
      <c r="BH25" s="247">
        <f ca="1" t="shared" si="42"/>
        <v>0</v>
      </c>
      <c r="BI25" s="306">
        <f ca="1" t="shared" si="43"/>
        <v>0</v>
      </c>
      <c r="BJ25" s="307">
        <f ca="1" t="shared" si="44"/>
        <v>0</v>
      </c>
      <c r="BK25" s="247">
        <f ca="1" t="shared" si="45"/>
        <v>0</v>
      </c>
      <c r="BL25" s="247">
        <f ca="1" t="shared" si="46"/>
        <v>0</v>
      </c>
      <c r="BM25" s="308">
        <f ca="1" t="shared" si="47"/>
        <v>0</v>
      </c>
      <c r="BN25" s="280">
        <f t="shared" si="48"/>
        <v>57600</v>
      </c>
      <c r="BO25" s="247">
        <f ca="1" t="shared" si="49"/>
        <v>0</v>
      </c>
      <c r="BP25" s="247">
        <f ca="1" t="shared" si="50"/>
        <v>0</v>
      </c>
      <c r="BQ25" s="298">
        <f ca="1" t="shared" si="51"/>
        <v>0</v>
      </c>
      <c r="BR25" s="247">
        <f ca="1">'DN65-事故进程'!AB47</f>
        <v>0</v>
      </c>
      <c r="BS25" s="247">
        <f ca="1" t="shared" si="52"/>
        <v>9.71204011720554e-7</v>
      </c>
      <c r="BT25" s="247">
        <f t="shared" si="53"/>
        <v>0.0115740740740741</v>
      </c>
      <c r="BU25" s="299">
        <f ca="1" t="shared" si="54"/>
        <v>0.999999778042489</v>
      </c>
      <c r="BV25" s="299">
        <f ca="1" t="shared" si="55"/>
        <v>0.945594382488557</v>
      </c>
      <c r="BW25" s="299">
        <f t="shared" si="56"/>
        <v>2.95355662470203e-290</v>
      </c>
      <c r="BX25" s="247">
        <f ca="1" t="shared" si="57"/>
        <v>0</v>
      </c>
      <c r="BY25" s="247">
        <f ca="1" t="shared" si="58"/>
        <v>0</v>
      </c>
      <c r="BZ25" s="306">
        <f ca="1" t="shared" si="59"/>
        <v>0</v>
      </c>
      <c r="CA25" s="307">
        <f ca="1" t="shared" si="60"/>
        <v>0</v>
      </c>
      <c r="CB25" s="247">
        <f ca="1" t="shared" si="61"/>
        <v>0</v>
      </c>
      <c r="CC25" s="247">
        <f ca="1" t="shared" si="62"/>
        <v>0</v>
      </c>
      <c r="CD25" s="308">
        <f ca="1" t="shared" si="63"/>
        <v>0</v>
      </c>
      <c r="CE25" s="280">
        <f t="shared" si="64"/>
        <v>259200</v>
      </c>
      <c r="CF25" s="247">
        <f ca="1" t="shared" si="65"/>
        <v>0</v>
      </c>
      <c r="CG25" s="247">
        <f ca="1" t="shared" si="66"/>
        <v>0</v>
      </c>
      <c r="CH25" s="298">
        <f ca="1" t="shared" si="67"/>
        <v>0</v>
      </c>
      <c r="CI25" s="247">
        <f ca="1">'DN65-事故进程'!AC47</f>
        <v>0</v>
      </c>
      <c r="CJ25" s="247">
        <f ca="1" t="shared" si="68"/>
        <v>3.43152347017181e-7</v>
      </c>
      <c r="CK25" s="247">
        <f t="shared" si="69"/>
        <v>0.0115740740740741</v>
      </c>
      <c r="CL25" s="299">
        <f ca="1" t="shared" si="70"/>
        <v>0.999999001191588</v>
      </c>
      <c r="CM25" s="299">
        <f ca="1" t="shared" si="71"/>
        <v>0.914894896830927</v>
      </c>
      <c r="CN25" s="299">
        <f t="shared" si="72"/>
        <v>0</v>
      </c>
      <c r="CO25" s="247">
        <f ca="1" t="shared" si="73"/>
        <v>0</v>
      </c>
      <c r="CP25" s="247">
        <f ca="1" t="shared" si="74"/>
        <v>0</v>
      </c>
      <c r="CQ25" s="306">
        <f ca="1" t="shared" si="75"/>
        <v>0</v>
      </c>
      <c r="CR25" s="307">
        <f ca="1" t="shared" si="76"/>
        <v>0</v>
      </c>
      <c r="CS25" s="247">
        <f ca="1" t="shared" si="77"/>
        <v>0</v>
      </c>
      <c r="CT25" s="247">
        <f ca="1" t="shared" si="78"/>
        <v>0</v>
      </c>
      <c r="CU25" s="308">
        <f ca="1" t="shared" si="79"/>
        <v>0</v>
      </c>
      <c r="CV25" s="280">
        <f t="shared" si="80"/>
        <v>2246400</v>
      </c>
      <c r="CW25" s="247">
        <f ca="1" t="shared" si="81"/>
        <v>0</v>
      </c>
      <c r="CX25" s="247">
        <f ca="1" t="shared" si="82"/>
        <v>0</v>
      </c>
      <c r="CY25" s="298">
        <f ca="1" t="shared" si="83"/>
        <v>0</v>
      </c>
      <c r="CZ25" s="247">
        <f ca="1">'DN65-事故进程'!AE47</f>
        <v>0</v>
      </c>
      <c r="DA25" s="247">
        <f t="shared" si="84"/>
        <v>4.45156695156695e-9</v>
      </c>
      <c r="DB25" s="247">
        <f t="shared" si="85"/>
        <v>0.0115740740740741</v>
      </c>
      <c r="DC25" s="299">
        <f ca="1" t="shared" si="86"/>
        <v>0.999991343693575</v>
      </c>
      <c r="DD25" s="299">
        <f t="shared" si="87"/>
        <v>0.990041263574431</v>
      </c>
      <c r="DE25" s="299">
        <f t="shared" si="88"/>
        <v>0</v>
      </c>
      <c r="DF25" s="247">
        <f ca="1" t="shared" si="89"/>
        <v>0</v>
      </c>
      <c r="DG25" s="247">
        <f ca="1" t="shared" si="90"/>
        <v>0</v>
      </c>
      <c r="DH25" s="306">
        <f ca="1" t="shared" si="91"/>
        <v>0</v>
      </c>
      <c r="DI25" s="307">
        <f ca="1" t="shared" si="92"/>
        <v>0</v>
      </c>
      <c r="DJ25" s="247">
        <f ca="1" t="shared" si="93"/>
        <v>0</v>
      </c>
      <c r="DK25" s="247">
        <f ca="1" t="shared" si="94"/>
        <v>0</v>
      </c>
      <c r="DL25" s="308">
        <f ca="1" t="shared" si="95"/>
        <v>0</v>
      </c>
      <c r="DM25" s="321"/>
      <c r="DN25" s="322">
        <f t="shared" si="96"/>
        <v>207999999.991985</v>
      </c>
      <c r="DO25" s="323">
        <f ca="1" t="shared" si="97"/>
        <v>0</v>
      </c>
      <c r="DP25" s="323">
        <f ca="1" t="shared" si="98"/>
        <v>0</v>
      </c>
      <c r="DQ25" s="323">
        <f ca="1" t="shared" si="99"/>
        <v>0</v>
      </c>
      <c r="DR25" s="323">
        <f ca="1" t="shared" si="100"/>
        <v>0</v>
      </c>
      <c r="DS25" s="323">
        <f ca="1" t="shared" si="101"/>
        <v>0</v>
      </c>
      <c r="DT25" s="352">
        <f ca="1" t="shared" si="102"/>
        <v>207999999.991985</v>
      </c>
      <c r="DU25" s="353">
        <f t="shared" si="103"/>
        <v>207999999.991985</v>
      </c>
      <c r="DV25" s="126"/>
      <c r="DW25" s="354">
        <v>26564991.3375215</v>
      </c>
      <c r="DX25" s="355"/>
      <c r="DY25" s="355"/>
      <c r="DZ25" s="355"/>
      <c r="EA25" s="354">
        <f t="shared" si="104"/>
        <v>26564991.3375215</v>
      </c>
      <c r="EB25" s="365">
        <f t="shared" si="105"/>
        <v>7.82985386101734</v>
      </c>
      <c r="EC25" s="365"/>
      <c r="ED25" s="365"/>
      <c r="EE25" s="365"/>
      <c r="EF25" s="365">
        <f ca="1" t="shared" si="106"/>
        <v>7.82985386101734</v>
      </c>
      <c r="EG25" s="369">
        <f ca="1" t="shared" si="107"/>
        <v>7.82985386101734</v>
      </c>
      <c r="EI25" s="354">
        <v>0</v>
      </c>
      <c r="EJ25" s="355">
        <v>5150617.42408174</v>
      </c>
      <c r="EK25" s="355">
        <v>2069805.61818789</v>
      </c>
      <c r="EL25" s="355">
        <v>5273053.48917246</v>
      </c>
      <c r="EM25" s="355">
        <v>19824431.6345241</v>
      </c>
      <c r="EN25" s="355">
        <v>52455282.3566734</v>
      </c>
      <c r="EO25" s="370">
        <v>84773190.5226396</v>
      </c>
      <c r="EP25" s="365"/>
      <c r="EQ25" s="365">
        <f ca="1" t="shared" ref="EQ25:EV25" si="133">DO25/EJ25</f>
        <v>0</v>
      </c>
      <c r="ER25" s="365">
        <f ca="1" t="shared" si="133"/>
        <v>0</v>
      </c>
      <c r="ES25" s="365">
        <f ca="1" t="shared" si="133"/>
        <v>0</v>
      </c>
      <c r="ET25" s="365">
        <f ca="1" t="shared" si="133"/>
        <v>0</v>
      </c>
      <c r="EU25" s="365">
        <f ca="1" t="shared" si="133"/>
        <v>0</v>
      </c>
      <c r="EV25" s="365">
        <f ca="1" t="shared" si="133"/>
        <v>2.45360589485465</v>
      </c>
      <c r="EW25" s="126">
        <f t="shared" si="109"/>
        <v>3.8534294386192e-12</v>
      </c>
      <c r="EX25" s="91">
        <f t="shared" si="110"/>
        <v>179878000000</v>
      </c>
    </row>
    <row r="26" ht="15.75" spans="1:154">
      <c r="A26" s="191" t="s">
        <v>67</v>
      </c>
      <c r="B26" s="180">
        <f>VLOOKUP(A26,衰变常数!$A$1:$H$3800,7,FALSE)</f>
        <v>4.16694528910503e-9</v>
      </c>
      <c r="C26" s="190"/>
      <c r="D26" s="182"/>
      <c r="E26" s="192">
        <v>1100</v>
      </c>
      <c r="F26" s="183">
        <v>44000</v>
      </c>
      <c r="G26" s="184">
        <v>0.025</v>
      </c>
      <c r="H26" s="186"/>
      <c r="I26" s="227">
        <v>2120000000</v>
      </c>
      <c r="J26" s="221">
        <v>1</v>
      </c>
      <c r="K26" s="222">
        <f>100%</f>
        <v>1</v>
      </c>
      <c r="L26" s="216">
        <f>I26*J26*K26</f>
        <v>2120000000</v>
      </c>
      <c r="N26" s="226"/>
      <c r="O26" s="226"/>
      <c r="P26" s="226"/>
      <c r="Q26" s="226"/>
      <c r="R26" s="226"/>
      <c r="S26" s="244">
        <f t="shared" si="3"/>
        <v>2120001011.66072</v>
      </c>
      <c r="T26" s="245">
        <f t="shared" si="4"/>
        <v>1099.9999541636</v>
      </c>
      <c r="U26" s="216">
        <f t="shared" si="5"/>
        <v>0</v>
      </c>
      <c r="V26" s="246">
        <f t="shared" si="6"/>
        <v>1</v>
      </c>
      <c r="W26" s="216">
        <f t="shared" si="7"/>
        <v>0</v>
      </c>
      <c r="X26" s="247">
        <f t="shared" si="8"/>
        <v>0</v>
      </c>
      <c r="Y26" s="275">
        <f t="shared" si="9"/>
        <v>2120001011.66072</v>
      </c>
      <c r="Z26" s="216">
        <f t="shared" si="10"/>
        <v>1099.9999541636</v>
      </c>
      <c r="AA26" s="276">
        <f t="shared" si="11"/>
        <v>2119999911.66076</v>
      </c>
      <c r="AB26" s="277">
        <f t="shared" si="12"/>
        <v>1</v>
      </c>
      <c r="AC26" s="247">
        <f t="shared" si="13"/>
        <v>1099.9999541636</v>
      </c>
      <c r="AD26" s="278">
        <f t="shared" si="14"/>
        <v>1099.9999541636</v>
      </c>
      <c r="AE26" s="279">
        <f t="shared" si="15"/>
        <v>0</v>
      </c>
      <c r="AF26" s="280">
        <f t="shared" si="16"/>
        <v>7200</v>
      </c>
      <c r="AG26" s="247">
        <f t="shared" si="17"/>
        <v>0</v>
      </c>
      <c r="AH26" s="247">
        <f t="shared" si="18"/>
        <v>0</v>
      </c>
      <c r="AI26" s="298">
        <f t="shared" si="19"/>
        <v>2119999911.66076</v>
      </c>
      <c r="AJ26" s="247">
        <f ca="1">'DN65-事故进程'!Z48</f>
        <v>0</v>
      </c>
      <c r="AK26" s="247">
        <f ca="1" t="shared" si="20"/>
        <v>3.41550507006928e-5</v>
      </c>
      <c r="AL26" s="247">
        <f t="shared" si="21"/>
        <v>0.0115740740740741</v>
      </c>
      <c r="AM26" s="299">
        <f ca="1" t="shared" si="22"/>
        <v>0.999969998443974</v>
      </c>
      <c r="AN26" s="299">
        <f ca="1" t="shared" si="23"/>
        <v>0.781964162844851</v>
      </c>
      <c r="AO26" s="299">
        <f t="shared" si="24"/>
        <v>6.43843247148979e-37</v>
      </c>
      <c r="AP26" s="247">
        <f ca="1" t="shared" si="25"/>
        <v>0</v>
      </c>
      <c r="AQ26" s="247">
        <f ca="1" t="shared" si="26"/>
        <v>0</v>
      </c>
      <c r="AR26" s="306">
        <f ca="1" t="shared" si="27"/>
        <v>1.36494762707921e-27</v>
      </c>
      <c r="AS26" s="307">
        <f ca="1" t="shared" si="28"/>
        <v>2119936308.36464</v>
      </c>
      <c r="AT26" s="247">
        <f ca="1" t="shared" si="29"/>
        <v>0</v>
      </c>
      <c r="AU26" s="247">
        <f ca="1" t="shared" si="30"/>
        <v>0</v>
      </c>
      <c r="AV26" s="308">
        <f ca="1" t="shared" si="31"/>
        <v>2119999911.66076</v>
      </c>
      <c r="AW26" s="280">
        <f t="shared" si="32"/>
        <v>21600</v>
      </c>
      <c r="AX26" s="247">
        <f ca="1" t="shared" si="33"/>
        <v>0</v>
      </c>
      <c r="AY26" s="247">
        <f ca="1" t="shared" si="34"/>
        <v>0</v>
      </c>
      <c r="AZ26" s="298">
        <f ca="1" t="shared" si="35"/>
        <v>0</v>
      </c>
      <c r="BA26" s="247">
        <f ca="1">'DN65-事故进程'!AA48</f>
        <v>0</v>
      </c>
      <c r="BB26" s="247">
        <f ca="1" t="shared" si="36"/>
        <v>8.73428285176643e-6</v>
      </c>
      <c r="BC26" s="247">
        <f t="shared" si="37"/>
        <v>0.0115740740740741</v>
      </c>
      <c r="BD26" s="299">
        <f ca="1" t="shared" si="38"/>
        <v>0.999909998032176</v>
      </c>
      <c r="BE26" s="299">
        <f ca="1" t="shared" si="39"/>
        <v>0.827993052264985</v>
      </c>
      <c r="BF26" s="299">
        <f t="shared" si="40"/>
        <v>2.66894998316947e-109</v>
      </c>
      <c r="BG26" s="247">
        <f ca="1" t="shared" si="41"/>
        <v>0</v>
      </c>
      <c r="BH26" s="247">
        <f ca="1" t="shared" si="42"/>
        <v>0</v>
      </c>
      <c r="BI26" s="306">
        <f ca="1" t="shared" si="43"/>
        <v>0</v>
      </c>
      <c r="BJ26" s="307">
        <f ca="1" t="shared" si="44"/>
        <v>0</v>
      </c>
      <c r="BK26" s="247">
        <f ca="1" t="shared" si="45"/>
        <v>0</v>
      </c>
      <c r="BL26" s="247">
        <f ca="1" t="shared" si="46"/>
        <v>0</v>
      </c>
      <c r="BM26" s="308">
        <f ca="1" t="shared" si="47"/>
        <v>0</v>
      </c>
      <c r="BN26" s="280">
        <f t="shared" si="48"/>
        <v>57600</v>
      </c>
      <c r="BO26" s="247">
        <f ca="1" t="shared" si="49"/>
        <v>0</v>
      </c>
      <c r="BP26" s="247">
        <f ca="1" t="shared" si="50"/>
        <v>0</v>
      </c>
      <c r="BQ26" s="298">
        <f ca="1" t="shared" si="51"/>
        <v>0</v>
      </c>
      <c r="BR26" s="247">
        <f ca="1">'DN65-事故进程'!AB48</f>
        <v>0</v>
      </c>
      <c r="BS26" s="247">
        <f ca="1" t="shared" si="52"/>
        <v>9.71204011720554e-7</v>
      </c>
      <c r="BT26" s="247">
        <f t="shared" si="53"/>
        <v>0.0115740740740741</v>
      </c>
      <c r="BU26" s="299">
        <f ca="1" t="shared" si="54"/>
        <v>0.999760012752895</v>
      </c>
      <c r="BV26" s="299">
        <f ca="1" t="shared" si="55"/>
        <v>0.945367661727279</v>
      </c>
      <c r="BW26" s="299">
        <f t="shared" si="56"/>
        <v>2.95284846418528e-290</v>
      </c>
      <c r="BX26" s="247">
        <f ca="1" t="shared" si="57"/>
        <v>0</v>
      </c>
      <c r="BY26" s="247">
        <f ca="1" t="shared" si="58"/>
        <v>0</v>
      </c>
      <c r="BZ26" s="306">
        <f ca="1" t="shared" si="59"/>
        <v>0</v>
      </c>
      <c r="CA26" s="307">
        <f ca="1" t="shared" si="60"/>
        <v>0</v>
      </c>
      <c r="CB26" s="247">
        <f ca="1" t="shared" si="61"/>
        <v>0</v>
      </c>
      <c r="CC26" s="247">
        <f ca="1" t="shared" si="62"/>
        <v>0</v>
      </c>
      <c r="CD26" s="308">
        <f ca="1" t="shared" si="63"/>
        <v>0</v>
      </c>
      <c r="CE26" s="280">
        <f t="shared" si="64"/>
        <v>259200</v>
      </c>
      <c r="CF26" s="247">
        <f ca="1" t="shared" si="65"/>
        <v>0</v>
      </c>
      <c r="CG26" s="247">
        <f ca="1" t="shared" si="66"/>
        <v>0</v>
      </c>
      <c r="CH26" s="298">
        <f ca="1" t="shared" si="67"/>
        <v>0</v>
      </c>
      <c r="CI26" s="247">
        <f ca="1">'DN65-事故进程'!AC48</f>
        <v>0</v>
      </c>
      <c r="CJ26" s="247">
        <f ca="1" t="shared" si="68"/>
        <v>3.43152347017181e-7</v>
      </c>
      <c r="CK26" s="247">
        <f t="shared" si="69"/>
        <v>0.0115740740740741</v>
      </c>
      <c r="CL26" s="299">
        <f ca="1" t="shared" si="70"/>
        <v>0.998920510849126</v>
      </c>
      <c r="CM26" s="299">
        <f ca="1" t="shared" si="71"/>
        <v>0.913908190534796</v>
      </c>
      <c r="CN26" s="299">
        <f t="shared" si="72"/>
        <v>0</v>
      </c>
      <c r="CO26" s="247">
        <f ca="1" t="shared" si="73"/>
        <v>0</v>
      </c>
      <c r="CP26" s="247">
        <f ca="1" t="shared" si="74"/>
        <v>0</v>
      </c>
      <c r="CQ26" s="306">
        <f ca="1" t="shared" si="75"/>
        <v>0</v>
      </c>
      <c r="CR26" s="307">
        <f ca="1" t="shared" si="76"/>
        <v>0</v>
      </c>
      <c r="CS26" s="247">
        <f ca="1" t="shared" si="77"/>
        <v>0</v>
      </c>
      <c r="CT26" s="247">
        <f ca="1" t="shared" si="78"/>
        <v>0</v>
      </c>
      <c r="CU26" s="308">
        <f ca="1" t="shared" si="79"/>
        <v>0</v>
      </c>
      <c r="CV26" s="280">
        <f t="shared" si="80"/>
        <v>2246400</v>
      </c>
      <c r="CW26" s="247">
        <f ca="1" t="shared" si="81"/>
        <v>0</v>
      </c>
      <c r="CX26" s="247">
        <f ca="1" t="shared" si="82"/>
        <v>0</v>
      </c>
      <c r="CY26" s="298">
        <f ca="1" t="shared" si="83"/>
        <v>0</v>
      </c>
      <c r="CZ26" s="247">
        <f ca="1">'DN65-事故进程'!AE48</f>
        <v>0</v>
      </c>
      <c r="DA26" s="247">
        <f t="shared" si="84"/>
        <v>4.45156695156695e-9</v>
      </c>
      <c r="DB26" s="247">
        <f t="shared" si="85"/>
        <v>0.0115740740740741</v>
      </c>
      <c r="DC26" s="299">
        <f ca="1" t="shared" si="86"/>
        <v>0.990683048382053</v>
      </c>
      <c r="DD26" s="299">
        <f t="shared" si="87"/>
        <v>0.980825587348771</v>
      </c>
      <c r="DE26" s="299">
        <f t="shared" si="88"/>
        <v>0</v>
      </c>
      <c r="DF26" s="247">
        <f ca="1" t="shared" si="89"/>
        <v>0</v>
      </c>
      <c r="DG26" s="247">
        <f ca="1" t="shared" si="90"/>
        <v>0</v>
      </c>
      <c r="DH26" s="306">
        <f ca="1" t="shared" si="91"/>
        <v>0</v>
      </c>
      <c r="DI26" s="307">
        <f ca="1" t="shared" si="92"/>
        <v>0</v>
      </c>
      <c r="DJ26" s="247">
        <f ca="1" t="shared" si="93"/>
        <v>0</v>
      </c>
      <c r="DK26" s="247">
        <f ca="1" t="shared" si="94"/>
        <v>0</v>
      </c>
      <c r="DL26" s="308">
        <f ca="1" t="shared" si="95"/>
        <v>0</v>
      </c>
      <c r="DM26" s="321"/>
      <c r="DN26" s="322">
        <f t="shared" si="96"/>
        <v>1099.9999541636</v>
      </c>
      <c r="DO26" s="323">
        <f ca="1" t="shared" si="97"/>
        <v>2119999911.66076</v>
      </c>
      <c r="DP26" s="323">
        <f ca="1" t="shared" si="98"/>
        <v>0</v>
      </c>
      <c r="DQ26" s="323">
        <f ca="1" t="shared" si="99"/>
        <v>0</v>
      </c>
      <c r="DR26" s="323">
        <f ca="1" t="shared" si="100"/>
        <v>0</v>
      </c>
      <c r="DS26" s="323">
        <f ca="1" t="shared" si="101"/>
        <v>0</v>
      </c>
      <c r="DT26" s="352">
        <f ca="1" t="shared" si="102"/>
        <v>2120001011.66071</v>
      </c>
      <c r="DU26" s="353">
        <f t="shared" si="103"/>
        <v>2120001011.66072</v>
      </c>
      <c r="DV26" s="126"/>
      <c r="DW26" s="354">
        <v>572584511.393127</v>
      </c>
      <c r="DX26" s="355"/>
      <c r="DY26" s="355"/>
      <c r="DZ26" s="355"/>
      <c r="EA26" s="354">
        <f t="shared" si="104"/>
        <v>572584511.393127</v>
      </c>
      <c r="EB26" s="365">
        <f t="shared" si="105"/>
        <v>1.92111370858993e-6</v>
      </c>
      <c r="EC26" s="365"/>
      <c r="ED26" s="365"/>
      <c r="EE26" s="365"/>
      <c r="EF26" s="365">
        <f ca="1" t="shared" si="106"/>
        <v>3.70251197766884</v>
      </c>
      <c r="EG26" s="369">
        <f ca="1" t="shared" si="107"/>
        <v>3.70251197766884</v>
      </c>
      <c r="EI26" s="354">
        <v>0</v>
      </c>
      <c r="EJ26" s="355">
        <v>33153744.4795296</v>
      </c>
      <c r="EK26" s="355">
        <v>13322048.9924506</v>
      </c>
      <c r="EL26" s="355">
        <v>33933759.5239992</v>
      </c>
      <c r="EM26" s="355">
        <v>127494987.452348</v>
      </c>
      <c r="EN26" s="355">
        <v>336193033.806214</v>
      </c>
      <c r="EO26" s="370">
        <v>544097574.254541</v>
      </c>
      <c r="EP26" s="365"/>
      <c r="EQ26" s="365">
        <f ca="1" t="shared" ref="EQ26:EV26" si="134">DO26/EJ26</f>
        <v>63.9445089820768</v>
      </c>
      <c r="ER26" s="365">
        <f ca="1" t="shared" si="134"/>
        <v>0</v>
      </c>
      <c r="ES26" s="365">
        <f ca="1" t="shared" si="134"/>
        <v>0</v>
      </c>
      <c r="ET26" s="365">
        <f ca="1" t="shared" si="134"/>
        <v>0</v>
      </c>
      <c r="EU26" s="365">
        <f ca="1" t="shared" si="134"/>
        <v>0</v>
      </c>
      <c r="EV26" s="365">
        <f ca="1" t="shared" si="134"/>
        <v>3.89636181445082</v>
      </c>
      <c r="EW26" s="126">
        <f t="shared" si="109"/>
        <v>4.16694528910503e-9</v>
      </c>
      <c r="EX26" s="91">
        <f t="shared" si="110"/>
        <v>166344200</v>
      </c>
    </row>
    <row r="27" s="91" customFormat="1" ht="15.75" spans="1:154">
      <c r="A27" s="185" t="s">
        <v>68</v>
      </c>
      <c r="B27" s="193">
        <f>VLOOKUP(A27,衰变常数!$A$1:$H$3800,7,FALSE)</f>
        <v>0.000105395976729608</v>
      </c>
      <c r="C27" s="194"/>
      <c r="D27" s="195"/>
      <c r="E27" s="195"/>
      <c r="F27" s="196"/>
      <c r="G27" s="197"/>
      <c r="H27" s="195"/>
      <c r="I27" s="228"/>
      <c r="J27" s="229"/>
      <c r="K27" s="230"/>
      <c r="L27" s="230"/>
      <c r="M27" s="231"/>
      <c r="N27" s="230"/>
      <c r="O27" s="230"/>
      <c r="P27" s="230"/>
      <c r="Q27" s="230"/>
      <c r="R27" s="230"/>
      <c r="S27" s="248">
        <f t="shared" si="3"/>
        <v>0</v>
      </c>
      <c r="T27" s="249">
        <f t="shared" si="4"/>
        <v>0</v>
      </c>
      <c r="U27" s="250">
        <f t="shared" si="5"/>
        <v>0</v>
      </c>
      <c r="V27" s="251">
        <f t="shared" si="6"/>
        <v>1</v>
      </c>
      <c r="W27" s="250">
        <f t="shared" si="7"/>
        <v>0</v>
      </c>
      <c r="X27" s="252">
        <f t="shared" si="8"/>
        <v>0</v>
      </c>
      <c r="Y27" s="281">
        <f t="shared" si="9"/>
        <v>0</v>
      </c>
      <c r="Z27" s="250">
        <f t="shared" si="10"/>
        <v>0</v>
      </c>
      <c r="AA27" s="282">
        <f t="shared" si="11"/>
        <v>0</v>
      </c>
      <c r="AB27" s="283">
        <f t="shared" si="12"/>
        <v>1</v>
      </c>
      <c r="AC27" s="252">
        <f t="shared" si="13"/>
        <v>0</v>
      </c>
      <c r="AD27" s="284">
        <f t="shared" si="14"/>
        <v>0</v>
      </c>
      <c r="AE27" s="285">
        <f t="shared" si="15"/>
        <v>0</v>
      </c>
      <c r="AF27" s="286">
        <f t="shared" si="16"/>
        <v>7200</v>
      </c>
      <c r="AG27" s="252">
        <f t="shared" si="17"/>
        <v>0</v>
      </c>
      <c r="AH27" s="252">
        <f t="shared" si="18"/>
        <v>0</v>
      </c>
      <c r="AI27" s="300">
        <f t="shared" si="19"/>
        <v>0</v>
      </c>
      <c r="AJ27" s="252">
        <f ca="1">'DN65-事故进程'!Z49</f>
        <v>0</v>
      </c>
      <c r="AK27" s="252">
        <f ca="1" t="shared" si="20"/>
        <v>3.41550507006928e-5</v>
      </c>
      <c r="AL27" s="252">
        <f t="shared" si="21"/>
        <v>0.0115740740740741</v>
      </c>
      <c r="AM27" s="301">
        <f ca="1" t="shared" si="22"/>
        <v>0.468204069364945</v>
      </c>
      <c r="AN27" s="301">
        <f ca="1" t="shared" si="23"/>
        <v>0.366129787604847</v>
      </c>
      <c r="AO27" s="301">
        <f t="shared" si="24"/>
        <v>3.01459072589548e-37</v>
      </c>
      <c r="AP27" s="252">
        <f ca="1" t="shared" si="25"/>
        <v>0</v>
      </c>
      <c r="AQ27" s="252">
        <f ca="1" t="shared" si="26"/>
        <v>0</v>
      </c>
      <c r="AR27" s="309">
        <f ca="1" t="shared" si="27"/>
        <v>0</v>
      </c>
      <c r="AS27" s="310">
        <f ca="1" t="shared" si="28"/>
        <v>0</v>
      </c>
      <c r="AT27" s="252">
        <f ca="1" t="shared" si="29"/>
        <v>0</v>
      </c>
      <c r="AU27" s="252">
        <f ca="1" t="shared" si="30"/>
        <v>0</v>
      </c>
      <c r="AV27" s="311">
        <f ca="1" t="shared" si="31"/>
        <v>0</v>
      </c>
      <c r="AW27" s="286">
        <f t="shared" si="32"/>
        <v>21600</v>
      </c>
      <c r="AX27" s="252">
        <f ca="1" t="shared" si="33"/>
        <v>0</v>
      </c>
      <c r="AY27" s="252">
        <f ca="1" t="shared" si="34"/>
        <v>0</v>
      </c>
      <c r="AZ27" s="300">
        <f ca="1" t="shared" si="35"/>
        <v>0</v>
      </c>
      <c r="BA27" s="252">
        <f ca="1">'DN65-事故进程'!AA49</f>
        <v>0</v>
      </c>
      <c r="BB27" s="252">
        <f ca="1" t="shared" si="36"/>
        <v>8.73428285176643e-6</v>
      </c>
      <c r="BC27" s="252">
        <f t="shared" si="37"/>
        <v>0.0115740740740741</v>
      </c>
      <c r="BD27" s="301">
        <f ca="1" t="shared" si="38"/>
        <v>0.102637378742866</v>
      </c>
      <c r="BE27" s="301">
        <f ca="1" t="shared" si="39"/>
        <v>0.0849906858307547</v>
      </c>
      <c r="BF27" s="301">
        <f t="shared" si="40"/>
        <v>2.73958687089269e-110</v>
      </c>
      <c r="BG27" s="252">
        <f ca="1" t="shared" si="41"/>
        <v>0</v>
      </c>
      <c r="BH27" s="252">
        <f ca="1" t="shared" si="42"/>
        <v>0</v>
      </c>
      <c r="BI27" s="309">
        <f ca="1" t="shared" si="43"/>
        <v>0</v>
      </c>
      <c r="BJ27" s="310">
        <f ca="1" t="shared" si="44"/>
        <v>0</v>
      </c>
      <c r="BK27" s="252">
        <f ca="1" t="shared" si="45"/>
        <v>0</v>
      </c>
      <c r="BL27" s="252">
        <f ca="1" t="shared" si="46"/>
        <v>0</v>
      </c>
      <c r="BM27" s="311">
        <f ca="1" t="shared" si="47"/>
        <v>0</v>
      </c>
      <c r="BN27" s="286">
        <f t="shared" si="48"/>
        <v>57600</v>
      </c>
      <c r="BO27" s="252">
        <f ca="1" t="shared" si="49"/>
        <v>0</v>
      </c>
      <c r="BP27" s="252">
        <f ca="1" t="shared" si="50"/>
        <v>0</v>
      </c>
      <c r="BQ27" s="300">
        <f ca="1" t="shared" si="51"/>
        <v>0</v>
      </c>
      <c r="BR27" s="252">
        <f ca="1">'DN65-事故进程'!AB49</f>
        <v>0</v>
      </c>
      <c r="BS27" s="252">
        <f ca="1" t="shared" si="52"/>
        <v>9.71204011720554e-7</v>
      </c>
      <c r="BT27" s="252">
        <f t="shared" si="53"/>
        <v>0.0115740740740741</v>
      </c>
      <c r="BU27" s="301">
        <f ca="1" t="shared" si="54"/>
        <v>0.0023093059373311</v>
      </c>
      <c r="BV27" s="301">
        <f ca="1" t="shared" si="55"/>
        <v>0.0021836672064691</v>
      </c>
      <c r="BW27" s="301">
        <f t="shared" si="56"/>
        <v>6.82066736356614e-293</v>
      </c>
      <c r="BX27" s="252">
        <f ca="1" t="shared" si="57"/>
        <v>0</v>
      </c>
      <c r="BY27" s="252">
        <f ca="1" t="shared" si="58"/>
        <v>0</v>
      </c>
      <c r="BZ27" s="309">
        <f ca="1" t="shared" si="59"/>
        <v>0</v>
      </c>
      <c r="CA27" s="310">
        <f ca="1" t="shared" si="60"/>
        <v>0</v>
      </c>
      <c r="CB27" s="252">
        <f ca="1" t="shared" si="61"/>
        <v>0</v>
      </c>
      <c r="CC27" s="252">
        <f ca="1" t="shared" si="62"/>
        <v>0</v>
      </c>
      <c r="CD27" s="311">
        <f ca="1" t="shared" si="63"/>
        <v>0</v>
      </c>
      <c r="CE27" s="286">
        <f t="shared" si="64"/>
        <v>259200</v>
      </c>
      <c r="CF27" s="252">
        <f ca="1" t="shared" si="65"/>
        <v>0</v>
      </c>
      <c r="CG27" s="252">
        <f ca="1" t="shared" si="66"/>
        <v>0</v>
      </c>
      <c r="CH27" s="300">
        <f ca="1" t="shared" si="67"/>
        <v>0</v>
      </c>
      <c r="CI27" s="252">
        <f ca="1">'DN65-事故进程'!AC49</f>
        <v>0</v>
      </c>
      <c r="CJ27" s="252">
        <f ca="1" t="shared" si="68"/>
        <v>3.43152347017181e-7</v>
      </c>
      <c r="CK27" s="252">
        <f t="shared" si="69"/>
        <v>0.0115740740740741</v>
      </c>
      <c r="CL27" s="301">
        <f ca="1" t="shared" si="70"/>
        <v>1.36667932557369e-12</v>
      </c>
      <c r="CM27" s="301">
        <f ca="1" t="shared" si="71"/>
        <v>1.25036918945097e-12</v>
      </c>
      <c r="CN27" s="301">
        <f t="shared" si="72"/>
        <v>0</v>
      </c>
      <c r="CO27" s="252">
        <f ca="1" t="shared" si="73"/>
        <v>0</v>
      </c>
      <c r="CP27" s="252">
        <f ca="1" t="shared" si="74"/>
        <v>0</v>
      </c>
      <c r="CQ27" s="309">
        <f ca="1" t="shared" si="75"/>
        <v>0</v>
      </c>
      <c r="CR27" s="310">
        <f ca="1" t="shared" si="76"/>
        <v>0</v>
      </c>
      <c r="CS27" s="252">
        <f ca="1" t="shared" si="77"/>
        <v>0</v>
      </c>
      <c r="CT27" s="252">
        <f ca="1" t="shared" si="78"/>
        <v>0</v>
      </c>
      <c r="CU27" s="311">
        <f ca="1" t="shared" si="79"/>
        <v>0</v>
      </c>
      <c r="CV27" s="286">
        <f t="shared" si="80"/>
        <v>2246400</v>
      </c>
      <c r="CW27" s="252">
        <f ca="1" t="shared" si="81"/>
        <v>0</v>
      </c>
      <c r="CX27" s="252">
        <f ca="1" t="shared" si="82"/>
        <v>0</v>
      </c>
      <c r="CY27" s="300">
        <f ca="1" t="shared" si="83"/>
        <v>0</v>
      </c>
      <c r="CZ27" s="252">
        <f ca="1">'DN65-事故进程'!AE49</f>
        <v>0</v>
      </c>
      <c r="DA27" s="252">
        <f t="shared" si="84"/>
        <v>4.45156695156695e-9</v>
      </c>
      <c r="DB27" s="252">
        <f t="shared" si="85"/>
        <v>0.0115740740740741</v>
      </c>
      <c r="DC27" s="301">
        <f ca="1" t="shared" si="86"/>
        <v>1.49891640890916e-103</v>
      </c>
      <c r="DD27" s="301">
        <f t="shared" si="87"/>
        <v>1.48400194144442e-103</v>
      </c>
      <c r="DE27" s="301">
        <f t="shared" si="88"/>
        <v>0</v>
      </c>
      <c r="DF27" s="252">
        <f ca="1" t="shared" si="89"/>
        <v>0</v>
      </c>
      <c r="DG27" s="252">
        <f ca="1" t="shared" si="90"/>
        <v>0</v>
      </c>
      <c r="DH27" s="309">
        <f ca="1" t="shared" si="91"/>
        <v>0</v>
      </c>
      <c r="DI27" s="310">
        <f ca="1" t="shared" si="92"/>
        <v>0</v>
      </c>
      <c r="DJ27" s="252">
        <f ca="1" t="shared" si="93"/>
        <v>0</v>
      </c>
      <c r="DK27" s="252">
        <f ca="1" t="shared" si="94"/>
        <v>0</v>
      </c>
      <c r="DL27" s="311">
        <f ca="1" t="shared" si="95"/>
        <v>0</v>
      </c>
      <c r="DM27" s="324"/>
      <c r="DN27" s="325">
        <f t="shared" si="96"/>
        <v>0</v>
      </c>
      <c r="DO27" s="326">
        <f ca="1" t="shared" si="97"/>
        <v>0</v>
      </c>
      <c r="DP27" s="326">
        <f ca="1" t="shared" si="98"/>
        <v>0</v>
      </c>
      <c r="DQ27" s="326">
        <f ca="1" t="shared" si="99"/>
        <v>0</v>
      </c>
      <c r="DR27" s="326">
        <f ca="1" t="shared" si="100"/>
        <v>0</v>
      </c>
      <c r="DS27" s="326">
        <f ca="1" t="shared" si="101"/>
        <v>0</v>
      </c>
      <c r="DT27" s="356">
        <f ca="1" t="shared" si="102"/>
        <v>0</v>
      </c>
      <c r="DU27" s="353">
        <f t="shared" si="103"/>
        <v>0</v>
      </c>
      <c r="DV27" s="126"/>
      <c r="DW27" s="354"/>
      <c r="DX27" s="355"/>
      <c r="DY27" s="355"/>
      <c r="DZ27" s="355"/>
      <c r="EA27" s="355"/>
      <c r="EB27" s="366"/>
      <c r="EC27" s="366"/>
      <c r="ED27" s="366"/>
      <c r="EE27" s="366"/>
      <c r="EF27" s="366"/>
      <c r="EG27" s="369"/>
      <c r="EI27" s="354">
        <v>0</v>
      </c>
      <c r="EJ27" s="355">
        <v>2770805239.73945</v>
      </c>
      <c r="EK27" s="355">
        <v>213359153.939329</v>
      </c>
      <c r="EL27" s="355">
        <v>23343594.6397733</v>
      </c>
      <c r="EM27" s="355">
        <v>48808.2775456103</v>
      </c>
      <c r="EN27" s="355">
        <v>4.2254930120606e-8</v>
      </c>
      <c r="EO27" s="370">
        <v>3007556796.5961</v>
      </c>
      <c r="EP27" s="365"/>
      <c r="EQ27" s="365">
        <f ca="1" t="shared" ref="EQ27:EV27" si="135">DO27/EJ27</f>
        <v>0</v>
      </c>
      <c r="ER27" s="365">
        <f ca="1" t="shared" si="135"/>
        <v>0</v>
      </c>
      <c r="ES27" s="365">
        <f ca="1" t="shared" si="135"/>
        <v>0</v>
      </c>
      <c r="ET27" s="365">
        <f ca="1" t="shared" si="135"/>
        <v>0</v>
      </c>
      <c r="EU27" s="365">
        <f ca="1" t="shared" si="135"/>
        <v>0</v>
      </c>
      <c r="EV27" s="365">
        <f ca="1" t="shared" si="135"/>
        <v>0</v>
      </c>
      <c r="EW27" s="126">
        <f t="shared" si="109"/>
        <v>0.000105395976729608</v>
      </c>
      <c r="EX27" s="91">
        <f t="shared" si="110"/>
        <v>6576.60000000005</v>
      </c>
    </row>
    <row r="28" spans="1:116">
      <c r="A28" s="198" t="s">
        <v>73</v>
      </c>
      <c r="C28" s="91">
        <f t="shared" ref="C28:F28" si="136">SUM(C5:C27)</f>
        <v>3.190513e+18</v>
      </c>
      <c r="D28" s="91">
        <f t="shared" si="136"/>
        <v>0</v>
      </c>
      <c r="E28" s="91">
        <f t="shared" si="136"/>
        <v>490140141999.4</v>
      </c>
      <c r="F28" s="91">
        <f t="shared" si="136"/>
        <v>604139600170</v>
      </c>
      <c r="G28" s="199"/>
      <c r="H28" s="91">
        <f t="shared" ref="H28:L28" si="137">SUM(H5:H27)</f>
        <v>13434246000000</v>
      </c>
      <c r="I28" s="91">
        <f t="shared" si="137"/>
        <v>14510800000000</v>
      </c>
      <c r="L28" s="91">
        <f t="shared" si="137"/>
        <v>13799911000000</v>
      </c>
      <c r="O28" s="91">
        <f>SUM(O5:O27)</f>
        <v>687814609.14826</v>
      </c>
      <c r="P28" s="91">
        <f>SUM(P5:P27)</f>
        <v>12293040000000</v>
      </c>
      <c r="R28" s="91">
        <f ca="1">SUM(R5:R27)</f>
        <v>7075537428.07066</v>
      </c>
      <c r="S28" s="119">
        <f ca="1">SUM(S5:S27)</f>
        <v>26582107480780.3</v>
      </c>
      <c r="T28" s="119"/>
      <c r="U28" s="119">
        <f>SUM(U5:U27)</f>
        <v>0</v>
      </c>
      <c r="V28" s="119"/>
      <c r="W28" s="119">
        <f t="shared" ref="W28:AA28" si="138">SUM(W5:W27)</f>
        <v>3.18851521231628e+18</v>
      </c>
      <c r="X28" s="119">
        <f ca="1" t="shared" si="138"/>
        <v>0</v>
      </c>
      <c r="Y28" s="119">
        <f ca="1" t="shared" si="138"/>
        <v>26582107480780.3</v>
      </c>
      <c r="Z28" s="119">
        <f ca="1" t="shared" si="138"/>
        <v>12782471194421.5</v>
      </c>
      <c r="AA28" s="119">
        <f ca="1" t="shared" si="138"/>
        <v>13799636286358.9</v>
      </c>
      <c r="AC28" s="91">
        <f ca="1" t="shared" ref="AC28:AE28" si="139">SUM(AC5:AC27)</f>
        <v>12782471194421.5</v>
      </c>
      <c r="AD28" s="91">
        <f ca="1" t="shared" si="139"/>
        <v>12782471194421.5</v>
      </c>
      <c r="AE28" s="91">
        <f ca="1" t="shared" si="139"/>
        <v>0</v>
      </c>
      <c r="AG28" s="91">
        <f t="shared" ref="AG28:AI28" si="140">SUM(AG5:AG27)</f>
        <v>3.18851521231628e+18</v>
      </c>
      <c r="AH28" s="91">
        <f ca="1" t="shared" si="140"/>
        <v>0</v>
      </c>
      <c r="AI28" s="91">
        <f ca="1" t="shared" si="140"/>
        <v>13799636286358.9</v>
      </c>
      <c r="AK28" s="247"/>
      <c r="AL28" s="247"/>
      <c r="AM28" s="218"/>
      <c r="AN28" s="218"/>
      <c r="AO28" s="218"/>
      <c r="AP28" s="91">
        <f ca="1" t="shared" ref="AP28:AV28" si="141">SUM(AP5:AP27)</f>
        <v>2.30825734541851e+18</v>
      </c>
      <c r="AQ28" s="91">
        <f ca="1" t="shared" si="141"/>
        <v>277167986063.302</v>
      </c>
      <c r="AR28" s="91">
        <f ca="1" t="shared" si="141"/>
        <v>809238468.356082</v>
      </c>
      <c r="AS28" s="312">
        <f ca="1" t="shared" si="141"/>
        <v>13703698777969.9</v>
      </c>
      <c r="AT28" s="91">
        <f ca="1" t="shared" si="141"/>
        <v>431259386600.761</v>
      </c>
      <c r="AU28" s="91">
        <f ca="1" t="shared" si="141"/>
        <v>43774395908.2726</v>
      </c>
      <c r="AV28" s="91">
        <f ca="1" t="shared" si="141"/>
        <v>13843410682267.1</v>
      </c>
      <c r="AX28" s="91">
        <f ca="1" t="shared" ref="AX28:AZ28" si="142">SUM(AX5:AX27)</f>
        <v>2.30825734541851e+18</v>
      </c>
      <c r="AY28" s="91">
        <f ca="1" t="shared" si="142"/>
        <v>277167986063.302</v>
      </c>
      <c r="AZ28" s="91">
        <f ca="1" t="shared" si="142"/>
        <v>0</v>
      </c>
      <c r="BB28" s="247"/>
      <c r="BC28" s="247"/>
      <c r="BD28" s="218"/>
      <c r="BE28" s="218"/>
      <c r="BF28" s="218"/>
      <c r="BG28" s="91">
        <f ca="1" t="shared" ref="BG28:BM28" si="143">SUM(BG5:BG27)</f>
        <v>1.60411961681552e+18</v>
      </c>
      <c r="BH28" s="91">
        <f ca="1" t="shared" si="143"/>
        <v>1129140377606.42</v>
      </c>
      <c r="BI28" s="91">
        <f ca="1" t="shared" si="143"/>
        <v>849304183.855232</v>
      </c>
      <c r="BJ28" s="312">
        <f ca="1" t="shared" si="143"/>
        <v>120068207162.58</v>
      </c>
      <c r="BK28" s="91">
        <f ca="1" t="shared" si="143"/>
        <v>1713072012290.99</v>
      </c>
      <c r="BL28" s="91">
        <f ca="1" t="shared" si="143"/>
        <v>158852765699.659</v>
      </c>
      <c r="BM28" s="91">
        <f ca="1" t="shared" si="143"/>
        <v>158852765699.659</v>
      </c>
      <c r="BO28" s="91">
        <f ca="1" t="shared" ref="BO28:BQ28" si="144">SUM(BO5:BO27)</f>
        <v>1.60411961681552e+18</v>
      </c>
      <c r="BP28" s="91">
        <f ca="1" t="shared" si="144"/>
        <v>1129140377606.42</v>
      </c>
      <c r="BQ28" s="91">
        <f ca="1" t="shared" si="144"/>
        <v>0</v>
      </c>
      <c r="BS28" s="247"/>
      <c r="BT28" s="247"/>
      <c r="BU28" s="218"/>
      <c r="BV28" s="218"/>
      <c r="BW28" s="218"/>
      <c r="BX28" s="91">
        <f ca="1" t="shared" ref="BX28:CD28" si="145">SUM(BX5:BX27)</f>
        <v>1.15658913784447e+18</v>
      </c>
      <c r="BY28" s="91">
        <f ca="1" t="shared" si="145"/>
        <v>3409879705254.06</v>
      </c>
      <c r="BZ28" s="91">
        <f ca="1" t="shared" si="145"/>
        <v>285775035.29712</v>
      </c>
      <c r="CA28" s="312">
        <f ca="1" t="shared" si="145"/>
        <v>110405933160.288</v>
      </c>
      <c r="CB28" s="91">
        <f ca="1" t="shared" si="145"/>
        <v>4068408171544.39</v>
      </c>
      <c r="CC28" s="91">
        <f ca="1" t="shared" si="145"/>
        <v>138568262930.562</v>
      </c>
      <c r="CD28" s="91">
        <f ca="1" t="shared" si="145"/>
        <v>138568262930.562</v>
      </c>
      <c r="CF28" s="91">
        <f ca="1" t="shared" ref="CF28:CH28" si="146">SUM(CF5:CF27)</f>
        <v>1.15658913784447e+18</v>
      </c>
      <c r="CG28" s="91">
        <f ca="1" t="shared" si="146"/>
        <v>3409879705254.06</v>
      </c>
      <c r="CH28" s="91">
        <f ca="1" t="shared" si="146"/>
        <v>0</v>
      </c>
      <c r="CJ28" s="247"/>
      <c r="CK28" s="247"/>
      <c r="CL28" s="218"/>
      <c r="CM28" s="218"/>
      <c r="CN28" s="218"/>
      <c r="CO28" s="91">
        <f ca="1" t="shared" ref="CO28:CU28" si="147">SUM(CO5:CO27)</f>
        <v>7.26503980103706e+17</v>
      </c>
      <c r="CP28" s="91">
        <f ca="1" t="shared" si="147"/>
        <v>13453802641787.7</v>
      </c>
      <c r="CQ28" s="91">
        <f ca="1" t="shared" si="147"/>
        <v>398771657.728084</v>
      </c>
      <c r="CR28" s="312">
        <f ca="1" t="shared" si="147"/>
        <v>678996799135.276</v>
      </c>
      <c r="CS28" s="91">
        <f ca="1" t="shared" si="147"/>
        <v>17254797510619.3</v>
      </c>
      <c r="CT28" s="91">
        <f ca="1" t="shared" si="147"/>
        <v>835216197472.824</v>
      </c>
      <c r="CU28" s="91">
        <f ca="1" t="shared" si="147"/>
        <v>835216197472.824</v>
      </c>
      <c r="CW28" s="91">
        <f ca="1" t="shared" ref="CW28:CY28" si="148">SUM(CW5:CW27)</f>
        <v>7.26503980103706e+17</v>
      </c>
      <c r="CX28" s="91">
        <f ca="1" t="shared" si="148"/>
        <v>13453802641787.7</v>
      </c>
      <c r="CY28" s="91">
        <f ca="1" t="shared" si="148"/>
        <v>0</v>
      </c>
      <c r="DA28" s="247"/>
      <c r="DB28" s="247"/>
      <c r="DC28" s="218"/>
      <c r="DD28" s="218"/>
      <c r="DE28" s="218"/>
      <c r="DF28" s="91">
        <f ca="1" t="shared" ref="DF28:DL28" si="149">SUM(DF5:DF27)</f>
        <v>2.29390324125287e+17</v>
      </c>
      <c r="DG28" s="91">
        <f ca="1" t="shared" si="149"/>
        <v>30892334973645.2</v>
      </c>
      <c r="DH28" s="91">
        <f ca="1" t="shared" si="149"/>
        <v>11881304.9841601</v>
      </c>
      <c r="DI28" s="312">
        <f ca="1" t="shared" si="149"/>
        <v>183828611426.393</v>
      </c>
      <c r="DJ28" s="91">
        <f ca="1" t="shared" si="149"/>
        <v>34084473318741.9</v>
      </c>
      <c r="DK28" s="91">
        <f ca="1" t="shared" si="149"/>
        <v>224515902705.077</v>
      </c>
      <c r="DL28" s="91">
        <f ca="1" t="shared" si="149"/>
        <v>224515902705.077</v>
      </c>
    </row>
    <row r="29" spans="6:141">
      <c r="F29" s="200"/>
      <c r="G29" s="199"/>
      <c r="Q29" s="91" t="s">
        <v>521</v>
      </c>
      <c r="U29" s="253"/>
      <c r="X29" s="247"/>
      <c r="AJ29" s="166" t="s">
        <v>522</v>
      </c>
      <c r="AK29" s="247"/>
      <c r="AL29" s="302">
        <f>AL5*24*3600</f>
        <v>1000</v>
      </c>
      <c r="AM29" s="247"/>
      <c r="AN29" s="247"/>
      <c r="AO29" s="247"/>
      <c r="AP29" s="247"/>
      <c r="AQ29" s="247"/>
      <c r="AR29" s="247"/>
      <c r="AS29" s="247"/>
      <c r="AT29" s="247"/>
      <c r="AU29" s="247"/>
      <c r="AY29" s="247"/>
      <c r="AZ29" s="218"/>
      <c r="BA29" s="166" t="s">
        <v>523</v>
      </c>
      <c r="BB29" s="247"/>
      <c r="BC29" s="247"/>
      <c r="BD29" s="247"/>
      <c r="BE29" s="247"/>
      <c r="BF29" s="247"/>
      <c r="BG29" s="247"/>
      <c r="BH29" s="247"/>
      <c r="BI29" s="247"/>
      <c r="BJ29" s="247"/>
      <c r="BK29" s="247"/>
      <c r="BL29" s="247"/>
      <c r="BP29" s="247"/>
      <c r="BQ29" s="247"/>
      <c r="BR29" s="166" t="s">
        <v>524</v>
      </c>
      <c r="BS29" s="247"/>
      <c r="BT29" s="247"/>
      <c r="BU29" s="247"/>
      <c r="BV29" s="247"/>
      <c r="BW29" s="247"/>
      <c r="BX29" s="247"/>
      <c r="BY29" s="247"/>
      <c r="BZ29" s="247"/>
      <c r="CA29" s="247"/>
      <c r="CB29" s="247"/>
      <c r="CC29" s="247"/>
      <c r="CG29" s="247"/>
      <c r="CH29" s="247"/>
      <c r="CI29" s="166" t="s">
        <v>525</v>
      </c>
      <c r="CJ29" s="247"/>
      <c r="CK29" s="247"/>
      <c r="CL29" s="247"/>
      <c r="CM29" s="247"/>
      <c r="CN29" s="247"/>
      <c r="CO29" s="247"/>
      <c r="CP29" s="247"/>
      <c r="CQ29" s="247"/>
      <c r="CR29" s="247"/>
      <c r="CS29" s="247"/>
      <c r="CT29" s="247"/>
      <c r="CX29" s="247"/>
      <c r="CY29" s="247"/>
      <c r="CZ29" s="166" t="s">
        <v>526</v>
      </c>
      <c r="DC29" s="247"/>
      <c r="DD29" s="247"/>
      <c r="DE29" s="247"/>
      <c r="DF29" s="247"/>
      <c r="DG29" s="247"/>
      <c r="DH29" s="247"/>
      <c r="DI29" s="247"/>
      <c r="DJ29" s="247"/>
      <c r="DK29" s="247"/>
      <c r="DN29" s="91" t="s">
        <v>280</v>
      </c>
      <c r="DP29" s="91" t="s">
        <v>281</v>
      </c>
      <c r="DW29" s="91" t="s">
        <v>280</v>
      </c>
      <c r="DY29" s="91" t="s">
        <v>281</v>
      </c>
      <c r="EH29" s="167"/>
      <c r="EI29" s="91" t="s">
        <v>280</v>
      </c>
      <c r="EK29" s="91" t="s">
        <v>281</v>
      </c>
    </row>
    <row r="30" spans="6:144">
      <c r="F30" s="200"/>
      <c r="G30" s="199"/>
      <c r="H30" s="126"/>
      <c r="Q30" s="254"/>
      <c r="U30" s="253"/>
      <c r="X30" s="247"/>
      <c r="Y30" s="287"/>
      <c r="AL30" s="303">
        <f>AL5*AF5</f>
        <v>83.3333333333333</v>
      </c>
      <c r="DM30" s="327" t="s">
        <v>289</v>
      </c>
      <c r="DN30" s="328" t="s">
        <v>290</v>
      </c>
      <c r="DO30" s="328" t="s">
        <v>291</v>
      </c>
      <c r="DP30" s="329" t="s">
        <v>290</v>
      </c>
      <c r="DQ30" s="329" t="s">
        <v>291</v>
      </c>
      <c r="DR30" s="329" t="s">
        <v>292</v>
      </c>
      <c r="DS30" s="329" t="s">
        <v>292</v>
      </c>
      <c r="DW30" s="332" t="s">
        <v>527</v>
      </c>
      <c r="DX30" s="332" t="s">
        <v>528</v>
      </c>
      <c r="DY30" s="198" t="s">
        <v>529</v>
      </c>
      <c r="DZ30" s="198" t="s">
        <v>530</v>
      </c>
      <c r="EA30" s="198" t="s">
        <v>531</v>
      </c>
      <c r="EB30" s="198" t="s">
        <v>531</v>
      </c>
      <c r="EH30" s="327" t="s">
        <v>289</v>
      </c>
      <c r="EI30" s="328" t="s">
        <v>290</v>
      </c>
      <c r="EJ30" s="328" t="s">
        <v>291</v>
      </c>
      <c r="EK30" s="329" t="s">
        <v>290</v>
      </c>
      <c r="EL30" s="329" t="s">
        <v>291</v>
      </c>
      <c r="EM30" s="329" t="s">
        <v>292</v>
      </c>
      <c r="EN30" s="329" t="s">
        <v>292</v>
      </c>
    </row>
    <row r="31" spans="6:144">
      <c r="F31" s="200"/>
      <c r="G31" s="199"/>
      <c r="Q31" s="254"/>
      <c r="U31" s="253"/>
      <c r="X31" s="247"/>
      <c r="Y31" s="287"/>
      <c r="DM31" s="330">
        <f>后果有效剂量!$P5</f>
        <v>0</v>
      </c>
      <c r="DN31" s="331">
        <f ca="1">SUMPRODUCT(DN$5:DN$27,后果有效剂量!$I$5:$I$27)*后果有效剂量!$Q5+SUMPRODUCT(DO$5:DO$27,后果有效剂量!$I$5:$I$27)*后果有效剂量!$Q5+SUMPRODUCT(DP$5:DP$27,后果有效剂量!$I$5:$I$27)*后果有效剂量!$R5+SUMPRODUCT(DQ$5:DQ$27,后果有效剂量!$I$5:$I$27)*后果有效剂量!$S5+SUMPRODUCT(DR$5:DR$27,后果有效剂量!$I$5:$I$27)*后果有效剂量!$T5+SUMPRODUCT(DS$5:DS$27,后果有效剂量!$I$5:$I$27)*后果有效剂量!$U5+SUMPRODUCT(DN$5:DN$27,后果有效剂量!$J$5:$J$27)*后果有效剂量!$Q5*后果有效剂量!$Q$3+SUMPRODUCT(DO$5:DO$27,后果有效剂量!$J$5:$J$27)*后果有效剂量!$Q5*后果有效剂量!$Q$3+SUMPRODUCT(DP$5:DP$27,后果有效剂量!$J$5:$J$27)*后果有效剂量!$R5*后果有效剂量!$R$3+SUMPRODUCT(DQ$5:DQ$27,后果有效剂量!$J$5:$J$27)*后果有效剂量!$S5*后果有效剂量!$S$3+SUMPRODUCT(DR$5:DR$27,后果有效剂量!$J$5:$J$27)*后果有效剂量!$T5*后果有效剂量!$T$3+SUMPRODUCT(DS$5:DS$27,后果有效剂量!$J$5:$J$27)*后果有效剂量!$U5*后果有效剂量!$U$3+SUMPRODUCT(DN$5:DN$27,后果有效剂量!$K$5:$K$27)*后果有效剂量!$Q5+SUMPRODUCT(DO$5:DO$27,后果有效剂量!$K$5:$K$27)*后果有效剂量!$Q5+SUMPRODUCT(DP$5:DP$27,后果有效剂量!$K$5:$K$27)*后果有效剂量!$R5+SUMPRODUCT(DQ$5:DQ$27,后果有效剂量!$K$5:$K$27)*后果有效剂量!$S5+SUMPRODUCT(DR$5:DR$27,后果有效剂量!$K$5:$K$27)*后果有效剂量!$T5+SUMPRODUCT(DS$5:DS$27,后果有效剂量!$K$5:$K$27)*后果有效剂量!$U5</f>
        <v>0</v>
      </c>
      <c r="DO31" s="332">
        <f ca="1">SUMPRODUCT(DN$5:DN$27,后果甲状腺剂量!$I$5:$I$27)*后果甲状腺剂量!$Q5+SUMPRODUCT(DO$5:DO$27,后果甲状腺剂量!$I$5:$I$27)*后果甲状腺剂量!$Q5+SUMPRODUCT(DP$5:DP$27,后果甲状腺剂量!$I$5:$I$27)*后果甲状腺剂量!$R5+SUMPRODUCT(DQ$5:DQ$27,后果甲状腺剂量!$I$5:$I$27)*后果甲状腺剂量!$S5+SUMPRODUCT(DR$5:DR$27,后果甲状腺剂量!$I$5:$I$27)*后果甲状腺剂量!$T5+SUMPRODUCT(DS$5:DS$27,后果甲状腺剂量!$I$5:$I$27)*后果甲状腺剂量!$U5+SUMPRODUCT(DN$5:DN$27,后果甲状腺剂量!$J$5:$J$27)*后果甲状腺剂量!$Q5*后果甲状腺剂量!$Q$3+SUMPRODUCT(DO$5:DO$27,后果甲状腺剂量!$J$5:$J$27)*后果甲状腺剂量!$Q5*后果甲状腺剂量!$Q$3+SUMPRODUCT(DP$5:DP$27,后果甲状腺剂量!$J$5:$J$27)*后果甲状腺剂量!$R5*后果甲状腺剂量!$R$3+SUMPRODUCT(DQ$5:DQ$27,后果甲状腺剂量!$J$5:$J$27)*后果甲状腺剂量!$S5*后果甲状腺剂量!$S$3+SUMPRODUCT(DR$5:DR$27,后果甲状腺剂量!$J$5:$J$27)*后果甲状腺剂量!$T5*后果甲状腺剂量!$T$3+SUMPRODUCT(DS$5:DS$27,后果甲状腺剂量!$J$5:$J$27)*后果甲状腺剂量!$U5*后果甲状腺剂量!$U$3+SUMPRODUCT(DN$5:DN$27,后果甲状腺剂量!$K$5:$K$27)*后果甲状腺剂量!$Q5+SUMPRODUCT(DO$5:DO$27,后果甲状腺剂量!$K$5:$K$27)*后果甲状腺剂量!$Q5+SUMPRODUCT(DP$5:DP$27,后果甲状腺剂量!$K$5:$K$27)*后果甲状腺剂量!$R5+SUMPRODUCT(DQ$5:DQ$27,后果甲状腺剂量!$K$5:$K$27)*后果甲状腺剂量!$S5+SUMPRODUCT(DR$5:DR$27,后果甲状腺剂量!$K$5:$K$27)*后果甲状腺剂量!$T5+SUMPRODUCT(DS$5:DS$27,后果甲状腺剂量!$K$5:$K$27)*后果甲状腺剂量!$U5</f>
        <v>0</v>
      </c>
      <c r="DP31" s="333">
        <f ca="1" t="shared" ref="DP31:DP56" si="150">DN31*1000</f>
        <v>0</v>
      </c>
      <c r="DQ31" s="333">
        <f ca="1" t="shared" ref="DQ31:DQ56" si="151">DO31*1000</f>
        <v>0</v>
      </c>
      <c r="DR31" s="198"/>
      <c r="DS31" s="198"/>
      <c r="DW31" s="331">
        <f>SUMPRODUCT(DW$5:DW$27,后果有效剂量!$I$5:$I$27)*后果有效剂量!$Q5+SUMPRODUCT(DX$5:DX$27,后果有效剂量!$I$5:$I$27)*后果有效剂量!$R5+SUMPRODUCT(DY$5:DY$27,后果有效剂量!$I$5:$I$27)*后果有效剂量!$S5+SUMPRODUCT(DZ$5:DZ$27,后果有效剂量!$I$5:$I$27)*后果有效剂量!$T5+SUMPRODUCT(DW$5:DW$27,后果有效剂量!$J$5:$J$27)*后果有效剂量!$Q5*后果有效剂量!$Q$3+SUMPRODUCT(DX$5:DX$27,后果有效剂量!$J$5:$J$27)*后果有效剂量!$R5*后果有效剂量!$R$3+SUMPRODUCT(DY$5:DY$27,后果有效剂量!$J$5:$J$27)*后果有效剂量!$S5*后果有效剂量!$S$3+SUMPRODUCT(DZ$5:DZ$27,后果有效剂量!$J$5:$J$27)*后果有效剂量!$T5*后果有效剂量!$T$3+SUMPRODUCT(DW$5:DW$27,后果有效剂量!$K$5:$K$27)*后果有效剂量!$Q5+SUMPRODUCT(DX$5:DX$27,后果有效剂量!$K$5:$K$27)*后果有效剂量!$R5+SUMPRODUCT(DY$5:DY$27,后果有效剂量!$K$5:$K$27)*后果有效剂量!$S5+SUMPRODUCT(DZ$5:DZ$27,后果有效剂量!$K$5:$K$27)*后果有效剂量!$T5</f>
        <v>0</v>
      </c>
      <c r="DX31" s="331">
        <f>SUMPRODUCT(DW$5:DW$27,后果甲状腺剂量!$I$5:$I$27)*后果甲状腺剂量!$Q5+SUMPRODUCT(DX$5:DX$27,后果甲状腺剂量!$I$5:$I$27)*后果甲状腺剂量!$R5+SUMPRODUCT(DY$5:DY$27,后果甲状腺剂量!$I$5:$I$27)*后果甲状腺剂量!$S5+SUMPRODUCT(DZ$5:DZ$27,后果甲状腺剂量!$I$5:$I$27)*后果甲状腺剂量!$T5+SUMPRODUCT(DW$5:DW$27,后果甲状腺剂量!$J$5:$J$27)*后果甲状腺剂量!$Q5*后果甲状腺剂量!$Q$3+SUMPRODUCT(DX$5:DX$27,后果甲状腺剂量!$J$5:$J$27)*后果甲状腺剂量!$R5*后果甲状腺剂量!$R$3+SUMPRODUCT(DY$5:DY$27,后果甲状腺剂量!$J$5:$J$27)*后果甲状腺剂量!$S5*后果甲状腺剂量!$S$3+SUMPRODUCT(DZ$5:DZ$27,后果甲状腺剂量!$J$5:$J$27)*后果甲状腺剂量!$T5*后果甲状腺剂量!$T$3+SUMPRODUCT(DW$5:DW$27,后果甲状腺剂量!$K$5:$K$27)*后果甲状腺剂量!$Q5+SUMPRODUCT(DX$5:DX$27,后果甲状腺剂量!$K$5:$K$27)*后果甲状腺剂量!$R5+SUMPRODUCT(DY$5:DY$27,后果甲状腺剂量!$K$5:$K$27)*后果甲状腺剂量!$S5+SUMPRODUCT(DZ$5:DZ$27,后果甲状腺剂量!$K$5:$K$27)*后果甲状腺剂量!$T5</f>
        <v>0</v>
      </c>
      <c r="DY31" s="333">
        <f t="shared" ref="DY31:DY56" si="152">DW31*1000</f>
        <v>0</v>
      </c>
      <c r="DZ31" s="333">
        <f t="shared" ref="DZ31:DZ56" si="153">DX31*1000</f>
        <v>0</v>
      </c>
      <c r="EA31" s="198"/>
      <c r="EB31" s="198"/>
      <c r="EH31" s="330">
        <f>后果有效剂量!$P5</f>
        <v>0</v>
      </c>
      <c r="EI31" s="331">
        <f>SUMPRODUCT(EJ$5:EJ$27,后果有效剂量!$I$5:$I$27)*后果有效剂量!$Q5+SUMPRODUCT(EK$5:EK$27,后果有效剂量!$I$5:$I$27)*后果有效剂量!$R5+SUMPRODUCT(EL$5:EL$27,后果有效剂量!$I$5:$I$27)*后果有效剂量!$S5+SUMPRODUCT(EM$5:EM$27,后果有效剂量!$I$5:$I$27)*后果有效剂量!$T5+SUMPRODUCT(EN$5:EN$27,后果有效剂量!$I$5:$I$27)*后果有效剂量!$U5+SUMPRODUCT(EJ$5:EJ$27,后果有效剂量!$J$5:$J$27)*后果有效剂量!$Q5*后果有效剂量!$Q$3+SUMPRODUCT(EK$5:EK$27,后果有效剂量!$J$5:$J$27)*后果有效剂量!$R5*后果有效剂量!$R$3+SUMPRODUCT(EL$5:EL$27,后果有效剂量!$J$5:$J$27)*后果有效剂量!$S5*后果有效剂量!$S$3+SUMPRODUCT(EM$5:EM$27,后果有效剂量!$J$5:$J$27)*后果有效剂量!$T5*后果有效剂量!$T$3+SUMPRODUCT(EN$5:EN$27,后果有效剂量!$J$5:$J$27)*后果有效剂量!$U5*后果有效剂量!$U$3+SUMPRODUCT(EJ$5:EJ$27,后果有效剂量!$K$5:$K$27)*后果有效剂量!$Q5+SUMPRODUCT(EK$5:EK$27,后果有效剂量!$K$5:$K$27)*后果有效剂量!$R5+SUMPRODUCT(EL$5:EL$27,后果有效剂量!$K$5:$K$27)*后果有效剂量!$S5+SUMPRODUCT(EM$5:EM$27,后果有效剂量!$K$5:$K$27)*后果有效剂量!$T5+SUMPRODUCT(EN$5:EN$27,后果有效剂量!$K$5:$K$27)*后果有效剂量!$U5</f>
        <v>0</v>
      </c>
      <c r="EJ31" s="332">
        <f>SUMPRODUCT(EJ$5:EJ$27,后果甲状腺剂量!$I$5:$I$27)*后果甲状腺剂量!$Q5+SUMPRODUCT(EK$5:EK$27,后果甲状腺剂量!$I$5:$I$27)*后果甲状腺剂量!$R5+SUMPRODUCT(EL$5:EL$27,后果甲状腺剂量!$I$5:$I$27)*后果甲状腺剂量!$S5+SUMPRODUCT(EM$5:EM$27,后果甲状腺剂量!$I$5:$I$27)*后果甲状腺剂量!$T5+SUMPRODUCT(EN$5:EN$27,后果甲状腺剂量!$I$5:$I$27)*后果甲状腺剂量!$U5+SUMPRODUCT(EJ$5:EJ$27,后果甲状腺剂量!$J$5:$J$27)*后果甲状腺剂量!$Q5*后果甲状腺剂量!$Q$3+SUMPRODUCT(EK$5:EK$27,后果甲状腺剂量!$J$5:$J$27)*后果甲状腺剂量!$R5*后果甲状腺剂量!$R$3+SUMPRODUCT(EL$5:EL$27,后果甲状腺剂量!$J$5:$J$27)*后果甲状腺剂量!$S5*后果甲状腺剂量!$S$3+SUMPRODUCT(EM$5:EM$27,后果甲状腺剂量!$J$5:$J$27)*后果甲状腺剂量!$T5*后果甲状腺剂量!$T$3+SUMPRODUCT(EN$5:EN$27,后果甲状腺剂量!$J$5:$J$27)*后果甲状腺剂量!$U5*后果甲状腺剂量!$U$3+SUMPRODUCT(EJ$5:EJ$27,后果甲状腺剂量!$K$5:$K$27)*后果甲状腺剂量!$Q5+SUMPRODUCT(EK$5:EK$27,后果甲状腺剂量!$K$5:$K$27)*后果甲状腺剂量!$R5+SUMPRODUCT(EL$5:EL$27,后果甲状腺剂量!$K$5:$K$27)*后果甲状腺剂量!$S5+SUMPRODUCT(EM$5:EM$27,后果甲状腺剂量!$K$5:$K$27)*后果甲状腺剂量!$T5+SUMPRODUCT(EN$5:EN$27,后果甲状腺剂量!$K$5:$K$27)*后果甲状腺剂量!$U5</f>
        <v>0</v>
      </c>
      <c r="EK31" s="333">
        <f t="shared" ref="EK31:EK56" si="154">EI31*1000</f>
        <v>0</v>
      </c>
      <c r="EL31" s="333">
        <f t="shared" ref="EL31:EL56" si="155">EJ31*1000</f>
        <v>0</v>
      </c>
      <c r="EM31" s="198"/>
      <c r="EN31" s="198"/>
    </row>
    <row r="32" spans="6:144">
      <c r="F32" s="200"/>
      <c r="G32" s="199"/>
      <c r="Q32" s="254"/>
      <c r="U32" s="253"/>
      <c r="X32" s="247"/>
      <c r="Y32" s="287"/>
      <c r="DM32" s="330">
        <f>后果有效剂量!$P6</f>
        <v>0</v>
      </c>
      <c r="DN32" s="331">
        <f ca="1">SUMPRODUCT(DN$5:DN$27,后果有效剂量!$I$5:$I$27)*后果有效剂量!$Q6+SUMPRODUCT(DO$5:DO$27,后果有效剂量!$I$5:$I$27)*后果有效剂量!$Q6+SUMPRODUCT(DP$5:DP$27,后果有效剂量!$I$5:$I$27)*后果有效剂量!$R6+SUMPRODUCT(DQ$5:DQ$27,后果有效剂量!$I$5:$I$27)*后果有效剂量!$S6+SUMPRODUCT(DR$5:DR$27,后果有效剂量!$I$5:$I$27)*后果有效剂量!$T6+SUMPRODUCT(DS$5:DS$27,后果有效剂量!$I$5:$I$27)*后果有效剂量!$U6+SUMPRODUCT(DN$5:DN$27,后果有效剂量!$J$5:$J$27)*后果有效剂量!$Q6*后果有效剂量!$Q$3+SUMPRODUCT(DO$5:DO$27,后果有效剂量!$J$5:$J$27)*后果有效剂量!$Q6*后果有效剂量!$Q$3+SUMPRODUCT(DP$5:DP$27,后果有效剂量!$J$5:$J$27)*后果有效剂量!$R6*后果有效剂量!$R$3+SUMPRODUCT(DQ$5:DQ$27,后果有效剂量!$J$5:$J$27)*后果有效剂量!$S6*后果有效剂量!$S$3+SUMPRODUCT(DR$5:DR$27,后果有效剂量!$J$5:$J$27)*后果有效剂量!$T6*后果有效剂量!$T$3+SUMPRODUCT(DS$5:DS$27,后果有效剂量!$J$5:$J$27)*后果有效剂量!$U6*后果有效剂量!$U$3+SUMPRODUCT(DN$5:DN$27,后果有效剂量!$K$5:$K$27)*后果有效剂量!$Q6+SUMPRODUCT(DO$5:DO$27,后果有效剂量!$K$5:$K$27)*后果有效剂量!$Q6+SUMPRODUCT(DP$5:DP$27,后果有效剂量!$K$5:$K$27)*后果有效剂量!$R6+SUMPRODUCT(DQ$5:DQ$27,后果有效剂量!$K$5:$K$27)*后果有效剂量!$S6+SUMPRODUCT(DR$5:DR$27,后果有效剂量!$K$5:$K$27)*后果有效剂量!$T6+SUMPRODUCT(DS$5:DS$27,后果有效剂量!$K$5:$K$27)*后果有效剂量!$U6</f>
        <v>0</v>
      </c>
      <c r="DO32" s="332">
        <f ca="1">SUMPRODUCT(DN$5:DN$27,后果甲状腺剂量!$I$5:$I$27)*后果甲状腺剂量!$Q6+SUMPRODUCT(DO$5:DO$27,后果甲状腺剂量!$I$5:$I$27)*后果甲状腺剂量!$Q6+SUMPRODUCT(DP$5:DP$27,后果甲状腺剂量!$I$5:$I$27)*后果甲状腺剂量!$R6+SUMPRODUCT(DQ$5:DQ$27,后果甲状腺剂量!$I$5:$I$27)*后果甲状腺剂量!$S6+SUMPRODUCT(DR$5:DR$27,后果甲状腺剂量!$I$5:$I$27)*后果甲状腺剂量!$T6+SUMPRODUCT(DS$5:DS$27,后果甲状腺剂量!$I$5:$I$27)*后果甲状腺剂量!$U6+SUMPRODUCT(DN$5:DN$27,后果甲状腺剂量!$J$5:$J$27)*后果甲状腺剂量!$Q6*后果甲状腺剂量!$Q$3+SUMPRODUCT(DO$5:DO$27,后果甲状腺剂量!$J$5:$J$27)*后果甲状腺剂量!$Q6*后果甲状腺剂量!$Q$3+SUMPRODUCT(DP$5:DP$27,后果甲状腺剂量!$J$5:$J$27)*后果甲状腺剂量!$R6*后果甲状腺剂量!$R$3+SUMPRODUCT(DQ$5:DQ$27,后果甲状腺剂量!$J$5:$J$27)*后果甲状腺剂量!$S6*后果甲状腺剂量!$S$3+SUMPRODUCT(DR$5:DR$27,后果甲状腺剂量!$J$5:$J$27)*后果甲状腺剂量!$T6*后果甲状腺剂量!$T$3+SUMPRODUCT(DS$5:DS$27,后果甲状腺剂量!$J$5:$J$27)*后果甲状腺剂量!$U6*后果甲状腺剂量!$U$3+SUMPRODUCT(DN$5:DN$27,后果甲状腺剂量!$K$5:$K$27)*后果甲状腺剂量!$Q6+SUMPRODUCT(DO$5:DO$27,后果甲状腺剂量!$K$5:$K$27)*后果甲状腺剂量!$Q6+SUMPRODUCT(DP$5:DP$27,后果甲状腺剂量!$K$5:$K$27)*后果甲状腺剂量!$R6+SUMPRODUCT(DQ$5:DQ$27,后果甲状腺剂量!$K$5:$K$27)*后果甲状腺剂量!$S6+SUMPRODUCT(DR$5:DR$27,后果甲状腺剂量!$K$5:$K$27)*后果甲状腺剂量!$T6+SUMPRODUCT(DS$5:DS$27,后果甲状腺剂量!$K$5:$K$27)*后果甲状腺剂量!$U6</f>
        <v>0</v>
      </c>
      <c r="DP32" s="333">
        <f ca="1" t="shared" si="150"/>
        <v>0</v>
      </c>
      <c r="DQ32" s="333">
        <f ca="1" t="shared" si="151"/>
        <v>0</v>
      </c>
      <c r="DR32" s="198"/>
      <c r="DS32" s="198"/>
      <c r="DW32" s="331">
        <f>SUMPRODUCT(DW$5:DW$27,后果有效剂量!$I$5:$I$27)*后果有效剂量!$Q6+SUMPRODUCT(DX$5:DX$27,后果有效剂量!$I$5:$I$27)*后果有效剂量!$R6+SUMPRODUCT(DY$5:DY$27,后果有效剂量!$I$5:$I$27)*后果有效剂量!$S6+SUMPRODUCT(DZ$5:DZ$27,后果有效剂量!$I$5:$I$27)*后果有效剂量!$T6+SUMPRODUCT(DW$5:DW$27,后果有效剂量!$J$5:$J$27)*后果有效剂量!$Q6*后果有效剂量!$Q$3+SUMPRODUCT(DX$5:DX$27,后果有效剂量!$J$5:$J$27)*后果有效剂量!$R6*后果有效剂量!$R$3+SUMPRODUCT(DY$5:DY$27,后果有效剂量!$J$5:$J$27)*后果有效剂量!$S6*后果有效剂量!$S$3+SUMPRODUCT(DZ$5:DZ$27,后果有效剂量!$J$5:$J$27)*后果有效剂量!$T6*后果有效剂量!$T$3+SUMPRODUCT(DW$5:DW$27,后果有效剂量!$K$5:$K$27)*后果有效剂量!$Q6+SUMPRODUCT(DX$5:DX$27,后果有效剂量!$K$5:$K$27)*后果有效剂量!$R6+SUMPRODUCT(DY$5:DY$27,后果有效剂量!$K$5:$K$27)*后果有效剂量!$S6+SUMPRODUCT(DZ$5:DZ$27,后果有效剂量!$K$5:$K$27)*后果有效剂量!$T6</f>
        <v>0</v>
      </c>
      <c r="DX32" s="332">
        <f>SUMPRODUCT(DW$5:DW$27,后果甲状腺剂量!$I$5:$I$27)*后果甲状腺剂量!$Q6+SUMPRODUCT(DX$5:DX$27,后果甲状腺剂量!$I$5:$I$27)*后果甲状腺剂量!$R6+SUMPRODUCT(DY$5:DY$27,后果甲状腺剂量!$I$5:$I$27)*后果甲状腺剂量!$S6+SUMPRODUCT(DZ$5:DZ$27,后果甲状腺剂量!$I$5:$I$27)*后果甲状腺剂量!$T6+SUMPRODUCT(DW$5:DW$27,后果甲状腺剂量!$J$5:$J$27)*后果甲状腺剂量!$Q6*后果甲状腺剂量!$Q$3+SUMPRODUCT(DX$5:DX$27,后果甲状腺剂量!$J$5:$J$27)*后果甲状腺剂量!$R6*后果甲状腺剂量!$R$3+SUMPRODUCT(DY$5:DY$27,后果甲状腺剂量!$J$5:$J$27)*后果甲状腺剂量!$S6*后果甲状腺剂量!$S$3+SUMPRODUCT(DZ$5:DZ$27,后果甲状腺剂量!$J$5:$J$27)*后果甲状腺剂量!$T6*后果甲状腺剂量!$T$3+SUMPRODUCT(DW$5:DW$27,后果甲状腺剂量!$K$5:$K$27)*后果甲状腺剂量!$Q6+SUMPRODUCT(DX$5:DX$27,后果甲状腺剂量!$K$5:$K$27)*后果甲状腺剂量!$R6+SUMPRODUCT(DY$5:DY$27,后果甲状腺剂量!$K$5:$K$27)*后果甲状腺剂量!$S6+SUMPRODUCT(DZ$5:DZ$27,后果甲状腺剂量!$K$5:$K$27)*后果甲状腺剂量!$T6</f>
        <v>0</v>
      </c>
      <c r="DY32" s="333">
        <f t="shared" si="152"/>
        <v>0</v>
      </c>
      <c r="DZ32" s="333">
        <f t="shared" si="153"/>
        <v>0</v>
      </c>
      <c r="EA32" s="198"/>
      <c r="EB32" s="198"/>
      <c r="EH32" s="330">
        <f>后果有效剂量!$P6</f>
        <v>0</v>
      </c>
      <c r="EI32" s="331">
        <f>SUMPRODUCT(EJ$5:EJ$27,后果有效剂量!$I$5:$I$27)*后果有效剂量!$Q6+SUMPRODUCT(EK$5:EK$27,后果有效剂量!$I$5:$I$27)*后果有效剂量!$R6+SUMPRODUCT(EL$5:EL$27,后果有效剂量!$I$5:$I$27)*后果有效剂量!$S6+SUMPRODUCT(EM$5:EM$27,后果有效剂量!$I$5:$I$27)*后果有效剂量!$T6+SUMPRODUCT(EN$5:EN$27,后果有效剂量!$I$5:$I$27)*后果有效剂量!$U6+SUMPRODUCT(EJ$5:EJ$27,后果有效剂量!$J$5:$J$27)*后果有效剂量!$Q6*后果有效剂量!$Q$3+SUMPRODUCT(EK$5:EK$27,后果有效剂量!$J$5:$J$27)*后果有效剂量!$R6*后果有效剂量!$R$3+SUMPRODUCT(EL$5:EL$27,后果有效剂量!$J$5:$J$27)*后果有效剂量!$S6*后果有效剂量!$S$3+SUMPRODUCT(EM$5:EM$27,后果有效剂量!$J$5:$J$27)*后果有效剂量!$T6*后果有效剂量!$T$3+SUMPRODUCT(EN$5:EN$27,后果有效剂量!$J$5:$J$27)*后果有效剂量!$U6*后果有效剂量!$U$3+SUMPRODUCT(EJ$5:EJ$27,后果有效剂量!$K$5:$K$27)*后果有效剂量!$Q6+SUMPRODUCT(EK$5:EK$27,后果有效剂量!$K$5:$K$27)*后果有效剂量!$R6+SUMPRODUCT(EL$5:EL$27,后果有效剂量!$K$5:$K$27)*后果有效剂量!$S6+SUMPRODUCT(EM$5:EM$27,后果有效剂量!$K$5:$K$27)*后果有效剂量!$T6+SUMPRODUCT(EN$5:EN$27,后果有效剂量!$K$5:$K$27)*后果有效剂量!$U6</f>
        <v>0</v>
      </c>
      <c r="EJ32" s="332">
        <f>SUMPRODUCT(EJ$5:EJ$27,后果甲状腺剂量!$I$5:$I$27)*后果甲状腺剂量!$Q6+SUMPRODUCT(EK$5:EK$27,后果甲状腺剂量!$I$5:$I$27)*后果甲状腺剂量!$R6+SUMPRODUCT(EL$5:EL$27,后果甲状腺剂量!$I$5:$I$27)*后果甲状腺剂量!$S6+SUMPRODUCT(EM$5:EM$27,后果甲状腺剂量!$I$5:$I$27)*后果甲状腺剂量!$T6+SUMPRODUCT(EN$5:EN$27,后果甲状腺剂量!$I$5:$I$27)*后果甲状腺剂量!$U6+SUMPRODUCT(EJ$5:EJ$27,后果甲状腺剂量!$J$5:$J$27)*后果甲状腺剂量!$Q6*后果甲状腺剂量!$Q$3+SUMPRODUCT(EK$5:EK$27,后果甲状腺剂量!$J$5:$J$27)*后果甲状腺剂量!$R6*后果甲状腺剂量!$R$3+SUMPRODUCT(EL$5:EL$27,后果甲状腺剂量!$J$5:$J$27)*后果甲状腺剂量!$S6*后果甲状腺剂量!$S$3+SUMPRODUCT(EM$5:EM$27,后果甲状腺剂量!$J$5:$J$27)*后果甲状腺剂量!$T6*后果甲状腺剂量!$T$3+SUMPRODUCT(EN$5:EN$27,后果甲状腺剂量!$J$5:$J$27)*后果甲状腺剂量!$U6*后果甲状腺剂量!$U$3+SUMPRODUCT(EJ$5:EJ$27,后果甲状腺剂量!$K$5:$K$27)*后果甲状腺剂量!$Q6+SUMPRODUCT(EK$5:EK$27,后果甲状腺剂量!$K$5:$K$27)*后果甲状腺剂量!$R6+SUMPRODUCT(EL$5:EL$27,后果甲状腺剂量!$K$5:$K$27)*后果甲状腺剂量!$S6+SUMPRODUCT(EM$5:EM$27,后果甲状腺剂量!$K$5:$K$27)*后果甲状腺剂量!$T6+SUMPRODUCT(EN$5:EN$27,后果甲状腺剂量!$K$5:$K$27)*后果甲状腺剂量!$U6</f>
        <v>0</v>
      </c>
      <c r="EK32" s="333">
        <f t="shared" si="154"/>
        <v>0</v>
      </c>
      <c r="EL32" s="333">
        <f t="shared" si="155"/>
        <v>0</v>
      </c>
      <c r="EM32" s="198"/>
      <c r="EN32" s="198"/>
    </row>
    <row r="33" spans="6:144">
      <c r="F33" s="200"/>
      <c r="G33" s="199"/>
      <c r="Q33" s="254"/>
      <c r="U33" s="253"/>
      <c r="X33" s="247"/>
      <c r="Y33" s="287"/>
      <c r="DM33" s="330">
        <f>后果有效剂量!$P7</f>
        <v>0</v>
      </c>
      <c r="DN33" s="331">
        <f ca="1">SUMPRODUCT(DN$5:DN$27,后果有效剂量!$I$5:$I$27)*后果有效剂量!$Q7+SUMPRODUCT(DO$5:DO$27,后果有效剂量!$I$5:$I$27)*后果有效剂量!$Q7+SUMPRODUCT(DP$5:DP$27,后果有效剂量!$I$5:$I$27)*后果有效剂量!$R7+SUMPRODUCT(DQ$5:DQ$27,后果有效剂量!$I$5:$I$27)*后果有效剂量!$S7+SUMPRODUCT(DR$5:DR$27,后果有效剂量!$I$5:$I$27)*后果有效剂量!$T7+SUMPRODUCT(DS$5:DS$27,后果有效剂量!$I$5:$I$27)*后果有效剂量!$U7+SUMPRODUCT(DN$5:DN$27,后果有效剂量!$J$5:$J$27)*后果有效剂量!$Q7*后果有效剂量!$Q$3+SUMPRODUCT(DO$5:DO$27,后果有效剂量!$J$5:$J$27)*后果有效剂量!$Q7*后果有效剂量!$Q$3+SUMPRODUCT(DP$5:DP$27,后果有效剂量!$J$5:$J$27)*后果有效剂量!$R7*后果有效剂量!$R$3+SUMPRODUCT(DQ$5:DQ$27,后果有效剂量!$J$5:$J$27)*后果有效剂量!$S7*后果有效剂量!$S$3+SUMPRODUCT(DR$5:DR$27,后果有效剂量!$J$5:$J$27)*后果有效剂量!$T7*后果有效剂量!$T$3+SUMPRODUCT(DS$5:DS$27,后果有效剂量!$J$5:$J$27)*后果有效剂量!$U7*后果有效剂量!$U$3+SUMPRODUCT(DN$5:DN$27,后果有效剂量!$K$5:$K$27)*后果有效剂量!$Q7+SUMPRODUCT(DO$5:DO$27,后果有效剂量!$K$5:$K$27)*后果有效剂量!$Q7+SUMPRODUCT(DP$5:DP$27,后果有效剂量!$K$5:$K$27)*后果有效剂量!$R7+SUMPRODUCT(DQ$5:DQ$27,后果有效剂量!$K$5:$K$27)*后果有效剂量!$S7+SUMPRODUCT(DR$5:DR$27,后果有效剂量!$K$5:$K$27)*后果有效剂量!$T7+SUMPRODUCT(DS$5:DS$27,后果有效剂量!$K$5:$K$27)*后果有效剂量!$U7</f>
        <v>0</v>
      </c>
      <c r="DO33" s="332">
        <f ca="1">SUMPRODUCT(DN$5:DN$27,后果甲状腺剂量!$I$5:$I$27)*后果甲状腺剂量!$Q7+SUMPRODUCT(DO$5:DO$27,后果甲状腺剂量!$I$5:$I$27)*后果甲状腺剂量!$Q7+SUMPRODUCT(DP$5:DP$27,后果甲状腺剂量!$I$5:$I$27)*后果甲状腺剂量!$R7+SUMPRODUCT(DQ$5:DQ$27,后果甲状腺剂量!$I$5:$I$27)*后果甲状腺剂量!$S7+SUMPRODUCT(DR$5:DR$27,后果甲状腺剂量!$I$5:$I$27)*后果甲状腺剂量!$T7+SUMPRODUCT(DS$5:DS$27,后果甲状腺剂量!$I$5:$I$27)*后果甲状腺剂量!$U7+SUMPRODUCT(DN$5:DN$27,后果甲状腺剂量!$J$5:$J$27)*后果甲状腺剂量!$Q7*后果甲状腺剂量!$Q$3+SUMPRODUCT(DO$5:DO$27,后果甲状腺剂量!$J$5:$J$27)*后果甲状腺剂量!$Q7*后果甲状腺剂量!$Q$3+SUMPRODUCT(DP$5:DP$27,后果甲状腺剂量!$J$5:$J$27)*后果甲状腺剂量!$R7*后果甲状腺剂量!$R$3+SUMPRODUCT(DQ$5:DQ$27,后果甲状腺剂量!$J$5:$J$27)*后果甲状腺剂量!$S7*后果甲状腺剂量!$S$3+SUMPRODUCT(DR$5:DR$27,后果甲状腺剂量!$J$5:$J$27)*后果甲状腺剂量!$T7*后果甲状腺剂量!$T$3+SUMPRODUCT(DS$5:DS$27,后果甲状腺剂量!$J$5:$J$27)*后果甲状腺剂量!$U7*后果甲状腺剂量!$U$3+SUMPRODUCT(DN$5:DN$27,后果甲状腺剂量!$K$5:$K$27)*后果甲状腺剂量!$Q7+SUMPRODUCT(DO$5:DO$27,后果甲状腺剂量!$K$5:$K$27)*后果甲状腺剂量!$Q7+SUMPRODUCT(DP$5:DP$27,后果甲状腺剂量!$K$5:$K$27)*后果甲状腺剂量!$R7+SUMPRODUCT(DQ$5:DQ$27,后果甲状腺剂量!$K$5:$K$27)*后果甲状腺剂量!$S7+SUMPRODUCT(DR$5:DR$27,后果甲状腺剂量!$K$5:$K$27)*后果甲状腺剂量!$T7+SUMPRODUCT(DS$5:DS$27,后果甲状腺剂量!$K$5:$K$27)*后果甲状腺剂量!$U7</f>
        <v>0</v>
      </c>
      <c r="DP33" s="333">
        <f ca="1" t="shared" si="150"/>
        <v>0</v>
      </c>
      <c r="DQ33" s="333">
        <f ca="1" t="shared" si="151"/>
        <v>0</v>
      </c>
      <c r="DR33" s="198"/>
      <c r="DS33" s="198"/>
      <c r="DW33" s="331">
        <f>SUMPRODUCT(DW$5:DW$27,后果有效剂量!$I$5:$I$27)*后果有效剂量!$Q7+SUMPRODUCT(DX$5:DX$27,后果有效剂量!$I$5:$I$27)*后果有效剂量!$R7+SUMPRODUCT(DY$5:DY$27,后果有效剂量!$I$5:$I$27)*后果有效剂量!$S7+SUMPRODUCT(DZ$5:DZ$27,后果有效剂量!$I$5:$I$27)*后果有效剂量!$T7+SUMPRODUCT(DW$5:DW$27,后果有效剂量!$J$5:$J$27)*后果有效剂量!$Q7*后果有效剂量!$Q$3+SUMPRODUCT(DX$5:DX$27,后果有效剂量!$J$5:$J$27)*后果有效剂量!$R7*后果有效剂量!$R$3+SUMPRODUCT(DY$5:DY$27,后果有效剂量!$J$5:$J$27)*后果有效剂量!$S7*后果有效剂量!$S$3+SUMPRODUCT(DZ$5:DZ$27,后果有效剂量!$J$5:$J$27)*后果有效剂量!$T7*后果有效剂量!$T$3+SUMPRODUCT(DW$5:DW$27,后果有效剂量!$K$5:$K$27)*后果有效剂量!$Q7+SUMPRODUCT(DX$5:DX$27,后果有效剂量!$K$5:$K$27)*后果有效剂量!$R7+SUMPRODUCT(DY$5:DY$27,后果有效剂量!$K$5:$K$27)*后果有效剂量!$S7+SUMPRODUCT(DZ$5:DZ$27,后果有效剂量!$K$5:$K$27)*后果有效剂量!$T7</f>
        <v>0</v>
      </c>
      <c r="DX33" s="332">
        <f>SUMPRODUCT(DW$5:DW$27,后果甲状腺剂量!$I$5:$I$27)*后果甲状腺剂量!$Q7+SUMPRODUCT(DX$5:DX$27,后果甲状腺剂量!$I$5:$I$27)*后果甲状腺剂量!$R7+SUMPRODUCT(DY$5:DY$27,后果甲状腺剂量!$I$5:$I$27)*后果甲状腺剂量!$S7+SUMPRODUCT(DZ$5:DZ$27,后果甲状腺剂量!$I$5:$I$27)*后果甲状腺剂量!$T7+SUMPRODUCT(DW$5:DW$27,后果甲状腺剂量!$J$5:$J$27)*后果甲状腺剂量!$Q7*后果甲状腺剂量!$Q$3+SUMPRODUCT(DX$5:DX$27,后果甲状腺剂量!$J$5:$J$27)*后果甲状腺剂量!$R7*后果甲状腺剂量!$R$3+SUMPRODUCT(DY$5:DY$27,后果甲状腺剂量!$J$5:$J$27)*后果甲状腺剂量!$S7*后果甲状腺剂量!$S$3+SUMPRODUCT(DZ$5:DZ$27,后果甲状腺剂量!$J$5:$J$27)*后果甲状腺剂量!$T7*后果甲状腺剂量!$T$3+SUMPRODUCT(DW$5:DW$27,后果甲状腺剂量!$K$5:$K$27)*后果甲状腺剂量!$Q7+SUMPRODUCT(DX$5:DX$27,后果甲状腺剂量!$K$5:$K$27)*后果甲状腺剂量!$R7+SUMPRODUCT(DY$5:DY$27,后果甲状腺剂量!$K$5:$K$27)*后果甲状腺剂量!$S7+SUMPRODUCT(DZ$5:DZ$27,后果甲状腺剂量!$K$5:$K$27)*后果甲状腺剂量!$T7</f>
        <v>0</v>
      </c>
      <c r="DY33" s="333">
        <f t="shared" si="152"/>
        <v>0</v>
      </c>
      <c r="DZ33" s="333">
        <f t="shared" si="153"/>
        <v>0</v>
      </c>
      <c r="EA33" s="198"/>
      <c r="EB33" s="198"/>
      <c r="EH33" s="330">
        <f>后果有效剂量!$P7</f>
        <v>0</v>
      </c>
      <c r="EI33" s="331">
        <f>SUMPRODUCT(EJ$5:EJ$27,后果有效剂量!$I$5:$I$27)*后果有效剂量!$Q7+SUMPRODUCT(EK$5:EK$27,后果有效剂量!$I$5:$I$27)*后果有效剂量!$R7+SUMPRODUCT(EL$5:EL$27,后果有效剂量!$I$5:$I$27)*后果有效剂量!$S7+SUMPRODUCT(EM$5:EM$27,后果有效剂量!$I$5:$I$27)*后果有效剂量!$T7+SUMPRODUCT(EN$5:EN$27,后果有效剂量!$I$5:$I$27)*后果有效剂量!$U7+SUMPRODUCT(EJ$5:EJ$27,后果有效剂量!$J$5:$J$27)*后果有效剂量!$Q7*后果有效剂量!$Q$3+SUMPRODUCT(EK$5:EK$27,后果有效剂量!$J$5:$J$27)*后果有效剂量!$R7*后果有效剂量!$R$3+SUMPRODUCT(EL$5:EL$27,后果有效剂量!$J$5:$J$27)*后果有效剂量!$S7*后果有效剂量!$S$3+SUMPRODUCT(EM$5:EM$27,后果有效剂量!$J$5:$J$27)*后果有效剂量!$T7*后果有效剂量!$T$3+SUMPRODUCT(EN$5:EN$27,后果有效剂量!$J$5:$J$27)*后果有效剂量!$U7*后果有效剂量!$U$3+SUMPRODUCT(EJ$5:EJ$27,后果有效剂量!$K$5:$K$27)*后果有效剂量!$Q7+SUMPRODUCT(EK$5:EK$27,后果有效剂量!$K$5:$K$27)*后果有效剂量!$R7+SUMPRODUCT(EL$5:EL$27,后果有效剂量!$K$5:$K$27)*后果有效剂量!$S7+SUMPRODUCT(EM$5:EM$27,后果有效剂量!$K$5:$K$27)*后果有效剂量!$T7+SUMPRODUCT(EN$5:EN$27,后果有效剂量!$K$5:$K$27)*后果有效剂量!$U7</f>
        <v>0</v>
      </c>
      <c r="EJ33" s="332">
        <f>SUMPRODUCT(EJ$5:EJ$27,后果甲状腺剂量!$I$5:$I$27)*后果甲状腺剂量!$Q7+SUMPRODUCT(EK$5:EK$27,后果甲状腺剂量!$I$5:$I$27)*后果甲状腺剂量!$R7+SUMPRODUCT(EL$5:EL$27,后果甲状腺剂量!$I$5:$I$27)*后果甲状腺剂量!$S7+SUMPRODUCT(EM$5:EM$27,后果甲状腺剂量!$I$5:$I$27)*后果甲状腺剂量!$T7+SUMPRODUCT(EN$5:EN$27,后果甲状腺剂量!$I$5:$I$27)*后果甲状腺剂量!$U7+SUMPRODUCT(EJ$5:EJ$27,后果甲状腺剂量!$J$5:$J$27)*后果甲状腺剂量!$Q7*后果甲状腺剂量!$Q$3+SUMPRODUCT(EK$5:EK$27,后果甲状腺剂量!$J$5:$J$27)*后果甲状腺剂量!$R7*后果甲状腺剂量!$R$3+SUMPRODUCT(EL$5:EL$27,后果甲状腺剂量!$J$5:$J$27)*后果甲状腺剂量!$S7*后果甲状腺剂量!$S$3+SUMPRODUCT(EM$5:EM$27,后果甲状腺剂量!$J$5:$J$27)*后果甲状腺剂量!$T7*后果甲状腺剂量!$T$3+SUMPRODUCT(EN$5:EN$27,后果甲状腺剂量!$J$5:$J$27)*后果甲状腺剂量!$U7*后果甲状腺剂量!$U$3+SUMPRODUCT(EJ$5:EJ$27,后果甲状腺剂量!$K$5:$K$27)*后果甲状腺剂量!$Q7+SUMPRODUCT(EK$5:EK$27,后果甲状腺剂量!$K$5:$K$27)*后果甲状腺剂量!$R7+SUMPRODUCT(EL$5:EL$27,后果甲状腺剂量!$K$5:$K$27)*后果甲状腺剂量!$S7+SUMPRODUCT(EM$5:EM$27,后果甲状腺剂量!$K$5:$K$27)*后果甲状腺剂量!$T7+SUMPRODUCT(EN$5:EN$27,后果甲状腺剂量!$K$5:$K$27)*后果甲状腺剂量!$U7</f>
        <v>0</v>
      </c>
      <c r="EK33" s="333">
        <f t="shared" si="154"/>
        <v>0</v>
      </c>
      <c r="EL33" s="333">
        <f t="shared" si="155"/>
        <v>0</v>
      </c>
      <c r="EM33" s="198"/>
      <c r="EN33" s="198"/>
    </row>
    <row r="34" spans="6:144">
      <c r="F34" s="200"/>
      <c r="G34" s="199"/>
      <c r="Q34" s="254"/>
      <c r="U34" s="253"/>
      <c r="X34" s="247"/>
      <c r="Y34" s="287"/>
      <c r="DM34" s="330" t="str">
        <f>后果有效剂量!$P8</f>
        <v>500m</v>
      </c>
      <c r="DN34" s="334">
        <f ca="1">SUMPRODUCT(DN$5:DN$27,后果有效剂量!$I$5:$I$27)*后果有效剂量!$Q8+SUMPRODUCT(DO$5:DO$27,后果有效剂量!$I$5:$I$27)*后果有效剂量!$Q8+SUMPRODUCT(DP$5:DP$27,后果有效剂量!$I$5:$I$27)*后果有效剂量!$R8+SUMPRODUCT(DQ$5:DQ$27,后果有效剂量!$I$5:$I$27)*后果有效剂量!$S8+SUMPRODUCT(DR$5:DR$27,后果有效剂量!$I$5:$I$27)*后果有效剂量!$T8+SUMPRODUCT(DS$5:DS$27,后果有效剂量!$I$5:$I$27)*后果有效剂量!$U8+SUMPRODUCT(DN$5:DN$27,后果有效剂量!$J$5:$J$27)*后果有效剂量!$Q8*后果有效剂量!$Q$3+SUMPRODUCT(DO$5:DO$27,后果有效剂量!$J$5:$J$27)*后果有效剂量!$Q8*后果有效剂量!$Q$3+SUMPRODUCT(DP$5:DP$27,后果有效剂量!$J$5:$J$27)*后果有效剂量!$R8*后果有效剂量!$R$3+SUMPRODUCT(DQ$5:DQ$27,后果有效剂量!$J$5:$J$27)*后果有效剂量!$S8*后果有效剂量!$S$3+SUMPRODUCT(DR$5:DR$27,后果有效剂量!$J$5:$J$27)*后果有效剂量!$T8*后果有效剂量!$T$3+SUMPRODUCT(DS$5:DS$27,后果有效剂量!$J$5:$J$27)*后果有效剂量!$U8*后果有效剂量!$U$3+SUMPRODUCT(DN$5:DN$27,后果有效剂量!$K$5:$K$27)*后果有效剂量!$Q8+SUMPRODUCT(DO$5:DO$27,后果有效剂量!$K$5:$K$27)*后果有效剂量!$Q8+SUMPRODUCT(DP$5:DP$27,后果有效剂量!$K$5:$K$27)*后果有效剂量!$R8+SUMPRODUCT(DQ$5:DQ$27,后果有效剂量!$K$5:$K$27)*后果有效剂量!$S8+SUMPRODUCT(DR$5:DR$27,后果有效剂量!$K$5:$K$27)*后果有效剂量!$T8+SUMPRODUCT(DS$5:DS$27,后果有效剂量!$K$5:$K$27)*后果有效剂量!$U8</f>
        <v>0.0349537122694107</v>
      </c>
      <c r="DO34" s="335">
        <f ca="1">SUMPRODUCT(DN$5:DN$27,后果甲状腺剂量!$I$5:$I$27)*后果甲状腺剂量!$Q8+SUMPRODUCT(DO$5:DO$27,后果甲状腺剂量!$I$5:$I$27)*后果甲状腺剂量!$Q8+SUMPRODUCT(DP$5:DP$27,后果甲状腺剂量!$I$5:$I$27)*后果甲状腺剂量!$R8+SUMPRODUCT(DQ$5:DQ$27,后果甲状腺剂量!$I$5:$I$27)*后果甲状腺剂量!$S8+SUMPRODUCT(DR$5:DR$27,后果甲状腺剂量!$I$5:$I$27)*后果甲状腺剂量!$T8+SUMPRODUCT(DS$5:DS$27,后果甲状腺剂量!$I$5:$I$27)*后果甲状腺剂量!$U8+SUMPRODUCT(DN$5:DN$27,后果甲状腺剂量!$J$5:$J$27)*后果甲状腺剂量!$Q8*后果甲状腺剂量!$Q$3+SUMPRODUCT(DO$5:DO$27,后果甲状腺剂量!$J$5:$J$27)*后果甲状腺剂量!$Q8*后果甲状腺剂量!$Q$3+SUMPRODUCT(DP$5:DP$27,后果甲状腺剂量!$J$5:$J$27)*后果甲状腺剂量!$R8*后果甲状腺剂量!$R$3+SUMPRODUCT(DQ$5:DQ$27,后果甲状腺剂量!$J$5:$J$27)*后果甲状腺剂量!$S8*后果甲状腺剂量!$S$3+SUMPRODUCT(DR$5:DR$27,后果甲状腺剂量!$J$5:$J$27)*后果甲状腺剂量!$T8*后果甲状腺剂量!$T$3+SUMPRODUCT(DS$5:DS$27,后果甲状腺剂量!$J$5:$J$27)*后果甲状腺剂量!$U8*后果甲状腺剂量!$U$3+SUMPRODUCT(DN$5:DN$27,后果甲状腺剂量!$K$5:$K$27)*后果甲状腺剂量!$Q8+SUMPRODUCT(DO$5:DO$27,后果甲状腺剂量!$K$5:$K$27)*后果甲状腺剂量!$Q8+SUMPRODUCT(DP$5:DP$27,后果甲状腺剂量!$K$5:$K$27)*后果甲状腺剂量!$R8+SUMPRODUCT(DQ$5:DQ$27,后果甲状腺剂量!$K$5:$K$27)*后果甲状腺剂量!$S8+SUMPRODUCT(DR$5:DR$27,后果甲状腺剂量!$K$5:$K$27)*后果甲状腺剂量!$T8+SUMPRODUCT(DS$5:DS$27,后果甲状腺剂量!$K$5:$K$27)*后果甲状腺剂量!$U8</f>
        <v>0.874886984255366</v>
      </c>
      <c r="DP34" s="336">
        <f ca="1" t="shared" si="150"/>
        <v>34.9537122694107</v>
      </c>
      <c r="DQ34" s="336">
        <f ca="1" t="shared" si="151"/>
        <v>874.886984255366</v>
      </c>
      <c r="DR34" s="357">
        <f ca="1">DP34/50*100</f>
        <v>69.9074245388214</v>
      </c>
      <c r="DS34" s="357">
        <f ca="1">DQ34/500*100</f>
        <v>174.977396851073</v>
      </c>
      <c r="DW34" s="334">
        <f>SUMPRODUCT(DW$5:DW$27,后果有效剂量!$I$5:$I$27)*后果有效剂量!$Q8+SUMPRODUCT(DX$5:DX$27,后果有效剂量!$I$5:$I$27)*后果有效剂量!$R8+SUMPRODUCT(DY$5:DY$27,后果有效剂量!$I$5:$I$27)*后果有效剂量!$S8+SUMPRODUCT(DZ$5:DZ$27,后果有效剂量!$I$5:$I$27)*后果有效剂量!$T8+SUMPRODUCT(DW$5:DW$27,后果有效剂量!$J$5:$J$27)*后果有效剂量!$Q8*后果有效剂量!$Q$3+SUMPRODUCT(DX$5:DX$27,后果有效剂量!$J$5:$J$27)*后果有效剂量!$R8*后果有效剂量!$R$3+SUMPRODUCT(DY$5:DY$27,后果有效剂量!$J$5:$J$27)*后果有效剂量!$S8*后果有效剂量!$S$3+SUMPRODUCT(DZ$5:DZ$27,后果有效剂量!$J$5:$J$27)*后果有效剂量!$T8*后果有效剂量!$T$3+SUMPRODUCT(DW$5:DW$27,后果有效剂量!$K$5:$K$27)*后果有效剂量!$Q8+SUMPRODUCT(DX$5:DX$27,后果有效剂量!$K$5:$K$27)*后果有效剂量!$R8+SUMPRODUCT(DY$5:DY$27,后果有效剂量!$K$5:$K$27)*后果有效剂量!$S8+SUMPRODUCT(DZ$5:DZ$27,后果有效剂量!$K$5:$K$27)*后果有效剂量!$T8</f>
        <v>0.000837162884936125</v>
      </c>
      <c r="DX34" s="335">
        <f>SUMPRODUCT(DW$5:DW$27,后果甲状腺剂量!$I$5:$I$27)*后果甲状腺剂量!$Q8+SUMPRODUCT(DX$5:DX$27,后果甲状腺剂量!$I$5:$I$27)*后果甲状腺剂量!$R8+SUMPRODUCT(DY$5:DY$27,后果甲状腺剂量!$I$5:$I$27)*后果甲状腺剂量!$S8+SUMPRODUCT(DZ$5:DZ$27,后果甲状腺剂量!$I$5:$I$27)*后果甲状腺剂量!$T8+SUMPRODUCT(DW$5:DW$27,后果甲状腺剂量!$J$5:$J$27)*后果甲状腺剂量!$Q8*后果甲状腺剂量!$Q$3+SUMPRODUCT(DX$5:DX$27,后果甲状腺剂量!$J$5:$J$27)*后果甲状腺剂量!$R8*后果甲状腺剂量!$R$3+SUMPRODUCT(DY$5:DY$27,后果甲状腺剂量!$J$5:$J$27)*后果甲状腺剂量!$S8*后果甲状腺剂量!$S$3+SUMPRODUCT(DZ$5:DZ$27,后果甲状腺剂量!$J$5:$J$27)*后果甲状腺剂量!$T8*后果甲状腺剂量!$T$3+SUMPRODUCT(DW$5:DW$27,后果甲状腺剂量!$K$5:$K$27)*后果甲状腺剂量!$Q8+SUMPRODUCT(DX$5:DX$27,后果甲状腺剂量!$K$5:$K$27)*后果甲状腺剂量!$R8+SUMPRODUCT(DY$5:DY$27,后果甲状腺剂量!$K$5:$K$27)*后果甲状腺剂量!$S8+SUMPRODUCT(DZ$5:DZ$27,后果甲状腺剂量!$K$5:$K$27)*后果甲状腺剂量!$T8</f>
        <v>0.070360592382825</v>
      </c>
      <c r="DY34" s="336">
        <f t="shared" si="152"/>
        <v>0.837162884936124</v>
      </c>
      <c r="DZ34" s="336">
        <f t="shared" si="153"/>
        <v>70.360592382825</v>
      </c>
      <c r="EA34" s="357">
        <f>DY34/5*100</f>
        <v>16.7432576987225</v>
      </c>
      <c r="EB34" s="357">
        <f>DZ34/50*100</f>
        <v>140.72118476565</v>
      </c>
      <c r="EH34" s="330" t="str">
        <f>后果有效剂量!$P8</f>
        <v>500m</v>
      </c>
      <c r="EI34" s="334">
        <f>SUMPRODUCT(EJ$5:EJ$27,后果有效剂量!$I$5:$I$27)*后果有效剂量!$Q8+SUMPRODUCT(EK$5:EK$27,后果有效剂量!$I$5:$I$27)*后果有效剂量!$R8+SUMPRODUCT(EL$5:EL$27,后果有效剂量!$I$5:$I$27)*后果有效剂量!$S8+SUMPRODUCT(EM$5:EM$27,后果有效剂量!$I$5:$I$27)*后果有效剂量!$T8+SUMPRODUCT(EN$5:EN$27,后果有效剂量!$I$5:$I$27)*后果有效剂量!$U8+SUMPRODUCT(EJ$5:EJ$27,后果有效剂量!$J$5:$J$27)*后果有效剂量!$Q8*后果有效剂量!$Q$3+SUMPRODUCT(EK$5:EK$27,后果有效剂量!$J$5:$J$27)*后果有效剂量!$R8*后果有效剂量!$R$3+SUMPRODUCT(EL$5:EL$27,后果有效剂量!$J$5:$J$27)*后果有效剂量!$S8*后果有效剂量!$S$3+SUMPRODUCT(EM$5:EM$27,后果有效剂量!$J$5:$J$27)*后果有效剂量!$T8*后果有效剂量!$T$3+SUMPRODUCT(EN$5:EN$27,后果有效剂量!$J$5:$J$27)*后果有效剂量!$U8*后果有效剂量!$U$3+SUMPRODUCT(EJ$5:EJ$27,后果有效剂量!$K$5:$K$27)*后果有效剂量!$Q8+SUMPRODUCT(EK$5:EK$27,后果有效剂量!$K$5:$K$27)*后果有效剂量!$R8+SUMPRODUCT(EL$5:EL$27,后果有效剂量!$K$5:$K$27)*后果有效剂量!$S8+SUMPRODUCT(EM$5:EM$27,后果有效剂量!$K$5:$K$27)*后果有效剂量!$T8+SUMPRODUCT(EN$5:EN$27,后果有效剂量!$K$5:$K$27)*后果有效剂量!$U8</f>
        <v>0.000142421849536575</v>
      </c>
      <c r="EJ34" s="335">
        <f>SUMPRODUCT(EJ$5:EJ$27,后果甲状腺剂量!$I$5:$I$27)*后果甲状腺剂量!$Q8+SUMPRODUCT(EK$5:EK$27,后果甲状腺剂量!$I$5:$I$27)*后果甲状腺剂量!$R8+SUMPRODUCT(EL$5:EL$27,后果甲状腺剂量!$I$5:$I$27)*后果甲状腺剂量!$S8+SUMPRODUCT(EM$5:EM$27,后果甲状腺剂量!$I$5:$I$27)*后果甲状腺剂量!$T8+SUMPRODUCT(EN$5:EN$27,后果甲状腺剂量!$I$5:$I$27)*后果甲状腺剂量!$U8+SUMPRODUCT(EJ$5:EJ$27,后果甲状腺剂量!$J$5:$J$27)*后果甲状腺剂量!$Q8*后果甲状腺剂量!$Q$3+SUMPRODUCT(EK$5:EK$27,后果甲状腺剂量!$J$5:$J$27)*后果甲状腺剂量!$R8*后果甲状腺剂量!$R$3+SUMPRODUCT(EL$5:EL$27,后果甲状腺剂量!$J$5:$J$27)*后果甲状腺剂量!$S8*后果甲状腺剂量!$S$3+SUMPRODUCT(EM$5:EM$27,后果甲状腺剂量!$J$5:$J$27)*后果甲状腺剂量!$T8*后果甲状腺剂量!$T$3+SUMPRODUCT(EN$5:EN$27,后果甲状腺剂量!$J$5:$J$27)*后果甲状腺剂量!$U8*后果甲状腺剂量!$U$3+SUMPRODUCT(EJ$5:EJ$27,后果甲状腺剂量!$K$5:$K$27)*后果甲状腺剂量!$Q8+SUMPRODUCT(EK$5:EK$27,后果甲状腺剂量!$K$5:$K$27)*后果甲状腺剂量!$R8+SUMPRODUCT(EL$5:EL$27,后果甲状腺剂量!$K$5:$K$27)*后果甲状腺剂量!$S8+SUMPRODUCT(EM$5:EM$27,后果甲状腺剂量!$K$5:$K$27)*后果甲状腺剂量!$T8+SUMPRODUCT(EN$5:EN$27,后果甲状腺剂量!$K$5:$K$27)*后果甲状腺剂量!$U8</f>
        <v>0.00988141174290286</v>
      </c>
      <c r="EK34" s="336">
        <f t="shared" si="154"/>
        <v>0.142421849536575</v>
      </c>
      <c r="EL34" s="336">
        <f t="shared" si="155"/>
        <v>9.88141174290286</v>
      </c>
      <c r="EM34" s="357">
        <f>EK34/5*100</f>
        <v>2.84843699073149</v>
      </c>
      <c r="EN34" s="357">
        <f>EL34/50*100</f>
        <v>19.7628234858057</v>
      </c>
    </row>
    <row r="35" spans="6:144">
      <c r="F35" s="200"/>
      <c r="G35" s="199"/>
      <c r="Q35" s="254"/>
      <c r="U35" s="253"/>
      <c r="X35" s="247"/>
      <c r="Y35" s="287"/>
      <c r="DM35" s="330" t="str">
        <f>后果有效剂量!$P9</f>
        <v>1500m</v>
      </c>
      <c r="DN35" s="331">
        <f ca="1">SUMPRODUCT(DN$5:DN$27,后果有效剂量!$I$5:$I$27)*后果有效剂量!$Q9+SUMPRODUCT(DO$5:DO$27,后果有效剂量!$I$5:$I$27)*后果有效剂量!$Q9+SUMPRODUCT(DP$5:DP$27,后果有效剂量!$I$5:$I$27)*后果有效剂量!$R9+SUMPRODUCT(DQ$5:DQ$27,后果有效剂量!$I$5:$I$27)*后果有效剂量!$S9+SUMPRODUCT(DR$5:DR$27,后果有效剂量!$I$5:$I$27)*后果有效剂量!$T9+SUMPRODUCT(DS$5:DS$27,后果有效剂量!$I$5:$I$27)*后果有效剂量!$U9+SUMPRODUCT(DN$5:DN$27,后果有效剂量!$J$5:$J$27)*后果有效剂量!$Q9*后果有效剂量!$Q$3+SUMPRODUCT(DO$5:DO$27,后果有效剂量!$J$5:$J$27)*后果有效剂量!$Q9*后果有效剂量!$Q$3+SUMPRODUCT(DP$5:DP$27,后果有效剂量!$J$5:$J$27)*后果有效剂量!$R9*后果有效剂量!$R$3+SUMPRODUCT(DQ$5:DQ$27,后果有效剂量!$J$5:$J$27)*后果有效剂量!$S9*后果有效剂量!$S$3+SUMPRODUCT(DR$5:DR$27,后果有效剂量!$J$5:$J$27)*后果有效剂量!$T9*后果有效剂量!$T$3+SUMPRODUCT(DS$5:DS$27,后果有效剂量!$J$5:$J$27)*后果有效剂量!$U9*后果有效剂量!$U$3+SUMPRODUCT(DN$5:DN$27,后果有效剂量!$K$5:$K$27)*后果有效剂量!$Q9+SUMPRODUCT(DO$5:DO$27,后果有效剂量!$K$5:$K$27)*后果有效剂量!$Q9+SUMPRODUCT(DP$5:DP$27,后果有效剂量!$K$5:$K$27)*后果有效剂量!$R9+SUMPRODUCT(DQ$5:DQ$27,后果有效剂量!$K$5:$K$27)*后果有效剂量!$S9+SUMPRODUCT(DR$5:DR$27,后果有效剂量!$K$5:$K$27)*后果有效剂量!$T9+SUMPRODUCT(DS$5:DS$27,后果有效剂量!$K$5:$K$27)*后果有效剂量!$U9</f>
        <v>0.0116539814293035</v>
      </c>
      <c r="DO35" s="332">
        <f ca="1">SUMPRODUCT(DN$5:DN$27,后果甲状腺剂量!$I$5:$I$27)*后果甲状腺剂量!$Q9+SUMPRODUCT(DO$5:DO$27,后果甲状腺剂量!$I$5:$I$27)*后果甲状腺剂量!$Q9+SUMPRODUCT(DP$5:DP$27,后果甲状腺剂量!$I$5:$I$27)*后果甲状腺剂量!$R9+SUMPRODUCT(DQ$5:DQ$27,后果甲状腺剂量!$I$5:$I$27)*后果甲状腺剂量!$S9+SUMPRODUCT(DR$5:DR$27,后果甲状腺剂量!$I$5:$I$27)*后果甲状腺剂量!$T9+SUMPRODUCT(DS$5:DS$27,后果甲状腺剂量!$I$5:$I$27)*后果甲状腺剂量!$U9+SUMPRODUCT(DN$5:DN$27,后果甲状腺剂量!$J$5:$J$27)*后果甲状腺剂量!$Q9*后果甲状腺剂量!$Q$3+SUMPRODUCT(DO$5:DO$27,后果甲状腺剂量!$J$5:$J$27)*后果甲状腺剂量!$Q9*后果甲状腺剂量!$Q$3+SUMPRODUCT(DP$5:DP$27,后果甲状腺剂量!$J$5:$J$27)*后果甲状腺剂量!$R9*后果甲状腺剂量!$R$3+SUMPRODUCT(DQ$5:DQ$27,后果甲状腺剂量!$J$5:$J$27)*后果甲状腺剂量!$S9*后果甲状腺剂量!$S$3+SUMPRODUCT(DR$5:DR$27,后果甲状腺剂量!$J$5:$J$27)*后果甲状腺剂量!$T9*后果甲状腺剂量!$T$3+SUMPRODUCT(DS$5:DS$27,后果甲状腺剂量!$J$5:$J$27)*后果甲状腺剂量!$U9*后果甲状腺剂量!$U$3+SUMPRODUCT(DN$5:DN$27,后果甲状腺剂量!$K$5:$K$27)*后果甲状腺剂量!$Q9+SUMPRODUCT(DO$5:DO$27,后果甲状腺剂量!$K$5:$K$27)*后果甲状腺剂量!$Q9+SUMPRODUCT(DP$5:DP$27,后果甲状腺剂量!$K$5:$K$27)*后果甲状腺剂量!$R9+SUMPRODUCT(DQ$5:DQ$27,后果甲状腺剂量!$K$5:$K$27)*后果甲状腺剂量!$S9+SUMPRODUCT(DR$5:DR$27,后果甲状腺剂量!$K$5:$K$27)*后果甲状腺剂量!$T9+SUMPRODUCT(DS$5:DS$27,后果甲状腺剂量!$K$5:$K$27)*后果甲状腺剂量!$U9</f>
        <v>0.319409832123906</v>
      </c>
      <c r="DP35" s="333">
        <f ca="1" t="shared" si="150"/>
        <v>11.6539814293035</v>
      </c>
      <c r="DQ35" s="333">
        <f ca="1" t="shared" si="151"/>
        <v>319.409832123906</v>
      </c>
      <c r="DR35" s="198"/>
      <c r="DS35" s="198"/>
      <c r="DW35" s="331">
        <f>SUMPRODUCT(DW$5:DW$27,后果有效剂量!$I$5:$I$27)*后果有效剂量!$Q9+SUMPRODUCT(DX$5:DX$27,后果有效剂量!$I$5:$I$27)*后果有效剂量!$R9+SUMPRODUCT(DY$5:DY$27,后果有效剂量!$I$5:$I$27)*后果有效剂量!$S9+SUMPRODUCT(DZ$5:DZ$27,后果有效剂量!$I$5:$I$27)*后果有效剂量!$T9+SUMPRODUCT(DW$5:DW$27,后果有效剂量!$J$5:$J$27)*后果有效剂量!$Q9*后果有效剂量!$Q$3+SUMPRODUCT(DX$5:DX$27,后果有效剂量!$J$5:$J$27)*后果有效剂量!$R9*后果有效剂量!$R$3+SUMPRODUCT(DY$5:DY$27,后果有效剂量!$J$5:$J$27)*后果有效剂量!$S9*后果有效剂量!$S$3+SUMPRODUCT(DZ$5:DZ$27,后果有效剂量!$J$5:$J$27)*后果有效剂量!$T9*后果有效剂量!$T$3+SUMPRODUCT(DW$5:DW$27,后果有效剂量!$K$5:$K$27)*后果有效剂量!$Q9+SUMPRODUCT(DX$5:DX$27,后果有效剂量!$K$5:$K$27)*后果有效剂量!$R9+SUMPRODUCT(DY$5:DY$27,后果有效剂量!$K$5:$K$27)*后果有效剂量!$S9+SUMPRODUCT(DZ$5:DZ$27,后果有效剂量!$K$5:$K$27)*后果有效剂量!$T9</f>
        <v>0.000280952623515978</v>
      </c>
      <c r="DX35" s="332">
        <f>SUMPRODUCT(DW$5:DW$27,后果甲状腺剂量!$I$5:$I$27)*后果甲状腺剂量!$Q9+SUMPRODUCT(DX$5:DX$27,后果甲状腺剂量!$I$5:$I$27)*后果甲状腺剂量!$R9+SUMPRODUCT(DY$5:DY$27,后果甲状腺剂量!$I$5:$I$27)*后果甲状腺剂量!$S9+SUMPRODUCT(DZ$5:DZ$27,后果甲状腺剂量!$I$5:$I$27)*后果甲状腺剂量!$T9+SUMPRODUCT(DW$5:DW$27,后果甲状腺剂量!$J$5:$J$27)*后果甲状腺剂量!$Q9*后果甲状腺剂量!$Q$3+SUMPRODUCT(DX$5:DX$27,后果甲状腺剂量!$J$5:$J$27)*后果甲状腺剂量!$R9*后果甲状腺剂量!$R$3+SUMPRODUCT(DY$5:DY$27,后果甲状腺剂量!$J$5:$J$27)*后果甲状腺剂量!$S9*后果甲状腺剂量!$S$3+SUMPRODUCT(DZ$5:DZ$27,后果甲状腺剂量!$J$5:$J$27)*后果甲状腺剂量!$T9*后果甲状腺剂量!$T$3+SUMPRODUCT(DW$5:DW$27,后果甲状腺剂量!$K$5:$K$27)*后果甲状腺剂量!$Q9+SUMPRODUCT(DX$5:DX$27,后果甲状腺剂量!$K$5:$K$27)*后果甲状腺剂量!$R9+SUMPRODUCT(DY$5:DY$27,后果甲状腺剂量!$K$5:$K$27)*后果甲状腺剂量!$S9+SUMPRODUCT(DZ$5:DZ$27,后果甲状腺剂量!$K$5:$K$27)*后果甲状腺剂量!$T9</f>
        <v>0.0258373322848406</v>
      </c>
      <c r="DY35" s="333">
        <f t="shared" si="152"/>
        <v>0.280952623515978</v>
      </c>
      <c r="DZ35" s="333">
        <f t="shared" si="153"/>
        <v>25.8373322848406</v>
      </c>
      <c r="EA35" s="198"/>
      <c r="EB35" s="198"/>
      <c r="EH35" s="330" t="str">
        <f>后果有效剂量!$P9</f>
        <v>1500m</v>
      </c>
      <c r="EI35" s="331">
        <f>SUMPRODUCT(EJ$5:EJ$27,后果有效剂量!$I$5:$I$27)*后果有效剂量!$Q9+SUMPRODUCT(EK$5:EK$27,后果有效剂量!$I$5:$I$27)*后果有效剂量!$R9+SUMPRODUCT(EL$5:EL$27,后果有效剂量!$I$5:$I$27)*后果有效剂量!$S9+SUMPRODUCT(EM$5:EM$27,后果有效剂量!$I$5:$I$27)*后果有效剂量!$T9+SUMPRODUCT(EN$5:EN$27,后果有效剂量!$I$5:$I$27)*后果有效剂量!$U9+SUMPRODUCT(EJ$5:EJ$27,后果有效剂量!$J$5:$J$27)*后果有效剂量!$Q9*后果有效剂量!$Q$3+SUMPRODUCT(EK$5:EK$27,后果有效剂量!$J$5:$J$27)*后果有效剂量!$R9*后果有效剂量!$R$3+SUMPRODUCT(EL$5:EL$27,后果有效剂量!$J$5:$J$27)*后果有效剂量!$S9*后果有效剂量!$S$3+SUMPRODUCT(EM$5:EM$27,后果有效剂量!$J$5:$J$27)*后果有效剂量!$T9*后果有效剂量!$T$3+SUMPRODUCT(EN$5:EN$27,后果有效剂量!$J$5:$J$27)*后果有效剂量!$U9*后果有效剂量!$U$3+SUMPRODUCT(EJ$5:EJ$27,后果有效剂量!$K$5:$K$27)*后果有效剂量!$Q9+SUMPRODUCT(EK$5:EK$27,后果有效剂量!$K$5:$K$27)*后果有效剂量!$R9+SUMPRODUCT(EL$5:EL$27,后果有效剂量!$K$5:$K$27)*后果有效剂量!$S9+SUMPRODUCT(EM$5:EM$27,后果有效剂量!$K$5:$K$27)*后果有效剂量!$T9+SUMPRODUCT(EN$5:EN$27,后果有效剂量!$K$5:$K$27)*后果有效剂量!$U9</f>
        <v>3.87906288816674e-5</v>
      </c>
      <c r="EJ35" s="332">
        <f>SUMPRODUCT(EJ$5:EJ$27,后果甲状腺剂量!$I$5:$I$27)*后果甲状腺剂量!$Q9+SUMPRODUCT(EK$5:EK$27,后果甲状腺剂量!$I$5:$I$27)*后果甲状腺剂量!$R9+SUMPRODUCT(EL$5:EL$27,后果甲状腺剂量!$I$5:$I$27)*后果甲状腺剂量!$S9+SUMPRODUCT(EM$5:EM$27,后果甲状腺剂量!$I$5:$I$27)*后果甲状腺剂量!$T9+SUMPRODUCT(EN$5:EN$27,后果甲状腺剂量!$I$5:$I$27)*后果甲状腺剂量!$U9+SUMPRODUCT(EJ$5:EJ$27,后果甲状腺剂量!$J$5:$J$27)*后果甲状腺剂量!$Q9*后果甲状腺剂量!$Q$3+SUMPRODUCT(EK$5:EK$27,后果甲状腺剂量!$J$5:$J$27)*后果甲状腺剂量!$R9*后果甲状腺剂量!$R$3+SUMPRODUCT(EL$5:EL$27,后果甲状腺剂量!$J$5:$J$27)*后果甲状腺剂量!$S9*后果甲状腺剂量!$S$3+SUMPRODUCT(EM$5:EM$27,后果甲状腺剂量!$J$5:$J$27)*后果甲状腺剂量!$T9*后果甲状腺剂量!$T$3+SUMPRODUCT(EN$5:EN$27,后果甲状腺剂量!$J$5:$J$27)*后果甲状腺剂量!$U9*后果甲状腺剂量!$U$3+SUMPRODUCT(EJ$5:EJ$27,后果甲状腺剂量!$K$5:$K$27)*后果甲状腺剂量!$Q9+SUMPRODUCT(EK$5:EK$27,后果甲状腺剂量!$K$5:$K$27)*后果甲状腺剂量!$R9+SUMPRODUCT(EL$5:EL$27,后果甲状腺剂量!$K$5:$K$27)*后果甲状腺剂量!$S9+SUMPRODUCT(EM$5:EM$27,后果甲状腺剂量!$K$5:$K$27)*后果甲状腺剂量!$T9+SUMPRODUCT(EN$5:EN$27,后果甲状腺剂量!$K$5:$K$27)*后果甲状腺剂量!$U9</f>
        <v>0.00301378203303084</v>
      </c>
      <c r="EK35" s="333">
        <f t="shared" si="154"/>
        <v>0.0387906288816674</v>
      </c>
      <c r="EL35" s="333">
        <f t="shared" si="155"/>
        <v>3.01378203303084</v>
      </c>
      <c r="EM35" s="198"/>
      <c r="EN35" s="198"/>
    </row>
    <row r="36" spans="6:144">
      <c r="F36" s="200"/>
      <c r="G36" s="199"/>
      <c r="Q36" s="254"/>
      <c r="U36" s="253"/>
      <c r="X36" s="247"/>
      <c r="Y36" s="287"/>
      <c r="DM36" s="330" t="str">
        <f>后果有效剂量!$P10</f>
        <v>2500m</v>
      </c>
      <c r="DN36" s="331">
        <f ca="1">SUMPRODUCT(DN$5:DN$27,后果有效剂量!$I$5:$I$27)*后果有效剂量!$Q10+SUMPRODUCT(DO$5:DO$27,后果有效剂量!$I$5:$I$27)*后果有效剂量!$Q10+SUMPRODUCT(DP$5:DP$27,后果有效剂量!$I$5:$I$27)*后果有效剂量!$R10+SUMPRODUCT(DQ$5:DQ$27,后果有效剂量!$I$5:$I$27)*后果有效剂量!$S10+SUMPRODUCT(DR$5:DR$27,后果有效剂量!$I$5:$I$27)*后果有效剂量!$T10+SUMPRODUCT(DS$5:DS$27,后果有效剂量!$I$5:$I$27)*后果有效剂量!$U10+SUMPRODUCT(DN$5:DN$27,后果有效剂量!$J$5:$J$27)*后果有效剂量!$Q10*后果有效剂量!$Q$3+SUMPRODUCT(DO$5:DO$27,后果有效剂量!$J$5:$J$27)*后果有效剂量!$Q10*后果有效剂量!$Q$3+SUMPRODUCT(DP$5:DP$27,后果有效剂量!$J$5:$J$27)*后果有效剂量!$R10*后果有效剂量!$R$3+SUMPRODUCT(DQ$5:DQ$27,后果有效剂量!$J$5:$J$27)*后果有效剂量!$S10*后果有效剂量!$S$3+SUMPRODUCT(DR$5:DR$27,后果有效剂量!$J$5:$J$27)*后果有效剂量!$T10*后果有效剂量!$T$3+SUMPRODUCT(DS$5:DS$27,后果有效剂量!$J$5:$J$27)*后果有效剂量!$U10*后果有效剂量!$U$3+SUMPRODUCT(DN$5:DN$27,后果有效剂量!$K$5:$K$27)*后果有效剂量!$Q10+SUMPRODUCT(DO$5:DO$27,后果有效剂量!$K$5:$K$27)*后果有效剂量!$Q10+SUMPRODUCT(DP$5:DP$27,后果有效剂量!$K$5:$K$27)*后果有效剂量!$R10+SUMPRODUCT(DQ$5:DQ$27,后果有效剂量!$K$5:$K$27)*后果有效剂量!$S10+SUMPRODUCT(DR$5:DR$27,后果有效剂量!$K$5:$K$27)*后果有效剂量!$T10+SUMPRODUCT(DS$5:DS$27,后果有效剂量!$K$5:$K$27)*后果有效剂量!$U10</f>
        <v>0.00784953075335566</v>
      </c>
      <c r="DO36" s="332">
        <f ca="1">SUMPRODUCT(DN$5:DN$27,后果甲状腺剂量!$I$5:$I$27)*后果甲状腺剂量!$Q10+SUMPRODUCT(DO$5:DO$27,后果甲状腺剂量!$I$5:$I$27)*后果甲状腺剂量!$Q10+SUMPRODUCT(DP$5:DP$27,后果甲状腺剂量!$I$5:$I$27)*后果甲状腺剂量!$R10+SUMPRODUCT(DQ$5:DQ$27,后果甲状腺剂量!$I$5:$I$27)*后果甲状腺剂量!$S10+SUMPRODUCT(DR$5:DR$27,后果甲状腺剂量!$I$5:$I$27)*后果甲状腺剂量!$T10+SUMPRODUCT(DS$5:DS$27,后果甲状腺剂量!$I$5:$I$27)*后果甲状腺剂量!$U10+SUMPRODUCT(DN$5:DN$27,后果甲状腺剂量!$J$5:$J$27)*后果甲状腺剂量!$Q10*后果甲状腺剂量!$Q$3+SUMPRODUCT(DO$5:DO$27,后果甲状腺剂量!$J$5:$J$27)*后果甲状腺剂量!$Q10*后果甲状腺剂量!$Q$3+SUMPRODUCT(DP$5:DP$27,后果甲状腺剂量!$J$5:$J$27)*后果甲状腺剂量!$R10*后果甲状腺剂量!$R$3+SUMPRODUCT(DQ$5:DQ$27,后果甲状腺剂量!$J$5:$J$27)*后果甲状腺剂量!$S10*后果甲状腺剂量!$S$3+SUMPRODUCT(DR$5:DR$27,后果甲状腺剂量!$J$5:$J$27)*后果甲状腺剂量!$T10*后果甲状腺剂量!$T$3+SUMPRODUCT(DS$5:DS$27,后果甲状腺剂量!$J$5:$J$27)*后果甲状腺剂量!$U10*后果甲状腺剂量!$U$3+SUMPRODUCT(DN$5:DN$27,后果甲状腺剂量!$K$5:$K$27)*后果甲状腺剂量!$Q10+SUMPRODUCT(DO$5:DO$27,后果甲状腺剂量!$K$5:$K$27)*后果甲状腺剂量!$Q10+SUMPRODUCT(DP$5:DP$27,后果甲状腺剂量!$K$5:$K$27)*后果甲状腺剂量!$R10+SUMPRODUCT(DQ$5:DQ$27,后果甲状腺剂量!$K$5:$K$27)*后果甲状腺剂量!$S10+SUMPRODUCT(DR$5:DR$27,后果甲状腺剂量!$K$5:$K$27)*后果甲状腺剂量!$T10+SUMPRODUCT(DS$5:DS$27,后果甲状腺剂量!$K$5:$K$27)*后果甲状腺剂量!$U10</f>
        <v>0.234862838247483</v>
      </c>
      <c r="DP36" s="333">
        <f ca="1" t="shared" si="150"/>
        <v>7.84953075335566</v>
      </c>
      <c r="DQ36" s="333">
        <f ca="1" t="shared" si="151"/>
        <v>234.862838247483</v>
      </c>
      <c r="DR36" s="198"/>
      <c r="DS36" s="198"/>
      <c r="DW36" s="331">
        <f>SUMPRODUCT(DW$5:DW$27,后果有效剂量!$I$5:$I$27)*后果有效剂量!$Q10+SUMPRODUCT(DX$5:DX$27,后果有效剂量!$I$5:$I$27)*后果有效剂量!$R10+SUMPRODUCT(DY$5:DY$27,后果有效剂量!$I$5:$I$27)*后果有效剂量!$S10+SUMPRODUCT(DZ$5:DZ$27,后果有效剂量!$I$5:$I$27)*后果有效剂量!$T10+SUMPRODUCT(DW$5:DW$27,后果有效剂量!$J$5:$J$27)*后果有效剂量!$Q10*后果有效剂量!$Q$3+SUMPRODUCT(DX$5:DX$27,后果有效剂量!$J$5:$J$27)*后果有效剂量!$R10*后果有效剂量!$R$3+SUMPRODUCT(DY$5:DY$27,后果有效剂量!$J$5:$J$27)*后果有效剂量!$S10*后果有效剂量!$S$3+SUMPRODUCT(DZ$5:DZ$27,后果有效剂量!$J$5:$J$27)*后果有效剂量!$T10*后果有效剂量!$T$3+SUMPRODUCT(DW$5:DW$27,后果有效剂量!$K$5:$K$27)*后果有效剂量!$Q10+SUMPRODUCT(DX$5:DX$27,后果有效剂量!$K$5:$K$27)*后果有效剂量!$R10+SUMPRODUCT(DY$5:DY$27,后果有效剂量!$K$5:$K$27)*后果有效剂量!$S10+SUMPRODUCT(DZ$5:DZ$27,后果有效剂量!$K$5:$K$27)*后果有效剂量!$T10</f>
        <v>0.000189832853727012</v>
      </c>
      <c r="DX36" s="332">
        <f>SUMPRODUCT(DW$5:DW$27,后果甲状腺剂量!$I$5:$I$27)*后果甲状腺剂量!$Q10+SUMPRODUCT(DX$5:DX$27,后果甲状腺剂量!$I$5:$I$27)*后果甲状腺剂量!$R10+SUMPRODUCT(DY$5:DY$27,后果甲状腺剂量!$I$5:$I$27)*后果甲状腺剂量!$S10+SUMPRODUCT(DZ$5:DZ$27,后果甲状腺剂量!$I$5:$I$27)*后果甲状腺剂量!$T10+SUMPRODUCT(DW$5:DW$27,后果甲状腺剂量!$J$5:$J$27)*后果甲状腺剂量!$Q10*后果甲状腺剂量!$Q$3+SUMPRODUCT(DX$5:DX$27,后果甲状腺剂量!$J$5:$J$27)*后果甲状腺剂量!$R10*后果甲状腺剂量!$R$3+SUMPRODUCT(DY$5:DY$27,后果甲状腺剂量!$J$5:$J$27)*后果甲状腺剂量!$S10*后果甲状腺剂量!$S$3+SUMPRODUCT(DZ$5:DZ$27,后果甲状腺剂量!$J$5:$J$27)*后果甲状腺剂量!$T10*后果甲状腺剂量!$T$3+SUMPRODUCT(DW$5:DW$27,后果甲状腺剂量!$K$5:$K$27)*后果甲状腺剂量!$Q10+SUMPRODUCT(DX$5:DX$27,后果甲状腺剂量!$K$5:$K$27)*后果甲状腺剂量!$R10+SUMPRODUCT(DY$5:DY$27,后果甲状腺剂量!$K$5:$K$27)*后果甲状腺剂量!$S10+SUMPRODUCT(DZ$5:DZ$27,后果甲状腺剂量!$K$5:$K$27)*后果甲状腺剂量!$T10</f>
        <v>0.0190781016067529</v>
      </c>
      <c r="DY36" s="333">
        <f t="shared" si="152"/>
        <v>0.189832853727012</v>
      </c>
      <c r="DZ36" s="333">
        <f t="shared" si="153"/>
        <v>19.0781016067529</v>
      </c>
      <c r="EA36" s="198"/>
      <c r="EB36" s="198"/>
      <c r="EH36" s="330" t="str">
        <f>后果有效剂量!$P10</f>
        <v>2500m</v>
      </c>
      <c r="EI36" s="331">
        <f>SUMPRODUCT(EJ$5:EJ$27,后果有效剂量!$I$5:$I$27)*后果有效剂量!$Q10+SUMPRODUCT(EK$5:EK$27,后果有效剂量!$I$5:$I$27)*后果有效剂量!$R10+SUMPRODUCT(EL$5:EL$27,后果有效剂量!$I$5:$I$27)*后果有效剂量!$S10+SUMPRODUCT(EM$5:EM$27,后果有效剂量!$I$5:$I$27)*后果有效剂量!$T10+SUMPRODUCT(EN$5:EN$27,后果有效剂量!$I$5:$I$27)*后果有效剂量!$U10+SUMPRODUCT(EJ$5:EJ$27,后果有效剂量!$J$5:$J$27)*后果有效剂量!$Q10*后果有效剂量!$Q$3+SUMPRODUCT(EK$5:EK$27,后果有效剂量!$J$5:$J$27)*后果有效剂量!$R10*后果有效剂量!$R$3+SUMPRODUCT(EL$5:EL$27,后果有效剂量!$J$5:$J$27)*后果有效剂量!$S10*后果有效剂量!$S$3+SUMPRODUCT(EM$5:EM$27,后果有效剂量!$J$5:$J$27)*后果有效剂量!$T10*后果有效剂量!$T$3+SUMPRODUCT(EN$5:EN$27,后果有效剂量!$J$5:$J$27)*后果有效剂量!$U10*后果有效剂量!$U$3+SUMPRODUCT(EJ$5:EJ$27,后果有效剂量!$K$5:$K$27)*后果有效剂量!$Q10+SUMPRODUCT(EK$5:EK$27,后果有效剂量!$K$5:$K$27)*后果有效剂量!$R10+SUMPRODUCT(EL$5:EL$27,后果有效剂量!$K$5:$K$27)*后果有效剂量!$S10+SUMPRODUCT(EM$5:EM$27,后果有效剂量!$K$5:$K$27)*后果有效剂量!$T10+SUMPRODUCT(EN$5:EN$27,后果有效剂量!$K$5:$K$27)*后果有效剂量!$U10</f>
        <v>2.2871114388388e-5</v>
      </c>
      <c r="EJ36" s="332">
        <f>SUMPRODUCT(EJ$5:EJ$27,后果甲状腺剂量!$I$5:$I$27)*后果甲状腺剂量!$Q10+SUMPRODUCT(EK$5:EK$27,后果甲状腺剂量!$I$5:$I$27)*后果甲状腺剂量!$R10+SUMPRODUCT(EL$5:EL$27,后果甲状腺剂量!$I$5:$I$27)*后果甲状腺剂量!$S10+SUMPRODUCT(EM$5:EM$27,后果甲状腺剂量!$I$5:$I$27)*后果甲状腺剂量!$T10+SUMPRODUCT(EN$5:EN$27,后果甲状腺剂量!$I$5:$I$27)*后果甲状腺剂量!$U10+SUMPRODUCT(EJ$5:EJ$27,后果甲状腺剂量!$J$5:$J$27)*后果甲状腺剂量!$Q10*后果甲状腺剂量!$Q$3+SUMPRODUCT(EK$5:EK$27,后果甲状腺剂量!$J$5:$J$27)*后果甲状腺剂量!$R10*后果甲状腺剂量!$R$3+SUMPRODUCT(EL$5:EL$27,后果甲状腺剂量!$J$5:$J$27)*后果甲状腺剂量!$S10*后果甲状腺剂量!$S$3+SUMPRODUCT(EM$5:EM$27,后果甲状腺剂量!$J$5:$J$27)*后果甲状腺剂量!$T10*后果甲状腺剂量!$T$3+SUMPRODUCT(EN$5:EN$27,后果甲状腺剂量!$J$5:$J$27)*后果甲状腺剂量!$U10*后果甲状腺剂量!$U$3+SUMPRODUCT(EJ$5:EJ$27,后果甲状腺剂量!$K$5:$K$27)*后果甲状腺剂量!$Q10+SUMPRODUCT(EK$5:EK$27,后果甲状腺剂量!$K$5:$K$27)*后果甲状腺剂量!$R10+SUMPRODUCT(EL$5:EL$27,后果甲状腺剂量!$K$5:$K$27)*后果甲状腺剂量!$S10+SUMPRODUCT(EM$5:EM$27,后果甲状腺剂量!$K$5:$K$27)*后果甲状腺剂量!$T10+SUMPRODUCT(EN$5:EN$27,后果甲状腺剂量!$K$5:$K$27)*后果甲状腺剂量!$U10</f>
        <v>0.00191729208105287</v>
      </c>
      <c r="EK36" s="333">
        <f t="shared" si="154"/>
        <v>0.022871114388388</v>
      </c>
      <c r="EL36" s="333">
        <f t="shared" si="155"/>
        <v>1.91729208105287</v>
      </c>
      <c r="EM36" s="198"/>
      <c r="EN36" s="198"/>
    </row>
    <row r="37" spans="6:144">
      <c r="F37" s="200"/>
      <c r="G37" s="199"/>
      <c r="Q37" s="254"/>
      <c r="U37" s="253"/>
      <c r="X37" s="247"/>
      <c r="Y37" s="287"/>
      <c r="DM37" s="330" t="str">
        <f>后果有效剂量!$P11</f>
        <v>4000m</v>
      </c>
      <c r="DN37" s="331">
        <f ca="1">SUMPRODUCT(DN$5:DN$27,后果有效剂量!$I$5:$I$27)*后果有效剂量!$Q11+SUMPRODUCT(DO$5:DO$27,后果有效剂量!$I$5:$I$27)*后果有效剂量!$Q11+SUMPRODUCT(DP$5:DP$27,后果有效剂量!$I$5:$I$27)*后果有效剂量!$R11+SUMPRODUCT(DQ$5:DQ$27,后果有效剂量!$I$5:$I$27)*后果有效剂量!$S11+SUMPRODUCT(DR$5:DR$27,后果有效剂量!$I$5:$I$27)*后果有效剂量!$T11+SUMPRODUCT(DS$5:DS$27,后果有效剂量!$I$5:$I$27)*后果有效剂量!$U11+SUMPRODUCT(DN$5:DN$27,后果有效剂量!$J$5:$J$27)*后果有效剂量!$Q11*后果有效剂量!$Q$3+SUMPRODUCT(DO$5:DO$27,后果有效剂量!$J$5:$J$27)*后果有效剂量!$Q11*后果有效剂量!$Q$3+SUMPRODUCT(DP$5:DP$27,后果有效剂量!$J$5:$J$27)*后果有效剂量!$R11*后果有效剂量!$R$3+SUMPRODUCT(DQ$5:DQ$27,后果有效剂量!$J$5:$J$27)*后果有效剂量!$S11*后果有效剂量!$S$3+SUMPRODUCT(DR$5:DR$27,后果有效剂量!$J$5:$J$27)*后果有效剂量!$T11*后果有效剂量!$T$3+SUMPRODUCT(DS$5:DS$27,后果有效剂量!$J$5:$J$27)*后果有效剂量!$U11*后果有效剂量!$U$3+SUMPRODUCT(DN$5:DN$27,后果有效剂量!$K$5:$K$27)*后果有效剂量!$Q11+SUMPRODUCT(DO$5:DO$27,后果有效剂量!$K$5:$K$27)*后果有效剂量!$Q11+SUMPRODUCT(DP$5:DP$27,后果有效剂量!$K$5:$K$27)*后果有效剂量!$R11+SUMPRODUCT(DQ$5:DQ$27,后果有效剂量!$K$5:$K$27)*后果有效剂量!$S11+SUMPRODUCT(DR$5:DR$27,后果有效剂量!$K$5:$K$27)*后果有效剂量!$T11+SUMPRODUCT(DS$5:DS$27,后果有效剂量!$K$5:$K$27)*后果有效剂量!$U11</f>
        <v>0.0449974276370224</v>
      </c>
      <c r="DO37" s="332">
        <f ca="1">SUMPRODUCT(DN$5:DN$27,后果甲状腺剂量!$I$5:$I$27)*后果甲状腺剂量!$Q11+SUMPRODUCT(DO$5:DO$27,后果甲状腺剂量!$I$5:$I$27)*后果甲状腺剂量!$Q11+SUMPRODUCT(DP$5:DP$27,后果甲状腺剂量!$I$5:$I$27)*后果甲状腺剂量!$R11+SUMPRODUCT(DQ$5:DQ$27,后果甲状腺剂量!$I$5:$I$27)*后果甲状腺剂量!$S11+SUMPRODUCT(DR$5:DR$27,后果甲状腺剂量!$I$5:$I$27)*后果甲状腺剂量!$T11+SUMPRODUCT(DS$5:DS$27,后果甲状腺剂量!$I$5:$I$27)*后果甲状腺剂量!$U11+SUMPRODUCT(DN$5:DN$27,后果甲状腺剂量!$J$5:$J$27)*后果甲状腺剂量!$Q11*后果甲状腺剂量!$Q$3+SUMPRODUCT(DO$5:DO$27,后果甲状腺剂量!$J$5:$J$27)*后果甲状腺剂量!$Q11*后果甲状腺剂量!$Q$3+SUMPRODUCT(DP$5:DP$27,后果甲状腺剂量!$J$5:$J$27)*后果甲状腺剂量!$R11*后果甲状腺剂量!$R$3+SUMPRODUCT(DQ$5:DQ$27,后果甲状腺剂量!$J$5:$J$27)*后果甲状腺剂量!$S11*后果甲状腺剂量!$S$3+SUMPRODUCT(DR$5:DR$27,后果甲状腺剂量!$J$5:$J$27)*后果甲状腺剂量!$T11*后果甲状腺剂量!$T$3+SUMPRODUCT(DS$5:DS$27,后果甲状腺剂量!$J$5:$J$27)*后果甲状腺剂量!$U11*后果甲状腺剂量!$U$3+SUMPRODUCT(DN$5:DN$27,后果甲状腺剂量!$K$5:$K$27)*后果甲状腺剂量!$Q11+SUMPRODUCT(DO$5:DO$27,后果甲状腺剂量!$K$5:$K$27)*后果甲状腺剂量!$Q11+SUMPRODUCT(DP$5:DP$27,后果甲状腺剂量!$K$5:$K$27)*后果甲状腺剂量!$R11+SUMPRODUCT(DQ$5:DQ$27,后果甲状腺剂量!$K$5:$K$27)*后果甲状腺剂量!$S11+SUMPRODUCT(DR$5:DR$27,后果甲状腺剂量!$K$5:$K$27)*后果甲状腺剂量!$T11+SUMPRODUCT(DS$5:DS$27,后果甲状腺剂量!$K$5:$K$27)*后果甲状腺剂量!$U11</f>
        <v>0.1631775887829</v>
      </c>
      <c r="DP37" s="333">
        <f ca="1" t="shared" si="150"/>
        <v>44.9974276370224</v>
      </c>
      <c r="DQ37" s="333">
        <f ca="1" t="shared" si="151"/>
        <v>163.1775887829</v>
      </c>
      <c r="DR37" s="198"/>
      <c r="DS37" s="198"/>
      <c r="DW37" s="331">
        <f>SUMPRODUCT(DW$5:DW$27,后果有效剂量!$I$5:$I$27)*后果有效剂量!$Q11+SUMPRODUCT(DX$5:DX$27,后果有效剂量!$I$5:$I$27)*后果有效剂量!$R11+SUMPRODUCT(DY$5:DY$27,后果有效剂量!$I$5:$I$27)*后果有效剂量!$S11+SUMPRODUCT(DZ$5:DZ$27,后果有效剂量!$I$5:$I$27)*后果有效剂量!$T11+SUMPRODUCT(DW$5:DW$27,后果有效剂量!$J$5:$J$27)*后果有效剂量!$Q11*后果有效剂量!$Q$3+SUMPRODUCT(DX$5:DX$27,后果有效剂量!$J$5:$J$27)*后果有效剂量!$R11*后果有效剂量!$R$3+SUMPRODUCT(DY$5:DY$27,后果有效剂量!$J$5:$J$27)*后果有效剂量!$S11*后果有效剂量!$S$3+SUMPRODUCT(DZ$5:DZ$27,后果有效剂量!$J$5:$J$27)*后果有效剂量!$T11*后果有效剂量!$T$3+SUMPRODUCT(DW$5:DW$27,后果有效剂量!$K$5:$K$27)*后果有效剂量!$Q11+SUMPRODUCT(DX$5:DX$27,后果有效剂量!$K$5:$K$27)*后果有效剂量!$R11+SUMPRODUCT(DY$5:DY$27,后果有效剂量!$K$5:$K$27)*后果有效剂量!$S11+SUMPRODUCT(DZ$5:DZ$27,后果有效剂量!$K$5:$K$27)*后果有效剂量!$T11</f>
        <v>0.00109343723746759</v>
      </c>
      <c r="DX37" s="332">
        <f>SUMPRODUCT(DW$5:DW$27,后果甲状腺剂量!$I$5:$I$27)*后果甲状腺剂量!$Q11+SUMPRODUCT(DX$5:DX$27,后果甲状腺剂量!$I$5:$I$27)*后果甲状腺剂量!$R11+SUMPRODUCT(DY$5:DY$27,后果甲状腺剂量!$I$5:$I$27)*后果甲状腺剂量!$S11+SUMPRODUCT(DZ$5:DZ$27,后果甲状腺剂量!$I$5:$I$27)*后果甲状腺剂量!$T11+SUMPRODUCT(DW$5:DW$27,后果甲状腺剂量!$J$5:$J$27)*后果甲状腺剂量!$Q11*后果甲状腺剂量!$Q$3+SUMPRODUCT(DX$5:DX$27,后果甲状腺剂量!$J$5:$J$27)*后果甲状腺剂量!$R11*后果甲状腺剂量!$R$3+SUMPRODUCT(DY$5:DY$27,后果甲状腺剂量!$J$5:$J$27)*后果甲状腺剂量!$S11*后果甲状腺剂量!$S$3+SUMPRODUCT(DZ$5:DZ$27,后果甲状腺剂量!$J$5:$J$27)*后果甲状腺剂量!$T11*后果甲状腺剂量!$T$3+SUMPRODUCT(DW$5:DW$27,后果甲状腺剂量!$K$5:$K$27)*后果甲状腺剂量!$Q11+SUMPRODUCT(DX$5:DX$27,后果甲状腺剂量!$K$5:$K$27)*后果甲状腺剂量!$R11+SUMPRODUCT(DY$5:DY$27,后果甲状腺剂量!$K$5:$K$27)*后果甲状腺剂量!$S11+SUMPRODUCT(DZ$5:DZ$27,后果甲状腺剂量!$K$5:$K$27)*后果甲状腺剂量!$T11</f>
        <v>0.0132877708893466</v>
      </c>
      <c r="DY37" s="333">
        <f t="shared" si="152"/>
        <v>1.09343723746759</v>
      </c>
      <c r="DZ37" s="333">
        <f t="shared" si="153"/>
        <v>13.2877708893466</v>
      </c>
      <c r="EA37" s="198"/>
      <c r="EB37" s="198"/>
      <c r="EH37" s="330" t="str">
        <f>后果有效剂量!$P11</f>
        <v>4000m</v>
      </c>
      <c r="EI37" s="331">
        <f>SUMPRODUCT(EJ$5:EJ$27,后果有效剂量!$I$5:$I$27)*后果有效剂量!$Q11+SUMPRODUCT(EK$5:EK$27,后果有效剂量!$I$5:$I$27)*后果有效剂量!$R11+SUMPRODUCT(EL$5:EL$27,后果有效剂量!$I$5:$I$27)*后果有效剂量!$S11+SUMPRODUCT(EM$5:EM$27,后果有效剂量!$I$5:$I$27)*后果有效剂量!$T11+SUMPRODUCT(EN$5:EN$27,后果有效剂量!$I$5:$I$27)*后果有效剂量!$U11+SUMPRODUCT(EJ$5:EJ$27,后果有效剂量!$J$5:$J$27)*后果有效剂量!$Q11*后果有效剂量!$Q$3+SUMPRODUCT(EK$5:EK$27,后果有效剂量!$J$5:$J$27)*后果有效剂量!$R11*后果有效剂量!$R$3+SUMPRODUCT(EL$5:EL$27,后果有效剂量!$J$5:$J$27)*后果有效剂量!$S11*后果有效剂量!$S$3+SUMPRODUCT(EM$5:EM$27,后果有效剂量!$J$5:$J$27)*后果有效剂量!$T11*后果有效剂量!$T$3+SUMPRODUCT(EN$5:EN$27,后果有效剂量!$J$5:$J$27)*后果有效剂量!$U11*后果有效剂量!$U$3+SUMPRODUCT(EJ$5:EJ$27,后果有效剂量!$K$5:$K$27)*后果有效剂量!$Q11+SUMPRODUCT(EK$5:EK$27,后果有效剂量!$K$5:$K$27)*后果有效剂量!$R11+SUMPRODUCT(EL$5:EL$27,后果有效剂量!$K$5:$K$27)*后果有效剂量!$S11+SUMPRODUCT(EM$5:EM$27,后果有效剂量!$K$5:$K$27)*后果有效剂量!$T11+SUMPRODUCT(EN$5:EN$27,后果有效剂量!$K$5:$K$27)*后果有效剂量!$U11</f>
        <v>0.000107336812358587</v>
      </c>
      <c r="EJ37" s="332">
        <f>SUMPRODUCT(EJ$5:EJ$27,后果甲状腺剂量!$I$5:$I$27)*后果甲状腺剂量!$Q11+SUMPRODUCT(EK$5:EK$27,后果甲状腺剂量!$I$5:$I$27)*后果甲状腺剂量!$R11+SUMPRODUCT(EL$5:EL$27,后果甲状腺剂量!$I$5:$I$27)*后果甲状腺剂量!$S11+SUMPRODUCT(EM$5:EM$27,后果甲状腺剂量!$I$5:$I$27)*后果甲状腺剂量!$T11+SUMPRODUCT(EN$5:EN$27,后果甲状腺剂量!$I$5:$I$27)*后果甲状腺剂量!$U11+SUMPRODUCT(EJ$5:EJ$27,后果甲状腺剂量!$J$5:$J$27)*后果甲状腺剂量!$Q11*后果甲状腺剂量!$Q$3+SUMPRODUCT(EK$5:EK$27,后果甲状腺剂量!$J$5:$J$27)*后果甲状腺剂量!$R11*后果甲状腺剂量!$R$3+SUMPRODUCT(EL$5:EL$27,后果甲状腺剂量!$J$5:$J$27)*后果甲状腺剂量!$S11*后果甲状腺剂量!$S$3+SUMPRODUCT(EM$5:EM$27,后果甲状腺剂量!$J$5:$J$27)*后果甲状腺剂量!$T11*后果甲状腺剂量!$T$3+SUMPRODUCT(EN$5:EN$27,后果甲状腺剂量!$J$5:$J$27)*后果甲状腺剂量!$U11*后果甲状腺剂量!$U$3+SUMPRODUCT(EJ$5:EJ$27,后果甲状腺剂量!$K$5:$K$27)*后果甲状腺剂量!$Q11+SUMPRODUCT(EK$5:EK$27,后果甲状腺剂量!$K$5:$K$27)*后果甲状腺剂量!$R11+SUMPRODUCT(EL$5:EL$27,后果甲状腺剂量!$K$5:$K$27)*后果甲状腺剂量!$S11+SUMPRODUCT(EM$5:EM$27,后果甲状腺剂量!$K$5:$K$27)*后果甲状腺剂量!$T11+SUMPRODUCT(EN$5:EN$27,后果甲状腺剂量!$K$5:$K$27)*后果甲状腺剂量!$U11</f>
        <v>0.00121571363615682</v>
      </c>
      <c r="EK37" s="333">
        <f t="shared" si="154"/>
        <v>0.107336812358587</v>
      </c>
      <c r="EL37" s="333">
        <f t="shared" si="155"/>
        <v>1.21571363615682</v>
      </c>
      <c r="EM37" s="198"/>
      <c r="EN37" s="198"/>
    </row>
    <row r="38" spans="6:144">
      <c r="F38" s="200"/>
      <c r="G38" s="199"/>
      <c r="Q38" s="254"/>
      <c r="U38" s="253"/>
      <c r="X38" s="247"/>
      <c r="Y38" s="287"/>
      <c r="DM38" s="330" t="str">
        <f>后果有效剂量!$P12</f>
        <v>5000m</v>
      </c>
      <c r="DN38" s="331">
        <f ca="1">SUMPRODUCT(DN$5:DN$27,后果有效剂量!$I$5:$I$27)*后果有效剂量!$Q12+SUMPRODUCT(DO$5:DO$27,后果有效剂量!$I$5:$I$27)*后果有效剂量!$Q12+SUMPRODUCT(DP$5:DP$27,后果有效剂量!$I$5:$I$27)*后果有效剂量!$R12+SUMPRODUCT(DQ$5:DQ$27,后果有效剂量!$I$5:$I$27)*后果有效剂量!$S12+SUMPRODUCT(DR$5:DR$27,后果有效剂量!$I$5:$I$27)*后果有效剂量!$T12+SUMPRODUCT(DS$5:DS$27,后果有效剂量!$I$5:$I$27)*后果有效剂量!$U12+SUMPRODUCT(DN$5:DN$27,后果有效剂量!$J$5:$J$27)*后果有效剂量!$Q12*后果有效剂量!$Q$3+SUMPRODUCT(DO$5:DO$27,后果有效剂量!$J$5:$J$27)*后果有效剂量!$Q12*后果有效剂量!$Q$3+SUMPRODUCT(DP$5:DP$27,后果有效剂量!$J$5:$J$27)*后果有效剂量!$R12*后果有效剂量!$R$3+SUMPRODUCT(DQ$5:DQ$27,后果有效剂量!$J$5:$J$27)*后果有效剂量!$S12*后果有效剂量!$S$3+SUMPRODUCT(DR$5:DR$27,后果有效剂量!$J$5:$J$27)*后果有效剂量!$T12*后果有效剂量!$T$3+SUMPRODUCT(DS$5:DS$27,后果有效剂量!$J$5:$J$27)*后果有效剂量!$U12*后果有效剂量!$U$3+SUMPRODUCT(DN$5:DN$27,后果有效剂量!$K$5:$K$27)*后果有效剂量!$Q12+SUMPRODUCT(DO$5:DO$27,后果有效剂量!$K$5:$K$27)*后果有效剂量!$Q12+SUMPRODUCT(DP$5:DP$27,后果有效剂量!$K$5:$K$27)*后果有效剂量!$R12+SUMPRODUCT(DQ$5:DQ$27,后果有效剂量!$K$5:$K$27)*后果有效剂量!$S12+SUMPRODUCT(DR$5:DR$27,后果有效剂量!$K$5:$K$27)*后果有效剂量!$T12+SUMPRODUCT(DS$5:DS$27,后果有效剂量!$K$5:$K$27)*后果有效剂量!$U12</f>
        <v>0.00427335485111167</v>
      </c>
      <c r="DO38" s="332">
        <f ca="1">SUMPRODUCT(DN$5:DN$27,后果甲状腺剂量!$I$5:$I$27)*后果甲状腺剂量!$Q12+SUMPRODUCT(DO$5:DO$27,后果甲状腺剂量!$I$5:$I$27)*后果甲状腺剂量!$Q12+SUMPRODUCT(DP$5:DP$27,后果甲状腺剂量!$I$5:$I$27)*后果甲状腺剂量!$R12+SUMPRODUCT(DQ$5:DQ$27,后果甲状腺剂量!$I$5:$I$27)*后果甲状腺剂量!$S12+SUMPRODUCT(DR$5:DR$27,后果甲状腺剂量!$I$5:$I$27)*后果甲状腺剂量!$T12+SUMPRODUCT(DS$5:DS$27,后果甲状腺剂量!$I$5:$I$27)*后果甲状腺剂量!$U12+SUMPRODUCT(DN$5:DN$27,后果甲状腺剂量!$J$5:$J$27)*后果甲状腺剂量!$Q12*后果甲状腺剂量!$Q$3+SUMPRODUCT(DO$5:DO$27,后果甲状腺剂量!$J$5:$J$27)*后果甲状腺剂量!$Q12*后果甲状腺剂量!$Q$3+SUMPRODUCT(DP$5:DP$27,后果甲状腺剂量!$J$5:$J$27)*后果甲状腺剂量!$R12*后果甲状腺剂量!$R$3+SUMPRODUCT(DQ$5:DQ$27,后果甲状腺剂量!$J$5:$J$27)*后果甲状腺剂量!$S12*后果甲状腺剂量!$S$3+SUMPRODUCT(DR$5:DR$27,后果甲状腺剂量!$J$5:$J$27)*后果甲状腺剂量!$T12*后果甲状腺剂量!$T$3+SUMPRODUCT(DS$5:DS$27,后果甲状腺剂量!$J$5:$J$27)*后果甲状腺剂量!$U12*后果甲状腺剂量!$U$3+SUMPRODUCT(DN$5:DN$27,后果甲状腺剂量!$K$5:$K$27)*后果甲状腺剂量!$Q12+SUMPRODUCT(DO$5:DO$27,后果甲状腺剂量!$K$5:$K$27)*后果甲状腺剂量!$Q12+SUMPRODUCT(DP$5:DP$27,后果甲状腺剂量!$K$5:$K$27)*后果甲状腺剂量!$R12+SUMPRODUCT(DQ$5:DQ$27,后果甲状腺剂量!$K$5:$K$27)*后果甲状腺剂量!$S12+SUMPRODUCT(DR$5:DR$27,后果甲状腺剂量!$K$5:$K$27)*后果甲状腺剂量!$T12+SUMPRODUCT(DS$5:DS$27,后果甲状腺剂量!$K$5:$K$27)*后果甲状腺剂量!$U12</f>
        <v>0.129369213420113</v>
      </c>
      <c r="DP38" s="333">
        <f ca="1" t="shared" si="150"/>
        <v>4.27335485111167</v>
      </c>
      <c r="DQ38" s="333">
        <f ca="1" t="shared" si="151"/>
        <v>129.369213420113</v>
      </c>
      <c r="DR38" s="198"/>
      <c r="DS38" s="198"/>
      <c r="DW38" s="331">
        <f>SUMPRODUCT(DW$5:DW$27,后果有效剂量!$I$5:$I$27)*后果有效剂量!$Q12+SUMPRODUCT(DX$5:DX$27,后果有效剂量!$I$5:$I$27)*后果有效剂量!$R12+SUMPRODUCT(DY$5:DY$27,后果有效剂量!$I$5:$I$27)*后果有效剂量!$S12+SUMPRODUCT(DZ$5:DZ$27,后果有效剂量!$I$5:$I$27)*后果有效剂量!$T12+SUMPRODUCT(DW$5:DW$27,后果有效剂量!$J$5:$J$27)*后果有效剂量!$Q12*后果有效剂量!$Q$3+SUMPRODUCT(DX$5:DX$27,后果有效剂量!$J$5:$J$27)*后果有效剂量!$R12*后果有效剂量!$R$3+SUMPRODUCT(DY$5:DY$27,后果有效剂量!$J$5:$J$27)*后果有效剂量!$S12*后果有效剂量!$S$3+SUMPRODUCT(DZ$5:DZ$27,后果有效剂量!$J$5:$J$27)*后果有效剂量!$T12*后果有效剂量!$T$3+SUMPRODUCT(DW$5:DW$27,后果有效剂量!$K$5:$K$27)*后果有效剂量!$Q12+SUMPRODUCT(DX$5:DX$27,后果有效剂量!$K$5:$K$27)*后果有效剂量!$R12+SUMPRODUCT(DY$5:DY$27,后果有效剂量!$K$5:$K$27)*后果有效剂量!$S12+SUMPRODUCT(DZ$5:DZ$27,后果有效剂量!$K$5:$K$27)*后果有效剂量!$T12</f>
        <v>0.000103648738134949</v>
      </c>
      <c r="DX38" s="332">
        <f>SUMPRODUCT(DW$5:DW$27,后果甲状腺剂量!$I$5:$I$27)*后果甲状腺剂量!$Q12+SUMPRODUCT(DX$5:DX$27,后果甲状腺剂量!$I$5:$I$27)*后果甲状腺剂量!$R12+SUMPRODUCT(DY$5:DY$27,后果甲状腺剂量!$I$5:$I$27)*后果甲状腺剂量!$S12+SUMPRODUCT(DZ$5:DZ$27,后果甲状腺剂量!$I$5:$I$27)*后果甲状腺剂量!$T12+SUMPRODUCT(DW$5:DW$27,后果甲状腺剂量!$J$5:$J$27)*后果甲状腺剂量!$Q12*后果甲状腺剂量!$Q$3+SUMPRODUCT(DX$5:DX$27,后果甲状腺剂量!$J$5:$J$27)*后果甲状腺剂量!$R12*后果甲状腺剂量!$R$3+SUMPRODUCT(DY$5:DY$27,后果甲状腺剂量!$J$5:$J$27)*后果甲状腺剂量!$S12*后果甲状腺剂量!$S$3+SUMPRODUCT(DZ$5:DZ$27,后果甲状腺剂量!$J$5:$J$27)*后果甲状腺剂量!$T12*后果甲状腺剂量!$T$3+SUMPRODUCT(DW$5:DW$27,后果甲状腺剂量!$K$5:$K$27)*后果甲状腺剂量!$Q12+SUMPRODUCT(DX$5:DX$27,后果甲状腺剂量!$K$5:$K$27)*后果甲状腺剂量!$R12+SUMPRODUCT(DY$5:DY$27,后果甲状腺剂量!$K$5:$K$27)*后果甲状腺剂量!$S12+SUMPRODUCT(DZ$5:DZ$27,后果甲状腺剂量!$K$5:$K$27)*后果甲状腺剂量!$T12</f>
        <v>0.0105425543340823</v>
      </c>
      <c r="DY38" s="333">
        <f t="shared" si="152"/>
        <v>0.103648738134949</v>
      </c>
      <c r="DZ38" s="333">
        <f t="shared" si="153"/>
        <v>10.5425543340823</v>
      </c>
      <c r="EA38" s="198"/>
      <c r="EB38" s="198"/>
      <c r="EH38" s="330" t="str">
        <f>后果有效剂量!$P12</f>
        <v>5000m</v>
      </c>
      <c r="EI38" s="331">
        <f>SUMPRODUCT(EJ$5:EJ$27,后果有效剂量!$I$5:$I$27)*后果有效剂量!$Q12+SUMPRODUCT(EK$5:EK$27,后果有效剂量!$I$5:$I$27)*后果有效剂量!$R12+SUMPRODUCT(EL$5:EL$27,后果有效剂量!$I$5:$I$27)*后果有效剂量!$S12+SUMPRODUCT(EM$5:EM$27,后果有效剂量!$I$5:$I$27)*后果有效剂量!$T12+SUMPRODUCT(EN$5:EN$27,后果有效剂量!$I$5:$I$27)*后果有效剂量!$U12+SUMPRODUCT(EJ$5:EJ$27,后果有效剂量!$J$5:$J$27)*后果有效剂量!$Q12*后果有效剂量!$Q$3+SUMPRODUCT(EK$5:EK$27,后果有效剂量!$J$5:$J$27)*后果有效剂量!$R12*后果有效剂量!$R$3+SUMPRODUCT(EL$5:EL$27,后果有效剂量!$J$5:$J$27)*后果有效剂量!$S12*后果有效剂量!$S$3+SUMPRODUCT(EM$5:EM$27,后果有效剂量!$J$5:$J$27)*后果有效剂量!$T12*后果有效剂量!$T$3+SUMPRODUCT(EN$5:EN$27,后果有效剂量!$J$5:$J$27)*后果有效剂量!$U12*后果有效剂量!$U$3+SUMPRODUCT(EJ$5:EJ$27,后果有效剂量!$K$5:$K$27)*后果有效剂量!$Q12+SUMPRODUCT(EK$5:EK$27,后果有效剂量!$K$5:$K$27)*后果有效剂量!$R12+SUMPRODUCT(EL$5:EL$27,后果有效剂量!$K$5:$K$27)*后果有效剂量!$S12+SUMPRODUCT(EM$5:EM$27,后果有效剂量!$K$5:$K$27)*后果有效剂量!$T12+SUMPRODUCT(EN$5:EN$27,后果有效剂量!$K$5:$K$27)*后果有效剂量!$U12</f>
        <v>1.10928511470767e-5</v>
      </c>
      <c r="EJ38" s="332">
        <f>SUMPRODUCT(EJ$5:EJ$27,后果甲状腺剂量!$I$5:$I$27)*后果甲状腺剂量!$Q12+SUMPRODUCT(EK$5:EK$27,后果甲状腺剂量!$I$5:$I$27)*后果甲状腺剂量!$R12+SUMPRODUCT(EL$5:EL$27,后果甲状腺剂量!$I$5:$I$27)*后果甲状腺剂量!$S12+SUMPRODUCT(EM$5:EM$27,后果甲状腺剂量!$I$5:$I$27)*后果甲状腺剂量!$T12+SUMPRODUCT(EN$5:EN$27,后果甲状腺剂量!$I$5:$I$27)*后果甲状腺剂量!$U12+SUMPRODUCT(EJ$5:EJ$27,后果甲状腺剂量!$J$5:$J$27)*后果甲状腺剂量!$Q12*后果甲状腺剂量!$Q$3+SUMPRODUCT(EK$5:EK$27,后果甲状腺剂量!$J$5:$J$27)*后果甲状腺剂量!$R12*后果甲状腺剂量!$R$3+SUMPRODUCT(EL$5:EL$27,后果甲状腺剂量!$J$5:$J$27)*后果甲状腺剂量!$S12*后果甲状腺剂量!$S$3+SUMPRODUCT(EM$5:EM$27,后果甲状腺剂量!$J$5:$J$27)*后果甲状腺剂量!$T12*后果甲状腺剂量!$T$3+SUMPRODUCT(EN$5:EN$27,后果甲状腺剂量!$J$5:$J$27)*后果甲状腺剂量!$U12*后果甲状腺剂量!$U$3+SUMPRODUCT(EJ$5:EJ$27,后果甲状腺剂量!$K$5:$K$27)*后果甲状腺剂量!$Q12+SUMPRODUCT(EK$5:EK$27,后果甲状腺剂量!$K$5:$K$27)*后果甲状腺剂量!$R12+SUMPRODUCT(EL$5:EL$27,后果甲状腺剂量!$K$5:$K$27)*后果甲状腺剂量!$S12+SUMPRODUCT(EM$5:EM$27,后果甲状腺剂量!$K$5:$K$27)*后果甲状腺剂量!$T12+SUMPRODUCT(EN$5:EN$27,后果甲状腺剂量!$K$5:$K$27)*后果甲状腺剂量!$U12</f>
        <v>0.000936430321510431</v>
      </c>
      <c r="EK38" s="333">
        <f t="shared" si="154"/>
        <v>0.0110928511470767</v>
      </c>
      <c r="EL38" s="333">
        <f t="shared" si="155"/>
        <v>0.936430321510431</v>
      </c>
      <c r="EM38" s="198"/>
      <c r="EN38" s="198"/>
    </row>
    <row r="39" spans="6:144">
      <c r="F39" s="200"/>
      <c r="G39" s="199"/>
      <c r="Q39" s="254"/>
      <c r="U39" s="253"/>
      <c r="X39" s="247"/>
      <c r="Y39" s="287"/>
      <c r="DM39" s="330" t="str">
        <f>后果有效剂量!$P13</f>
        <v>7500m</v>
      </c>
      <c r="DN39" s="331">
        <f ca="1">SUMPRODUCT(DN$5:DN$27,后果有效剂量!$I$5:$I$27)*后果有效剂量!$Q13+SUMPRODUCT(DO$5:DO$27,后果有效剂量!$I$5:$I$27)*后果有效剂量!$Q13+SUMPRODUCT(DP$5:DP$27,后果有效剂量!$I$5:$I$27)*后果有效剂量!$R13+SUMPRODUCT(DQ$5:DQ$27,后果有效剂量!$I$5:$I$27)*后果有效剂量!$S13+SUMPRODUCT(DR$5:DR$27,后果有效剂量!$I$5:$I$27)*后果有效剂量!$T13+SUMPRODUCT(DS$5:DS$27,后果有效剂量!$I$5:$I$27)*后果有效剂量!$U13+SUMPRODUCT(DN$5:DN$27,后果有效剂量!$J$5:$J$27)*后果有效剂量!$Q13*后果有效剂量!$Q$3+SUMPRODUCT(DO$5:DO$27,后果有效剂量!$J$5:$J$27)*后果有效剂量!$Q13*后果有效剂量!$Q$3+SUMPRODUCT(DP$5:DP$27,后果有效剂量!$J$5:$J$27)*后果有效剂量!$R13*后果有效剂量!$R$3+SUMPRODUCT(DQ$5:DQ$27,后果有效剂量!$J$5:$J$27)*后果有效剂量!$S13*后果有效剂量!$S$3+SUMPRODUCT(DR$5:DR$27,后果有效剂量!$J$5:$J$27)*后果有效剂量!$T13*后果有效剂量!$T$3+SUMPRODUCT(DS$5:DS$27,后果有效剂量!$J$5:$J$27)*后果有效剂量!$U13*后果有效剂量!$U$3+SUMPRODUCT(DN$5:DN$27,后果有效剂量!$K$5:$K$27)*后果有效剂量!$Q13+SUMPRODUCT(DO$5:DO$27,后果有效剂量!$K$5:$K$27)*后果有效剂量!$Q13+SUMPRODUCT(DP$5:DP$27,后果有效剂量!$K$5:$K$27)*后果有效剂量!$R13+SUMPRODUCT(DQ$5:DQ$27,后果有效剂量!$K$5:$K$27)*后果有效剂量!$S13+SUMPRODUCT(DR$5:DR$27,后果有效剂量!$K$5:$K$27)*后果有效剂量!$T13+SUMPRODUCT(DS$5:DS$27,后果有效剂量!$K$5:$K$27)*后果有效剂量!$U13</f>
        <v>0.0244083997237702</v>
      </c>
      <c r="DO39" s="332">
        <f ca="1">SUMPRODUCT(DN$5:DN$27,后果甲状腺剂量!$I$5:$I$27)*后果甲状腺剂量!$Q13+SUMPRODUCT(DO$5:DO$27,后果甲状腺剂量!$I$5:$I$27)*后果甲状腺剂量!$Q13+SUMPRODUCT(DP$5:DP$27,后果甲状腺剂量!$I$5:$I$27)*后果甲状腺剂量!$R13+SUMPRODUCT(DQ$5:DQ$27,后果甲状腺剂量!$I$5:$I$27)*后果甲状腺剂量!$S13+SUMPRODUCT(DR$5:DR$27,后果甲状腺剂量!$I$5:$I$27)*后果甲状腺剂量!$T13+SUMPRODUCT(DS$5:DS$27,后果甲状腺剂量!$I$5:$I$27)*后果甲状腺剂量!$U13+SUMPRODUCT(DN$5:DN$27,后果甲状腺剂量!$J$5:$J$27)*后果甲状腺剂量!$Q13*后果甲状腺剂量!$Q$3+SUMPRODUCT(DO$5:DO$27,后果甲状腺剂量!$J$5:$J$27)*后果甲状腺剂量!$Q13*后果甲状腺剂量!$Q$3+SUMPRODUCT(DP$5:DP$27,后果甲状腺剂量!$J$5:$J$27)*后果甲状腺剂量!$R13*后果甲状腺剂量!$R$3+SUMPRODUCT(DQ$5:DQ$27,后果甲状腺剂量!$J$5:$J$27)*后果甲状腺剂量!$S13*后果甲状腺剂量!$S$3+SUMPRODUCT(DR$5:DR$27,后果甲状腺剂量!$J$5:$J$27)*后果甲状腺剂量!$T13*后果甲状腺剂量!$T$3+SUMPRODUCT(DS$5:DS$27,后果甲状腺剂量!$J$5:$J$27)*后果甲状腺剂量!$U13*后果甲状腺剂量!$U$3+SUMPRODUCT(DN$5:DN$27,后果甲状腺剂量!$K$5:$K$27)*后果甲状腺剂量!$Q13+SUMPRODUCT(DO$5:DO$27,后果甲状腺剂量!$K$5:$K$27)*后果甲状腺剂量!$Q13+SUMPRODUCT(DP$5:DP$27,后果甲状腺剂量!$K$5:$K$27)*后果甲状腺剂量!$R13+SUMPRODUCT(DQ$5:DQ$27,后果甲状腺剂量!$K$5:$K$27)*后果甲状腺剂量!$S13+SUMPRODUCT(DR$5:DR$27,后果甲状腺剂量!$K$5:$K$27)*后果甲状腺剂量!$T13+SUMPRODUCT(DS$5:DS$27,后果甲状腺剂量!$K$5:$K$27)*后果甲状腺剂量!$U13</f>
        <v>0.0884973017619605</v>
      </c>
      <c r="DP39" s="333">
        <f ca="1" t="shared" si="150"/>
        <v>24.4083997237702</v>
      </c>
      <c r="DQ39" s="333">
        <f ca="1" t="shared" si="151"/>
        <v>88.4973017619605</v>
      </c>
      <c r="DR39" s="198"/>
      <c r="DS39" s="198"/>
      <c r="DW39" s="331">
        <f>SUMPRODUCT(DW$5:DW$27,后果有效剂量!$I$5:$I$27)*后果有效剂量!$Q13+SUMPRODUCT(DX$5:DX$27,后果有效剂量!$I$5:$I$27)*后果有效剂量!$R13+SUMPRODUCT(DY$5:DY$27,后果有效剂量!$I$5:$I$27)*后果有效剂量!$S13+SUMPRODUCT(DZ$5:DZ$27,后果有效剂量!$I$5:$I$27)*后果有效剂量!$T13+SUMPRODUCT(DW$5:DW$27,后果有效剂量!$J$5:$J$27)*后果有效剂量!$Q13*后果有效剂量!$Q$3+SUMPRODUCT(DX$5:DX$27,后果有效剂量!$J$5:$J$27)*后果有效剂量!$R13*后果有效剂量!$R$3+SUMPRODUCT(DY$5:DY$27,后果有效剂量!$J$5:$J$27)*后果有效剂量!$S13*后果有效剂量!$S$3+SUMPRODUCT(DZ$5:DZ$27,后果有效剂量!$J$5:$J$27)*后果有效剂量!$T13*后果有效剂量!$T$3+SUMPRODUCT(DW$5:DW$27,后果有效剂量!$K$5:$K$27)*后果有效剂量!$Q13+SUMPRODUCT(DX$5:DX$27,后果有效剂量!$K$5:$K$27)*后果有效剂量!$R13+SUMPRODUCT(DY$5:DY$27,后果有效剂量!$K$5:$K$27)*后果有效剂量!$S13+SUMPRODUCT(DZ$5:DZ$27,后果有效剂量!$K$5:$K$27)*后果有效剂量!$T13</f>
        <v>0.000594176832165549</v>
      </c>
      <c r="DX39" s="332">
        <f>SUMPRODUCT(DW$5:DW$27,后果甲状腺剂量!$I$5:$I$27)*后果甲状腺剂量!$Q13+SUMPRODUCT(DX$5:DX$27,后果甲状腺剂量!$I$5:$I$27)*后果甲状腺剂量!$R13+SUMPRODUCT(DY$5:DY$27,后果甲状腺剂量!$I$5:$I$27)*后果甲状腺剂量!$S13+SUMPRODUCT(DZ$5:DZ$27,后果甲状腺剂量!$I$5:$I$27)*后果甲状腺剂量!$T13+SUMPRODUCT(DW$5:DW$27,后果甲状腺剂量!$J$5:$J$27)*后果甲状腺剂量!$Q13*后果甲状腺剂量!$Q$3+SUMPRODUCT(DX$5:DX$27,后果甲状腺剂量!$J$5:$J$27)*后果甲状腺剂量!$R13*后果甲状腺剂量!$R$3+SUMPRODUCT(DY$5:DY$27,后果甲状腺剂量!$J$5:$J$27)*后果甲状腺剂量!$S13*后果甲状腺剂量!$S$3+SUMPRODUCT(DZ$5:DZ$27,后果甲状腺剂量!$J$5:$J$27)*后果甲状腺剂量!$T13*后果甲状腺剂量!$T$3+SUMPRODUCT(DW$5:DW$27,后果甲状腺剂量!$K$5:$K$27)*后果甲状腺剂量!$Q13+SUMPRODUCT(DX$5:DX$27,后果甲状腺剂量!$K$5:$K$27)*后果甲状腺剂量!$R13+SUMPRODUCT(DY$5:DY$27,后果甲状腺剂量!$K$5:$K$27)*后果甲状腺剂量!$S13+SUMPRODUCT(DZ$5:DZ$27,后果甲状腺剂量!$K$5:$K$27)*后果甲状腺剂量!$T13</f>
        <v>0.00722061161174565</v>
      </c>
      <c r="DY39" s="333">
        <f t="shared" si="152"/>
        <v>0.594176832165549</v>
      </c>
      <c r="DZ39" s="333">
        <f t="shared" si="153"/>
        <v>7.22061161174565</v>
      </c>
      <c r="EA39" s="198"/>
      <c r="EB39" s="198"/>
      <c r="EH39" s="330" t="str">
        <f>后果有效剂量!$P13</f>
        <v>7500m</v>
      </c>
      <c r="EI39" s="331">
        <f>SUMPRODUCT(EJ$5:EJ$27,后果有效剂量!$I$5:$I$27)*后果有效剂量!$Q13+SUMPRODUCT(EK$5:EK$27,后果有效剂量!$I$5:$I$27)*后果有效剂量!$R13+SUMPRODUCT(EL$5:EL$27,后果有效剂量!$I$5:$I$27)*后果有效剂量!$S13+SUMPRODUCT(EM$5:EM$27,后果有效剂量!$I$5:$I$27)*后果有效剂量!$T13+SUMPRODUCT(EN$5:EN$27,后果有效剂量!$I$5:$I$27)*后果有效剂量!$U13+SUMPRODUCT(EJ$5:EJ$27,后果有效剂量!$J$5:$J$27)*后果有效剂量!$Q13*后果有效剂量!$Q$3+SUMPRODUCT(EK$5:EK$27,后果有效剂量!$J$5:$J$27)*后果有效剂量!$R13*后果有效剂量!$R$3+SUMPRODUCT(EL$5:EL$27,后果有效剂量!$J$5:$J$27)*后果有效剂量!$S13*后果有效剂量!$S$3+SUMPRODUCT(EM$5:EM$27,后果有效剂量!$J$5:$J$27)*后果有效剂量!$T13*后果有效剂量!$T$3+SUMPRODUCT(EN$5:EN$27,后果有效剂量!$J$5:$J$27)*后果有效剂量!$U13*后果有效剂量!$U$3+SUMPRODUCT(EJ$5:EJ$27,后果有效剂量!$K$5:$K$27)*后果有效剂量!$Q13+SUMPRODUCT(EK$5:EK$27,后果有效剂量!$K$5:$K$27)*后果有效剂量!$R13+SUMPRODUCT(EL$5:EL$27,后果有效剂量!$K$5:$K$27)*后果有效剂量!$S13+SUMPRODUCT(EM$5:EM$27,后果有效剂量!$K$5:$K$27)*后果有效剂量!$T13+SUMPRODUCT(EN$5:EN$27,后果有效剂量!$K$5:$K$27)*后果有效剂量!$U13</f>
        <v>5.33009929250981e-5</v>
      </c>
      <c r="EJ39" s="332">
        <f>SUMPRODUCT(EJ$5:EJ$27,后果甲状腺剂量!$I$5:$I$27)*后果甲状腺剂量!$Q13+SUMPRODUCT(EK$5:EK$27,后果甲状腺剂量!$I$5:$I$27)*后果甲状腺剂量!$R13+SUMPRODUCT(EL$5:EL$27,后果甲状腺剂量!$I$5:$I$27)*后果甲状腺剂量!$S13+SUMPRODUCT(EM$5:EM$27,后果甲状腺剂量!$I$5:$I$27)*后果甲状腺剂量!$T13+SUMPRODUCT(EN$5:EN$27,后果甲状腺剂量!$I$5:$I$27)*后果甲状腺剂量!$U13+SUMPRODUCT(EJ$5:EJ$27,后果甲状腺剂量!$J$5:$J$27)*后果甲状腺剂量!$Q13*后果甲状腺剂量!$Q$3+SUMPRODUCT(EK$5:EK$27,后果甲状腺剂量!$J$5:$J$27)*后果甲状腺剂量!$R13*后果甲状腺剂量!$R$3+SUMPRODUCT(EL$5:EL$27,后果甲状腺剂量!$J$5:$J$27)*后果甲状腺剂量!$S13*后果甲状腺剂量!$S$3+SUMPRODUCT(EM$5:EM$27,后果甲状腺剂量!$J$5:$J$27)*后果甲状腺剂量!$T13*后果甲状腺剂量!$T$3+SUMPRODUCT(EN$5:EN$27,后果甲状腺剂量!$J$5:$J$27)*后果甲状腺剂量!$U13*后果甲状腺剂量!$U$3+SUMPRODUCT(EJ$5:EJ$27,后果甲状腺剂量!$K$5:$K$27)*后果甲状腺剂量!$Q13+SUMPRODUCT(EK$5:EK$27,后果甲状腺剂量!$K$5:$K$27)*后果甲状腺剂量!$R13+SUMPRODUCT(EL$5:EL$27,后果甲状腺剂量!$K$5:$K$27)*后果甲状腺剂量!$S13+SUMPRODUCT(EM$5:EM$27,后果甲状腺剂量!$K$5:$K$27)*后果甲状腺剂量!$T13+SUMPRODUCT(EN$5:EN$27,后果甲状腺剂量!$K$5:$K$27)*后果甲状腺剂量!$U13</f>
        <v>0.000610385490262033</v>
      </c>
      <c r="EK39" s="333">
        <f t="shared" si="154"/>
        <v>0.0533009929250981</v>
      </c>
      <c r="EL39" s="333">
        <f t="shared" si="155"/>
        <v>0.610385490262033</v>
      </c>
      <c r="EM39" s="198"/>
      <c r="EN39" s="198"/>
    </row>
    <row r="40" spans="6:144">
      <c r="F40" s="200"/>
      <c r="G40" s="199"/>
      <c r="Q40" s="254"/>
      <c r="U40" s="253"/>
      <c r="X40" s="247"/>
      <c r="Y40" s="287"/>
      <c r="DM40" s="330" t="str">
        <f>后果有效剂量!$P14</f>
        <v>15000m</v>
      </c>
      <c r="DN40" s="331">
        <f ca="1">SUMPRODUCT(DN$5:DN$27,后果有效剂量!$I$5:$I$27)*后果有效剂量!$Q14+SUMPRODUCT(DO$5:DO$27,后果有效剂量!$I$5:$I$27)*后果有效剂量!$Q14+SUMPRODUCT(DP$5:DP$27,后果有效剂量!$I$5:$I$27)*后果有效剂量!$R14+SUMPRODUCT(DQ$5:DQ$27,后果有效剂量!$I$5:$I$27)*后果有效剂量!$S14+SUMPRODUCT(DR$5:DR$27,后果有效剂量!$I$5:$I$27)*后果有效剂量!$T14+SUMPRODUCT(DS$5:DS$27,后果有效剂量!$I$5:$I$27)*后果有效剂量!$U14+SUMPRODUCT(DN$5:DN$27,后果有效剂量!$J$5:$J$27)*后果有效剂量!$Q14*后果有效剂量!$Q$3+SUMPRODUCT(DO$5:DO$27,后果有效剂量!$J$5:$J$27)*后果有效剂量!$Q14*后果有效剂量!$Q$3+SUMPRODUCT(DP$5:DP$27,后果有效剂量!$J$5:$J$27)*后果有效剂量!$R14*后果有效剂量!$R$3+SUMPRODUCT(DQ$5:DQ$27,后果有效剂量!$J$5:$J$27)*后果有效剂量!$S14*后果有效剂量!$S$3+SUMPRODUCT(DR$5:DR$27,后果有效剂量!$J$5:$J$27)*后果有效剂量!$T14*后果有效剂量!$T$3+SUMPRODUCT(DS$5:DS$27,后果有效剂量!$J$5:$J$27)*后果有效剂量!$U14*后果有效剂量!$U$3+SUMPRODUCT(DN$5:DN$27,后果有效剂量!$K$5:$K$27)*后果有效剂量!$Q14+SUMPRODUCT(DO$5:DO$27,后果有效剂量!$K$5:$K$27)*后果有效剂量!$Q14+SUMPRODUCT(DP$5:DP$27,后果有效剂量!$K$5:$K$27)*后果有效剂量!$R14+SUMPRODUCT(DQ$5:DQ$27,后果有效剂量!$K$5:$K$27)*后果有效剂量!$S14+SUMPRODUCT(DR$5:DR$27,后果有效剂量!$K$5:$K$27)*后果有效剂量!$T14+SUMPRODUCT(DS$5:DS$27,后果有效剂量!$K$5:$K$27)*后果有效剂量!$U14</f>
        <v>0.0110625928725402</v>
      </c>
      <c r="DO40" s="332">
        <f ca="1">SUMPRODUCT(DN$5:DN$27,后果甲状腺剂量!$I$5:$I$27)*后果甲状腺剂量!$Q14+SUMPRODUCT(DO$5:DO$27,后果甲状腺剂量!$I$5:$I$27)*后果甲状腺剂量!$Q14+SUMPRODUCT(DP$5:DP$27,后果甲状腺剂量!$I$5:$I$27)*后果甲状腺剂量!$R14+SUMPRODUCT(DQ$5:DQ$27,后果甲状腺剂量!$I$5:$I$27)*后果甲状腺剂量!$S14+SUMPRODUCT(DR$5:DR$27,后果甲状腺剂量!$I$5:$I$27)*后果甲状腺剂量!$T14+SUMPRODUCT(DS$5:DS$27,后果甲状腺剂量!$I$5:$I$27)*后果甲状腺剂量!$U14+SUMPRODUCT(DN$5:DN$27,后果甲状腺剂量!$J$5:$J$27)*后果甲状腺剂量!$Q14*后果甲状腺剂量!$Q$3+SUMPRODUCT(DO$5:DO$27,后果甲状腺剂量!$J$5:$J$27)*后果甲状腺剂量!$Q14*后果甲状腺剂量!$Q$3+SUMPRODUCT(DP$5:DP$27,后果甲状腺剂量!$J$5:$J$27)*后果甲状腺剂量!$R14*后果甲状腺剂量!$R$3+SUMPRODUCT(DQ$5:DQ$27,后果甲状腺剂量!$J$5:$J$27)*后果甲状腺剂量!$S14*后果甲状腺剂量!$S$3+SUMPRODUCT(DR$5:DR$27,后果甲状腺剂量!$J$5:$J$27)*后果甲状腺剂量!$T14*后果甲状腺剂量!$T$3+SUMPRODUCT(DS$5:DS$27,后果甲状腺剂量!$J$5:$J$27)*后果甲状腺剂量!$U14*后果甲状腺剂量!$U$3+SUMPRODUCT(DN$5:DN$27,后果甲状腺剂量!$K$5:$K$27)*后果甲状腺剂量!$Q14+SUMPRODUCT(DO$5:DO$27,后果甲状腺剂量!$K$5:$K$27)*后果甲状腺剂量!$Q14+SUMPRODUCT(DP$5:DP$27,后果甲状腺剂量!$K$5:$K$27)*后果甲状腺剂量!$R14+SUMPRODUCT(DQ$5:DQ$27,后果甲状腺剂量!$K$5:$K$27)*后果甲状腺剂量!$S14+SUMPRODUCT(DR$5:DR$27,后果甲状腺剂量!$K$5:$K$27)*后果甲状腺剂量!$T14+SUMPRODUCT(DS$5:DS$27,后果甲状腺剂量!$K$5:$K$27)*后果甲状腺剂量!$U14</f>
        <v>0.0401038285387864</v>
      </c>
      <c r="DP40" s="333">
        <f ca="1" t="shared" si="150"/>
        <v>11.0625928725402</v>
      </c>
      <c r="DQ40" s="333">
        <f ca="1" t="shared" si="151"/>
        <v>40.1038285387864</v>
      </c>
      <c r="DR40" s="198"/>
      <c r="DS40" s="198"/>
      <c r="DW40" s="331">
        <f>SUMPRODUCT(DW$5:DW$27,后果有效剂量!$I$5:$I$27)*后果有效剂量!$Q14+SUMPRODUCT(DX$5:DX$27,后果有效剂量!$I$5:$I$27)*后果有效剂量!$R14+SUMPRODUCT(DY$5:DY$27,后果有效剂量!$I$5:$I$27)*后果有效剂量!$S14+SUMPRODUCT(DZ$5:DZ$27,后果有效剂量!$I$5:$I$27)*后果有效剂量!$T14+SUMPRODUCT(DW$5:DW$27,后果有效剂量!$J$5:$J$27)*后果有效剂量!$Q14*后果有效剂量!$Q$3+SUMPRODUCT(DX$5:DX$27,后果有效剂量!$J$5:$J$27)*后果有效剂量!$R14*后果有效剂量!$R$3+SUMPRODUCT(DY$5:DY$27,后果有效剂量!$J$5:$J$27)*后果有效剂量!$S14*后果有效剂量!$S$3+SUMPRODUCT(DZ$5:DZ$27,后果有效剂量!$J$5:$J$27)*后果有效剂量!$T14*后果有效剂量!$T$3+SUMPRODUCT(DW$5:DW$27,后果有效剂量!$K$5:$K$27)*后果有效剂量!$Q14+SUMPRODUCT(DX$5:DX$27,后果有效剂量!$K$5:$K$27)*后果有效剂量!$R14+SUMPRODUCT(DY$5:DY$27,后果有效剂量!$K$5:$K$27)*后果有效剂量!$S14+SUMPRODUCT(DZ$5:DZ$27,后果有效剂量!$K$5:$K$27)*后果有效剂量!$T14</f>
        <v>0.000269562652292358</v>
      </c>
      <c r="DX40" s="332">
        <f>SUMPRODUCT(DW$5:DW$27,后果甲状腺剂量!$I$5:$I$27)*后果甲状腺剂量!$Q14+SUMPRODUCT(DX$5:DX$27,后果甲状腺剂量!$I$5:$I$27)*后果甲状腺剂量!$R14+SUMPRODUCT(DY$5:DY$27,后果甲状腺剂量!$I$5:$I$27)*后果甲状腺剂量!$S14+SUMPRODUCT(DZ$5:DZ$27,后果甲状腺剂量!$I$5:$I$27)*后果甲状腺剂量!$T14+SUMPRODUCT(DW$5:DW$27,后果甲状腺剂量!$J$5:$J$27)*后果甲状腺剂量!$Q14*后果甲状腺剂量!$Q$3+SUMPRODUCT(DX$5:DX$27,后果甲状腺剂量!$J$5:$J$27)*后果甲状腺剂量!$R14*后果甲状腺剂量!$R$3+SUMPRODUCT(DY$5:DY$27,后果甲状腺剂量!$J$5:$J$27)*后果甲状腺剂量!$S14*后果甲状腺剂量!$S$3+SUMPRODUCT(DZ$5:DZ$27,后果甲状腺剂量!$J$5:$J$27)*后果甲状腺剂量!$T14*后果甲状腺剂量!$T$3+SUMPRODUCT(DW$5:DW$27,后果甲状腺剂量!$K$5:$K$27)*后果甲状腺剂量!$Q14+SUMPRODUCT(DX$5:DX$27,后果甲状腺剂量!$K$5:$K$27)*后果甲状腺剂量!$R14+SUMPRODUCT(DY$5:DY$27,后果甲状腺剂量!$K$5:$K$27)*后果甲状腺剂量!$S14+SUMPRODUCT(DZ$5:DZ$27,后果甲状腺剂量!$K$5:$K$27)*后果甲状腺剂量!$T14</f>
        <v>0.00327580462897087</v>
      </c>
      <c r="DY40" s="333">
        <f t="shared" si="152"/>
        <v>0.269562652292358</v>
      </c>
      <c r="DZ40" s="333">
        <f t="shared" si="153"/>
        <v>3.27580462897087</v>
      </c>
      <c r="EA40" s="198"/>
      <c r="EB40" s="198"/>
      <c r="EH40" s="330" t="str">
        <f>后果有效剂量!$P14</f>
        <v>15000m</v>
      </c>
      <c r="EI40" s="331">
        <f>SUMPRODUCT(EJ$5:EJ$27,后果有效剂量!$I$5:$I$27)*后果有效剂量!$Q14+SUMPRODUCT(EK$5:EK$27,后果有效剂量!$I$5:$I$27)*后果有效剂量!$R14+SUMPRODUCT(EL$5:EL$27,后果有效剂量!$I$5:$I$27)*后果有效剂量!$S14+SUMPRODUCT(EM$5:EM$27,后果有效剂量!$I$5:$I$27)*后果有效剂量!$T14+SUMPRODUCT(EN$5:EN$27,后果有效剂量!$I$5:$I$27)*后果有效剂量!$U14+SUMPRODUCT(EJ$5:EJ$27,后果有效剂量!$J$5:$J$27)*后果有效剂量!$Q14*后果有效剂量!$Q$3+SUMPRODUCT(EK$5:EK$27,后果有效剂量!$J$5:$J$27)*后果有效剂量!$R14*后果有效剂量!$R$3+SUMPRODUCT(EL$5:EL$27,后果有效剂量!$J$5:$J$27)*后果有效剂量!$S14*后果有效剂量!$S$3+SUMPRODUCT(EM$5:EM$27,后果有效剂量!$J$5:$J$27)*后果有效剂量!$T14*后果有效剂量!$T$3+SUMPRODUCT(EN$5:EN$27,后果有效剂量!$J$5:$J$27)*后果有效剂量!$U14*后果有效剂量!$U$3+SUMPRODUCT(EJ$5:EJ$27,后果有效剂量!$K$5:$K$27)*后果有效剂量!$Q14+SUMPRODUCT(EK$5:EK$27,后果有效剂量!$K$5:$K$27)*后果有效剂量!$R14+SUMPRODUCT(EL$5:EL$27,后果有效剂量!$K$5:$K$27)*后果有效剂量!$S14+SUMPRODUCT(EM$5:EM$27,后果有效剂量!$K$5:$K$27)*后果有效剂量!$T14+SUMPRODUCT(EN$5:EN$27,后果有效剂量!$K$5:$K$27)*后果有效剂量!$U14</f>
        <v>2.29154081087638e-5</v>
      </c>
      <c r="EJ40" s="332">
        <f>SUMPRODUCT(EJ$5:EJ$27,后果甲状腺剂量!$I$5:$I$27)*后果甲状腺剂量!$Q14+SUMPRODUCT(EK$5:EK$27,后果甲状腺剂量!$I$5:$I$27)*后果甲状腺剂量!$R14+SUMPRODUCT(EL$5:EL$27,后果甲状腺剂量!$I$5:$I$27)*后果甲状腺剂量!$S14+SUMPRODUCT(EM$5:EM$27,后果甲状腺剂量!$I$5:$I$27)*后果甲状腺剂量!$T14+SUMPRODUCT(EN$5:EN$27,后果甲状腺剂量!$I$5:$I$27)*后果甲状腺剂量!$U14+SUMPRODUCT(EJ$5:EJ$27,后果甲状腺剂量!$J$5:$J$27)*后果甲状腺剂量!$Q14*后果甲状腺剂量!$Q$3+SUMPRODUCT(EK$5:EK$27,后果甲状腺剂量!$J$5:$J$27)*后果甲状腺剂量!$R14*后果甲状腺剂量!$R$3+SUMPRODUCT(EL$5:EL$27,后果甲状腺剂量!$J$5:$J$27)*后果甲状腺剂量!$S14*后果甲状腺剂量!$S$3+SUMPRODUCT(EM$5:EM$27,后果甲状腺剂量!$J$5:$J$27)*后果甲状腺剂量!$T14*后果甲状腺剂量!$T$3+SUMPRODUCT(EN$5:EN$27,后果甲状腺剂量!$J$5:$J$27)*后果甲状腺剂量!$U14*后果甲状腺剂量!$U$3+SUMPRODUCT(EJ$5:EJ$27,后果甲状腺剂量!$K$5:$K$27)*后果甲状腺剂量!$Q14+SUMPRODUCT(EK$5:EK$27,后果甲状腺剂量!$K$5:$K$27)*后果甲状腺剂量!$R14+SUMPRODUCT(EL$5:EL$27,后果甲状腺剂量!$K$5:$K$27)*后果甲状腺剂量!$S14+SUMPRODUCT(EM$5:EM$27,后果甲状腺剂量!$K$5:$K$27)*后果甲状腺剂量!$T14+SUMPRODUCT(EN$5:EN$27,后果甲状腺剂量!$K$5:$K$27)*后果甲状腺剂量!$U14</f>
        <v>0.000264215065814039</v>
      </c>
      <c r="EK40" s="333">
        <f t="shared" si="154"/>
        <v>0.0229154081087638</v>
      </c>
      <c r="EL40" s="333">
        <f t="shared" si="155"/>
        <v>0.264215065814039</v>
      </c>
      <c r="EM40" s="198"/>
      <c r="EN40" s="198"/>
    </row>
    <row r="41" spans="17:144">
      <c r="Q41" s="254"/>
      <c r="U41" s="253"/>
      <c r="X41" s="247"/>
      <c r="Y41" s="287"/>
      <c r="DM41" s="330" t="str">
        <f>后果有效剂量!$P15</f>
        <v>25000m</v>
      </c>
      <c r="DN41" s="331">
        <f ca="1">SUMPRODUCT(DN$5:DN$27,后果有效剂量!$I$5:$I$27)*后果有效剂量!$Q15+SUMPRODUCT(DO$5:DO$27,后果有效剂量!$I$5:$I$27)*后果有效剂量!$Q15+SUMPRODUCT(DP$5:DP$27,后果有效剂量!$I$5:$I$27)*后果有效剂量!$R15+SUMPRODUCT(DQ$5:DQ$27,后果有效剂量!$I$5:$I$27)*后果有效剂量!$S15+SUMPRODUCT(DR$5:DR$27,后果有效剂量!$I$5:$I$27)*后果有效剂量!$T15+SUMPRODUCT(DS$5:DS$27,后果有效剂量!$I$5:$I$27)*后果有效剂量!$U15+SUMPRODUCT(DN$5:DN$27,后果有效剂量!$J$5:$J$27)*后果有效剂量!$Q15*后果有效剂量!$Q$3+SUMPRODUCT(DO$5:DO$27,后果有效剂量!$J$5:$J$27)*后果有效剂量!$Q15*后果有效剂量!$Q$3+SUMPRODUCT(DP$5:DP$27,后果有效剂量!$J$5:$J$27)*后果有效剂量!$R15*后果有效剂量!$R$3+SUMPRODUCT(DQ$5:DQ$27,后果有效剂量!$J$5:$J$27)*后果有效剂量!$S15*后果有效剂量!$S$3+SUMPRODUCT(DR$5:DR$27,后果有效剂量!$J$5:$J$27)*后果有效剂量!$T15*后果有效剂量!$T$3+SUMPRODUCT(DS$5:DS$27,后果有效剂量!$J$5:$J$27)*后果有效剂量!$U15*后果有效剂量!$U$3+SUMPRODUCT(DN$5:DN$27,后果有效剂量!$K$5:$K$27)*后果有效剂量!$Q15+SUMPRODUCT(DO$5:DO$27,后果有效剂量!$K$5:$K$27)*后果有效剂量!$Q15+SUMPRODUCT(DP$5:DP$27,后果有效剂量!$K$5:$K$27)*后果有效剂量!$R15+SUMPRODUCT(DQ$5:DQ$27,后果有效剂量!$K$5:$K$27)*后果有效剂量!$S15+SUMPRODUCT(DR$5:DR$27,后果有效剂量!$K$5:$K$27)*后果有效剂量!$T15+SUMPRODUCT(DS$5:DS$27,后果有效剂量!$K$5:$K$27)*后果有效剂量!$U15</f>
        <v>0.00051399575721661</v>
      </c>
      <c r="DO41" s="332">
        <f ca="1">SUMPRODUCT(DN$5:DN$27,后果甲状腺剂量!$I$5:$I$27)*后果甲状腺剂量!$Q15+SUMPRODUCT(DO$5:DO$27,后果甲状腺剂量!$I$5:$I$27)*后果甲状腺剂量!$Q15+SUMPRODUCT(DP$5:DP$27,后果甲状腺剂量!$I$5:$I$27)*后果甲状腺剂量!$R15+SUMPRODUCT(DQ$5:DQ$27,后果甲状腺剂量!$I$5:$I$27)*后果甲状腺剂量!$S15+SUMPRODUCT(DR$5:DR$27,后果甲状腺剂量!$I$5:$I$27)*后果甲状腺剂量!$T15+SUMPRODUCT(DS$5:DS$27,后果甲状腺剂量!$I$5:$I$27)*后果甲状腺剂量!$U15+SUMPRODUCT(DN$5:DN$27,后果甲状腺剂量!$J$5:$J$27)*后果甲状腺剂量!$Q15*后果甲状腺剂量!$Q$3+SUMPRODUCT(DO$5:DO$27,后果甲状腺剂量!$J$5:$J$27)*后果甲状腺剂量!$Q15*后果甲状腺剂量!$Q$3+SUMPRODUCT(DP$5:DP$27,后果甲状腺剂量!$J$5:$J$27)*后果甲状腺剂量!$R15*后果甲状腺剂量!$R$3+SUMPRODUCT(DQ$5:DQ$27,后果甲状腺剂量!$J$5:$J$27)*后果甲状腺剂量!$S15*后果甲状腺剂量!$S$3+SUMPRODUCT(DR$5:DR$27,后果甲状腺剂量!$J$5:$J$27)*后果甲状腺剂量!$T15*后果甲状腺剂量!$T$3+SUMPRODUCT(DS$5:DS$27,后果甲状腺剂量!$J$5:$J$27)*后果甲状腺剂量!$U15*后果甲状腺剂量!$U$3+SUMPRODUCT(DN$5:DN$27,后果甲状腺剂量!$K$5:$K$27)*后果甲状腺剂量!$Q15+SUMPRODUCT(DO$5:DO$27,后果甲状腺剂量!$K$5:$K$27)*后果甲状腺剂量!$Q15+SUMPRODUCT(DP$5:DP$27,后果甲状腺剂量!$K$5:$K$27)*后果甲状腺剂量!$R15+SUMPRODUCT(DQ$5:DQ$27,后果甲状腺剂量!$K$5:$K$27)*后果甲状腺剂量!$S15+SUMPRODUCT(DR$5:DR$27,后果甲状腺剂量!$K$5:$K$27)*后果甲状腺剂量!$T15+SUMPRODUCT(DS$5:DS$27,后果甲状腺剂量!$K$5:$K$27)*后果甲状腺剂量!$U15</f>
        <v>0.0116167998602173</v>
      </c>
      <c r="DP41" s="333">
        <f ca="1" t="shared" si="150"/>
        <v>0.51399575721661</v>
      </c>
      <c r="DQ41" s="333">
        <f ca="1" t="shared" si="151"/>
        <v>11.6167998602173</v>
      </c>
      <c r="DR41" s="198"/>
      <c r="DS41" s="198"/>
      <c r="DW41" s="331">
        <f>SUMPRODUCT(DW$5:DW$27,后果有效剂量!$I$5:$I$27)*后果有效剂量!$Q15+SUMPRODUCT(DX$5:DX$27,后果有效剂量!$I$5:$I$27)*后果有效剂量!$R15+SUMPRODUCT(DY$5:DY$27,后果有效剂量!$I$5:$I$27)*后果有效剂量!$S15+SUMPRODUCT(DZ$5:DZ$27,后果有效剂量!$I$5:$I$27)*后果有效剂量!$T15+SUMPRODUCT(DW$5:DW$27,后果有效剂量!$J$5:$J$27)*后果有效剂量!$Q15*后果有效剂量!$Q$3+SUMPRODUCT(DX$5:DX$27,后果有效剂量!$J$5:$J$27)*后果有效剂量!$R15*后果有效剂量!$R$3+SUMPRODUCT(DY$5:DY$27,后果有效剂量!$J$5:$J$27)*后果有效剂量!$S15*后果有效剂量!$S$3+SUMPRODUCT(DZ$5:DZ$27,后果有效剂量!$J$5:$J$27)*后果有效剂量!$T15*后果有效剂量!$T$3+SUMPRODUCT(DW$5:DW$27,后果有效剂量!$K$5:$K$27)*后果有效剂量!$Q15+SUMPRODUCT(DX$5:DX$27,后果有效剂量!$K$5:$K$27)*后果有效剂量!$R15+SUMPRODUCT(DY$5:DY$27,后果有效剂量!$K$5:$K$27)*后果有效剂量!$S15+SUMPRODUCT(DZ$5:DZ$27,后果有效剂量!$K$5:$K$27)*后果有效剂量!$T15</f>
        <v>1.25099850606101e-5</v>
      </c>
      <c r="DX41" s="332">
        <f>SUMPRODUCT(DW$5:DW$27,后果甲状腺剂量!$I$5:$I$27)*后果甲状腺剂量!$Q15+SUMPRODUCT(DX$5:DX$27,后果甲状腺剂量!$I$5:$I$27)*后果甲状腺剂量!$R15+SUMPRODUCT(DY$5:DY$27,后果甲状腺剂量!$I$5:$I$27)*后果甲状腺剂量!$S15+SUMPRODUCT(DZ$5:DZ$27,后果甲状腺剂量!$I$5:$I$27)*后果甲状腺剂量!$T15+SUMPRODUCT(DW$5:DW$27,后果甲状腺剂量!$J$5:$J$27)*后果甲状腺剂量!$Q15*后果甲状腺剂量!$Q$3+SUMPRODUCT(DX$5:DX$27,后果甲状腺剂量!$J$5:$J$27)*后果甲状腺剂量!$R15*后果甲状腺剂量!$R$3+SUMPRODUCT(DY$5:DY$27,后果甲状腺剂量!$J$5:$J$27)*后果甲状腺剂量!$S15*后果甲状腺剂量!$S$3+SUMPRODUCT(DZ$5:DZ$27,后果甲状腺剂量!$J$5:$J$27)*后果甲状腺剂量!$T15*后果甲状腺剂量!$T$3+SUMPRODUCT(DW$5:DW$27,后果甲状腺剂量!$K$5:$K$27)*后果甲状腺剂量!$Q15+SUMPRODUCT(DX$5:DX$27,后果甲状腺剂量!$K$5:$K$27)*后果甲状腺剂量!$R15+SUMPRODUCT(DY$5:DY$27,后果甲状腺剂量!$K$5:$K$27)*后果甲状腺剂量!$S15+SUMPRODUCT(DZ$5:DZ$27,后果甲状腺剂量!$K$5:$K$27)*后果甲状腺剂量!$T15</f>
        <v>0.00094813781866692</v>
      </c>
      <c r="DY41" s="333">
        <f t="shared" si="152"/>
        <v>0.0125099850606101</v>
      </c>
      <c r="DZ41" s="333">
        <f t="shared" si="153"/>
        <v>0.94813781866692</v>
      </c>
      <c r="EA41" s="198"/>
      <c r="EB41" s="198"/>
      <c r="EH41" s="330" t="str">
        <f>后果有效剂量!$P15</f>
        <v>25000m</v>
      </c>
      <c r="EI41" s="331">
        <f>SUMPRODUCT(EJ$5:EJ$27,后果有效剂量!$I$5:$I$27)*后果有效剂量!$Q15+SUMPRODUCT(EK$5:EK$27,后果有效剂量!$I$5:$I$27)*后果有效剂量!$R15+SUMPRODUCT(EL$5:EL$27,后果有效剂量!$I$5:$I$27)*后果有效剂量!$S15+SUMPRODUCT(EM$5:EM$27,后果有效剂量!$I$5:$I$27)*后果有效剂量!$T15+SUMPRODUCT(EN$5:EN$27,后果有效剂量!$I$5:$I$27)*后果有效剂量!$U15+SUMPRODUCT(EJ$5:EJ$27,后果有效剂量!$J$5:$J$27)*后果有效剂量!$Q15*后果有效剂量!$Q$3+SUMPRODUCT(EK$5:EK$27,后果有效剂量!$J$5:$J$27)*后果有效剂量!$R15*后果有效剂量!$R$3+SUMPRODUCT(EL$5:EL$27,后果有效剂量!$J$5:$J$27)*后果有效剂量!$S15*后果有效剂量!$S$3+SUMPRODUCT(EM$5:EM$27,后果有效剂量!$J$5:$J$27)*后果有效剂量!$T15*后果有效剂量!$T$3+SUMPRODUCT(EN$5:EN$27,后果有效剂量!$J$5:$J$27)*后果有效剂量!$U15*后果有效剂量!$U$3+SUMPRODUCT(EJ$5:EJ$27,后果有效剂量!$K$5:$K$27)*后果有效剂量!$Q15+SUMPRODUCT(EK$5:EK$27,后果有效剂量!$K$5:$K$27)*后果有效剂量!$R15+SUMPRODUCT(EL$5:EL$27,后果有效剂量!$K$5:$K$27)*后果有效剂量!$S15+SUMPRODUCT(EM$5:EM$27,后果有效剂量!$K$5:$K$27)*后果有效剂量!$T15+SUMPRODUCT(EN$5:EN$27,后果有效剂量!$K$5:$K$27)*后果有效剂量!$U15</f>
        <v>1.129241448615e-6</v>
      </c>
      <c r="EJ41" s="332">
        <f>SUMPRODUCT(EJ$5:EJ$27,后果甲状腺剂量!$I$5:$I$27)*后果甲状腺剂量!$Q15+SUMPRODUCT(EK$5:EK$27,后果甲状腺剂量!$I$5:$I$27)*后果甲状腺剂量!$R15+SUMPRODUCT(EL$5:EL$27,后果甲状腺剂量!$I$5:$I$27)*后果甲状腺剂量!$S15+SUMPRODUCT(EM$5:EM$27,后果甲状腺剂量!$I$5:$I$27)*后果甲状腺剂量!$T15+SUMPRODUCT(EN$5:EN$27,后果甲状腺剂量!$I$5:$I$27)*后果甲状腺剂量!$U15+SUMPRODUCT(EJ$5:EJ$27,后果甲状腺剂量!$J$5:$J$27)*后果甲状腺剂量!$Q15*后果甲状腺剂量!$Q$3+SUMPRODUCT(EK$5:EK$27,后果甲状腺剂量!$J$5:$J$27)*后果甲状腺剂量!$R15*后果甲状腺剂量!$R$3+SUMPRODUCT(EL$5:EL$27,后果甲状腺剂量!$J$5:$J$27)*后果甲状腺剂量!$S15*后果甲状腺剂量!$S$3+SUMPRODUCT(EM$5:EM$27,后果甲状腺剂量!$J$5:$J$27)*后果甲状腺剂量!$T15*后果甲状腺剂量!$T$3+SUMPRODUCT(EN$5:EN$27,后果甲状腺剂量!$J$5:$J$27)*后果甲状腺剂量!$U15*后果甲状腺剂量!$U$3+SUMPRODUCT(EJ$5:EJ$27,后果甲状腺剂量!$K$5:$K$27)*后果甲状腺剂量!$Q15+SUMPRODUCT(EK$5:EK$27,后果甲状腺剂量!$K$5:$K$27)*后果甲状腺剂量!$R15+SUMPRODUCT(EL$5:EL$27,后果甲状腺剂量!$K$5:$K$27)*后果甲状腺剂量!$S15+SUMPRODUCT(EM$5:EM$27,后果甲状腺剂量!$K$5:$K$27)*后果甲状腺剂量!$T15+SUMPRODUCT(EN$5:EN$27,后果甲状腺剂量!$K$5:$K$27)*后果甲状腺剂量!$U15</f>
        <v>7.90834740894043e-5</v>
      </c>
      <c r="EK41" s="333">
        <f t="shared" si="154"/>
        <v>0.001129241448615</v>
      </c>
      <c r="EL41" s="333">
        <f t="shared" si="155"/>
        <v>0.0790834740894043</v>
      </c>
      <c r="EM41" s="198"/>
      <c r="EN41" s="198"/>
    </row>
    <row r="42" spans="17:144">
      <c r="Q42" s="254"/>
      <c r="U42" s="253"/>
      <c r="X42" s="247"/>
      <c r="Y42" s="287"/>
      <c r="DM42" s="330" t="str">
        <f>后果有效剂量!$P16</f>
        <v>35000m</v>
      </c>
      <c r="DN42" s="331">
        <f ca="1">SUMPRODUCT(DN$5:DN$27,后果有效剂量!$I$5:$I$27)*后果有效剂量!$Q16+SUMPRODUCT(DO$5:DO$27,后果有效剂量!$I$5:$I$27)*后果有效剂量!$Q16+SUMPRODUCT(DP$5:DP$27,后果有效剂量!$I$5:$I$27)*后果有效剂量!$R16+SUMPRODUCT(DQ$5:DQ$27,后果有效剂量!$I$5:$I$27)*后果有效剂量!$S16+SUMPRODUCT(DR$5:DR$27,后果有效剂量!$I$5:$I$27)*后果有效剂量!$T16+SUMPRODUCT(DS$5:DS$27,后果有效剂量!$I$5:$I$27)*后果有效剂量!$U16+SUMPRODUCT(DN$5:DN$27,后果有效剂量!$J$5:$J$27)*后果有效剂量!$Q16*后果有效剂量!$Q$3+SUMPRODUCT(DO$5:DO$27,后果有效剂量!$J$5:$J$27)*后果有效剂量!$Q16*后果有效剂量!$Q$3+SUMPRODUCT(DP$5:DP$27,后果有效剂量!$J$5:$J$27)*后果有效剂量!$R16*后果有效剂量!$R$3+SUMPRODUCT(DQ$5:DQ$27,后果有效剂量!$J$5:$J$27)*后果有效剂量!$S16*后果有效剂量!$S$3+SUMPRODUCT(DR$5:DR$27,后果有效剂量!$J$5:$J$27)*后果有效剂量!$T16*后果有效剂量!$T$3+SUMPRODUCT(DS$5:DS$27,后果有效剂量!$J$5:$J$27)*后果有效剂量!$U16*后果有效剂量!$U$3+SUMPRODUCT(DN$5:DN$27,后果有效剂量!$K$5:$K$27)*后果有效剂量!$Q16+SUMPRODUCT(DO$5:DO$27,后果有效剂量!$K$5:$K$27)*后果有效剂量!$Q16+SUMPRODUCT(DP$5:DP$27,后果有效剂量!$K$5:$K$27)*后果有效剂量!$R16+SUMPRODUCT(DQ$5:DQ$27,后果有效剂量!$K$5:$K$27)*后果有效剂量!$S16+SUMPRODUCT(DR$5:DR$27,后果有效剂量!$K$5:$K$27)*后果有效剂量!$T16+SUMPRODUCT(DS$5:DS$27,后果有效剂量!$K$5:$K$27)*后果有效剂量!$U16</f>
        <v>0.00028708293198237</v>
      </c>
      <c r="DO42" s="332">
        <f ca="1">SUMPRODUCT(DN$5:DN$27,后果甲状腺剂量!$I$5:$I$27)*后果甲状腺剂量!$Q16+SUMPRODUCT(DO$5:DO$27,后果甲状腺剂量!$I$5:$I$27)*后果甲状腺剂量!$Q16+SUMPRODUCT(DP$5:DP$27,后果甲状腺剂量!$I$5:$I$27)*后果甲状腺剂量!$R16+SUMPRODUCT(DQ$5:DQ$27,后果甲状腺剂量!$I$5:$I$27)*后果甲状腺剂量!$S16+SUMPRODUCT(DR$5:DR$27,后果甲状腺剂量!$I$5:$I$27)*后果甲状腺剂量!$T16+SUMPRODUCT(DS$5:DS$27,后果甲状腺剂量!$I$5:$I$27)*后果甲状腺剂量!$U16+SUMPRODUCT(DN$5:DN$27,后果甲状腺剂量!$J$5:$J$27)*后果甲状腺剂量!$Q16*后果甲状腺剂量!$Q$3+SUMPRODUCT(DO$5:DO$27,后果甲状腺剂量!$J$5:$J$27)*后果甲状腺剂量!$Q16*后果甲状腺剂量!$Q$3+SUMPRODUCT(DP$5:DP$27,后果甲状腺剂量!$J$5:$J$27)*后果甲状腺剂量!$R16*后果甲状腺剂量!$R$3+SUMPRODUCT(DQ$5:DQ$27,后果甲状腺剂量!$J$5:$J$27)*后果甲状腺剂量!$S16*后果甲状腺剂量!$S$3+SUMPRODUCT(DR$5:DR$27,后果甲状腺剂量!$J$5:$J$27)*后果甲状腺剂量!$T16*后果甲状腺剂量!$T$3+SUMPRODUCT(DS$5:DS$27,后果甲状腺剂量!$J$5:$J$27)*后果甲状腺剂量!$U16*后果甲状腺剂量!$U$3+SUMPRODUCT(DN$5:DN$27,后果甲状腺剂量!$K$5:$K$27)*后果甲状腺剂量!$Q16+SUMPRODUCT(DO$5:DO$27,后果甲状腺剂量!$K$5:$K$27)*后果甲状腺剂量!$Q16+SUMPRODUCT(DP$5:DP$27,后果甲状腺剂量!$K$5:$K$27)*后果甲状腺剂量!$R16+SUMPRODUCT(DQ$5:DQ$27,后果甲状腺剂量!$K$5:$K$27)*后果甲状腺剂量!$S16+SUMPRODUCT(DR$5:DR$27,后果甲状腺剂量!$K$5:$K$27)*后果甲状腺剂量!$T16+SUMPRODUCT(DS$5:DS$27,后果甲状腺剂量!$K$5:$K$27)*后果甲状腺剂量!$U16</f>
        <v>0.00582430176846079</v>
      </c>
      <c r="DP42" s="333">
        <f ca="1" t="shared" si="150"/>
        <v>0.28708293198237</v>
      </c>
      <c r="DQ42" s="333">
        <f ca="1" t="shared" si="151"/>
        <v>5.82430176846079</v>
      </c>
      <c r="DR42" s="198"/>
      <c r="DS42" s="198"/>
      <c r="DW42" s="331">
        <f>SUMPRODUCT(DW$5:DW$27,后果有效剂量!$I$5:$I$27)*后果有效剂量!$Q16+SUMPRODUCT(DX$5:DX$27,后果有效剂量!$I$5:$I$27)*后果有效剂量!$R16+SUMPRODUCT(DY$5:DY$27,后果有效剂量!$I$5:$I$27)*后果有效剂量!$S16+SUMPRODUCT(DZ$5:DZ$27,后果有效剂量!$I$5:$I$27)*后果有效剂量!$T16+SUMPRODUCT(DW$5:DW$27,后果有效剂量!$J$5:$J$27)*后果有效剂量!$Q16*后果有效剂量!$Q$3+SUMPRODUCT(DX$5:DX$27,后果有效剂量!$J$5:$J$27)*后果有效剂量!$R16*后果有效剂量!$R$3+SUMPRODUCT(DY$5:DY$27,后果有效剂量!$J$5:$J$27)*后果有效剂量!$S16*后果有效剂量!$S$3+SUMPRODUCT(DZ$5:DZ$27,后果有效剂量!$J$5:$J$27)*后果有效剂量!$T16*后果有效剂量!$T$3+SUMPRODUCT(DW$5:DW$27,后果有效剂量!$K$5:$K$27)*后果有效剂量!$Q16+SUMPRODUCT(DX$5:DX$27,后果有效剂量!$K$5:$K$27)*后果有效剂量!$R16+SUMPRODUCT(DY$5:DY$27,后果有效剂量!$K$5:$K$27)*后果有效剂量!$S16+SUMPRODUCT(DZ$5:DZ$27,后果有效剂量!$K$5:$K$27)*后果有效剂量!$T16</f>
        <v>6.98584901715406e-6</v>
      </c>
      <c r="DX42" s="332">
        <f>SUMPRODUCT(DW$5:DW$27,后果甲状腺剂量!$I$5:$I$27)*后果甲状腺剂量!$Q16+SUMPRODUCT(DX$5:DX$27,后果甲状腺剂量!$I$5:$I$27)*后果甲状腺剂量!$R16+SUMPRODUCT(DY$5:DY$27,后果甲状腺剂量!$I$5:$I$27)*后果甲状腺剂量!$S16+SUMPRODUCT(DZ$5:DZ$27,后果甲状腺剂量!$I$5:$I$27)*后果甲状腺剂量!$T16+SUMPRODUCT(DW$5:DW$27,后果甲状腺剂量!$J$5:$J$27)*后果甲状腺剂量!$Q16*后果甲状腺剂量!$Q$3+SUMPRODUCT(DX$5:DX$27,后果甲状腺剂量!$J$5:$J$27)*后果甲状腺剂量!$R16*后果甲状腺剂量!$R$3+SUMPRODUCT(DY$5:DY$27,后果甲状腺剂量!$J$5:$J$27)*后果甲状腺剂量!$S16*后果甲状腺剂量!$S$3+SUMPRODUCT(DZ$5:DZ$27,后果甲状腺剂量!$J$5:$J$27)*后果甲状腺剂量!$T16*后果甲状腺剂量!$T$3+SUMPRODUCT(DW$5:DW$27,后果甲状腺剂量!$K$5:$K$27)*后果甲状腺剂量!$Q16+SUMPRODUCT(DX$5:DX$27,后果甲状腺剂量!$K$5:$K$27)*后果甲状腺剂量!$R16+SUMPRODUCT(DY$5:DY$27,后果甲状腺剂量!$K$5:$K$27)*后果甲状腺剂量!$S16+SUMPRODUCT(DZ$5:DZ$27,后果甲状腺剂量!$K$5:$K$27)*后果甲状腺剂量!$T16</f>
        <v>0.000475222361667605</v>
      </c>
      <c r="DY42" s="333">
        <f t="shared" si="152"/>
        <v>0.00698584901715406</v>
      </c>
      <c r="DZ42" s="333">
        <f t="shared" si="153"/>
        <v>0.475222361667605</v>
      </c>
      <c r="EA42" s="198"/>
      <c r="EB42" s="198"/>
      <c r="EH42" s="330" t="str">
        <f>后果有效剂量!$P16</f>
        <v>35000m</v>
      </c>
      <c r="EI42" s="331">
        <f>SUMPRODUCT(EJ$5:EJ$27,后果有效剂量!$I$5:$I$27)*后果有效剂量!$Q16+SUMPRODUCT(EK$5:EK$27,后果有效剂量!$I$5:$I$27)*后果有效剂量!$R16+SUMPRODUCT(EL$5:EL$27,后果有效剂量!$I$5:$I$27)*后果有效剂量!$S16+SUMPRODUCT(EM$5:EM$27,后果有效剂量!$I$5:$I$27)*后果有效剂量!$T16+SUMPRODUCT(EN$5:EN$27,后果有效剂量!$I$5:$I$27)*后果有效剂量!$U16+SUMPRODUCT(EJ$5:EJ$27,后果有效剂量!$J$5:$J$27)*后果有效剂量!$Q16*后果有效剂量!$Q$3+SUMPRODUCT(EK$5:EK$27,后果有效剂量!$J$5:$J$27)*后果有效剂量!$R16*后果有效剂量!$R$3+SUMPRODUCT(EL$5:EL$27,后果有效剂量!$J$5:$J$27)*后果有效剂量!$S16*后果有效剂量!$S$3+SUMPRODUCT(EM$5:EM$27,后果有效剂量!$J$5:$J$27)*后果有效剂量!$T16*后果有效剂量!$T$3+SUMPRODUCT(EN$5:EN$27,后果有效剂量!$J$5:$J$27)*后果有效剂量!$U16*后果有效剂量!$U$3+SUMPRODUCT(EJ$5:EJ$27,后果有效剂量!$K$5:$K$27)*后果有效剂量!$Q16+SUMPRODUCT(EK$5:EK$27,后果有效剂量!$K$5:$K$27)*后果有效剂量!$R16+SUMPRODUCT(EL$5:EL$27,后果有效剂量!$K$5:$K$27)*后果有效剂量!$S16+SUMPRODUCT(EM$5:EM$27,后果有效剂量!$K$5:$K$27)*后果有效剂量!$T16+SUMPRODUCT(EN$5:EN$27,后果有效剂量!$K$5:$K$27)*后果有效剂量!$U16</f>
        <v>6.36826224549144e-7</v>
      </c>
      <c r="EJ42" s="332">
        <f>SUMPRODUCT(EJ$5:EJ$27,后果甲状腺剂量!$I$5:$I$27)*后果甲状腺剂量!$Q16+SUMPRODUCT(EK$5:EK$27,后果甲状腺剂量!$I$5:$I$27)*后果甲状腺剂量!$R16+SUMPRODUCT(EL$5:EL$27,后果甲状腺剂量!$I$5:$I$27)*后果甲状腺剂量!$S16+SUMPRODUCT(EM$5:EM$27,后果甲状腺剂量!$I$5:$I$27)*后果甲状腺剂量!$T16+SUMPRODUCT(EN$5:EN$27,后果甲状腺剂量!$I$5:$I$27)*后果甲状腺剂量!$U16+SUMPRODUCT(EJ$5:EJ$27,后果甲状腺剂量!$J$5:$J$27)*后果甲状腺剂量!$Q16*后果甲状腺剂量!$Q$3+SUMPRODUCT(EK$5:EK$27,后果甲状腺剂量!$J$5:$J$27)*后果甲状腺剂量!$R16*后果甲状腺剂量!$R$3+SUMPRODUCT(EL$5:EL$27,后果甲状腺剂量!$J$5:$J$27)*后果甲状腺剂量!$S16*后果甲状腺剂量!$S$3+SUMPRODUCT(EM$5:EM$27,后果甲状腺剂量!$J$5:$J$27)*后果甲状腺剂量!$T16*后果甲状腺剂量!$T$3+SUMPRODUCT(EN$5:EN$27,后果甲状腺剂量!$J$5:$J$27)*后果甲状腺剂量!$U16*后果甲状腺剂量!$U$3+SUMPRODUCT(EJ$5:EJ$27,后果甲状腺剂量!$K$5:$K$27)*后果甲状腺剂量!$Q16+SUMPRODUCT(EK$5:EK$27,后果甲状腺剂量!$K$5:$K$27)*后果甲状腺剂量!$R16+SUMPRODUCT(EL$5:EL$27,后果甲状腺剂量!$K$5:$K$27)*后果甲状腺剂量!$S16+SUMPRODUCT(EM$5:EM$27,后果甲状腺剂量!$K$5:$K$27)*后果甲状腺剂量!$T16+SUMPRODUCT(EN$5:EN$27,后果甲状腺剂量!$K$5:$K$27)*后果甲状腺剂量!$U16</f>
        <v>4.01415908456296e-5</v>
      </c>
      <c r="EK42" s="333">
        <f t="shared" si="154"/>
        <v>0.000636826224549144</v>
      </c>
      <c r="EL42" s="333">
        <f t="shared" si="155"/>
        <v>0.0401415908456296</v>
      </c>
      <c r="EM42" s="198"/>
      <c r="EN42" s="198"/>
    </row>
    <row r="43" spans="17:144">
      <c r="Q43" s="254"/>
      <c r="U43" s="253"/>
      <c r="X43" s="247"/>
      <c r="Y43" s="287"/>
      <c r="DM43" s="330" t="str">
        <f>后果有效剂量!$P17</f>
        <v>45000m</v>
      </c>
      <c r="DN43" s="331">
        <f ca="1">SUMPRODUCT(DN$5:DN$27,后果有效剂量!$I$5:$I$27)*后果有效剂量!$Q17+SUMPRODUCT(DO$5:DO$27,后果有效剂量!$I$5:$I$27)*后果有效剂量!$Q17+SUMPRODUCT(DP$5:DP$27,后果有效剂量!$I$5:$I$27)*后果有效剂量!$R17+SUMPRODUCT(DQ$5:DQ$27,后果有效剂量!$I$5:$I$27)*后果有效剂量!$S17+SUMPRODUCT(DR$5:DR$27,后果有效剂量!$I$5:$I$27)*后果有效剂量!$T17+SUMPRODUCT(DS$5:DS$27,后果有效剂量!$I$5:$I$27)*后果有效剂量!$U17+SUMPRODUCT(DN$5:DN$27,后果有效剂量!$J$5:$J$27)*后果有效剂量!$Q17*后果有效剂量!$Q$3+SUMPRODUCT(DO$5:DO$27,后果有效剂量!$J$5:$J$27)*后果有效剂量!$Q17*后果有效剂量!$Q$3+SUMPRODUCT(DP$5:DP$27,后果有效剂量!$J$5:$J$27)*后果有效剂量!$R17*后果有效剂量!$R$3+SUMPRODUCT(DQ$5:DQ$27,后果有效剂量!$J$5:$J$27)*后果有效剂量!$S17*后果有效剂量!$S$3+SUMPRODUCT(DR$5:DR$27,后果有效剂量!$J$5:$J$27)*后果有效剂量!$T17*后果有效剂量!$T$3+SUMPRODUCT(DS$5:DS$27,后果有效剂量!$J$5:$J$27)*后果有效剂量!$U17*后果有效剂量!$U$3+SUMPRODUCT(DN$5:DN$27,后果有效剂量!$K$5:$K$27)*后果有效剂量!$Q17+SUMPRODUCT(DO$5:DO$27,后果有效剂量!$K$5:$K$27)*后果有效剂量!$Q17+SUMPRODUCT(DP$5:DP$27,后果有效剂量!$K$5:$K$27)*后果有效剂量!$R17+SUMPRODUCT(DQ$5:DQ$27,后果有效剂量!$K$5:$K$27)*后果有效剂量!$S17+SUMPRODUCT(DR$5:DR$27,后果有效剂量!$K$5:$K$27)*后果有效剂量!$T17+SUMPRODUCT(DS$5:DS$27,后果有效剂量!$K$5:$K$27)*后果有效剂量!$U17</f>
        <v>0.000244789102816818</v>
      </c>
      <c r="DO43" s="332">
        <f ca="1">SUMPRODUCT(DN$5:DN$27,后果甲状腺剂量!$I$5:$I$27)*后果甲状腺剂量!$Q17+SUMPRODUCT(DO$5:DO$27,后果甲状腺剂量!$I$5:$I$27)*后果甲状腺剂量!$Q17+SUMPRODUCT(DP$5:DP$27,后果甲状腺剂量!$I$5:$I$27)*后果甲状腺剂量!$R17+SUMPRODUCT(DQ$5:DQ$27,后果甲状腺剂量!$I$5:$I$27)*后果甲状腺剂量!$S17+SUMPRODUCT(DR$5:DR$27,后果甲状腺剂量!$I$5:$I$27)*后果甲状腺剂量!$T17+SUMPRODUCT(DS$5:DS$27,后果甲状腺剂量!$I$5:$I$27)*后果甲状腺剂量!$U17+SUMPRODUCT(DN$5:DN$27,后果甲状腺剂量!$J$5:$J$27)*后果甲状腺剂量!$Q17*后果甲状腺剂量!$Q$3+SUMPRODUCT(DO$5:DO$27,后果甲状腺剂量!$J$5:$J$27)*后果甲状腺剂量!$Q17*后果甲状腺剂量!$Q$3+SUMPRODUCT(DP$5:DP$27,后果甲状腺剂量!$J$5:$J$27)*后果甲状腺剂量!$R17*后果甲状腺剂量!$R$3+SUMPRODUCT(DQ$5:DQ$27,后果甲状腺剂量!$J$5:$J$27)*后果甲状腺剂量!$S17*后果甲状腺剂量!$S$3+SUMPRODUCT(DR$5:DR$27,后果甲状腺剂量!$J$5:$J$27)*后果甲状腺剂量!$T17*后果甲状腺剂量!$T$3+SUMPRODUCT(DS$5:DS$27,后果甲状腺剂量!$J$5:$J$27)*后果甲状腺剂量!$U17*后果甲状腺剂量!$U$3+SUMPRODUCT(DN$5:DN$27,后果甲状腺剂量!$K$5:$K$27)*后果甲状腺剂量!$Q17+SUMPRODUCT(DO$5:DO$27,后果甲状腺剂量!$K$5:$K$27)*后果甲状腺剂量!$Q17+SUMPRODUCT(DP$5:DP$27,后果甲状腺剂量!$K$5:$K$27)*后果甲状腺剂量!$R17+SUMPRODUCT(DQ$5:DQ$27,后果甲状腺剂量!$K$5:$K$27)*后果甲状腺剂量!$S17+SUMPRODUCT(DR$5:DR$27,后果甲状腺剂量!$K$5:$K$27)*后果甲状腺剂量!$T17+SUMPRODUCT(DS$5:DS$27,后果甲状腺剂量!$K$5:$K$27)*后果甲状腺剂量!$U17</f>
        <v>0.00500137909249552</v>
      </c>
      <c r="DP43" s="333">
        <f ca="1" t="shared" si="150"/>
        <v>0.244789102816818</v>
      </c>
      <c r="DQ43" s="333">
        <f ca="1" t="shared" si="151"/>
        <v>5.00137909249552</v>
      </c>
      <c r="DR43" s="198"/>
      <c r="DS43" s="198"/>
      <c r="DW43" s="331">
        <f>SUMPRODUCT(DW$5:DW$27,后果有效剂量!$I$5:$I$27)*后果有效剂量!$Q17+SUMPRODUCT(DX$5:DX$27,后果有效剂量!$I$5:$I$27)*后果有效剂量!$R17+SUMPRODUCT(DY$5:DY$27,后果有效剂量!$I$5:$I$27)*后果有效剂量!$S17+SUMPRODUCT(DZ$5:DZ$27,后果有效剂量!$I$5:$I$27)*后果有效剂量!$T17+SUMPRODUCT(DW$5:DW$27,后果有效剂量!$J$5:$J$27)*后果有效剂量!$Q17*后果有效剂量!$Q$3+SUMPRODUCT(DX$5:DX$27,后果有效剂量!$J$5:$J$27)*后果有效剂量!$R17*后果有效剂量!$R$3+SUMPRODUCT(DY$5:DY$27,后果有效剂量!$J$5:$J$27)*后果有效剂量!$S17*后果有效剂量!$S$3+SUMPRODUCT(DZ$5:DZ$27,后果有效剂量!$J$5:$J$27)*后果有效剂量!$T17*后果有效剂量!$T$3+SUMPRODUCT(DW$5:DW$27,后果有效剂量!$K$5:$K$27)*后果有效剂量!$Q17+SUMPRODUCT(DX$5:DX$27,后果有效剂量!$K$5:$K$27)*后果有效剂量!$R17+SUMPRODUCT(DY$5:DY$27,后果有效剂量!$K$5:$K$27)*后果有效剂量!$S17+SUMPRODUCT(DZ$5:DZ$27,后果有效剂量!$K$5:$K$27)*后果有效剂量!$T17</f>
        <v>5.96075160702819e-6</v>
      </c>
      <c r="DX43" s="332">
        <f>SUMPRODUCT(DW$5:DW$27,后果甲状腺剂量!$I$5:$I$27)*后果甲状腺剂量!$Q17+SUMPRODUCT(DX$5:DX$27,后果甲状腺剂量!$I$5:$I$27)*后果甲状腺剂量!$R17+SUMPRODUCT(DY$5:DY$27,后果甲状腺剂量!$I$5:$I$27)*后果甲状腺剂量!$S17+SUMPRODUCT(DZ$5:DZ$27,后果甲状腺剂量!$I$5:$I$27)*后果甲状腺剂量!$T17+SUMPRODUCT(DW$5:DW$27,后果甲状腺剂量!$J$5:$J$27)*后果甲状腺剂量!$Q17*后果甲状腺剂量!$Q$3+SUMPRODUCT(DX$5:DX$27,后果甲状腺剂量!$J$5:$J$27)*后果甲状腺剂量!$R17*后果甲状腺剂量!$R$3+SUMPRODUCT(DY$5:DY$27,后果甲状腺剂量!$J$5:$J$27)*后果甲状腺剂量!$S17*后果甲状腺剂量!$S$3+SUMPRODUCT(DZ$5:DZ$27,后果甲状腺剂量!$J$5:$J$27)*后果甲状腺剂量!$T17*后果甲状腺剂量!$T$3+SUMPRODUCT(DW$5:DW$27,后果甲状腺剂量!$K$5:$K$27)*后果甲状腺剂量!$Q17+SUMPRODUCT(DX$5:DX$27,后果甲状腺剂量!$K$5:$K$27)*后果甲状腺剂量!$R17+SUMPRODUCT(DY$5:DY$27,后果甲状腺剂量!$K$5:$K$27)*后果甲状腺剂量!$S17+SUMPRODUCT(DZ$5:DZ$27,后果甲状腺剂量!$K$5:$K$27)*后果甲状腺剂量!$T17</f>
        <v>0.000408322126287214</v>
      </c>
      <c r="DY43" s="333">
        <f t="shared" si="152"/>
        <v>0.00596075160702819</v>
      </c>
      <c r="DZ43" s="333">
        <f t="shared" si="153"/>
        <v>0.408322126287214</v>
      </c>
      <c r="EA43" s="198"/>
      <c r="EB43" s="198"/>
      <c r="EH43" s="330" t="str">
        <f>后果有效剂量!$P17</f>
        <v>45000m</v>
      </c>
      <c r="EI43" s="331">
        <f>SUMPRODUCT(EJ$5:EJ$27,后果有效剂量!$I$5:$I$27)*后果有效剂量!$Q17+SUMPRODUCT(EK$5:EK$27,后果有效剂量!$I$5:$I$27)*后果有效剂量!$R17+SUMPRODUCT(EL$5:EL$27,后果有效剂量!$I$5:$I$27)*后果有效剂量!$S17+SUMPRODUCT(EM$5:EM$27,后果有效剂量!$I$5:$I$27)*后果有效剂量!$T17+SUMPRODUCT(EN$5:EN$27,后果有效剂量!$I$5:$I$27)*后果有效剂量!$U17+SUMPRODUCT(EJ$5:EJ$27,后果有效剂量!$J$5:$J$27)*后果有效剂量!$Q17*后果有效剂量!$Q$3+SUMPRODUCT(EK$5:EK$27,后果有效剂量!$J$5:$J$27)*后果有效剂量!$R17*后果有效剂量!$R$3+SUMPRODUCT(EL$5:EL$27,后果有效剂量!$J$5:$J$27)*后果有效剂量!$S17*后果有效剂量!$S$3+SUMPRODUCT(EM$5:EM$27,后果有效剂量!$J$5:$J$27)*后果有效剂量!$T17*后果有效剂量!$T$3+SUMPRODUCT(EN$5:EN$27,后果有效剂量!$J$5:$J$27)*后果有效剂量!$U17*后果有效剂量!$U$3+SUMPRODUCT(EJ$5:EJ$27,后果有效剂量!$K$5:$K$27)*后果有效剂量!$Q17+SUMPRODUCT(EK$5:EK$27,后果有效剂量!$K$5:$K$27)*后果有效剂量!$R17+SUMPRODUCT(EL$5:EL$27,后果有效剂量!$K$5:$K$27)*后果有效剂量!$S17+SUMPRODUCT(EM$5:EM$27,后果有效剂量!$K$5:$K$27)*后果有效剂量!$T17+SUMPRODUCT(EN$5:EN$27,后果有效剂量!$K$5:$K$27)*后果有效剂量!$U17</f>
        <v>5.24501865255035e-7</v>
      </c>
      <c r="EJ43" s="332">
        <f>SUMPRODUCT(EJ$5:EJ$27,后果甲状腺剂量!$I$5:$I$27)*后果甲状腺剂量!$Q17+SUMPRODUCT(EK$5:EK$27,后果甲状腺剂量!$I$5:$I$27)*后果甲状腺剂量!$R17+SUMPRODUCT(EL$5:EL$27,后果甲状腺剂量!$I$5:$I$27)*后果甲状腺剂量!$S17+SUMPRODUCT(EM$5:EM$27,后果甲状腺剂量!$I$5:$I$27)*后果甲状腺剂量!$T17+SUMPRODUCT(EN$5:EN$27,后果甲状腺剂量!$I$5:$I$27)*后果甲状腺剂量!$U17+SUMPRODUCT(EJ$5:EJ$27,后果甲状腺剂量!$J$5:$J$27)*后果甲状腺剂量!$Q17*后果甲状腺剂量!$Q$3+SUMPRODUCT(EK$5:EK$27,后果甲状腺剂量!$J$5:$J$27)*后果甲状腺剂量!$R17*后果甲状腺剂量!$R$3+SUMPRODUCT(EL$5:EL$27,后果甲状腺剂量!$J$5:$J$27)*后果甲状腺剂量!$S17*后果甲状腺剂量!$S$3+SUMPRODUCT(EM$5:EM$27,后果甲状腺剂量!$J$5:$J$27)*后果甲状腺剂量!$T17*后果甲状腺剂量!$T$3+SUMPRODUCT(EN$5:EN$27,后果甲状腺剂量!$J$5:$J$27)*后果甲状腺剂量!$U17*后果甲状腺剂量!$U$3+SUMPRODUCT(EJ$5:EJ$27,后果甲状腺剂量!$K$5:$K$27)*后果甲状腺剂量!$Q17+SUMPRODUCT(EK$5:EK$27,后果甲状腺剂量!$K$5:$K$27)*后果甲状腺剂量!$R17+SUMPRODUCT(EL$5:EL$27,后果甲状腺剂量!$K$5:$K$27)*后果甲状腺剂量!$S17+SUMPRODUCT(EM$5:EM$27,后果甲状腺剂量!$K$5:$K$27)*后果甲状腺剂量!$T17+SUMPRODUCT(EN$5:EN$27,后果甲状腺剂量!$K$5:$K$27)*后果甲状腺剂量!$U17</f>
        <v>3.36356019345626e-5</v>
      </c>
      <c r="EK43" s="333">
        <f t="shared" si="154"/>
        <v>0.000524501865255035</v>
      </c>
      <c r="EL43" s="333">
        <f t="shared" si="155"/>
        <v>0.0336356019345626</v>
      </c>
      <c r="EM43" s="198"/>
      <c r="EN43" s="198"/>
    </row>
    <row r="44" spans="17:144">
      <c r="Q44" s="254"/>
      <c r="U44" s="253"/>
      <c r="X44" s="247"/>
      <c r="Y44" s="287"/>
      <c r="DM44" s="330" t="str">
        <f>后果有效剂量!$P18</f>
        <v>55000m</v>
      </c>
      <c r="DN44" s="331">
        <f ca="1">SUMPRODUCT(DN$5:DN$27,后果有效剂量!$I$5:$I$27)*后果有效剂量!$Q18+SUMPRODUCT(DO$5:DO$27,后果有效剂量!$I$5:$I$27)*后果有效剂量!$Q18+SUMPRODUCT(DP$5:DP$27,后果有效剂量!$I$5:$I$27)*后果有效剂量!$R18+SUMPRODUCT(DQ$5:DQ$27,后果有效剂量!$I$5:$I$27)*后果有效剂量!$S18+SUMPRODUCT(DR$5:DR$27,后果有效剂量!$I$5:$I$27)*后果有效剂量!$T18+SUMPRODUCT(DS$5:DS$27,后果有效剂量!$I$5:$I$27)*后果有效剂量!$U18+SUMPRODUCT(DN$5:DN$27,后果有效剂量!$J$5:$J$27)*后果有效剂量!$Q18*后果有效剂量!$Q$3+SUMPRODUCT(DO$5:DO$27,后果有效剂量!$J$5:$J$27)*后果有效剂量!$Q18*后果有效剂量!$Q$3+SUMPRODUCT(DP$5:DP$27,后果有效剂量!$J$5:$J$27)*后果有效剂量!$R18*后果有效剂量!$R$3+SUMPRODUCT(DQ$5:DQ$27,后果有效剂量!$J$5:$J$27)*后果有效剂量!$S18*后果有效剂量!$S$3+SUMPRODUCT(DR$5:DR$27,后果有效剂量!$J$5:$J$27)*后果有效剂量!$T18*后果有效剂量!$T$3+SUMPRODUCT(DS$5:DS$27,后果有效剂量!$J$5:$J$27)*后果有效剂量!$U18*后果有效剂量!$U$3+SUMPRODUCT(DN$5:DN$27,后果有效剂量!$K$5:$K$27)*后果有效剂量!$Q18+SUMPRODUCT(DO$5:DO$27,后果有效剂量!$K$5:$K$27)*后果有效剂量!$Q18+SUMPRODUCT(DP$5:DP$27,后果有效剂量!$K$5:$K$27)*后果有效剂量!$R18+SUMPRODUCT(DQ$5:DQ$27,后果有效剂量!$K$5:$K$27)*后果有效剂量!$S18+SUMPRODUCT(DR$5:DR$27,后果有效剂量!$K$5:$K$27)*后果有效剂量!$T18+SUMPRODUCT(DS$5:DS$27,后果有效剂量!$K$5:$K$27)*后果有效剂量!$U18</f>
        <v>0.00122316693445563</v>
      </c>
      <c r="DO44" s="332">
        <f ca="1">SUMPRODUCT(DN$5:DN$27,后果甲状腺剂量!$I$5:$I$27)*后果甲状腺剂量!$Q18+SUMPRODUCT(DO$5:DO$27,后果甲状腺剂量!$I$5:$I$27)*后果甲状腺剂量!$Q18+SUMPRODUCT(DP$5:DP$27,后果甲状腺剂量!$I$5:$I$27)*后果甲状腺剂量!$R18+SUMPRODUCT(DQ$5:DQ$27,后果甲状腺剂量!$I$5:$I$27)*后果甲状腺剂量!$S18+SUMPRODUCT(DR$5:DR$27,后果甲状腺剂量!$I$5:$I$27)*后果甲状腺剂量!$T18+SUMPRODUCT(DS$5:DS$27,后果甲状腺剂量!$I$5:$I$27)*后果甲状腺剂量!$U18+SUMPRODUCT(DN$5:DN$27,后果甲状腺剂量!$J$5:$J$27)*后果甲状腺剂量!$Q18*后果甲状腺剂量!$Q$3+SUMPRODUCT(DO$5:DO$27,后果甲状腺剂量!$J$5:$J$27)*后果甲状腺剂量!$Q18*后果甲状腺剂量!$Q$3+SUMPRODUCT(DP$5:DP$27,后果甲状腺剂量!$J$5:$J$27)*后果甲状腺剂量!$R18*后果甲状腺剂量!$R$3+SUMPRODUCT(DQ$5:DQ$27,后果甲状腺剂量!$J$5:$J$27)*后果甲状腺剂量!$S18*后果甲状腺剂量!$S$3+SUMPRODUCT(DR$5:DR$27,后果甲状腺剂量!$J$5:$J$27)*后果甲状腺剂量!$T18*后果甲状腺剂量!$T$3+SUMPRODUCT(DS$5:DS$27,后果甲状腺剂量!$J$5:$J$27)*后果甲状腺剂量!$U18*后果甲状腺剂量!$U$3+SUMPRODUCT(DN$5:DN$27,后果甲状腺剂量!$K$5:$K$27)*后果甲状腺剂量!$Q18+SUMPRODUCT(DO$5:DO$27,后果甲状腺剂量!$K$5:$K$27)*后果甲状腺剂量!$Q18+SUMPRODUCT(DP$5:DP$27,后果甲状腺剂量!$K$5:$K$27)*后果甲状腺剂量!$R18+SUMPRODUCT(DQ$5:DQ$27,后果甲状腺剂量!$K$5:$K$27)*后果甲状腺剂量!$S18+SUMPRODUCT(DR$5:DR$27,后果甲状腺剂量!$K$5:$K$27)*后果甲状腺剂量!$T18+SUMPRODUCT(DS$5:DS$27,后果甲状腺剂量!$K$5:$K$27)*后果甲状腺剂量!$U18</f>
        <v>0.00443421468757666</v>
      </c>
      <c r="DP44" s="333">
        <f ca="1" t="shared" si="150"/>
        <v>1.22316693445563</v>
      </c>
      <c r="DQ44" s="333">
        <f ca="1" t="shared" si="151"/>
        <v>4.43421468757666</v>
      </c>
      <c r="DR44" s="198"/>
      <c r="DS44" s="198"/>
      <c r="DW44" s="331">
        <f>SUMPRODUCT(DW$5:DW$27,后果有效剂量!$I$5:$I$27)*后果有效剂量!$Q18+SUMPRODUCT(DX$5:DX$27,后果有效剂量!$I$5:$I$27)*后果有效剂量!$R18+SUMPRODUCT(DY$5:DY$27,后果有效剂量!$I$5:$I$27)*后果有效剂量!$S18+SUMPRODUCT(DZ$5:DZ$27,后果有效剂量!$I$5:$I$27)*后果有效剂量!$T18+SUMPRODUCT(DW$5:DW$27,后果有效剂量!$J$5:$J$27)*后果有效剂量!$Q18*后果有效剂量!$Q$3+SUMPRODUCT(DX$5:DX$27,后果有效剂量!$J$5:$J$27)*后果有效剂量!$R18*后果有效剂量!$R$3+SUMPRODUCT(DY$5:DY$27,后果有效剂量!$J$5:$J$27)*后果有效剂量!$S18*后果有效剂量!$S$3+SUMPRODUCT(DZ$5:DZ$27,后果有效剂量!$J$5:$J$27)*后果有效剂量!$T18*后果有效剂量!$T$3+SUMPRODUCT(DW$5:DW$27,后果有效剂量!$K$5:$K$27)*后果有效剂量!$Q18+SUMPRODUCT(DX$5:DX$27,后果有效剂量!$K$5:$K$27)*后果有效剂量!$R18+SUMPRODUCT(DY$5:DY$27,后果有效剂量!$K$5:$K$27)*后果有效剂量!$S18+SUMPRODUCT(DZ$5:DZ$27,后果有效剂量!$K$5:$K$27)*后果有效剂量!$T18</f>
        <v>2.98037580351409e-5</v>
      </c>
      <c r="DX44" s="332">
        <f>SUMPRODUCT(DW$5:DW$27,后果甲状腺剂量!$I$5:$I$27)*后果甲状腺剂量!$Q18+SUMPRODUCT(DX$5:DX$27,后果甲状腺剂量!$I$5:$I$27)*后果甲状腺剂量!$R18+SUMPRODUCT(DY$5:DY$27,后果甲状腺剂量!$I$5:$I$27)*后果甲状腺剂量!$S18+SUMPRODUCT(DZ$5:DZ$27,后果甲状腺剂量!$I$5:$I$27)*后果甲状腺剂量!$T18+SUMPRODUCT(DW$5:DW$27,后果甲状腺剂量!$J$5:$J$27)*后果甲状腺剂量!$Q18*后果甲状腺剂量!$Q$3+SUMPRODUCT(DX$5:DX$27,后果甲状腺剂量!$J$5:$J$27)*后果甲状腺剂量!$R18*后果甲状腺剂量!$R$3+SUMPRODUCT(DY$5:DY$27,后果甲状腺剂量!$J$5:$J$27)*后果甲状腺剂量!$S18*后果甲状腺剂量!$S$3+SUMPRODUCT(DZ$5:DZ$27,后果甲状腺剂量!$J$5:$J$27)*后果甲状腺剂量!$T18*后果甲状腺剂量!$T$3+SUMPRODUCT(DW$5:DW$27,后果甲状腺剂量!$K$5:$K$27)*后果甲状腺剂量!$Q18+SUMPRODUCT(DX$5:DX$27,后果甲状腺剂量!$K$5:$K$27)*后果甲状腺剂量!$R18+SUMPRODUCT(DY$5:DY$27,后果甲状腺剂量!$K$5:$K$27)*后果甲状腺剂量!$S18+SUMPRODUCT(DZ$5:DZ$27,后果甲状腺剂量!$K$5:$K$27)*后果甲状腺剂量!$T18</f>
        <v>0.000362184032921427</v>
      </c>
      <c r="DY44" s="333">
        <f t="shared" si="152"/>
        <v>0.0298037580351409</v>
      </c>
      <c r="DZ44" s="333">
        <f t="shared" si="153"/>
        <v>0.362184032921427</v>
      </c>
      <c r="EA44" s="198"/>
      <c r="EB44" s="198"/>
      <c r="EH44" s="330" t="str">
        <f>后果有效剂量!$P18</f>
        <v>55000m</v>
      </c>
      <c r="EI44" s="331">
        <f>SUMPRODUCT(EJ$5:EJ$27,后果有效剂量!$I$5:$I$27)*后果有效剂量!$Q18+SUMPRODUCT(EK$5:EK$27,后果有效剂量!$I$5:$I$27)*后果有效剂量!$R18+SUMPRODUCT(EL$5:EL$27,后果有效剂量!$I$5:$I$27)*后果有效剂量!$S18+SUMPRODUCT(EM$5:EM$27,后果有效剂量!$I$5:$I$27)*后果有效剂量!$T18+SUMPRODUCT(EN$5:EN$27,后果有效剂量!$I$5:$I$27)*后果有效剂量!$U18+SUMPRODUCT(EJ$5:EJ$27,后果有效剂量!$J$5:$J$27)*后果有效剂量!$Q18*后果有效剂量!$Q$3+SUMPRODUCT(EK$5:EK$27,后果有效剂量!$J$5:$J$27)*后果有效剂量!$R18*后果有效剂量!$R$3+SUMPRODUCT(EL$5:EL$27,后果有效剂量!$J$5:$J$27)*后果有效剂量!$S18*后果有效剂量!$S$3+SUMPRODUCT(EM$5:EM$27,后果有效剂量!$J$5:$J$27)*后果有效剂量!$T18*后果有效剂量!$T$3+SUMPRODUCT(EN$5:EN$27,后果有效剂量!$J$5:$J$27)*后果有效剂量!$U18*后果有效剂量!$U$3+SUMPRODUCT(EJ$5:EJ$27,后果有效剂量!$K$5:$K$27)*后果有效剂量!$Q18+SUMPRODUCT(EK$5:EK$27,后果有效剂量!$K$5:$K$27)*后果有效剂量!$R18+SUMPRODUCT(EL$5:EL$27,后果有效剂量!$K$5:$K$27)*后果有效剂量!$S18+SUMPRODUCT(EM$5:EM$27,后果有效剂量!$K$5:$K$27)*后果有效剂量!$T18+SUMPRODUCT(EN$5:EN$27,后果有效剂量!$K$5:$K$27)*后果有效剂量!$U18</f>
        <v>2.5386249746366e-6</v>
      </c>
      <c r="EJ44" s="332">
        <f>SUMPRODUCT(EJ$5:EJ$27,后果甲状腺剂量!$I$5:$I$27)*后果甲状腺剂量!$Q18+SUMPRODUCT(EK$5:EK$27,后果甲状腺剂量!$I$5:$I$27)*后果甲状腺剂量!$R18+SUMPRODUCT(EL$5:EL$27,后果甲状腺剂量!$I$5:$I$27)*后果甲状腺剂量!$S18+SUMPRODUCT(EM$5:EM$27,后果甲状腺剂量!$I$5:$I$27)*后果甲状腺剂量!$T18+SUMPRODUCT(EN$5:EN$27,后果甲状腺剂量!$I$5:$I$27)*后果甲状腺剂量!$U18+SUMPRODUCT(EJ$5:EJ$27,后果甲状腺剂量!$J$5:$J$27)*后果甲状腺剂量!$Q18*后果甲状腺剂量!$Q$3+SUMPRODUCT(EK$5:EK$27,后果甲状腺剂量!$J$5:$J$27)*后果甲状腺剂量!$R18*后果甲状腺剂量!$R$3+SUMPRODUCT(EL$5:EL$27,后果甲状腺剂量!$J$5:$J$27)*后果甲状腺剂量!$S18*后果甲状腺剂量!$S$3+SUMPRODUCT(EM$5:EM$27,后果甲状腺剂量!$J$5:$J$27)*后果甲状腺剂量!$T18*后果甲状腺剂量!$T$3+SUMPRODUCT(EN$5:EN$27,后果甲状腺剂量!$J$5:$J$27)*后果甲状腺剂量!$U18*后果甲状腺剂量!$U$3+SUMPRODUCT(EJ$5:EJ$27,后果甲状腺剂量!$K$5:$K$27)*后果甲状腺剂量!$Q18+SUMPRODUCT(EK$5:EK$27,后果甲状腺剂量!$K$5:$K$27)*后果甲状腺剂量!$R18+SUMPRODUCT(EL$5:EL$27,后果甲状腺剂量!$K$5:$K$27)*后果甲状腺剂量!$S18+SUMPRODUCT(EM$5:EM$27,后果甲状腺剂量!$K$5:$K$27)*后果甲状腺剂量!$T18+SUMPRODUCT(EN$5:EN$27,后果甲状腺剂量!$K$5:$K$27)*后果甲状腺剂量!$U18</f>
        <v>2.92632401929409e-5</v>
      </c>
      <c r="EK44" s="333">
        <f t="shared" si="154"/>
        <v>0.0025386249746366</v>
      </c>
      <c r="EL44" s="333">
        <f t="shared" si="155"/>
        <v>0.0292632401929409</v>
      </c>
      <c r="EM44" s="198"/>
      <c r="EN44" s="198"/>
    </row>
    <row r="45" spans="17:144">
      <c r="Q45" s="254"/>
      <c r="U45" s="253"/>
      <c r="X45" s="247"/>
      <c r="Y45" s="287"/>
      <c r="DM45" s="330" t="str">
        <f>后果有效剂量!$P19</f>
        <v>65000m</v>
      </c>
      <c r="DN45" s="331">
        <f ca="1">SUMPRODUCT(DN$5:DN$27,后果有效剂量!$I$5:$I$27)*后果有效剂量!$Q19+SUMPRODUCT(DO$5:DO$27,后果有效剂量!$I$5:$I$27)*后果有效剂量!$Q19+SUMPRODUCT(DP$5:DP$27,后果有效剂量!$I$5:$I$27)*后果有效剂量!$R19+SUMPRODUCT(DQ$5:DQ$27,后果有效剂量!$I$5:$I$27)*后果有效剂量!$S19+SUMPRODUCT(DR$5:DR$27,后果有效剂量!$I$5:$I$27)*后果有效剂量!$T19+SUMPRODUCT(DS$5:DS$27,后果有效剂量!$I$5:$I$27)*后果有效剂量!$U19+SUMPRODUCT(DN$5:DN$27,后果有效剂量!$J$5:$J$27)*后果有效剂量!$Q19*后果有效剂量!$Q$3+SUMPRODUCT(DO$5:DO$27,后果有效剂量!$J$5:$J$27)*后果有效剂量!$Q19*后果有效剂量!$Q$3+SUMPRODUCT(DP$5:DP$27,后果有效剂量!$J$5:$J$27)*后果有效剂量!$R19*后果有效剂量!$R$3+SUMPRODUCT(DQ$5:DQ$27,后果有效剂量!$J$5:$J$27)*后果有效剂量!$S19*后果有效剂量!$S$3+SUMPRODUCT(DR$5:DR$27,后果有效剂量!$J$5:$J$27)*后果有效剂量!$T19*后果有效剂量!$T$3+SUMPRODUCT(DS$5:DS$27,后果有效剂量!$J$5:$J$27)*后果有效剂量!$U19*后果有效剂量!$U$3+SUMPRODUCT(DN$5:DN$27,后果有效剂量!$K$5:$K$27)*后果有效剂量!$Q19+SUMPRODUCT(DO$5:DO$27,后果有效剂量!$K$5:$K$27)*后果有效剂量!$Q19+SUMPRODUCT(DP$5:DP$27,后果有效剂量!$K$5:$K$27)*后果有效剂量!$R19+SUMPRODUCT(DQ$5:DQ$27,后果有效剂量!$K$5:$K$27)*后果有效剂量!$S19+SUMPRODUCT(DR$5:DR$27,后果有效剂量!$K$5:$K$27)*后果有效剂量!$T19+SUMPRODUCT(DS$5:DS$27,后果有效剂量!$K$5:$K$27)*后果有效剂量!$U19</f>
        <v>0.0011059675578279</v>
      </c>
      <c r="DO45" s="332">
        <f ca="1">SUMPRODUCT(DN$5:DN$27,后果甲状腺剂量!$I$5:$I$27)*后果甲状腺剂量!$Q19+SUMPRODUCT(DO$5:DO$27,后果甲状腺剂量!$I$5:$I$27)*后果甲状腺剂量!$Q19+SUMPRODUCT(DP$5:DP$27,后果甲状腺剂量!$I$5:$I$27)*后果甲状腺剂量!$R19+SUMPRODUCT(DQ$5:DQ$27,后果甲状腺剂量!$I$5:$I$27)*后果甲状腺剂量!$S19+SUMPRODUCT(DR$5:DR$27,后果甲状腺剂量!$I$5:$I$27)*后果甲状腺剂量!$T19+SUMPRODUCT(DS$5:DS$27,后果甲状腺剂量!$I$5:$I$27)*后果甲状腺剂量!$U19+SUMPRODUCT(DN$5:DN$27,后果甲状腺剂量!$J$5:$J$27)*后果甲状腺剂量!$Q19*后果甲状腺剂量!$Q$3+SUMPRODUCT(DO$5:DO$27,后果甲状腺剂量!$J$5:$J$27)*后果甲状腺剂量!$Q19*后果甲状腺剂量!$Q$3+SUMPRODUCT(DP$5:DP$27,后果甲状腺剂量!$J$5:$J$27)*后果甲状腺剂量!$R19*后果甲状腺剂量!$R$3+SUMPRODUCT(DQ$5:DQ$27,后果甲状腺剂量!$J$5:$J$27)*后果甲状腺剂量!$S19*后果甲状腺剂量!$S$3+SUMPRODUCT(DR$5:DR$27,后果甲状腺剂量!$J$5:$J$27)*后果甲状腺剂量!$T19*后果甲状腺剂量!$T$3+SUMPRODUCT(DS$5:DS$27,后果甲状腺剂量!$J$5:$J$27)*后果甲状腺剂量!$U19*后果甲状腺剂量!$U$3+SUMPRODUCT(DN$5:DN$27,后果甲状腺剂量!$K$5:$K$27)*后果甲状腺剂量!$Q19+SUMPRODUCT(DO$5:DO$27,后果甲状腺剂量!$K$5:$K$27)*后果甲状腺剂量!$Q19+SUMPRODUCT(DP$5:DP$27,后果甲状腺剂量!$K$5:$K$27)*后果甲状腺剂量!$R19+SUMPRODUCT(DQ$5:DQ$27,后果甲状腺剂量!$K$5:$K$27)*后果甲状腺剂量!$S19+SUMPRODUCT(DR$5:DR$27,后果甲状腺剂量!$K$5:$K$27)*后果甲状腺剂量!$T19+SUMPRODUCT(DS$5:DS$27,后果甲状腺剂量!$K$5:$K$27)*后果甲状腺剂量!$U19</f>
        <v>0.00400914135524277</v>
      </c>
      <c r="DP45" s="333">
        <f ca="1" t="shared" si="150"/>
        <v>1.1059675578279</v>
      </c>
      <c r="DQ45" s="333">
        <f ca="1" t="shared" si="151"/>
        <v>4.00914135524277</v>
      </c>
      <c r="DR45" s="198"/>
      <c r="DS45" s="198"/>
      <c r="DW45" s="331">
        <f>SUMPRODUCT(DW$5:DW$27,后果有效剂量!$I$5:$I$27)*后果有效剂量!$Q19+SUMPRODUCT(DX$5:DX$27,后果有效剂量!$I$5:$I$27)*后果有效剂量!$R19+SUMPRODUCT(DY$5:DY$27,后果有效剂量!$I$5:$I$27)*后果有效剂量!$S19+SUMPRODUCT(DZ$5:DZ$27,后果有效剂量!$I$5:$I$27)*后果有效剂量!$T19+SUMPRODUCT(DW$5:DW$27,后果有效剂量!$J$5:$J$27)*后果有效剂量!$Q19*后果有效剂量!$Q$3+SUMPRODUCT(DX$5:DX$27,后果有效剂量!$J$5:$J$27)*后果有效剂量!$R19*后果有效剂量!$R$3+SUMPRODUCT(DY$5:DY$27,后果有效剂量!$J$5:$J$27)*后果有效剂量!$S19*后果有效剂量!$S$3+SUMPRODUCT(DZ$5:DZ$27,后果有效剂量!$J$5:$J$27)*后果有效剂量!$T19*后果有效剂量!$T$3+SUMPRODUCT(DW$5:DW$27,后果有效剂量!$K$5:$K$27)*后果有效剂量!$Q19+SUMPRODUCT(DX$5:DX$27,后果有效剂量!$K$5:$K$27)*后果有效剂量!$R19+SUMPRODUCT(DY$5:DY$27,后果有效剂量!$K$5:$K$27)*后果有效剂量!$S19+SUMPRODUCT(DZ$5:DZ$27,后果有效剂量!$K$5:$K$27)*后果有效剂量!$T19</f>
        <v>2.69562652292358e-5</v>
      </c>
      <c r="DX45" s="332">
        <f>SUMPRODUCT(DW$5:DW$27,后果甲状腺剂量!$I$5:$I$27)*后果甲状腺剂量!$Q19+SUMPRODUCT(DX$5:DX$27,后果甲状腺剂量!$I$5:$I$27)*后果甲状腺剂量!$R19+SUMPRODUCT(DY$5:DY$27,后果甲状腺剂量!$I$5:$I$27)*后果甲状腺剂量!$S19+SUMPRODUCT(DZ$5:DZ$27,后果甲状腺剂量!$I$5:$I$27)*后果甲状腺剂量!$T19+SUMPRODUCT(DW$5:DW$27,后果甲状腺剂量!$J$5:$J$27)*后果甲状腺剂量!$Q19*后果甲状腺剂量!$Q$3+SUMPRODUCT(DX$5:DX$27,后果甲状腺剂量!$J$5:$J$27)*后果甲状腺剂量!$R19*后果甲状腺剂量!$R$3+SUMPRODUCT(DY$5:DY$27,后果甲状腺剂量!$J$5:$J$27)*后果甲状腺剂量!$S19*后果甲状腺剂量!$S$3+SUMPRODUCT(DZ$5:DZ$27,后果甲状腺剂量!$J$5:$J$27)*后果甲状腺剂量!$T19*后果甲状腺剂量!$T$3+SUMPRODUCT(DW$5:DW$27,后果甲状腺剂量!$K$5:$K$27)*后果甲状腺剂量!$Q19+SUMPRODUCT(DX$5:DX$27,后果甲状腺剂量!$K$5:$K$27)*后果甲状腺剂量!$R19+SUMPRODUCT(DY$5:DY$27,后果甲状腺剂量!$K$5:$K$27)*后果甲状腺剂量!$S19+SUMPRODUCT(DZ$5:DZ$27,后果甲状腺剂量!$K$5:$K$27)*后果甲状腺剂量!$T19</f>
        <v>0.000327580462897087</v>
      </c>
      <c r="DY45" s="333">
        <f t="shared" si="152"/>
        <v>0.0269562652292358</v>
      </c>
      <c r="DZ45" s="333">
        <f t="shared" si="153"/>
        <v>0.327580462897087</v>
      </c>
      <c r="EA45" s="198"/>
      <c r="EB45" s="198"/>
      <c r="EH45" s="330" t="str">
        <f>后果有效剂量!$P19</f>
        <v>65000m</v>
      </c>
      <c r="EI45" s="331">
        <f>SUMPRODUCT(EJ$5:EJ$27,后果有效剂量!$I$5:$I$27)*后果有效剂量!$Q19+SUMPRODUCT(EK$5:EK$27,后果有效剂量!$I$5:$I$27)*后果有效剂量!$R19+SUMPRODUCT(EL$5:EL$27,后果有效剂量!$I$5:$I$27)*后果有效剂量!$S19+SUMPRODUCT(EM$5:EM$27,后果有效剂量!$I$5:$I$27)*后果有效剂量!$T19+SUMPRODUCT(EN$5:EN$27,后果有效剂量!$I$5:$I$27)*后果有效剂量!$U19+SUMPRODUCT(EJ$5:EJ$27,后果有效剂量!$J$5:$J$27)*后果有效剂量!$Q19*后果有效剂量!$Q$3+SUMPRODUCT(EK$5:EK$27,后果有效剂量!$J$5:$J$27)*后果有效剂量!$R19*后果有效剂量!$R$3+SUMPRODUCT(EL$5:EL$27,后果有效剂量!$J$5:$J$27)*后果有效剂量!$S19*后果有效剂量!$S$3+SUMPRODUCT(EM$5:EM$27,后果有效剂量!$J$5:$J$27)*后果有效剂量!$T19*后果有效剂量!$T$3+SUMPRODUCT(EN$5:EN$27,后果有效剂量!$J$5:$J$27)*后果有效剂量!$U19*后果有效剂量!$U$3+SUMPRODUCT(EJ$5:EJ$27,后果有效剂量!$K$5:$K$27)*后果有效剂量!$Q19+SUMPRODUCT(EK$5:EK$27,后果有效剂量!$K$5:$K$27)*后果有效剂量!$R19+SUMPRODUCT(EL$5:EL$27,后果有效剂量!$K$5:$K$27)*后果有效剂量!$S19+SUMPRODUCT(EM$5:EM$27,后果有效剂量!$K$5:$K$27)*后果有效剂量!$T19+SUMPRODUCT(EN$5:EN$27,后果有效剂量!$K$5:$K$27)*后果有效剂量!$U19</f>
        <v>2.25668729646255e-6</v>
      </c>
      <c r="EJ45" s="332">
        <f>SUMPRODUCT(EJ$5:EJ$27,后果甲状腺剂量!$I$5:$I$27)*后果甲状腺剂量!$Q19+SUMPRODUCT(EK$5:EK$27,后果甲状腺剂量!$I$5:$I$27)*后果甲状腺剂量!$R19+SUMPRODUCT(EL$5:EL$27,后果甲状腺剂量!$I$5:$I$27)*后果甲状腺剂量!$S19+SUMPRODUCT(EM$5:EM$27,后果甲状腺剂量!$I$5:$I$27)*后果甲状腺剂量!$T19+SUMPRODUCT(EN$5:EN$27,后果甲状腺剂量!$I$5:$I$27)*后果甲状腺剂量!$U19+SUMPRODUCT(EJ$5:EJ$27,后果甲状腺剂量!$J$5:$J$27)*后果甲状腺剂量!$Q19*后果甲状腺剂量!$Q$3+SUMPRODUCT(EK$5:EK$27,后果甲状腺剂量!$J$5:$J$27)*后果甲状腺剂量!$R19*后果甲状腺剂量!$R$3+SUMPRODUCT(EL$5:EL$27,后果甲状腺剂量!$J$5:$J$27)*后果甲状腺剂量!$S19*后果甲状腺剂量!$S$3+SUMPRODUCT(EM$5:EM$27,后果甲状腺剂量!$J$5:$J$27)*后果甲状腺剂量!$T19*后果甲状腺剂量!$T$3+SUMPRODUCT(EN$5:EN$27,后果甲状腺剂量!$J$5:$J$27)*后果甲状腺剂量!$U19*后果甲状腺剂量!$U$3+SUMPRODUCT(EJ$5:EJ$27,后果甲状腺剂量!$K$5:$K$27)*后果甲状腺剂量!$Q19+SUMPRODUCT(EK$5:EK$27,后果甲状腺剂量!$K$5:$K$27)*后果甲状腺剂量!$R19+SUMPRODUCT(EL$5:EL$27,后果甲状腺剂量!$K$5:$K$27)*后果甲状腺剂量!$S19+SUMPRODUCT(EM$5:EM$27,后果甲状腺剂量!$K$5:$K$27)*后果甲状腺剂量!$T19+SUMPRODUCT(EN$5:EN$27,后果甲状腺剂量!$K$5:$K$27)*后果甲状腺剂量!$U19</f>
        <v>2.60711000399723e-5</v>
      </c>
      <c r="EK45" s="333">
        <f t="shared" si="154"/>
        <v>0.00225668729646255</v>
      </c>
      <c r="EL45" s="333">
        <f t="shared" si="155"/>
        <v>0.0260711000399723</v>
      </c>
      <c r="EM45" s="198"/>
      <c r="EN45" s="198"/>
    </row>
    <row r="46" spans="17:144">
      <c r="Q46" s="254"/>
      <c r="U46" s="253"/>
      <c r="X46" s="247"/>
      <c r="Y46" s="287"/>
      <c r="DM46" s="330" t="str">
        <f>后果有效剂量!$P20</f>
        <v>75000m</v>
      </c>
      <c r="DN46" s="331">
        <f ca="1">SUMPRODUCT(DN$5:DN$27,后果有效剂量!$I$5:$I$27)*后果有效剂量!$Q20+SUMPRODUCT(DO$5:DO$27,后果有效剂量!$I$5:$I$27)*后果有效剂量!$Q20+SUMPRODUCT(DP$5:DP$27,后果有效剂量!$I$5:$I$27)*后果有效剂量!$R20+SUMPRODUCT(DQ$5:DQ$27,后果有效剂量!$I$5:$I$27)*后果有效剂量!$S20+SUMPRODUCT(DR$5:DR$27,后果有效剂量!$I$5:$I$27)*后果有效剂量!$T20+SUMPRODUCT(DS$5:DS$27,后果有效剂量!$I$5:$I$27)*后果有效剂量!$U20+SUMPRODUCT(DN$5:DN$27,后果有效剂量!$J$5:$J$27)*后果有效剂量!$Q20*后果有效剂量!$Q$3+SUMPRODUCT(DO$5:DO$27,后果有效剂量!$J$5:$J$27)*后果有效剂量!$Q20*后果有效剂量!$Q$3+SUMPRODUCT(DP$5:DP$27,后果有效剂量!$J$5:$J$27)*后果有效剂量!$R20*后果有效剂量!$R$3+SUMPRODUCT(DQ$5:DQ$27,后果有效剂量!$J$5:$J$27)*后果有效剂量!$S20*后果有效剂量!$S$3+SUMPRODUCT(DR$5:DR$27,后果有效剂量!$J$5:$J$27)*后果有效剂量!$T20*后果有效剂量!$T$3+SUMPRODUCT(DS$5:DS$27,后果有效剂量!$J$5:$J$27)*后果有效剂量!$U20*后果有效剂量!$U$3+SUMPRODUCT(DN$5:DN$27,后果有效剂量!$K$5:$K$27)*后果有效剂量!$Q20+SUMPRODUCT(DO$5:DO$27,后果有效剂量!$K$5:$K$27)*后果有效剂量!$Q20+SUMPRODUCT(DP$5:DP$27,后果有效剂量!$K$5:$K$27)*后果有效剂量!$R20+SUMPRODUCT(DQ$5:DQ$27,后果有效剂量!$K$5:$K$27)*后果有效剂量!$S20+SUMPRODUCT(DR$5:DR$27,后果有效剂量!$K$5:$K$27)*后果有效剂量!$T20+SUMPRODUCT(DS$5:DS$27,后果有效剂量!$K$5:$K$27)*后果有效剂量!$U20</f>
        <v>0.00101227819888545</v>
      </c>
      <c r="DO46" s="332">
        <f ca="1">SUMPRODUCT(DN$5:DN$27,后果甲状腺剂量!$I$5:$I$27)*后果甲状腺剂量!$Q20+SUMPRODUCT(DO$5:DO$27,后果甲状腺剂量!$I$5:$I$27)*后果甲状腺剂量!$Q20+SUMPRODUCT(DP$5:DP$27,后果甲状腺剂量!$I$5:$I$27)*后果甲状腺剂量!$R20+SUMPRODUCT(DQ$5:DQ$27,后果甲状腺剂量!$I$5:$I$27)*后果甲状腺剂量!$S20+SUMPRODUCT(DR$5:DR$27,后果甲状腺剂量!$I$5:$I$27)*后果甲状腺剂量!$T20+SUMPRODUCT(DS$5:DS$27,后果甲状腺剂量!$I$5:$I$27)*后果甲状腺剂量!$U20+SUMPRODUCT(DN$5:DN$27,后果甲状腺剂量!$J$5:$J$27)*后果甲状腺剂量!$Q20*后果甲状腺剂量!$Q$3+SUMPRODUCT(DO$5:DO$27,后果甲状腺剂量!$J$5:$J$27)*后果甲状腺剂量!$Q20*后果甲状腺剂量!$Q$3+SUMPRODUCT(DP$5:DP$27,后果甲状腺剂量!$J$5:$J$27)*后果甲状腺剂量!$R20*后果甲状腺剂量!$R$3+SUMPRODUCT(DQ$5:DQ$27,后果甲状腺剂量!$J$5:$J$27)*后果甲状腺剂量!$S20*后果甲状腺剂量!$S$3+SUMPRODUCT(DR$5:DR$27,后果甲状腺剂量!$J$5:$J$27)*后果甲状腺剂量!$T20*后果甲状腺剂量!$T$3+SUMPRODUCT(DS$5:DS$27,后果甲状腺剂量!$J$5:$J$27)*后果甲状腺剂量!$U20*后果甲状腺剂量!$U$3+SUMPRODUCT(DN$5:DN$27,后果甲状腺剂量!$K$5:$K$27)*后果甲状腺剂量!$Q20+SUMPRODUCT(DO$5:DO$27,后果甲状腺剂量!$K$5:$K$27)*后果甲状腺剂量!$Q20+SUMPRODUCT(DP$5:DP$27,后果甲状腺剂量!$K$5:$K$27)*后果甲状腺剂量!$R20+SUMPRODUCT(DQ$5:DQ$27,后果甲状腺剂量!$K$5:$K$27)*后果甲状腺剂量!$S20+SUMPRODUCT(DR$5:DR$27,后果甲状腺剂量!$K$5:$K$27)*后果甲状腺剂量!$T20+SUMPRODUCT(DS$5:DS$27,后果甲状腺剂量!$K$5:$K$27)*后果甲状腺剂量!$U20</f>
        <v>0.00366937509421288</v>
      </c>
      <c r="DP46" s="333">
        <f ca="1" t="shared" si="150"/>
        <v>1.01227819888545</v>
      </c>
      <c r="DQ46" s="333">
        <f ca="1" t="shared" si="151"/>
        <v>3.66937509421288</v>
      </c>
      <c r="DR46" s="198"/>
      <c r="DS46" s="198"/>
      <c r="DW46" s="331">
        <f>SUMPRODUCT(DW$5:DW$27,后果有效剂量!$I$5:$I$27)*后果有效剂量!$Q20+SUMPRODUCT(DX$5:DX$27,后果有效剂量!$I$5:$I$27)*后果有效剂量!$R20+SUMPRODUCT(DY$5:DY$27,后果有效剂量!$I$5:$I$27)*后果有效剂量!$S20+SUMPRODUCT(DZ$5:DZ$27,后果有效剂量!$I$5:$I$27)*后果有效剂量!$T20+SUMPRODUCT(DW$5:DW$27,后果有效剂量!$J$5:$J$27)*后果有效剂量!$Q20*后果有效剂量!$Q$3+SUMPRODUCT(DX$5:DX$27,后果有效剂量!$J$5:$J$27)*后果有效剂量!$R20*后果有效剂量!$R$3+SUMPRODUCT(DY$5:DY$27,后果有效剂量!$J$5:$J$27)*后果有效剂量!$S20*后果有效剂量!$S$3+SUMPRODUCT(DZ$5:DZ$27,后果有效剂量!$J$5:$J$27)*后果有效剂量!$T20*后果有效剂量!$T$3+SUMPRODUCT(DW$5:DW$27,后果有效剂量!$K$5:$K$27)*后果有效剂量!$Q20+SUMPRODUCT(DX$5:DX$27,后果有效剂量!$K$5:$K$27)*后果有效剂量!$R20+SUMPRODUCT(DY$5:DY$27,后果有效剂量!$K$5:$K$27)*后果有效剂量!$S20+SUMPRODUCT(DZ$5:DZ$27,后果有效剂量!$K$5:$K$27)*后果有效剂量!$T20</f>
        <v>2.46782709845116e-5</v>
      </c>
      <c r="DX46" s="332">
        <f>SUMPRODUCT(DW$5:DW$27,后果甲状腺剂量!$I$5:$I$27)*后果甲状腺剂量!$Q20+SUMPRODUCT(DX$5:DX$27,后果甲状腺剂量!$I$5:$I$27)*后果甲状腺剂量!$R20+SUMPRODUCT(DY$5:DY$27,后果甲状腺剂量!$I$5:$I$27)*后果甲状腺剂量!$S20+SUMPRODUCT(DZ$5:DZ$27,后果甲状腺剂量!$I$5:$I$27)*后果甲状腺剂量!$T20+SUMPRODUCT(DW$5:DW$27,后果甲状腺剂量!$J$5:$J$27)*后果甲状腺剂量!$Q20*后果甲状腺剂量!$Q$3+SUMPRODUCT(DX$5:DX$27,后果甲状腺剂量!$J$5:$J$27)*后果甲状腺剂量!$R20*后果甲状腺剂量!$R$3+SUMPRODUCT(DY$5:DY$27,后果甲状腺剂量!$J$5:$J$27)*后果甲状腺剂量!$S20*后果甲状腺剂量!$S$3+SUMPRODUCT(DZ$5:DZ$27,后果甲状腺剂量!$J$5:$J$27)*后果甲状腺剂量!$T20*后果甲状腺剂量!$T$3+SUMPRODUCT(DW$5:DW$27,后果甲状腺剂量!$K$5:$K$27)*后果甲状腺剂量!$Q20+SUMPRODUCT(DX$5:DX$27,后果甲状腺剂量!$K$5:$K$27)*后果甲状腺剂量!$R20+SUMPRODUCT(DY$5:DY$27,后果甲状腺剂量!$K$5:$K$27)*后果甲状腺剂量!$S20+SUMPRODUCT(DZ$5:DZ$27,后果甲状腺剂量!$K$5:$K$27)*后果甲状腺剂量!$T20</f>
        <v>0.000299897606877615</v>
      </c>
      <c r="DY46" s="333">
        <f t="shared" si="152"/>
        <v>0.0246782709845116</v>
      </c>
      <c r="DZ46" s="333">
        <f t="shared" si="153"/>
        <v>0.299897606877615</v>
      </c>
      <c r="EA46" s="198"/>
      <c r="EB46" s="198"/>
      <c r="EH46" s="330" t="str">
        <f>后果有效剂量!$P20</f>
        <v>75000m</v>
      </c>
      <c r="EI46" s="331">
        <f>SUMPRODUCT(EJ$5:EJ$27,后果有效剂量!$I$5:$I$27)*后果有效剂量!$Q20+SUMPRODUCT(EK$5:EK$27,后果有效剂量!$I$5:$I$27)*后果有效剂量!$R20+SUMPRODUCT(EL$5:EL$27,后果有效剂量!$I$5:$I$27)*后果有效剂量!$S20+SUMPRODUCT(EM$5:EM$27,后果有效剂量!$I$5:$I$27)*后果有效剂量!$T20+SUMPRODUCT(EN$5:EN$27,后果有效剂量!$I$5:$I$27)*后果有效剂量!$U20+SUMPRODUCT(EJ$5:EJ$27,后果有效剂量!$J$5:$J$27)*后果有效剂量!$Q20*后果有效剂量!$Q$3+SUMPRODUCT(EK$5:EK$27,后果有效剂量!$J$5:$J$27)*后果有效剂量!$R20*后果有效剂量!$R$3+SUMPRODUCT(EL$5:EL$27,后果有效剂量!$J$5:$J$27)*后果有效剂量!$S20*后果有效剂量!$S$3+SUMPRODUCT(EM$5:EM$27,后果有效剂量!$J$5:$J$27)*后果有效剂量!$T20*后果有效剂量!$T$3+SUMPRODUCT(EN$5:EN$27,后果有效剂量!$J$5:$J$27)*后果有效剂量!$U20*后果有效剂量!$U$3+SUMPRODUCT(EJ$5:EJ$27,后果有效剂量!$K$5:$K$27)*后果有效剂量!$Q20+SUMPRODUCT(EK$5:EK$27,后果有效剂量!$K$5:$K$27)*后果有效剂量!$R20+SUMPRODUCT(EL$5:EL$27,后果有效剂量!$K$5:$K$27)*后果有效剂量!$S20+SUMPRODUCT(EM$5:EM$27,后果有效剂量!$K$5:$K$27)*后果有效剂量!$T20+SUMPRODUCT(EN$5:EN$27,后果有效剂量!$K$5:$K$27)*后果有效剂量!$U20</f>
        <v>2.03957081944243e-6</v>
      </c>
      <c r="EJ46" s="332">
        <f>SUMPRODUCT(EJ$5:EJ$27,后果甲状腺剂量!$I$5:$I$27)*后果甲状腺剂量!$Q20+SUMPRODUCT(EK$5:EK$27,后果甲状腺剂量!$I$5:$I$27)*后果甲状腺剂量!$R20+SUMPRODUCT(EL$5:EL$27,后果甲状腺剂量!$I$5:$I$27)*后果甲状腺剂量!$S20+SUMPRODUCT(EM$5:EM$27,后果甲状腺剂量!$I$5:$I$27)*后果甲状腺剂量!$T20+SUMPRODUCT(EN$5:EN$27,后果甲状腺剂量!$I$5:$I$27)*后果甲状腺剂量!$U20+SUMPRODUCT(EJ$5:EJ$27,后果甲状腺剂量!$J$5:$J$27)*后果甲状腺剂量!$Q20*后果甲状腺剂量!$Q$3+SUMPRODUCT(EK$5:EK$27,后果甲状腺剂量!$J$5:$J$27)*后果甲状腺剂量!$R20*后果甲状腺剂量!$R$3+SUMPRODUCT(EL$5:EL$27,后果甲状腺剂量!$J$5:$J$27)*后果甲状腺剂量!$S20*后果甲状腺剂量!$S$3+SUMPRODUCT(EM$5:EM$27,后果甲状腺剂量!$J$5:$J$27)*后果甲状腺剂量!$T20*后果甲状腺剂量!$T$3+SUMPRODUCT(EN$5:EN$27,后果甲状腺剂量!$J$5:$J$27)*后果甲状腺剂量!$U20*后果甲状腺剂量!$U$3+SUMPRODUCT(EJ$5:EJ$27,后果甲状腺剂量!$K$5:$K$27)*后果甲状腺剂量!$Q20+SUMPRODUCT(EK$5:EK$27,后果甲状腺剂量!$K$5:$K$27)*后果甲状腺剂量!$R20+SUMPRODUCT(EL$5:EL$27,后果甲状腺剂量!$K$5:$K$27)*后果甲状腺剂量!$S20+SUMPRODUCT(EM$5:EM$27,后果甲状腺剂量!$K$5:$K$27)*后果甲状腺剂量!$T20+SUMPRODUCT(EN$5:EN$27,后果甲状腺剂量!$K$5:$K$27)*后果甲状腺剂量!$U20</f>
        <v>2.3601446530675e-5</v>
      </c>
      <c r="EK46" s="333">
        <f t="shared" si="154"/>
        <v>0.00203957081944243</v>
      </c>
      <c r="EL46" s="333">
        <f t="shared" si="155"/>
        <v>0.023601446530675</v>
      </c>
      <c r="EM46" s="198"/>
      <c r="EN46" s="198"/>
    </row>
    <row r="47" spans="17:144">
      <c r="Q47" s="254"/>
      <c r="U47" s="253"/>
      <c r="X47" s="247"/>
      <c r="Y47" s="287"/>
      <c r="DM47" s="330">
        <f>后果有效剂量!$P21</f>
        <v>0</v>
      </c>
      <c r="DN47" s="331">
        <f ca="1">SUMPRODUCT(DN$5:DN$27,后果有效剂量!$I$5:$I$27)*后果有效剂量!$Q21+SUMPRODUCT(DO$5:DO$27,后果有效剂量!$I$5:$I$27)*后果有效剂量!$Q21+SUMPRODUCT(DP$5:DP$27,后果有效剂量!$I$5:$I$27)*后果有效剂量!$R21+SUMPRODUCT(DQ$5:DQ$27,后果有效剂量!$I$5:$I$27)*后果有效剂量!$S21+SUMPRODUCT(DR$5:DR$27,后果有效剂量!$I$5:$I$27)*后果有效剂量!$T21+SUMPRODUCT(DS$5:DS$27,后果有效剂量!$I$5:$I$27)*后果有效剂量!$U21+SUMPRODUCT(DN$5:DN$27,后果有效剂量!$J$5:$J$27)*后果有效剂量!$Q21*后果有效剂量!$Q$3+SUMPRODUCT(DO$5:DO$27,后果有效剂量!$J$5:$J$27)*后果有效剂量!$Q21*后果有效剂量!$Q$3+SUMPRODUCT(DP$5:DP$27,后果有效剂量!$J$5:$J$27)*后果有效剂量!$R21*后果有效剂量!$R$3+SUMPRODUCT(DQ$5:DQ$27,后果有效剂量!$J$5:$J$27)*后果有效剂量!$S21*后果有效剂量!$S$3+SUMPRODUCT(DR$5:DR$27,后果有效剂量!$J$5:$J$27)*后果有效剂量!$T21*后果有效剂量!$T$3+SUMPRODUCT(DS$5:DS$27,后果有效剂量!$J$5:$J$27)*后果有效剂量!$U21*后果有效剂量!$U$3+SUMPRODUCT(DN$5:DN$27,后果有效剂量!$K$5:$K$27)*后果有效剂量!$Q21+SUMPRODUCT(DO$5:DO$27,后果有效剂量!$K$5:$K$27)*后果有效剂量!$Q21+SUMPRODUCT(DP$5:DP$27,后果有效剂量!$K$5:$K$27)*后果有效剂量!$R21+SUMPRODUCT(DQ$5:DQ$27,后果有效剂量!$K$5:$K$27)*后果有效剂量!$S21+SUMPRODUCT(DR$5:DR$27,后果有效剂量!$K$5:$K$27)*后果有效剂量!$T21+SUMPRODUCT(DS$5:DS$27,后果有效剂量!$K$5:$K$27)*后果有效剂量!$U21</f>
        <v>0</v>
      </c>
      <c r="DO47" s="332">
        <f ca="1">SUMPRODUCT(DN$5:DN$27,后果甲状腺剂量!$I$5:$I$27)*后果甲状腺剂量!$Q21+SUMPRODUCT(DO$5:DO$27,后果甲状腺剂量!$I$5:$I$27)*后果甲状腺剂量!$Q21+SUMPRODUCT(DP$5:DP$27,后果甲状腺剂量!$I$5:$I$27)*后果甲状腺剂量!$R21+SUMPRODUCT(DQ$5:DQ$27,后果甲状腺剂量!$I$5:$I$27)*后果甲状腺剂量!$S21+SUMPRODUCT(DR$5:DR$27,后果甲状腺剂量!$I$5:$I$27)*后果甲状腺剂量!$T21+SUMPRODUCT(DS$5:DS$27,后果甲状腺剂量!$I$5:$I$27)*后果甲状腺剂量!$U21+SUMPRODUCT(DN$5:DN$27,后果甲状腺剂量!$J$5:$J$27)*后果甲状腺剂量!$Q21*后果甲状腺剂量!$Q$3+SUMPRODUCT(DO$5:DO$27,后果甲状腺剂量!$J$5:$J$27)*后果甲状腺剂量!$Q21*后果甲状腺剂量!$Q$3+SUMPRODUCT(DP$5:DP$27,后果甲状腺剂量!$J$5:$J$27)*后果甲状腺剂量!$R21*后果甲状腺剂量!$R$3+SUMPRODUCT(DQ$5:DQ$27,后果甲状腺剂量!$J$5:$J$27)*后果甲状腺剂量!$S21*后果甲状腺剂量!$S$3+SUMPRODUCT(DR$5:DR$27,后果甲状腺剂量!$J$5:$J$27)*后果甲状腺剂量!$T21*后果甲状腺剂量!$T$3+SUMPRODUCT(DS$5:DS$27,后果甲状腺剂量!$J$5:$J$27)*后果甲状腺剂量!$U21*后果甲状腺剂量!$U$3+SUMPRODUCT(DN$5:DN$27,后果甲状腺剂量!$K$5:$K$27)*后果甲状腺剂量!$Q21+SUMPRODUCT(DO$5:DO$27,后果甲状腺剂量!$K$5:$K$27)*后果甲状腺剂量!$Q21+SUMPRODUCT(DP$5:DP$27,后果甲状腺剂量!$K$5:$K$27)*后果甲状腺剂量!$R21+SUMPRODUCT(DQ$5:DQ$27,后果甲状腺剂量!$K$5:$K$27)*后果甲状腺剂量!$S21+SUMPRODUCT(DR$5:DR$27,后果甲状腺剂量!$K$5:$K$27)*后果甲状腺剂量!$T21+SUMPRODUCT(DS$5:DS$27,后果甲状腺剂量!$K$5:$K$27)*后果甲状腺剂量!$U21</f>
        <v>0</v>
      </c>
      <c r="DP47" s="333">
        <f ca="1" t="shared" si="150"/>
        <v>0</v>
      </c>
      <c r="DQ47" s="333">
        <f ca="1" t="shared" si="151"/>
        <v>0</v>
      </c>
      <c r="DR47" s="198"/>
      <c r="DS47" s="198"/>
      <c r="DW47" s="331">
        <f>SUMPRODUCT(DW$5:DW$27,后果有效剂量!$I$5:$I$27)*后果有效剂量!$Q21+SUMPRODUCT(DX$5:DX$27,后果有效剂量!$I$5:$I$27)*后果有效剂量!$R21+SUMPRODUCT(DY$5:DY$27,后果有效剂量!$I$5:$I$27)*后果有效剂量!$S21+SUMPRODUCT(DZ$5:DZ$27,后果有效剂量!$I$5:$I$27)*后果有效剂量!$T21+SUMPRODUCT(DW$5:DW$27,后果有效剂量!$J$5:$J$27)*后果有效剂量!$Q21*后果有效剂量!$Q$3+SUMPRODUCT(DX$5:DX$27,后果有效剂量!$J$5:$J$27)*后果有效剂量!$R21*后果有效剂量!$R$3+SUMPRODUCT(DY$5:DY$27,后果有效剂量!$J$5:$J$27)*后果有效剂量!$S21*后果有效剂量!$S$3+SUMPRODUCT(DZ$5:DZ$27,后果有效剂量!$J$5:$J$27)*后果有效剂量!$T21*后果有效剂量!$T$3+SUMPRODUCT(DW$5:DW$27,后果有效剂量!$K$5:$K$27)*后果有效剂量!$Q21+SUMPRODUCT(DX$5:DX$27,后果有效剂量!$K$5:$K$27)*后果有效剂量!$R21+SUMPRODUCT(DY$5:DY$27,后果有效剂量!$K$5:$K$27)*后果有效剂量!$S21+SUMPRODUCT(DZ$5:DZ$27,后果有效剂量!$K$5:$K$27)*后果有效剂量!$T21</f>
        <v>0</v>
      </c>
      <c r="DX47" s="332">
        <f>SUMPRODUCT(DW$5:DW$27,后果甲状腺剂量!$I$5:$I$27)*后果甲状腺剂量!$Q21+SUMPRODUCT(DX$5:DX$27,后果甲状腺剂量!$I$5:$I$27)*后果甲状腺剂量!$R21+SUMPRODUCT(DY$5:DY$27,后果甲状腺剂量!$I$5:$I$27)*后果甲状腺剂量!$S21+SUMPRODUCT(DZ$5:DZ$27,后果甲状腺剂量!$I$5:$I$27)*后果甲状腺剂量!$T21+SUMPRODUCT(DW$5:DW$27,后果甲状腺剂量!$J$5:$J$27)*后果甲状腺剂量!$Q21*后果甲状腺剂量!$Q$3+SUMPRODUCT(DX$5:DX$27,后果甲状腺剂量!$J$5:$J$27)*后果甲状腺剂量!$R21*后果甲状腺剂量!$R$3+SUMPRODUCT(DY$5:DY$27,后果甲状腺剂量!$J$5:$J$27)*后果甲状腺剂量!$S21*后果甲状腺剂量!$S$3+SUMPRODUCT(DZ$5:DZ$27,后果甲状腺剂量!$J$5:$J$27)*后果甲状腺剂量!$T21*后果甲状腺剂量!$T$3+SUMPRODUCT(DW$5:DW$27,后果甲状腺剂量!$K$5:$K$27)*后果甲状腺剂量!$Q21+SUMPRODUCT(DX$5:DX$27,后果甲状腺剂量!$K$5:$K$27)*后果甲状腺剂量!$R21+SUMPRODUCT(DY$5:DY$27,后果甲状腺剂量!$K$5:$K$27)*后果甲状腺剂量!$S21+SUMPRODUCT(DZ$5:DZ$27,后果甲状腺剂量!$K$5:$K$27)*后果甲状腺剂量!$T21</f>
        <v>0</v>
      </c>
      <c r="DY47" s="333">
        <f t="shared" si="152"/>
        <v>0</v>
      </c>
      <c r="DZ47" s="333">
        <f t="shared" si="153"/>
        <v>0</v>
      </c>
      <c r="EA47" s="198"/>
      <c r="EB47" s="198"/>
      <c r="EH47" s="330">
        <f>后果有效剂量!$P21</f>
        <v>0</v>
      </c>
      <c r="EI47" s="331">
        <f>SUMPRODUCT(EJ$5:EJ$27,后果有效剂量!$I$5:$I$27)*后果有效剂量!$Q21+SUMPRODUCT(EK$5:EK$27,后果有效剂量!$I$5:$I$27)*后果有效剂量!$R21+SUMPRODUCT(EL$5:EL$27,后果有效剂量!$I$5:$I$27)*后果有效剂量!$S21+SUMPRODUCT(EM$5:EM$27,后果有效剂量!$I$5:$I$27)*后果有效剂量!$T21+SUMPRODUCT(EN$5:EN$27,后果有效剂量!$I$5:$I$27)*后果有效剂量!$U21+SUMPRODUCT(EJ$5:EJ$27,后果有效剂量!$J$5:$J$27)*后果有效剂量!$Q21*后果有效剂量!$Q$3+SUMPRODUCT(EK$5:EK$27,后果有效剂量!$J$5:$J$27)*后果有效剂量!$R21*后果有效剂量!$R$3+SUMPRODUCT(EL$5:EL$27,后果有效剂量!$J$5:$J$27)*后果有效剂量!$S21*后果有效剂量!$S$3+SUMPRODUCT(EM$5:EM$27,后果有效剂量!$J$5:$J$27)*后果有效剂量!$T21*后果有效剂量!$T$3+SUMPRODUCT(EN$5:EN$27,后果有效剂量!$J$5:$J$27)*后果有效剂量!$U21*后果有效剂量!$U$3+SUMPRODUCT(EJ$5:EJ$27,后果有效剂量!$K$5:$K$27)*后果有效剂量!$Q21+SUMPRODUCT(EK$5:EK$27,后果有效剂量!$K$5:$K$27)*后果有效剂量!$R21+SUMPRODUCT(EL$5:EL$27,后果有效剂量!$K$5:$K$27)*后果有效剂量!$S21+SUMPRODUCT(EM$5:EM$27,后果有效剂量!$K$5:$K$27)*后果有效剂量!$T21+SUMPRODUCT(EN$5:EN$27,后果有效剂量!$K$5:$K$27)*后果有效剂量!$U21</f>
        <v>0</v>
      </c>
      <c r="EJ47" s="332">
        <f>SUMPRODUCT(EJ$5:EJ$27,后果甲状腺剂量!$I$5:$I$27)*后果甲状腺剂量!$Q21+SUMPRODUCT(EK$5:EK$27,后果甲状腺剂量!$I$5:$I$27)*后果甲状腺剂量!$R21+SUMPRODUCT(EL$5:EL$27,后果甲状腺剂量!$I$5:$I$27)*后果甲状腺剂量!$S21+SUMPRODUCT(EM$5:EM$27,后果甲状腺剂量!$I$5:$I$27)*后果甲状腺剂量!$T21+SUMPRODUCT(EN$5:EN$27,后果甲状腺剂量!$I$5:$I$27)*后果甲状腺剂量!$U21+SUMPRODUCT(EJ$5:EJ$27,后果甲状腺剂量!$J$5:$J$27)*后果甲状腺剂量!$Q21*后果甲状腺剂量!$Q$3+SUMPRODUCT(EK$5:EK$27,后果甲状腺剂量!$J$5:$J$27)*后果甲状腺剂量!$R21*后果甲状腺剂量!$R$3+SUMPRODUCT(EL$5:EL$27,后果甲状腺剂量!$J$5:$J$27)*后果甲状腺剂量!$S21*后果甲状腺剂量!$S$3+SUMPRODUCT(EM$5:EM$27,后果甲状腺剂量!$J$5:$J$27)*后果甲状腺剂量!$T21*后果甲状腺剂量!$T$3+SUMPRODUCT(EN$5:EN$27,后果甲状腺剂量!$J$5:$J$27)*后果甲状腺剂量!$U21*后果甲状腺剂量!$U$3+SUMPRODUCT(EJ$5:EJ$27,后果甲状腺剂量!$K$5:$K$27)*后果甲状腺剂量!$Q21+SUMPRODUCT(EK$5:EK$27,后果甲状腺剂量!$K$5:$K$27)*后果甲状腺剂量!$R21+SUMPRODUCT(EL$5:EL$27,后果甲状腺剂量!$K$5:$K$27)*后果甲状腺剂量!$S21+SUMPRODUCT(EM$5:EM$27,后果甲状腺剂量!$K$5:$K$27)*后果甲状腺剂量!$T21+SUMPRODUCT(EN$5:EN$27,后果甲状腺剂量!$K$5:$K$27)*后果甲状腺剂量!$U21</f>
        <v>0</v>
      </c>
      <c r="EK47" s="333">
        <f t="shared" si="154"/>
        <v>0</v>
      </c>
      <c r="EL47" s="333">
        <f t="shared" si="155"/>
        <v>0</v>
      </c>
      <c r="EM47" s="198"/>
      <c r="EN47" s="198"/>
    </row>
    <row r="48" spans="17:144">
      <c r="Q48" s="254"/>
      <c r="U48" s="253"/>
      <c r="X48" s="247"/>
      <c r="Y48" s="287"/>
      <c r="DM48" s="330">
        <f>后果有效剂量!$P22</f>
        <v>0</v>
      </c>
      <c r="DN48" s="331">
        <f ca="1">SUMPRODUCT(DN$5:DN$27,后果有效剂量!$I$5:$I$27)*后果有效剂量!$Q22+SUMPRODUCT(DO$5:DO$27,后果有效剂量!$I$5:$I$27)*后果有效剂量!$Q22+SUMPRODUCT(DP$5:DP$27,后果有效剂量!$I$5:$I$27)*后果有效剂量!$R22+SUMPRODUCT(DQ$5:DQ$27,后果有效剂量!$I$5:$I$27)*后果有效剂量!$S22+SUMPRODUCT(DR$5:DR$27,后果有效剂量!$I$5:$I$27)*后果有效剂量!$T22+SUMPRODUCT(DS$5:DS$27,后果有效剂量!$I$5:$I$27)*后果有效剂量!$U22+SUMPRODUCT(DN$5:DN$27,后果有效剂量!$J$5:$J$27)*后果有效剂量!$Q22*后果有效剂量!$Q$3+SUMPRODUCT(DO$5:DO$27,后果有效剂量!$J$5:$J$27)*后果有效剂量!$Q22*后果有效剂量!$Q$3+SUMPRODUCT(DP$5:DP$27,后果有效剂量!$J$5:$J$27)*后果有效剂量!$R22*后果有效剂量!$R$3+SUMPRODUCT(DQ$5:DQ$27,后果有效剂量!$J$5:$J$27)*后果有效剂量!$S22*后果有效剂量!$S$3+SUMPRODUCT(DR$5:DR$27,后果有效剂量!$J$5:$J$27)*后果有效剂量!$T22*后果有效剂量!$T$3+SUMPRODUCT(DS$5:DS$27,后果有效剂量!$J$5:$J$27)*后果有效剂量!$U22*后果有效剂量!$U$3+SUMPRODUCT(DN$5:DN$27,后果有效剂量!$K$5:$K$27)*后果有效剂量!$Q22+SUMPRODUCT(DO$5:DO$27,后果有效剂量!$K$5:$K$27)*后果有效剂量!$Q22+SUMPRODUCT(DP$5:DP$27,后果有效剂量!$K$5:$K$27)*后果有效剂量!$R22+SUMPRODUCT(DQ$5:DQ$27,后果有效剂量!$K$5:$K$27)*后果有效剂量!$S22+SUMPRODUCT(DR$5:DR$27,后果有效剂量!$K$5:$K$27)*后果有效剂量!$T22+SUMPRODUCT(DS$5:DS$27,后果有效剂量!$K$5:$K$27)*后果有效剂量!$U22</f>
        <v>0</v>
      </c>
      <c r="DO48" s="332">
        <f ca="1">SUMPRODUCT(DN$5:DN$27,后果甲状腺剂量!$I$5:$I$27)*后果甲状腺剂量!$Q22+SUMPRODUCT(DO$5:DO$27,后果甲状腺剂量!$I$5:$I$27)*后果甲状腺剂量!$Q22+SUMPRODUCT(DP$5:DP$27,后果甲状腺剂量!$I$5:$I$27)*后果甲状腺剂量!$R22+SUMPRODUCT(DQ$5:DQ$27,后果甲状腺剂量!$I$5:$I$27)*后果甲状腺剂量!$S22+SUMPRODUCT(DR$5:DR$27,后果甲状腺剂量!$I$5:$I$27)*后果甲状腺剂量!$T22+SUMPRODUCT(DS$5:DS$27,后果甲状腺剂量!$I$5:$I$27)*后果甲状腺剂量!$U22+SUMPRODUCT(DN$5:DN$27,后果甲状腺剂量!$J$5:$J$27)*后果甲状腺剂量!$Q22*后果甲状腺剂量!$Q$3+SUMPRODUCT(DO$5:DO$27,后果甲状腺剂量!$J$5:$J$27)*后果甲状腺剂量!$Q22*后果甲状腺剂量!$Q$3+SUMPRODUCT(DP$5:DP$27,后果甲状腺剂量!$J$5:$J$27)*后果甲状腺剂量!$R22*后果甲状腺剂量!$R$3+SUMPRODUCT(DQ$5:DQ$27,后果甲状腺剂量!$J$5:$J$27)*后果甲状腺剂量!$S22*后果甲状腺剂量!$S$3+SUMPRODUCT(DR$5:DR$27,后果甲状腺剂量!$J$5:$J$27)*后果甲状腺剂量!$T22*后果甲状腺剂量!$T$3+SUMPRODUCT(DS$5:DS$27,后果甲状腺剂量!$J$5:$J$27)*后果甲状腺剂量!$U22*后果甲状腺剂量!$U$3+SUMPRODUCT(DN$5:DN$27,后果甲状腺剂量!$K$5:$K$27)*后果甲状腺剂量!$Q22+SUMPRODUCT(DO$5:DO$27,后果甲状腺剂量!$K$5:$K$27)*后果甲状腺剂量!$Q22+SUMPRODUCT(DP$5:DP$27,后果甲状腺剂量!$K$5:$K$27)*后果甲状腺剂量!$R22+SUMPRODUCT(DQ$5:DQ$27,后果甲状腺剂量!$K$5:$K$27)*后果甲状腺剂量!$S22+SUMPRODUCT(DR$5:DR$27,后果甲状腺剂量!$K$5:$K$27)*后果甲状腺剂量!$T22+SUMPRODUCT(DS$5:DS$27,后果甲状腺剂量!$K$5:$K$27)*后果甲状腺剂量!$U22</f>
        <v>0</v>
      </c>
      <c r="DP48" s="333">
        <f ca="1" t="shared" si="150"/>
        <v>0</v>
      </c>
      <c r="DQ48" s="333">
        <f ca="1" t="shared" si="151"/>
        <v>0</v>
      </c>
      <c r="DR48" s="198"/>
      <c r="DS48" s="198"/>
      <c r="DW48" s="331">
        <f>SUMPRODUCT(DW$5:DW$27,后果有效剂量!$I$5:$I$27)*后果有效剂量!$Q22+SUMPRODUCT(DX$5:DX$27,后果有效剂量!$I$5:$I$27)*后果有效剂量!$R22+SUMPRODUCT(DY$5:DY$27,后果有效剂量!$I$5:$I$27)*后果有效剂量!$S22+SUMPRODUCT(DZ$5:DZ$27,后果有效剂量!$I$5:$I$27)*后果有效剂量!$T22+SUMPRODUCT(DW$5:DW$27,后果有效剂量!$J$5:$J$27)*后果有效剂量!$Q22*后果有效剂量!$Q$3+SUMPRODUCT(DX$5:DX$27,后果有效剂量!$J$5:$J$27)*后果有效剂量!$R22*后果有效剂量!$R$3+SUMPRODUCT(DY$5:DY$27,后果有效剂量!$J$5:$J$27)*后果有效剂量!$S22*后果有效剂量!$S$3+SUMPRODUCT(DZ$5:DZ$27,后果有效剂量!$J$5:$J$27)*后果有效剂量!$T22*后果有效剂量!$T$3+SUMPRODUCT(DW$5:DW$27,后果有效剂量!$K$5:$K$27)*后果有效剂量!$Q22+SUMPRODUCT(DX$5:DX$27,后果有效剂量!$K$5:$K$27)*后果有效剂量!$R22+SUMPRODUCT(DY$5:DY$27,后果有效剂量!$K$5:$K$27)*后果有效剂量!$S22+SUMPRODUCT(DZ$5:DZ$27,后果有效剂量!$K$5:$K$27)*后果有效剂量!$T22</f>
        <v>0</v>
      </c>
      <c r="DX48" s="332">
        <f>SUMPRODUCT(DW$5:DW$27,后果甲状腺剂量!$I$5:$I$27)*后果甲状腺剂量!$Q22+SUMPRODUCT(DX$5:DX$27,后果甲状腺剂量!$I$5:$I$27)*后果甲状腺剂量!$R22+SUMPRODUCT(DY$5:DY$27,后果甲状腺剂量!$I$5:$I$27)*后果甲状腺剂量!$S22+SUMPRODUCT(DZ$5:DZ$27,后果甲状腺剂量!$I$5:$I$27)*后果甲状腺剂量!$T22+SUMPRODUCT(DW$5:DW$27,后果甲状腺剂量!$J$5:$J$27)*后果甲状腺剂量!$Q22*后果甲状腺剂量!$Q$3+SUMPRODUCT(DX$5:DX$27,后果甲状腺剂量!$J$5:$J$27)*后果甲状腺剂量!$R22*后果甲状腺剂量!$R$3+SUMPRODUCT(DY$5:DY$27,后果甲状腺剂量!$J$5:$J$27)*后果甲状腺剂量!$S22*后果甲状腺剂量!$S$3+SUMPRODUCT(DZ$5:DZ$27,后果甲状腺剂量!$J$5:$J$27)*后果甲状腺剂量!$T22*后果甲状腺剂量!$T$3+SUMPRODUCT(DW$5:DW$27,后果甲状腺剂量!$K$5:$K$27)*后果甲状腺剂量!$Q22+SUMPRODUCT(DX$5:DX$27,后果甲状腺剂量!$K$5:$K$27)*后果甲状腺剂量!$R22+SUMPRODUCT(DY$5:DY$27,后果甲状腺剂量!$K$5:$K$27)*后果甲状腺剂量!$S22+SUMPRODUCT(DZ$5:DZ$27,后果甲状腺剂量!$K$5:$K$27)*后果甲状腺剂量!$T22</f>
        <v>0</v>
      </c>
      <c r="DY48" s="333">
        <f t="shared" si="152"/>
        <v>0</v>
      </c>
      <c r="DZ48" s="333">
        <f t="shared" si="153"/>
        <v>0</v>
      </c>
      <c r="EA48" s="198"/>
      <c r="EB48" s="198"/>
      <c r="EH48" s="330">
        <f>后果有效剂量!$P22</f>
        <v>0</v>
      </c>
      <c r="EI48" s="331">
        <f>SUMPRODUCT(EJ$5:EJ$27,后果有效剂量!$I$5:$I$27)*后果有效剂量!$Q22+SUMPRODUCT(EK$5:EK$27,后果有效剂量!$I$5:$I$27)*后果有效剂量!$R22+SUMPRODUCT(EL$5:EL$27,后果有效剂量!$I$5:$I$27)*后果有效剂量!$S22+SUMPRODUCT(EM$5:EM$27,后果有效剂量!$I$5:$I$27)*后果有效剂量!$T22+SUMPRODUCT(EN$5:EN$27,后果有效剂量!$I$5:$I$27)*后果有效剂量!$U22+SUMPRODUCT(EJ$5:EJ$27,后果有效剂量!$J$5:$J$27)*后果有效剂量!$Q22*后果有效剂量!$Q$3+SUMPRODUCT(EK$5:EK$27,后果有效剂量!$J$5:$J$27)*后果有效剂量!$R22*后果有效剂量!$R$3+SUMPRODUCT(EL$5:EL$27,后果有效剂量!$J$5:$J$27)*后果有效剂量!$S22*后果有效剂量!$S$3+SUMPRODUCT(EM$5:EM$27,后果有效剂量!$J$5:$J$27)*后果有效剂量!$T22*后果有效剂量!$T$3+SUMPRODUCT(EN$5:EN$27,后果有效剂量!$J$5:$J$27)*后果有效剂量!$U22*后果有效剂量!$U$3+SUMPRODUCT(EJ$5:EJ$27,后果有效剂量!$K$5:$K$27)*后果有效剂量!$Q22+SUMPRODUCT(EK$5:EK$27,后果有效剂量!$K$5:$K$27)*后果有效剂量!$R22+SUMPRODUCT(EL$5:EL$27,后果有效剂量!$K$5:$K$27)*后果有效剂量!$S22+SUMPRODUCT(EM$5:EM$27,后果有效剂量!$K$5:$K$27)*后果有效剂量!$T22+SUMPRODUCT(EN$5:EN$27,后果有效剂量!$K$5:$K$27)*后果有效剂量!$U22</f>
        <v>0</v>
      </c>
      <c r="EJ48" s="332">
        <f>SUMPRODUCT(EJ$5:EJ$27,后果甲状腺剂量!$I$5:$I$27)*后果甲状腺剂量!$Q22+SUMPRODUCT(EK$5:EK$27,后果甲状腺剂量!$I$5:$I$27)*后果甲状腺剂量!$R22+SUMPRODUCT(EL$5:EL$27,后果甲状腺剂量!$I$5:$I$27)*后果甲状腺剂量!$S22+SUMPRODUCT(EM$5:EM$27,后果甲状腺剂量!$I$5:$I$27)*后果甲状腺剂量!$T22+SUMPRODUCT(EN$5:EN$27,后果甲状腺剂量!$I$5:$I$27)*后果甲状腺剂量!$U22+SUMPRODUCT(EJ$5:EJ$27,后果甲状腺剂量!$J$5:$J$27)*后果甲状腺剂量!$Q22*后果甲状腺剂量!$Q$3+SUMPRODUCT(EK$5:EK$27,后果甲状腺剂量!$J$5:$J$27)*后果甲状腺剂量!$R22*后果甲状腺剂量!$R$3+SUMPRODUCT(EL$5:EL$27,后果甲状腺剂量!$J$5:$J$27)*后果甲状腺剂量!$S22*后果甲状腺剂量!$S$3+SUMPRODUCT(EM$5:EM$27,后果甲状腺剂量!$J$5:$J$27)*后果甲状腺剂量!$T22*后果甲状腺剂量!$T$3+SUMPRODUCT(EN$5:EN$27,后果甲状腺剂量!$J$5:$J$27)*后果甲状腺剂量!$U22*后果甲状腺剂量!$U$3+SUMPRODUCT(EJ$5:EJ$27,后果甲状腺剂量!$K$5:$K$27)*后果甲状腺剂量!$Q22+SUMPRODUCT(EK$5:EK$27,后果甲状腺剂量!$K$5:$K$27)*后果甲状腺剂量!$R22+SUMPRODUCT(EL$5:EL$27,后果甲状腺剂量!$K$5:$K$27)*后果甲状腺剂量!$S22+SUMPRODUCT(EM$5:EM$27,后果甲状腺剂量!$K$5:$K$27)*后果甲状腺剂量!$T22+SUMPRODUCT(EN$5:EN$27,后果甲状腺剂量!$K$5:$K$27)*后果甲状腺剂量!$U22</f>
        <v>0</v>
      </c>
      <c r="EK48" s="333">
        <f t="shared" si="154"/>
        <v>0</v>
      </c>
      <c r="EL48" s="333">
        <f t="shared" si="155"/>
        <v>0</v>
      </c>
      <c r="EM48" s="198"/>
      <c r="EN48" s="198"/>
    </row>
    <row r="49" spans="17:144">
      <c r="Q49" s="254"/>
      <c r="U49" s="253"/>
      <c r="X49" s="247"/>
      <c r="Y49" s="287"/>
      <c r="DM49" s="330">
        <f>后果有效剂量!$P23</f>
        <v>0</v>
      </c>
      <c r="DN49" s="331">
        <f ca="1">SUMPRODUCT(DN$5:DN$27,后果有效剂量!$I$5:$I$27)*后果有效剂量!$Q23+SUMPRODUCT(DO$5:DO$27,后果有效剂量!$I$5:$I$27)*后果有效剂量!$Q23+SUMPRODUCT(DP$5:DP$27,后果有效剂量!$I$5:$I$27)*后果有效剂量!$R23+SUMPRODUCT(DQ$5:DQ$27,后果有效剂量!$I$5:$I$27)*后果有效剂量!$S23+SUMPRODUCT(DR$5:DR$27,后果有效剂量!$I$5:$I$27)*后果有效剂量!$T23+SUMPRODUCT(DS$5:DS$27,后果有效剂量!$I$5:$I$27)*后果有效剂量!$U23+SUMPRODUCT(DN$5:DN$27,后果有效剂量!$J$5:$J$27)*后果有效剂量!$Q23*后果有效剂量!$Q$3+SUMPRODUCT(DO$5:DO$27,后果有效剂量!$J$5:$J$27)*后果有效剂量!$Q23*后果有效剂量!$Q$3+SUMPRODUCT(DP$5:DP$27,后果有效剂量!$J$5:$J$27)*后果有效剂量!$R23*后果有效剂量!$R$3+SUMPRODUCT(DQ$5:DQ$27,后果有效剂量!$J$5:$J$27)*后果有效剂量!$S23*后果有效剂量!$S$3+SUMPRODUCT(DR$5:DR$27,后果有效剂量!$J$5:$J$27)*后果有效剂量!$T23*后果有效剂量!$T$3+SUMPRODUCT(DS$5:DS$27,后果有效剂量!$J$5:$J$27)*后果有效剂量!$U23*后果有效剂量!$U$3+SUMPRODUCT(DN$5:DN$27,后果有效剂量!$K$5:$K$27)*后果有效剂量!$Q23+SUMPRODUCT(DO$5:DO$27,后果有效剂量!$K$5:$K$27)*后果有效剂量!$Q23+SUMPRODUCT(DP$5:DP$27,后果有效剂量!$K$5:$K$27)*后果有效剂量!$R23+SUMPRODUCT(DQ$5:DQ$27,后果有效剂量!$K$5:$K$27)*后果有效剂量!$S23+SUMPRODUCT(DR$5:DR$27,后果有效剂量!$K$5:$K$27)*后果有效剂量!$T23+SUMPRODUCT(DS$5:DS$27,后果有效剂量!$K$5:$K$27)*后果有效剂量!$U23</f>
        <v>0</v>
      </c>
      <c r="DO49" s="332">
        <f ca="1">SUMPRODUCT(DN$5:DN$27,后果甲状腺剂量!$I$5:$I$27)*后果甲状腺剂量!$Q23+SUMPRODUCT(DO$5:DO$27,后果甲状腺剂量!$I$5:$I$27)*后果甲状腺剂量!$Q23+SUMPRODUCT(DP$5:DP$27,后果甲状腺剂量!$I$5:$I$27)*后果甲状腺剂量!$R23+SUMPRODUCT(DQ$5:DQ$27,后果甲状腺剂量!$I$5:$I$27)*后果甲状腺剂量!$S23+SUMPRODUCT(DR$5:DR$27,后果甲状腺剂量!$I$5:$I$27)*后果甲状腺剂量!$T23+SUMPRODUCT(DS$5:DS$27,后果甲状腺剂量!$I$5:$I$27)*后果甲状腺剂量!$U23+SUMPRODUCT(DN$5:DN$27,后果甲状腺剂量!$J$5:$J$27)*后果甲状腺剂量!$Q23*后果甲状腺剂量!$Q$3+SUMPRODUCT(DO$5:DO$27,后果甲状腺剂量!$J$5:$J$27)*后果甲状腺剂量!$Q23*后果甲状腺剂量!$Q$3+SUMPRODUCT(DP$5:DP$27,后果甲状腺剂量!$J$5:$J$27)*后果甲状腺剂量!$R23*后果甲状腺剂量!$R$3+SUMPRODUCT(DQ$5:DQ$27,后果甲状腺剂量!$J$5:$J$27)*后果甲状腺剂量!$S23*后果甲状腺剂量!$S$3+SUMPRODUCT(DR$5:DR$27,后果甲状腺剂量!$J$5:$J$27)*后果甲状腺剂量!$T23*后果甲状腺剂量!$T$3+SUMPRODUCT(DS$5:DS$27,后果甲状腺剂量!$J$5:$J$27)*后果甲状腺剂量!$U23*后果甲状腺剂量!$U$3+SUMPRODUCT(DN$5:DN$27,后果甲状腺剂量!$K$5:$K$27)*后果甲状腺剂量!$Q23+SUMPRODUCT(DO$5:DO$27,后果甲状腺剂量!$K$5:$K$27)*后果甲状腺剂量!$Q23+SUMPRODUCT(DP$5:DP$27,后果甲状腺剂量!$K$5:$K$27)*后果甲状腺剂量!$R23+SUMPRODUCT(DQ$5:DQ$27,后果甲状腺剂量!$K$5:$K$27)*后果甲状腺剂量!$S23+SUMPRODUCT(DR$5:DR$27,后果甲状腺剂量!$K$5:$K$27)*后果甲状腺剂量!$T23+SUMPRODUCT(DS$5:DS$27,后果甲状腺剂量!$K$5:$K$27)*后果甲状腺剂量!$U23</f>
        <v>0</v>
      </c>
      <c r="DP49" s="333">
        <f ca="1" t="shared" si="150"/>
        <v>0</v>
      </c>
      <c r="DQ49" s="333">
        <f ca="1" t="shared" si="151"/>
        <v>0</v>
      </c>
      <c r="DR49" s="198"/>
      <c r="DS49" s="198"/>
      <c r="DW49" s="331">
        <f>SUMPRODUCT(DW$5:DW$27,后果有效剂量!$I$5:$I$27)*后果有效剂量!$Q23+SUMPRODUCT(DX$5:DX$27,后果有效剂量!$I$5:$I$27)*后果有效剂量!$R23+SUMPRODUCT(DY$5:DY$27,后果有效剂量!$I$5:$I$27)*后果有效剂量!$S23+SUMPRODUCT(DZ$5:DZ$27,后果有效剂量!$I$5:$I$27)*后果有效剂量!$T23+SUMPRODUCT(DW$5:DW$27,后果有效剂量!$J$5:$J$27)*后果有效剂量!$Q23*后果有效剂量!$Q$3+SUMPRODUCT(DX$5:DX$27,后果有效剂量!$J$5:$J$27)*后果有效剂量!$R23*后果有效剂量!$R$3+SUMPRODUCT(DY$5:DY$27,后果有效剂量!$J$5:$J$27)*后果有效剂量!$S23*后果有效剂量!$S$3+SUMPRODUCT(DZ$5:DZ$27,后果有效剂量!$J$5:$J$27)*后果有效剂量!$T23*后果有效剂量!$T$3+SUMPRODUCT(DW$5:DW$27,后果有效剂量!$K$5:$K$27)*后果有效剂量!$Q23+SUMPRODUCT(DX$5:DX$27,后果有效剂量!$K$5:$K$27)*后果有效剂量!$R23+SUMPRODUCT(DY$5:DY$27,后果有效剂量!$K$5:$K$27)*后果有效剂量!$S23+SUMPRODUCT(DZ$5:DZ$27,后果有效剂量!$K$5:$K$27)*后果有效剂量!$T23</f>
        <v>0</v>
      </c>
      <c r="DX49" s="332">
        <f>SUMPRODUCT(DW$5:DW$27,后果甲状腺剂量!$I$5:$I$27)*后果甲状腺剂量!$Q23+SUMPRODUCT(DX$5:DX$27,后果甲状腺剂量!$I$5:$I$27)*后果甲状腺剂量!$R23+SUMPRODUCT(DY$5:DY$27,后果甲状腺剂量!$I$5:$I$27)*后果甲状腺剂量!$S23+SUMPRODUCT(DZ$5:DZ$27,后果甲状腺剂量!$I$5:$I$27)*后果甲状腺剂量!$T23+SUMPRODUCT(DW$5:DW$27,后果甲状腺剂量!$J$5:$J$27)*后果甲状腺剂量!$Q23*后果甲状腺剂量!$Q$3+SUMPRODUCT(DX$5:DX$27,后果甲状腺剂量!$J$5:$J$27)*后果甲状腺剂量!$R23*后果甲状腺剂量!$R$3+SUMPRODUCT(DY$5:DY$27,后果甲状腺剂量!$J$5:$J$27)*后果甲状腺剂量!$S23*后果甲状腺剂量!$S$3+SUMPRODUCT(DZ$5:DZ$27,后果甲状腺剂量!$J$5:$J$27)*后果甲状腺剂量!$T23*后果甲状腺剂量!$T$3+SUMPRODUCT(DW$5:DW$27,后果甲状腺剂量!$K$5:$K$27)*后果甲状腺剂量!$Q23+SUMPRODUCT(DX$5:DX$27,后果甲状腺剂量!$K$5:$K$27)*后果甲状腺剂量!$R23+SUMPRODUCT(DY$5:DY$27,后果甲状腺剂量!$K$5:$K$27)*后果甲状腺剂量!$S23+SUMPRODUCT(DZ$5:DZ$27,后果甲状腺剂量!$K$5:$K$27)*后果甲状腺剂量!$T23</f>
        <v>0</v>
      </c>
      <c r="DY49" s="333">
        <f t="shared" si="152"/>
        <v>0</v>
      </c>
      <c r="DZ49" s="333">
        <f t="shared" si="153"/>
        <v>0</v>
      </c>
      <c r="EA49" s="198"/>
      <c r="EB49" s="198"/>
      <c r="EH49" s="330">
        <f>后果有效剂量!$P23</f>
        <v>0</v>
      </c>
      <c r="EI49" s="331">
        <f>SUMPRODUCT(EJ$5:EJ$27,后果有效剂量!$I$5:$I$27)*后果有效剂量!$Q23+SUMPRODUCT(EK$5:EK$27,后果有效剂量!$I$5:$I$27)*后果有效剂量!$R23+SUMPRODUCT(EL$5:EL$27,后果有效剂量!$I$5:$I$27)*后果有效剂量!$S23+SUMPRODUCT(EM$5:EM$27,后果有效剂量!$I$5:$I$27)*后果有效剂量!$T23+SUMPRODUCT(EN$5:EN$27,后果有效剂量!$I$5:$I$27)*后果有效剂量!$U23+SUMPRODUCT(EJ$5:EJ$27,后果有效剂量!$J$5:$J$27)*后果有效剂量!$Q23*后果有效剂量!$Q$3+SUMPRODUCT(EK$5:EK$27,后果有效剂量!$J$5:$J$27)*后果有效剂量!$R23*后果有效剂量!$R$3+SUMPRODUCT(EL$5:EL$27,后果有效剂量!$J$5:$J$27)*后果有效剂量!$S23*后果有效剂量!$S$3+SUMPRODUCT(EM$5:EM$27,后果有效剂量!$J$5:$J$27)*后果有效剂量!$T23*后果有效剂量!$T$3+SUMPRODUCT(EN$5:EN$27,后果有效剂量!$J$5:$J$27)*后果有效剂量!$U23*后果有效剂量!$U$3+SUMPRODUCT(EJ$5:EJ$27,后果有效剂量!$K$5:$K$27)*后果有效剂量!$Q23+SUMPRODUCT(EK$5:EK$27,后果有效剂量!$K$5:$K$27)*后果有效剂量!$R23+SUMPRODUCT(EL$5:EL$27,后果有效剂量!$K$5:$K$27)*后果有效剂量!$S23+SUMPRODUCT(EM$5:EM$27,后果有效剂量!$K$5:$K$27)*后果有效剂量!$T23+SUMPRODUCT(EN$5:EN$27,后果有效剂量!$K$5:$K$27)*后果有效剂量!$U23</f>
        <v>0</v>
      </c>
      <c r="EJ49" s="332">
        <f>SUMPRODUCT(EJ$5:EJ$27,后果甲状腺剂量!$I$5:$I$27)*后果甲状腺剂量!$Q23+SUMPRODUCT(EK$5:EK$27,后果甲状腺剂量!$I$5:$I$27)*后果甲状腺剂量!$R23+SUMPRODUCT(EL$5:EL$27,后果甲状腺剂量!$I$5:$I$27)*后果甲状腺剂量!$S23+SUMPRODUCT(EM$5:EM$27,后果甲状腺剂量!$I$5:$I$27)*后果甲状腺剂量!$T23+SUMPRODUCT(EN$5:EN$27,后果甲状腺剂量!$I$5:$I$27)*后果甲状腺剂量!$U23+SUMPRODUCT(EJ$5:EJ$27,后果甲状腺剂量!$J$5:$J$27)*后果甲状腺剂量!$Q23*后果甲状腺剂量!$Q$3+SUMPRODUCT(EK$5:EK$27,后果甲状腺剂量!$J$5:$J$27)*后果甲状腺剂量!$R23*后果甲状腺剂量!$R$3+SUMPRODUCT(EL$5:EL$27,后果甲状腺剂量!$J$5:$J$27)*后果甲状腺剂量!$S23*后果甲状腺剂量!$S$3+SUMPRODUCT(EM$5:EM$27,后果甲状腺剂量!$J$5:$J$27)*后果甲状腺剂量!$T23*后果甲状腺剂量!$T$3+SUMPRODUCT(EN$5:EN$27,后果甲状腺剂量!$J$5:$J$27)*后果甲状腺剂量!$U23*后果甲状腺剂量!$U$3+SUMPRODUCT(EJ$5:EJ$27,后果甲状腺剂量!$K$5:$K$27)*后果甲状腺剂量!$Q23+SUMPRODUCT(EK$5:EK$27,后果甲状腺剂量!$K$5:$K$27)*后果甲状腺剂量!$R23+SUMPRODUCT(EL$5:EL$27,后果甲状腺剂量!$K$5:$K$27)*后果甲状腺剂量!$S23+SUMPRODUCT(EM$5:EM$27,后果甲状腺剂量!$K$5:$K$27)*后果甲状腺剂量!$T23+SUMPRODUCT(EN$5:EN$27,后果甲状腺剂量!$K$5:$K$27)*后果甲状腺剂量!$U23</f>
        <v>0</v>
      </c>
      <c r="EK49" s="333">
        <f t="shared" si="154"/>
        <v>0</v>
      </c>
      <c r="EL49" s="333">
        <f t="shared" si="155"/>
        <v>0</v>
      </c>
      <c r="EM49" s="198"/>
      <c r="EN49" s="198"/>
    </row>
    <row r="50" spans="17:144">
      <c r="Q50" s="254"/>
      <c r="U50" s="253"/>
      <c r="X50" s="247"/>
      <c r="Y50" s="287"/>
      <c r="DM50" s="330">
        <f>后果有效剂量!$P24</f>
        <v>0</v>
      </c>
      <c r="DN50" s="331">
        <f ca="1">SUMPRODUCT(DN$5:DN$27,后果有效剂量!$I$5:$I$27)*后果有效剂量!$Q24+SUMPRODUCT(DO$5:DO$27,后果有效剂量!$I$5:$I$27)*后果有效剂量!$Q24+SUMPRODUCT(DP$5:DP$27,后果有效剂量!$I$5:$I$27)*后果有效剂量!$R24+SUMPRODUCT(DQ$5:DQ$27,后果有效剂量!$I$5:$I$27)*后果有效剂量!$S24+SUMPRODUCT(DR$5:DR$27,后果有效剂量!$I$5:$I$27)*后果有效剂量!$T24+SUMPRODUCT(DS$5:DS$27,后果有效剂量!$I$5:$I$27)*后果有效剂量!$U24+SUMPRODUCT(DN$5:DN$27,后果有效剂量!$J$5:$J$27)*后果有效剂量!$Q24*后果有效剂量!$Q$3+SUMPRODUCT(DO$5:DO$27,后果有效剂量!$J$5:$J$27)*后果有效剂量!$Q24*后果有效剂量!$Q$3+SUMPRODUCT(DP$5:DP$27,后果有效剂量!$J$5:$J$27)*后果有效剂量!$R24*后果有效剂量!$R$3+SUMPRODUCT(DQ$5:DQ$27,后果有效剂量!$J$5:$J$27)*后果有效剂量!$S24*后果有效剂量!$S$3+SUMPRODUCT(DR$5:DR$27,后果有效剂量!$J$5:$J$27)*后果有效剂量!$T24*后果有效剂量!$T$3+SUMPRODUCT(DS$5:DS$27,后果有效剂量!$J$5:$J$27)*后果有效剂量!$U24*后果有效剂量!$U$3+SUMPRODUCT(DN$5:DN$27,后果有效剂量!$K$5:$K$27)*后果有效剂量!$Q24+SUMPRODUCT(DO$5:DO$27,后果有效剂量!$K$5:$K$27)*后果有效剂量!$Q24+SUMPRODUCT(DP$5:DP$27,后果有效剂量!$K$5:$K$27)*后果有效剂量!$R24+SUMPRODUCT(DQ$5:DQ$27,后果有效剂量!$K$5:$K$27)*后果有效剂量!$S24+SUMPRODUCT(DR$5:DR$27,后果有效剂量!$K$5:$K$27)*后果有效剂量!$T24+SUMPRODUCT(DS$5:DS$27,后果有效剂量!$K$5:$K$27)*后果有效剂量!$U24</f>
        <v>0</v>
      </c>
      <c r="DO50" s="332">
        <f ca="1">SUMPRODUCT(DN$5:DN$27,后果甲状腺剂量!$I$5:$I$27)*后果甲状腺剂量!$Q24+SUMPRODUCT(DO$5:DO$27,后果甲状腺剂量!$I$5:$I$27)*后果甲状腺剂量!$Q24+SUMPRODUCT(DP$5:DP$27,后果甲状腺剂量!$I$5:$I$27)*后果甲状腺剂量!$R24+SUMPRODUCT(DQ$5:DQ$27,后果甲状腺剂量!$I$5:$I$27)*后果甲状腺剂量!$S24+SUMPRODUCT(DR$5:DR$27,后果甲状腺剂量!$I$5:$I$27)*后果甲状腺剂量!$T24+SUMPRODUCT(DS$5:DS$27,后果甲状腺剂量!$I$5:$I$27)*后果甲状腺剂量!$U24+SUMPRODUCT(DN$5:DN$27,后果甲状腺剂量!$J$5:$J$27)*后果甲状腺剂量!$Q24*后果甲状腺剂量!$Q$3+SUMPRODUCT(DO$5:DO$27,后果甲状腺剂量!$J$5:$J$27)*后果甲状腺剂量!$Q24*后果甲状腺剂量!$Q$3+SUMPRODUCT(DP$5:DP$27,后果甲状腺剂量!$J$5:$J$27)*后果甲状腺剂量!$R24*后果甲状腺剂量!$R$3+SUMPRODUCT(DQ$5:DQ$27,后果甲状腺剂量!$J$5:$J$27)*后果甲状腺剂量!$S24*后果甲状腺剂量!$S$3+SUMPRODUCT(DR$5:DR$27,后果甲状腺剂量!$J$5:$J$27)*后果甲状腺剂量!$T24*后果甲状腺剂量!$T$3+SUMPRODUCT(DS$5:DS$27,后果甲状腺剂量!$J$5:$J$27)*后果甲状腺剂量!$U24*后果甲状腺剂量!$U$3+SUMPRODUCT(DN$5:DN$27,后果甲状腺剂量!$K$5:$K$27)*后果甲状腺剂量!$Q24+SUMPRODUCT(DO$5:DO$27,后果甲状腺剂量!$K$5:$K$27)*后果甲状腺剂量!$Q24+SUMPRODUCT(DP$5:DP$27,后果甲状腺剂量!$K$5:$K$27)*后果甲状腺剂量!$R24+SUMPRODUCT(DQ$5:DQ$27,后果甲状腺剂量!$K$5:$K$27)*后果甲状腺剂量!$S24+SUMPRODUCT(DR$5:DR$27,后果甲状腺剂量!$K$5:$K$27)*后果甲状腺剂量!$T24+SUMPRODUCT(DS$5:DS$27,后果甲状腺剂量!$K$5:$K$27)*后果甲状腺剂量!$U24</f>
        <v>0</v>
      </c>
      <c r="DP50" s="333">
        <f ca="1" t="shared" si="150"/>
        <v>0</v>
      </c>
      <c r="DQ50" s="333">
        <f ca="1" t="shared" si="151"/>
        <v>0</v>
      </c>
      <c r="DR50" s="198"/>
      <c r="DS50" s="198"/>
      <c r="DW50" s="331">
        <f>SUMPRODUCT(DW$5:DW$27,后果有效剂量!$I$5:$I$27)*后果有效剂量!$Q24+SUMPRODUCT(DX$5:DX$27,后果有效剂量!$I$5:$I$27)*后果有效剂量!$R24+SUMPRODUCT(DY$5:DY$27,后果有效剂量!$I$5:$I$27)*后果有效剂量!$S24+SUMPRODUCT(DZ$5:DZ$27,后果有效剂量!$I$5:$I$27)*后果有效剂量!$T24+SUMPRODUCT(DW$5:DW$27,后果有效剂量!$J$5:$J$27)*后果有效剂量!$Q24*后果有效剂量!$Q$3+SUMPRODUCT(DX$5:DX$27,后果有效剂量!$J$5:$J$27)*后果有效剂量!$R24*后果有效剂量!$R$3+SUMPRODUCT(DY$5:DY$27,后果有效剂量!$J$5:$J$27)*后果有效剂量!$S24*后果有效剂量!$S$3+SUMPRODUCT(DZ$5:DZ$27,后果有效剂量!$J$5:$J$27)*后果有效剂量!$T24*后果有效剂量!$T$3+SUMPRODUCT(DW$5:DW$27,后果有效剂量!$K$5:$K$27)*后果有效剂量!$Q24+SUMPRODUCT(DX$5:DX$27,后果有效剂量!$K$5:$K$27)*后果有效剂量!$R24+SUMPRODUCT(DY$5:DY$27,后果有效剂量!$K$5:$K$27)*后果有效剂量!$S24+SUMPRODUCT(DZ$5:DZ$27,后果有效剂量!$K$5:$K$27)*后果有效剂量!$T24</f>
        <v>0</v>
      </c>
      <c r="DX50" s="332">
        <f>SUMPRODUCT(DW$5:DW$27,后果甲状腺剂量!$I$5:$I$27)*后果甲状腺剂量!$Q24+SUMPRODUCT(DX$5:DX$27,后果甲状腺剂量!$I$5:$I$27)*后果甲状腺剂量!$R24+SUMPRODUCT(DY$5:DY$27,后果甲状腺剂量!$I$5:$I$27)*后果甲状腺剂量!$S24+SUMPRODUCT(DZ$5:DZ$27,后果甲状腺剂量!$I$5:$I$27)*后果甲状腺剂量!$T24+SUMPRODUCT(DW$5:DW$27,后果甲状腺剂量!$J$5:$J$27)*后果甲状腺剂量!$Q24*后果甲状腺剂量!$Q$3+SUMPRODUCT(DX$5:DX$27,后果甲状腺剂量!$J$5:$J$27)*后果甲状腺剂量!$R24*后果甲状腺剂量!$R$3+SUMPRODUCT(DY$5:DY$27,后果甲状腺剂量!$J$5:$J$27)*后果甲状腺剂量!$S24*后果甲状腺剂量!$S$3+SUMPRODUCT(DZ$5:DZ$27,后果甲状腺剂量!$J$5:$J$27)*后果甲状腺剂量!$T24*后果甲状腺剂量!$T$3+SUMPRODUCT(DW$5:DW$27,后果甲状腺剂量!$K$5:$K$27)*后果甲状腺剂量!$Q24+SUMPRODUCT(DX$5:DX$27,后果甲状腺剂量!$K$5:$K$27)*后果甲状腺剂量!$R24+SUMPRODUCT(DY$5:DY$27,后果甲状腺剂量!$K$5:$K$27)*后果甲状腺剂量!$S24+SUMPRODUCT(DZ$5:DZ$27,后果甲状腺剂量!$K$5:$K$27)*后果甲状腺剂量!$T24</f>
        <v>0</v>
      </c>
      <c r="DY50" s="333">
        <f t="shared" si="152"/>
        <v>0</v>
      </c>
      <c r="DZ50" s="333">
        <f t="shared" si="153"/>
        <v>0</v>
      </c>
      <c r="EA50" s="198"/>
      <c r="EB50" s="198"/>
      <c r="EH50" s="330">
        <f>后果有效剂量!$P24</f>
        <v>0</v>
      </c>
      <c r="EI50" s="331">
        <f>SUMPRODUCT(EJ$5:EJ$27,后果有效剂量!$I$5:$I$27)*后果有效剂量!$Q24+SUMPRODUCT(EK$5:EK$27,后果有效剂量!$I$5:$I$27)*后果有效剂量!$R24+SUMPRODUCT(EL$5:EL$27,后果有效剂量!$I$5:$I$27)*后果有效剂量!$S24+SUMPRODUCT(EM$5:EM$27,后果有效剂量!$I$5:$I$27)*后果有效剂量!$T24+SUMPRODUCT(EN$5:EN$27,后果有效剂量!$I$5:$I$27)*后果有效剂量!$U24+SUMPRODUCT(EJ$5:EJ$27,后果有效剂量!$J$5:$J$27)*后果有效剂量!$Q24*后果有效剂量!$Q$3+SUMPRODUCT(EK$5:EK$27,后果有效剂量!$J$5:$J$27)*后果有效剂量!$R24*后果有效剂量!$R$3+SUMPRODUCT(EL$5:EL$27,后果有效剂量!$J$5:$J$27)*后果有效剂量!$S24*后果有效剂量!$S$3+SUMPRODUCT(EM$5:EM$27,后果有效剂量!$J$5:$J$27)*后果有效剂量!$T24*后果有效剂量!$T$3+SUMPRODUCT(EN$5:EN$27,后果有效剂量!$J$5:$J$27)*后果有效剂量!$U24*后果有效剂量!$U$3+SUMPRODUCT(EJ$5:EJ$27,后果有效剂量!$K$5:$K$27)*后果有效剂量!$Q24+SUMPRODUCT(EK$5:EK$27,后果有效剂量!$K$5:$K$27)*后果有效剂量!$R24+SUMPRODUCT(EL$5:EL$27,后果有效剂量!$K$5:$K$27)*后果有效剂量!$S24+SUMPRODUCT(EM$5:EM$27,后果有效剂量!$K$5:$K$27)*后果有效剂量!$T24+SUMPRODUCT(EN$5:EN$27,后果有效剂量!$K$5:$K$27)*后果有效剂量!$U24</f>
        <v>0</v>
      </c>
      <c r="EJ50" s="332">
        <f>SUMPRODUCT(EJ$5:EJ$27,后果甲状腺剂量!$I$5:$I$27)*后果甲状腺剂量!$Q24+SUMPRODUCT(EK$5:EK$27,后果甲状腺剂量!$I$5:$I$27)*后果甲状腺剂量!$R24+SUMPRODUCT(EL$5:EL$27,后果甲状腺剂量!$I$5:$I$27)*后果甲状腺剂量!$S24+SUMPRODUCT(EM$5:EM$27,后果甲状腺剂量!$I$5:$I$27)*后果甲状腺剂量!$T24+SUMPRODUCT(EN$5:EN$27,后果甲状腺剂量!$I$5:$I$27)*后果甲状腺剂量!$U24+SUMPRODUCT(EJ$5:EJ$27,后果甲状腺剂量!$J$5:$J$27)*后果甲状腺剂量!$Q24*后果甲状腺剂量!$Q$3+SUMPRODUCT(EK$5:EK$27,后果甲状腺剂量!$J$5:$J$27)*后果甲状腺剂量!$R24*后果甲状腺剂量!$R$3+SUMPRODUCT(EL$5:EL$27,后果甲状腺剂量!$J$5:$J$27)*后果甲状腺剂量!$S24*后果甲状腺剂量!$S$3+SUMPRODUCT(EM$5:EM$27,后果甲状腺剂量!$J$5:$J$27)*后果甲状腺剂量!$T24*后果甲状腺剂量!$T$3+SUMPRODUCT(EN$5:EN$27,后果甲状腺剂量!$J$5:$J$27)*后果甲状腺剂量!$U24*后果甲状腺剂量!$U$3+SUMPRODUCT(EJ$5:EJ$27,后果甲状腺剂量!$K$5:$K$27)*后果甲状腺剂量!$Q24+SUMPRODUCT(EK$5:EK$27,后果甲状腺剂量!$K$5:$K$27)*后果甲状腺剂量!$R24+SUMPRODUCT(EL$5:EL$27,后果甲状腺剂量!$K$5:$K$27)*后果甲状腺剂量!$S24+SUMPRODUCT(EM$5:EM$27,后果甲状腺剂量!$K$5:$K$27)*后果甲状腺剂量!$T24+SUMPRODUCT(EN$5:EN$27,后果甲状腺剂量!$K$5:$K$27)*后果甲状腺剂量!$U24</f>
        <v>0</v>
      </c>
      <c r="EK50" s="333">
        <f t="shared" si="154"/>
        <v>0</v>
      </c>
      <c r="EL50" s="333">
        <f t="shared" si="155"/>
        <v>0</v>
      </c>
      <c r="EM50" s="198"/>
      <c r="EN50" s="198"/>
    </row>
    <row r="51" spans="24:144">
      <c r="X51" s="247"/>
      <c r="Y51" s="287"/>
      <c r="DM51" s="330">
        <f>后果有效剂量!$P25</f>
        <v>0</v>
      </c>
      <c r="DN51" s="331">
        <f ca="1">SUMPRODUCT(DN$5:DN$27,后果有效剂量!$I$5:$I$27)*后果有效剂量!$Q25+SUMPRODUCT(DO$5:DO$27,后果有效剂量!$I$5:$I$27)*后果有效剂量!$Q25+SUMPRODUCT(DP$5:DP$27,后果有效剂量!$I$5:$I$27)*后果有效剂量!$R25+SUMPRODUCT(DQ$5:DQ$27,后果有效剂量!$I$5:$I$27)*后果有效剂量!$S25+SUMPRODUCT(DR$5:DR$27,后果有效剂量!$I$5:$I$27)*后果有效剂量!$T25+SUMPRODUCT(DS$5:DS$27,后果有效剂量!$I$5:$I$27)*后果有效剂量!$U25+SUMPRODUCT(DN$5:DN$27,后果有效剂量!$J$5:$J$27)*后果有效剂量!$Q25*后果有效剂量!$Q$3+SUMPRODUCT(DO$5:DO$27,后果有效剂量!$J$5:$J$27)*后果有效剂量!$Q25*后果有效剂量!$Q$3+SUMPRODUCT(DP$5:DP$27,后果有效剂量!$J$5:$J$27)*后果有效剂量!$R25*后果有效剂量!$R$3+SUMPRODUCT(DQ$5:DQ$27,后果有效剂量!$J$5:$J$27)*后果有效剂量!$S25*后果有效剂量!$S$3+SUMPRODUCT(DR$5:DR$27,后果有效剂量!$J$5:$J$27)*后果有效剂量!$T25*后果有效剂量!$T$3+SUMPRODUCT(DS$5:DS$27,后果有效剂量!$J$5:$J$27)*后果有效剂量!$U25*后果有效剂量!$U$3+SUMPRODUCT(DN$5:DN$27,后果有效剂量!$K$5:$K$27)*后果有效剂量!$Q25+SUMPRODUCT(DO$5:DO$27,后果有效剂量!$K$5:$K$27)*后果有效剂量!$Q25+SUMPRODUCT(DP$5:DP$27,后果有效剂量!$K$5:$K$27)*后果有效剂量!$R25+SUMPRODUCT(DQ$5:DQ$27,后果有效剂量!$K$5:$K$27)*后果有效剂量!$S25+SUMPRODUCT(DR$5:DR$27,后果有效剂量!$K$5:$K$27)*后果有效剂量!$T25+SUMPRODUCT(DS$5:DS$27,后果有效剂量!$K$5:$K$27)*后果有效剂量!$U25</f>
        <v>0</v>
      </c>
      <c r="DO51" s="332">
        <f ca="1">SUMPRODUCT(DN$5:DN$27,后果甲状腺剂量!$I$5:$I$27)*后果甲状腺剂量!$Q25+SUMPRODUCT(DO$5:DO$27,后果甲状腺剂量!$I$5:$I$27)*后果甲状腺剂量!$Q25+SUMPRODUCT(DP$5:DP$27,后果甲状腺剂量!$I$5:$I$27)*后果甲状腺剂量!$R25+SUMPRODUCT(DQ$5:DQ$27,后果甲状腺剂量!$I$5:$I$27)*后果甲状腺剂量!$S25+SUMPRODUCT(DR$5:DR$27,后果甲状腺剂量!$I$5:$I$27)*后果甲状腺剂量!$T25+SUMPRODUCT(DS$5:DS$27,后果甲状腺剂量!$I$5:$I$27)*后果甲状腺剂量!$U25+SUMPRODUCT(DN$5:DN$27,后果甲状腺剂量!$J$5:$J$27)*后果甲状腺剂量!$Q25*后果甲状腺剂量!$Q$3+SUMPRODUCT(DO$5:DO$27,后果甲状腺剂量!$J$5:$J$27)*后果甲状腺剂量!$Q25*后果甲状腺剂量!$Q$3+SUMPRODUCT(DP$5:DP$27,后果甲状腺剂量!$J$5:$J$27)*后果甲状腺剂量!$R25*后果甲状腺剂量!$R$3+SUMPRODUCT(DQ$5:DQ$27,后果甲状腺剂量!$J$5:$J$27)*后果甲状腺剂量!$S25*后果甲状腺剂量!$S$3+SUMPRODUCT(DR$5:DR$27,后果甲状腺剂量!$J$5:$J$27)*后果甲状腺剂量!$T25*后果甲状腺剂量!$T$3+SUMPRODUCT(DS$5:DS$27,后果甲状腺剂量!$J$5:$J$27)*后果甲状腺剂量!$U25*后果甲状腺剂量!$U$3+SUMPRODUCT(DN$5:DN$27,后果甲状腺剂量!$K$5:$K$27)*后果甲状腺剂量!$Q25+SUMPRODUCT(DO$5:DO$27,后果甲状腺剂量!$K$5:$K$27)*后果甲状腺剂量!$Q25+SUMPRODUCT(DP$5:DP$27,后果甲状腺剂量!$K$5:$K$27)*后果甲状腺剂量!$R25+SUMPRODUCT(DQ$5:DQ$27,后果甲状腺剂量!$K$5:$K$27)*后果甲状腺剂量!$S25+SUMPRODUCT(DR$5:DR$27,后果甲状腺剂量!$K$5:$K$27)*后果甲状腺剂量!$T25+SUMPRODUCT(DS$5:DS$27,后果甲状腺剂量!$K$5:$K$27)*后果甲状腺剂量!$U25</f>
        <v>0</v>
      </c>
      <c r="DP51" s="333">
        <f ca="1" t="shared" si="150"/>
        <v>0</v>
      </c>
      <c r="DQ51" s="333">
        <f ca="1" t="shared" si="151"/>
        <v>0</v>
      </c>
      <c r="DR51" s="357">
        <f ca="1" t="shared" ref="DR51:DR56" si="156">DP51/5*100</f>
        <v>0</v>
      </c>
      <c r="DS51" s="357">
        <f ca="1" t="shared" ref="DS51:DS56" si="157">DQ51/50*100</f>
        <v>0</v>
      </c>
      <c r="DW51" s="331">
        <f>SUMPRODUCT(DW$5:DW$27,后果有效剂量!$I$5:$I$27)*后果有效剂量!$Q25+SUMPRODUCT(DX$5:DX$27,后果有效剂量!$I$5:$I$27)*后果有效剂量!$R25+SUMPRODUCT(DY$5:DY$27,后果有效剂量!$I$5:$I$27)*后果有效剂量!$S25+SUMPRODUCT(DZ$5:DZ$27,后果有效剂量!$I$5:$I$27)*后果有效剂量!$T25+SUMPRODUCT(DW$5:DW$27,后果有效剂量!$J$5:$J$27)*后果有效剂量!$Q25*后果有效剂量!$Q$3+SUMPRODUCT(DX$5:DX$27,后果有效剂量!$J$5:$J$27)*后果有效剂量!$R25*后果有效剂量!$R$3+SUMPRODUCT(DY$5:DY$27,后果有效剂量!$J$5:$J$27)*后果有效剂量!$S25*后果有效剂量!$S$3+SUMPRODUCT(DZ$5:DZ$27,后果有效剂量!$J$5:$J$27)*后果有效剂量!$T25*后果有效剂量!$T$3+SUMPRODUCT(DW$5:DW$27,后果有效剂量!$K$5:$K$27)*后果有效剂量!$Q25+SUMPRODUCT(DX$5:DX$27,后果有效剂量!$K$5:$K$27)*后果有效剂量!$R25+SUMPRODUCT(DY$5:DY$27,后果有效剂量!$K$5:$K$27)*后果有效剂量!$S25+SUMPRODUCT(DZ$5:DZ$27,后果有效剂量!$K$5:$K$27)*后果有效剂量!$T25</f>
        <v>0</v>
      </c>
      <c r="DX51" s="332">
        <f>SUMPRODUCT(DW$5:DW$27,后果甲状腺剂量!$I$5:$I$27)*后果甲状腺剂量!$Q25+SUMPRODUCT(DX$5:DX$27,后果甲状腺剂量!$I$5:$I$27)*后果甲状腺剂量!$R25+SUMPRODUCT(DY$5:DY$27,后果甲状腺剂量!$I$5:$I$27)*后果甲状腺剂量!$S25+SUMPRODUCT(DZ$5:DZ$27,后果甲状腺剂量!$I$5:$I$27)*后果甲状腺剂量!$T25+SUMPRODUCT(DW$5:DW$27,后果甲状腺剂量!$J$5:$J$27)*后果甲状腺剂量!$Q25*后果甲状腺剂量!$Q$3+SUMPRODUCT(DX$5:DX$27,后果甲状腺剂量!$J$5:$J$27)*后果甲状腺剂量!$R25*后果甲状腺剂量!$R$3+SUMPRODUCT(DY$5:DY$27,后果甲状腺剂量!$J$5:$J$27)*后果甲状腺剂量!$S25*后果甲状腺剂量!$S$3+SUMPRODUCT(DZ$5:DZ$27,后果甲状腺剂量!$J$5:$J$27)*后果甲状腺剂量!$T25*后果甲状腺剂量!$T$3+SUMPRODUCT(DW$5:DW$27,后果甲状腺剂量!$K$5:$K$27)*后果甲状腺剂量!$Q25+SUMPRODUCT(DX$5:DX$27,后果甲状腺剂量!$K$5:$K$27)*后果甲状腺剂量!$R25+SUMPRODUCT(DY$5:DY$27,后果甲状腺剂量!$K$5:$K$27)*后果甲状腺剂量!$S25+SUMPRODUCT(DZ$5:DZ$27,后果甲状腺剂量!$K$5:$K$27)*后果甲状腺剂量!$T25</f>
        <v>0</v>
      </c>
      <c r="DY51" s="333">
        <f t="shared" si="152"/>
        <v>0</v>
      </c>
      <c r="DZ51" s="333">
        <f t="shared" si="153"/>
        <v>0</v>
      </c>
      <c r="EA51" s="357">
        <f t="shared" ref="EA51:EA56" si="158">DY51/5*100</f>
        <v>0</v>
      </c>
      <c r="EB51" s="357">
        <f t="shared" ref="EB51:EB56" si="159">DZ51/50*100</f>
        <v>0</v>
      </c>
      <c r="EH51" s="330">
        <f>后果有效剂量!$P25</f>
        <v>0</v>
      </c>
      <c r="EI51" s="331">
        <f>SUMPRODUCT(EJ$5:EJ$27,后果有效剂量!$I$5:$I$27)*后果有效剂量!$Q25+SUMPRODUCT(EK$5:EK$27,后果有效剂量!$I$5:$I$27)*后果有效剂量!$R25+SUMPRODUCT(EL$5:EL$27,后果有效剂量!$I$5:$I$27)*后果有效剂量!$S25+SUMPRODUCT(EM$5:EM$27,后果有效剂量!$I$5:$I$27)*后果有效剂量!$T25+SUMPRODUCT(EN$5:EN$27,后果有效剂量!$I$5:$I$27)*后果有效剂量!$U25+SUMPRODUCT(EJ$5:EJ$27,后果有效剂量!$J$5:$J$27)*后果有效剂量!$Q25*后果有效剂量!$Q$3+SUMPRODUCT(EK$5:EK$27,后果有效剂量!$J$5:$J$27)*后果有效剂量!$R25*后果有效剂量!$R$3+SUMPRODUCT(EL$5:EL$27,后果有效剂量!$J$5:$J$27)*后果有效剂量!$S25*后果有效剂量!$S$3+SUMPRODUCT(EM$5:EM$27,后果有效剂量!$J$5:$J$27)*后果有效剂量!$T25*后果有效剂量!$T$3+SUMPRODUCT(EN$5:EN$27,后果有效剂量!$J$5:$J$27)*后果有效剂量!$U25*后果有效剂量!$U$3+SUMPRODUCT(EJ$5:EJ$27,后果有效剂量!$K$5:$K$27)*后果有效剂量!$Q25+SUMPRODUCT(EK$5:EK$27,后果有效剂量!$K$5:$K$27)*后果有效剂量!$R25+SUMPRODUCT(EL$5:EL$27,后果有效剂量!$K$5:$K$27)*后果有效剂量!$S25+SUMPRODUCT(EM$5:EM$27,后果有效剂量!$K$5:$K$27)*后果有效剂量!$T25+SUMPRODUCT(EN$5:EN$27,后果有效剂量!$K$5:$K$27)*后果有效剂量!$U25</f>
        <v>0</v>
      </c>
      <c r="EJ51" s="332">
        <f>SUMPRODUCT(EJ$5:EJ$27,后果甲状腺剂量!$I$5:$I$27)*后果甲状腺剂量!$Q25+SUMPRODUCT(EK$5:EK$27,后果甲状腺剂量!$I$5:$I$27)*后果甲状腺剂量!$R25+SUMPRODUCT(EL$5:EL$27,后果甲状腺剂量!$I$5:$I$27)*后果甲状腺剂量!$S25+SUMPRODUCT(EM$5:EM$27,后果甲状腺剂量!$I$5:$I$27)*后果甲状腺剂量!$T25+SUMPRODUCT(EN$5:EN$27,后果甲状腺剂量!$I$5:$I$27)*后果甲状腺剂量!$U25+SUMPRODUCT(EJ$5:EJ$27,后果甲状腺剂量!$J$5:$J$27)*后果甲状腺剂量!$Q25*后果甲状腺剂量!$Q$3+SUMPRODUCT(EK$5:EK$27,后果甲状腺剂量!$J$5:$J$27)*后果甲状腺剂量!$R25*后果甲状腺剂量!$R$3+SUMPRODUCT(EL$5:EL$27,后果甲状腺剂量!$J$5:$J$27)*后果甲状腺剂量!$S25*后果甲状腺剂量!$S$3+SUMPRODUCT(EM$5:EM$27,后果甲状腺剂量!$J$5:$J$27)*后果甲状腺剂量!$T25*后果甲状腺剂量!$T$3+SUMPRODUCT(EN$5:EN$27,后果甲状腺剂量!$J$5:$J$27)*后果甲状腺剂量!$U25*后果甲状腺剂量!$U$3+SUMPRODUCT(EJ$5:EJ$27,后果甲状腺剂量!$K$5:$K$27)*后果甲状腺剂量!$Q25+SUMPRODUCT(EK$5:EK$27,后果甲状腺剂量!$K$5:$K$27)*后果甲状腺剂量!$R25+SUMPRODUCT(EL$5:EL$27,后果甲状腺剂量!$K$5:$K$27)*后果甲状腺剂量!$S25+SUMPRODUCT(EM$5:EM$27,后果甲状腺剂量!$K$5:$K$27)*后果甲状腺剂量!$T25+SUMPRODUCT(EN$5:EN$27,后果甲状腺剂量!$K$5:$K$27)*后果甲状腺剂量!$U25</f>
        <v>0</v>
      </c>
      <c r="EK51" s="333">
        <f t="shared" si="154"/>
        <v>0</v>
      </c>
      <c r="EL51" s="333">
        <f t="shared" si="155"/>
        <v>0</v>
      </c>
      <c r="EM51" s="357">
        <f t="shared" ref="EM51:EM56" si="160">EK51/5*100</f>
        <v>0</v>
      </c>
      <c r="EN51" s="357">
        <f t="shared" ref="EN51:EN56" si="161">EL51/50*100</f>
        <v>0</v>
      </c>
    </row>
    <row r="52" spans="24:144">
      <c r="X52" s="247"/>
      <c r="Y52" s="287"/>
      <c r="DM52" s="330">
        <f>后果有效剂量!$P26</f>
        <v>0</v>
      </c>
      <c r="DN52" s="331">
        <f ca="1">SUMPRODUCT(DN$5:DN$27,后果有效剂量!$I$5:$I$27)*后果有效剂量!$Q26+SUMPRODUCT(DO$5:DO$27,后果有效剂量!$I$5:$I$27)*后果有效剂量!$Q26+SUMPRODUCT(DP$5:DP$27,后果有效剂量!$I$5:$I$27)*后果有效剂量!$R26+SUMPRODUCT(DQ$5:DQ$27,后果有效剂量!$I$5:$I$27)*后果有效剂量!$S26+SUMPRODUCT(DR$5:DR$27,后果有效剂量!$I$5:$I$27)*后果有效剂量!$T26+SUMPRODUCT(DS$5:DS$27,后果有效剂量!$I$5:$I$27)*后果有效剂量!$U26+SUMPRODUCT(DN$5:DN$27,后果有效剂量!$J$5:$J$27)*后果有效剂量!$Q26*后果有效剂量!$Q$3+SUMPRODUCT(DO$5:DO$27,后果有效剂量!$J$5:$J$27)*后果有效剂量!$Q26*后果有效剂量!$Q$3+SUMPRODUCT(DP$5:DP$27,后果有效剂量!$J$5:$J$27)*后果有效剂量!$R26*后果有效剂量!$R$3+SUMPRODUCT(DQ$5:DQ$27,后果有效剂量!$J$5:$J$27)*后果有效剂量!$S26*后果有效剂量!$S$3+SUMPRODUCT(DR$5:DR$27,后果有效剂量!$J$5:$J$27)*后果有效剂量!$T26*后果有效剂量!$T$3+SUMPRODUCT(DS$5:DS$27,后果有效剂量!$J$5:$J$27)*后果有效剂量!$U26*后果有效剂量!$U$3+SUMPRODUCT(DN$5:DN$27,后果有效剂量!$K$5:$K$27)*后果有效剂量!$Q26+SUMPRODUCT(DO$5:DO$27,后果有效剂量!$K$5:$K$27)*后果有效剂量!$Q26+SUMPRODUCT(DP$5:DP$27,后果有效剂量!$K$5:$K$27)*后果有效剂量!$R26+SUMPRODUCT(DQ$5:DQ$27,后果有效剂量!$K$5:$K$27)*后果有效剂量!$S26+SUMPRODUCT(DR$5:DR$27,后果有效剂量!$K$5:$K$27)*后果有效剂量!$T26+SUMPRODUCT(DS$5:DS$27,后果有效剂量!$K$5:$K$27)*后果有效剂量!$U26</f>
        <v>0</v>
      </c>
      <c r="DO52" s="332">
        <f ca="1">SUMPRODUCT(DN$5:DN$27,后果甲状腺剂量!$I$5:$I$27)*后果甲状腺剂量!$Q26+SUMPRODUCT(DO$5:DO$27,后果甲状腺剂量!$I$5:$I$27)*后果甲状腺剂量!$Q26+SUMPRODUCT(DP$5:DP$27,后果甲状腺剂量!$I$5:$I$27)*后果甲状腺剂量!$R26+SUMPRODUCT(DQ$5:DQ$27,后果甲状腺剂量!$I$5:$I$27)*后果甲状腺剂量!$S26+SUMPRODUCT(DR$5:DR$27,后果甲状腺剂量!$I$5:$I$27)*后果甲状腺剂量!$T26+SUMPRODUCT(DS$5:DS$27,后果甲状腺剂量!$I$5:$I$27)*后果甲状腺剂量!$U26+SUMPRODUCT(DN$5:DN$27,后果甲状腺剂量!$J$5:$J$27)*后果甲状腺剂量!$Q26*后果甲状腺剂量!$Q$3+SUMPRODUCT(DO$5:DO$27,后果甲状腺剂量!$J$5:$J$27)*后果甲状腺剂量!$Q26*后果甲状腺剂量!$Q$3+SUMPRODUCT(DP$5:DP$27,后果甲状腺剂量!$J$5:$J$27)*后果甲状腺剂量!$R26*后果甲状腺剂量!$R$3+SUMPRODUCT(DQ$5:DQ$27,后果甲状腺剂量!$J$5:$J$27)*后果甲状腺剂量!$S26*后果甲状腺剂量!$S$3+SUMPRODUCT(DR$5:DR$27,后果甲状腺剂量!$J$5:$J$27)*后果甲状腺剂量!$T26*后果甲状腺剂量!$T$3+SUMPRODUCT(DS$5:DS$27,后果甲状腺剂量!$J$5:$J$27)*后果甲状腺剂量!$U26*后果甲状腺剂量!$U$3+SUMPRODUCT(DN$5:DN$27,后果甲状腺剂量!$K$5:$K$27)*后果甲状腺剂量!$Q26+SUMPRODUCT(DO$5:DO$27,后果甲状腺剂量!$K$5:$K$27)*后果甲状腺剂量!$Q26+SUMPRODUCT(DP$5:DP$27,后果甲状腺剂量!$K$5:$K$27)*后果甲状腺剂量!$R26+SUMPRODUCT(DQ$5:DQ$27,后果甲状腺剂量!$K$5:$K$27)*后果甲状腺剂量!$S26+SUMPRODUCT(DR$5:DR$27,后果甲状腺剂量!$K$5:$K$27)*后果甲状腺剂量!$T26+SUMPRODUCT(DS$5:DS$27,后果甲状腺剂量!$K$5:$K$27)*后果甲状腺剂量!$U26</f>
        <v>0</v>
      </c>
      <c r="DP52" s="333">
        <f ca="1" t="shared" si="150"/>
        <v>0</v>
      </c>
      <c r="DQ52" s="333">
        <f ca="1" t="shared" si="151"/>
        <v>0</v>
      </c>
      <c r="DR52" s="357">
        <f ca="1" t="shared" si="156"/>
        <v>0</v>
      </c>
      <c r="DS52" s="357">
        <f ca="1" t="shared" si="157"/>
        <v>0</v>
      </c>
      <c r="DW52" s="331">
        <f>SUMPRODUCT(DW$5:DW$27,后果有效剂量!$I$5:$I$27)*后果有效剂量!$Q26+SUMPRODUCT(DX$5:DX$27,后果有效剂量!$I$5:$I$27)*后果有效剂量!$R26+SUMPRODUCT(DY$5:DY$27,后果有效剂量!$I$5:$I$27)*后果有效剂量!$S26+SUMPRODUCT(DZ$5:DZ$27,后果有效剂量!$I$5:$I$27)*后果有效剂量!$T26+SUMPRODUCT(DW$5:DW$27,后果有效剂量!$J$5:$J$27)*后果有效剂量!$Q26*后果有效剂量!$Q$3+SUMPRODUCT(DX$5:DX$27,后果有效剂量!$J$5:$J$27)*后果有效剂量!$R26*后果有效剂量!$R$3+SUMPRODUCT(DY$5:DY$27,后果有效剂量!$J$5:$J$27)*后果有效剂量!$S26*后果有效剂量!$S$3+SUMPRODUCT(DZ$5:DZ$27,后果有效剂量!$J$5:$J$27)*后果有效剂量!$T26*后果有效剂量!$T$3+SUMPRODUCT(DW$5:DW$27,后果有效剂量!$K$5:$K$27)*后果有效剂量!$Q26+SUMPRODUCT(DX$5:DX$27,后果有效剂量!$K$5:$K$27)*后果有效剂量!$R26+SUMPRODUCT(DY$5:DY$27,后果有效剂量!$K$5:$K$27)*后果有效剂量!$S26+SUMPRODUCT(DZ$5:DZ$27,后果有效剂量!$K$5:$K$27)*后果有效剂量!$T26</f>
        <v>0</v>
      </c>
      <c r="DX52" s="332">
        <f>SUMPRODUCT(DW$5:DW$27,后果甲状腺剂量!$I$5:$I$27)*后果甲状腺剂量!$Q26+SUMPRODUCT(DX$5:DX$27,后果甲状腺剂量!$I$5:$I$27)*后果甲状腺剂量!$R26+SUMPRODUCT(DY$5:DY$27,后果甲状腺剂量!$I$5:$I$27)*后果甲状腺剂量!$S26+SUMPRODUCT(DZ$5:DZ$27,后果甲状腺剂量!$I$5:$I$27)*后果甲状腺剂量!$T26+SUMPRODUCT(DW$5:DW$27,后果甲状腺剂量!$J$5:$J$27)*后果甲状腺剂量!$Q26*后果甲状腺剂量!$Q$3+SUMPRODUCT(DX$5:DX$27,后果甲状腺剂量!$J$5:$J$27)*后果甲状腺剂量!$R26*后果甲状腺剂量!$R$3+SUMPRODUCT(DY$5:DY$27,后果甲状腺剂量!$J$5:$J$27)*后果甲状腺剂量!$S26*后果甲状腺剂量!$S$3+SUMPRODUCT(DZ$5:DZ$27,后果甲状腺剂量!$J$5:$J$27)*后果甲状腺剂量!$T26*后果甲状腺剂量!$T$3+SUMPRODUCT(DW$5:DW$27,后果甲状腺剂量!$K$5:$K$27)*后果甲状腺剂量!$Q26+SUMPRODUCT(DX$5:DX$27,后果甲状腺剂量!$K$5:$K$27)*后果甲状腺剂量!$R26+SUMPRODUCT(DY$5:DY$27,后果甲状腺剂量!$K$5:$K$27)*后果甲状腺剂量!$S26+SUMPRODUCT(DZ$5:DZ$27,后果甲状腺剂量!$K$5:$K$27)*后果甲状腺剂量!$T26</f>
        <v>0</v>
      </c>
      <c r="DY52" s="333">
        <f t="shared" si="152"/>
        <v>0</v>
      </c>
      <c r="DZ52" s="333">
        <f t="shared" si="153"/>
        <v>0</v>
      </c>
      <c r="EA52" s="357">
        <f t="shared" si="158"/>
        <v>0</v>
      </c>
      <c r="EB52" s="357">
        <f t="shared" si="159"/>
        <v>0</v>
      </c>
      <c r="EH52" s="330">
        <f>后果有效剂量!$P26</f>
        <v>0</v>
      </c>
      <c r="EI52" s="331">
        <f>SUMPRODUCT(EJ$5:EJ$27,后果有效剂量!$I$5:$I$27)*后果有效剂量!$Q26+SUMPRODUCT(EK$5:EK$27,后果有效剂量!$I$5:$I$27)*后果有效剂量!$R26+SUMPRODUCT(EL$5:EL$27,后果有效剂量!$I$5:$I$27)*后果有效剂量!$S26+SUMPRODUCT(EM$5:EM$27,后果有效剂量!$I$5:$I$27)*后果有效剂量!$T26+SUMPRODUCT(EN$5:EN$27,后果有效剂量!$I$5:$I$27)*后果有效剂量!$U26+SUMPRODUCT(EJ$5:EJ$27,后果有效剂量!$J$5:$J$27)*后果有效剂量!$Q26*后果有效剂量!$Q$3+SUMPRODUCT(EK$5:EK$27,后果有效剂量!$J$5:$J$27)*后果有效剂量!$R26*后果有效剂量!$R$3+SUMPRODUCT(EL$5:EL$27,后果有效剂量!$J$5:$J$27)*后果有效剂量!$S26*后果有效剂量!$S$3+SUMPRODUCT(EM$5:EM$27,后果有效剂量!$J$5:$J$27)*后果有效剂量!$T26*后果有效剂量!$T$3+SUMPRODUCT(EN$5:EN$27,后果有效剂量!$J$5:$J$27)*后果有效剂量!$U26*后果有效剂量!$U$3+SUMPRODUCT(EJ$5:EJ$27,后果有效剂量!$K$5:$K$27)*后果有效剂量!$Q26+SUMPRODUCT(EK$5:EK$27,后果有效剂量!$K$5:$K$27)*后果有效剂量!$R26+SUMPRODUCT(EL$5:EL$27,后果有效剂量!$K$5:$K$27)*后果有效剂量!$S26+SUMPRODUCT(EM$5:EM$27,后果有效剂量!$K$5:$K$27)*后果有效剂量!$T26+SUMPRODUCT(EN$5:EN$27,后果有效剂量!$K$5:$K$27)*后果有效剂量!$U26</f>
        <v>0</v>
      </c>
      <c r="EJ52" s="332">
        <f>SUMPRODUCT(EJ$5:EJ$27,后果甲状腺剂量!$I$5:$I$27)*后果甲状腺剂量!$Q26+SUMPRODUCT(EK$5:EK$27,后果甲状腺剂量!$I$5:$I$27)*后果甲状腺剂量!$R26+SUMPRODUCT(EL$5:EL$27,后果甲状腺剂量!$I$5:$I$27)*后果甲状腺剂量!$S26+SUMPRODUCT(EM$5:EM$27,后果甲状腺剂量!$I$5:$I$27)*后果甲状腺剂量!$T26+SUMPRODUCT(EN$5:EN$27,后果甲状腺剂量!$I$5:$I$27)*后果甲状腺剂量!$U26+SUMPRODUCT(EJ$5:EJ$27,后果甲状腺剂量!$J$5:$J$27)*后果甲状腺剂量!$Q26*后果甲状腺剂量!$Q$3+SUMPRODUCT(EK$5:EK$27,后果甲状腺剂量!$J$5:$J$27)*后果甲状腺剂量!$R26*后果甲状腺剂量!$R$3+SUMPRODUCT(EL$5:EL$27,后果甲状腺剂量!$J$5:$J$27)*后果甲状腺剂量!$S26*后果甲状腺剂量!$S$3+SUMPRODUCT(EM$5:EM$27,后果甲状腺剂量!$J$5:$J$27)*后果甲状腺剂量!$T26*后果甲状腺剂量!$T$3+SUMPRODUCT(EN$5:EN$27,后果甲状腺剂量!$J$5:$J$27)*后果甲状腺剂量!$U26*后果甲状腺剂量!$U$3+SUMPRODUCT(EJ$5:EJ$27,后果甲状腺剂量!$K$5:$K$27)*后果甲状腺剂量!$Q26+SUMPRODUCT(EK$5:EK$27,后果甲状腺剂量!$K$5:$K$27)*后果甲状腺剂量!$R26+SUMPRODUCT(EL$5:EL$27,后果甲状腺剂量!$K$5:$K$27)*后果甲状腺剂量!$S26+SUMPRODUCT(EM$5:EM$27,后果甲状腺剂量!$K$5:$K$27)*后果甲状腺剂量!$T26+SUMPRODUCT(EN$5:EN$27,后果甲状腺剂量!$K$5:$K$27)*后果甲状腺剂量!$U26</f>
        <v>0</v>
      </c>
      <c r="EK52" s="333">
        <f t="shared" si="154"/>
        <v>0</v>
      </c>
      <c r="EL52" s="333">
        <f t="shared" si="155"/>
        <v>0</v>
      </c>
      <c r="EM52" s="357">
        <f t="shared" si="160"/>
        <v>0</v>
      </c>
      <c r="EN52" s="357">
        <f t="shared" si="161"/>
        <v>0</v>
      </c>
    </row>
    <row r="53" spans="24:144">
      <c r="X53" s="247"/>
      <c r="DM53" s="330">
        <f>后果有效剂量!$P27</f>
        <v>0</v>
      </c>
      <c r="DN53" s="331">
        <f ca="1">SUMPRODUCT(DN$5:DN$27,后果有效剂量!$I$5:$I$27)*后果有效剂量!$Q27+SUMPRODUCT(DO$5:DO$27,后果有效剂量!$I$5:$I$27)*后果有效剂量!$Q27+SUMPRODUCT(DP$5:DP$27,后果有效剂量!$I$5:$I$27)*后果有效剂量!$R27+SUMPRODUCT(DQ$5:DQ$27,后果有效剂量!$I$5:$I$27)*后果有效剂量!$S27+SUMPRODUCT(DR$5:DR$27,后果有效剂量!$I$5:$I$27)*后果有效剂量!$T27+SUMPRODUCT(DS$5:DS$27,后果有效剂量!$I$5:$I$27)*后果有效剂量!$U27+SUMPRODUCT(DN$5:DN$27,后果有效剂量!$J$5:$J$27)*后果有效剂量!$Q27*后果有效剂量!$Q$3+SUMPRODUCT(DO$5:DO$27,后果有效剂量!$J$5:$J$27)*后果有效剂量!$Q27*后果有效剂量!$Q$3+SUMPRODUCT(DP$5:DP$27,后果有效剂量!$J$5:$J$27)*后果有效剂量!$R27*后果有效剂量!$R$3+SUMPRODUCT(DQ$5:DQ$27,后果有效剂量!$J$5:$J$27)*后果有效剂量!$S27*后果有效剂量!$S$3+SUMPRODUCT(DR$5:DR$27,后果有效剂量!$J$5:$J$27)*后果有效剂量!$T27*后果有效剂量!$T$3+SUMPRODUCT(DS$5:DS$27,后果有效剂量!$J$5:$J$27)*后果有效剂量!$U27*后果有效剂量!$U$3+SUMPRODUCT(DN$5:DN$27,后果有效剂量!$K$5:$K$27)*后果有效剂量!$Q27+SUMPRODUCT(DO$5:DO$27,后果有效剂量!$K$5:$K$27)*后果有效剂量!$Q27+SUMPRODUCT(DP$5:DP$27,后果有效剂量!$K$5:$K$27)*后果有效剂量!$R27+SUMPRODUCT(DQ$5:DQ$27,后果有效剂量!$K$5:$K$27)*后果有效剂量!$S27+SUMPRODUCT(DR$5:DR$27,后果有效剂量!$K$5:$K$27)*后果有效剂量!$T27+SUMPRODUCT(DS$5:DS$27,后果有效剂量!$K$5:$K$27)*后果有效剂量!$U27</f>
        <v>0</v>
      </c>
      <c r="DO53" s="332">
        <f ca="1">SUMPRODUCT(DN$5:DN$27,后果甲状腺剂量!$I$5:$I$27)*后果甲状腺剂量!$Q27+SUMPRODUCT(DO$5:DO$27,后果甲状腺剂量!$I$5:$I$27)*后果甲状腺剂量!$Q27+SUMPRODUCT(DP$5:DP$27,后果甲状腺剂量!$I$5:$I$27)*后果甲状腺剂量!$R27+SUMPRODUCT(DQ$5:DQ$27,后果甲状腺剂量!$I$5:$I$27)*后果甲状腺剂量!$S27+SUMPRODUCT(DR$5:DR$27,后果甲状腺剂量!$I$5:$I$27)*后果甲状腺剂量!$T27+SUMPRODUCT(DS$5:DS$27,后果甲状腺剂量!$I$5:$I$27)*后果甲状腺剂量!$U27+SUMPRODUCT(DN$5:DN$27,后果甲状腺剂量!$J$5:$J$27)*后果甲状腺剂量!$Q27*后果甲状腺剂量!$Q$3+SUMPRODUCT(DO$5:DO$27,后果甲状腺剂量!$J$5:$J$27)*后果甲状腺剂量!$Q27*后果甲状腺剂量!$Q$3+SUMPRODUCT(DP$5:DP$27,后果甲状腺剂量!$J$5:$J$27)*后果甲状腺剂量!$R27*后果甲状腺剂量!$R$3+SUMPRODUCT(DQ$5:DQ$27,后果甲状腺剂量!$J$5:$J$27)*后果甲状腺剂量!$S27*后果甲状腺剂量!$S$3+SUMPRODUCT(DR$5:DR$27,后果甲状腺剂量!$J$5:$J$27)*后果甲状腺剂量!$T27*后果甲状腺剂量!$T$3+SUMPRODUCT(DS$5:DS$27,后果甲状腺剂量!$J$5:$J$27)*后果甲状腺剂量!$U27*后果甲状腺剂量!$U$3+SUMPRODUCT(DN$5:DN$27,后果甲状腺剂量!$K$5:$K$27)*后果甲状腺剂量!$Q27+SUMPRODUCT(DO$5:DO$27,后果甲状腺剂量!$K$5:$K$27)*后果甲状腺剂量!$Q27+SUMPRODUCT(DP$5:DP$27,后果甲状腺剂量!$K$5:$K$27)*后果甲状腺剂量!$R27+SUMPRODUCT(DQ$5:DQ$27,后果甲状腺剂量!$K$5:$K$27)*后果甲状腺剂量!$S27+SUMPRODUCT(DR$5:DR$27,后果甲状腺剂量!$K$5:$K$27)*后果甲状腺剂量!$T27+SUMPRODUCT(DS$5:DS$27,后果甲状腺剂量!$K$5:$K$27)*后果甲状腺剂量!$U27</f>
        <v>0</v>
      </c>
      <c r="DP53" s="333">
        <f ca="1" t="shared" si="150"/>
        <v>0</v>
      </c>
      <c r="DQ53" s="333">
        <f ca="1" t="shared" si="151"/>
        <v>0</v>
      </c>
      <c r="DR53" s="357">
        <f ca="1" t="shared" si="156"/>
        <v>0</v>
      </c>
      <c r="DS53" s="357">
        <f ca="1" t="shared" si="157"/>
        <v>0</v>
      </c>
      <c r="DW53" s="331">
        <f>SUMPRODUCT(DW$5:DW$27,后果有效剂量!$I$5:$I$27)*后果有效剂量!$Q27+SUMPRODUCT(DX$5:DX$27,后果有效剂量!$I$5:$I$27)*后果有效剂量!$R27+SUMPRODUCT(DY$5:DY$27,后果有效剂量!$I$5:$I$27)*后果有效剂量!$S27+SUMPRODUCT(DZ$5:DZ$27,后果有效剂量!$I$5:$I$27)*后果有效剂量!$T27+SUMPRODUCT(DW$5:DW$27,后果有效剂量!$J$5:$J$27)*后果有效剂量!$Q27*后果有效剂量!$Q$3+SUMPRODUCT(DX$5:DX$27,后果有效剂量!$J$5:$J$27)*后果有效剂量!$R27*后果有效剂量!$R$3+SUMPRODUCT(DY$5:DY$27,后果有效剂量!$J$5:$J$27)*后果有效剂量!$S27*后果有效剂量!$S$3+SUMPRODUCT(DZ$5:DZ$27,后果有效剂量!$J$5:$J$27)*后果有效剂量!$T27*后果有效剂量!$T$3+SUMPRODUCT(DW$5:DW$27,后果有效剂量!$K$5:$K$27)*后果有效剂量!$Q27+SUMPRODUCT(DX$5:DX$27,后果有效剂量!$K$5:$K$27)*后果有效剂量!$R27+SUMPRODUCT(DY$5:DY$27,后果有效剂量!$K$5:$K$27)*后果有效剂量!$S27+SUMPRODUCT(DZ$5:DZ$27,后果有效剂量!$K$5:$K$27)*后果有效剂量!$T27</f>
        <v>0</v>
      </c>
      <c r="DX53" s="332">
        <f>SUMPRODUCT(DW$5:DW$27,后果甲状腺剂量!$I$5:$I$27)*后果甲状腺剂量!$Q27+SUMPRODUCT(DX$5:DX$27,后果甲状腺剂量!$I$5:$I$27)*后果甲状腺剂量!$R27+SUMPRODUCT(DY$5:DY$27,后果甲状腺剂量!$I$5:$I$27)*后果甲状腺剂量!$S27+SUMPRODUCT(DZ$5:DZ$27,后果甲状腺剂量!$I$5:$I$27)*后果甲状腺剂量!$T27+SUMPRODUCT(DW$5:DW$27,后果甲状腺剂量!$J$5:$J$27)*后果甲状腺剂量!$Q27*后果甲状腺剂量!$Q$3+SUMPRODUCT(DX$5:DX$27,后果甲状腺剂量!$J$5:$J$27)*后果甲状腺剂量!$R27*后果甲状腺剂量!$R$3+SUMPRODUCT(DY$5:DY$27,后果甲状腺剂量!$J$5:$J$27)*后果甲状腺剂量!$S27*后果甲状腺剂量!$S$3+SUMPRODUCT(DZ$5:DZ$27,后果甲状腺剂量!$J$5:$J$27)*后果甲状腺剂量!$T27*后果甲状腺剂量!$T$3+SUMPRODUCT(DW$5:DW$27,后果甲状腺剂量!$K$5:$K$27)*后果甲状腺剂量!$Q27+SUMPRODUCT(DX$5:DX$27,后果甲状腺剂量!$K$5:$K$27)*后果甲状腺剂量!$R27+SUMPRODUCT(DY$5:DY$27,后果甲状腺剂量!$K$5:$K$27)*后果甲状腺剂量!$S27+SUMPRODUCT(DZ$5:DZ$27,后果甲状腺剂量!$K$5:$K$27)*后果甲状腺剂量!$T27</f>
        <v>0</v>
      </c>
      <c r="DY53" s="333">
        <f t="shared" si="152"/>
        <v>0</v>
      </c>
      <c r="DZ53" s="333">
        <f t="shared" si="153"/>
        <v>0</v>
      </c>
      <c r="EA53" s="357">
        <f t="shared" si="158"/>
        <v>0</v>
      </c>
      <c r="EB53" s="357">
        <f t="shared" si="159"/>
        <v>0</v>
      </c>
      <c r="EH53" s="330">
        <f>后果有效剂量!$P27</f>
        <v>0</v>
      </c>
      <c r="EI53" s="331">
        <f>SUMPRODUCT(EJ$5:EJ$27,后果有效剂量!$I$5:$I$27)*后果有效剂量!$Q27+SUMPRODUCT(EK$5:EK$27,后果有效剂量!$I$5:$I$27)*后果有效剂量!$R27+SUMPRODUCT(EL$5:EL$27,后果有效剂量!$I$5:$I$27)*后果有效剂量!$S27+SUMPRODUCT(EM$5:EM$27,后果有效剂量!$I$5:$I$27)*后果有效剂量!$T27+SUMPRODUCT(EN$5:EN$27,后果有效剂量!$I$5:$I$27)*后果有效剂量!$U27+SUMPRODUCT(EJ$5:EJ$27,后果有效剂量!$J$5:$J$27)*后果有效剂量!$Q27*后果有效剂量!$Q$3+SUMPRODUCT(EK$5:EK$27,后果有效剂量!$J$5:$J$27)*后果有效剂量!$R27*后果有效剂量!$R$3+SUMPRODUCT(EL$5:EL$27,后果有效剂量!$J$5:$J$27)*后果有效剂量!$S27*后果有效剂量!$S$3+SUMPRODUCT(EM$5:EM$27,后果有效剂量!$J$5:$J$27)*后果有效剂量!$T27*后果有效剂量!$T$3+SUMPRODUCT(EN$5:EN$27,后果有效剂量!$J$5:$J$27)*后果有效剂量!$U27*后果有效剂量!$U$3+SUMPRODUCT(EJ$5:EJ$27,后果有效剂量!$K$5:$K$27)*后果有效剂量!$Q27+SUMPRODUCT(EK$5:EK$27,后果有效剂量!$K$5:$K$27)*后果有效剂量!$R27+SUMPRODUCT(EL$5:EL$27,后果有效剂量!$K$5:$K$27)*后果有效剂量!$S27+SUMPRODUCT(EM$5:EM$27,后果有效剂量!$K$5:$K$27)*后果有效剂量!$T27+SUMPRODUCT(EN$5:EN$27,后果有效剂量!$K$5:$K$27)*后果有效剂量!$U27</f>
        <v>0</v>
      </c>
      <c r="EJ53" s="332">
        <f>SUMPRODUCT(EJ$5:EJ$27,后果甲状腺剂量!$I$5:$I$27)*后果甲状腺剂量!$Q27+SUMPRODUCT(EK$5:EK$27,后果甲状腺剂量!$I$5:$I$27)*后果甲状腺剂量!$R27+SUMPRODUCT(EL$5:EL$27,后果甲状腺剂量!$I$5:$I$27)*后果甲状腺剂量!$S27+SUMPRODUCT(EM$5:EM$27,后果甲状腺剂量!$I$5:$I$27)*后果甲状腺剂量!$T27+SUMPRODUCT(EN$5:EN$27,后果甲状腺剂量!$I$5:$I$27)*后果甲状腺剂量!$U27+SUMPRODUCT(EJ$5:EJ$27,后果甲状腺剂量!$J$5:$J$27)*后果甲状腺剂量!$Q27*后果甲状腺剂量!$Q$3+SUMPRODUCT(EK$5:EK$27,后果甲状腺剂量!$J$5:$J$27)*后果甲状腺剂量!$R27*后果甲状腺剂量!$R$3+SUMPRODUCT(EL$5:EL$27,后果甲状腺剂量!$J$5:$J$27)*后果甲状腺剂量!$S27*后果甲状腺剂量!$S$3+SUMPRODUCT(EM$5:EM$27,后果甲状腺剂量!$J$5:$J$27)*后果甲状腺剂量!$T27*后果甲状腺剂量!$T$3+SUMPRODUCT(EN$5:EN$27,后果甲状腺剂量!$J$5:$J$27)*后果甲状腺剂量!$U27*后果甲状腺剂量!$U$3+SUMPRODUCT(EJ$5:EJ$27,后果甲状腺剂量!$K$5:$K$27)*后果甲状腺剂量!$Q27+SUMPRODUCT(EK$5:EK$27,后果甲状腺剂量!$K$5:$K$27)*后果甲状腺剂量!$R27+SUMPRODUCT(EL$5:EL$27,后果甲状腺剂量!$K$5:$K$27)*后果甲状腺剂量!$S27+SUMPRODUCT(EM$5:EM$27,后果甲状腺剂量!$K$5:$K$27)*后果甲状腺剂量!$T27+SUMPRODUCT(EN$5:EN$27,后果甲状腺剂量!$K$5:$K$27)*后果甲状腺剂量!$U27</f>
        <v>0</v>
      </c>
      <c r="EK53" s="333">
        <f t="shared" si="154"/>
        <v>0</v>
      </c>
      <c r="EL53" s="333">
        <f t="shared" si="155"/>
        <v>0</v>
      </c>
      <c r="EM53" s="357">
        <f t="shared" si="160"/>
        <v>0</v>
      </c>
      <c r="EN53" s="357">
        <f t="shared" si="161"/>
        <v>0</v>
      </c>
    </row>
    <row r="54" spans="24:144">
      <c r="X54" s="247"/>
      <c r="DM54" s="330">
        <f>后果有效剂量!$P28</f>
        <v>0</v>
      </c>
      <c r="DN54" s="331">
        <f ca="1">SUMPRODUCT(DN$5:DN$27,后果有效剂量!$I$5:$I$27)*后果有效剂量!$Q28+SUMPRODUCT(DO$5:DO$27,后果有效剂量!$I$5:$I$27)*后果有效剂量!$Q28+SUMPRODUCT(DP$5:DP$27,后果有效剂量!$I$5:$I$27)*后果有效剂量!$R28+SUMPRODUCT(DQ$5:DQ$27,后果有效剂量!$I$5:$I$27)*后果有效剂量!$S28+SUMPRODUCT(DR$5:DR$27,后果有效剂量!$I$5:$I$27)*后果有效剂量!$T28+SUMPRODUCT(DS$5:DS$27,后果有效剂量!$I$5:$I$27)*后果有效剂量!$U28+SUMPRODUCT(DN$5:DN$27,后果有效剂量!$J$5:$J$27)*后果有效剂量!$Q28*后果有效剂量!$Q$3+SUMPRODUCT(DO$5:DO$27,后果有效剂量!$J$5:$J$27)*后果有效剂量!$Q28*后果有效剂量!$Q$3+SUMPRODUCT(DP$5:DP$27,后果有效剂量!$J$5:$J$27)*后果有效剂量!$R28*后果有效剂量!$R$3+SUMPRODUCT(DQ$5:DQ$27,后果有效剂量!$J$5:$J$27)*后果有效剂量!$S28*后果有效剂量!$S$3+SUMPRODUCT(DR$5:DR$27,后果有效剂量!$J$5:$J$27)*后果有效剂量!$T28*后果有效剂量!$T$3+SUMPRODUCT(DS$5:DS$27,后果有效剂量!$J$5:$J$27)*后果有效剂量!$U28*后果有效剂量!$U$3+SUMPRODUCT(DN$5:DN$27,后果有效剂量!$K$5:$K$27)*后果有效剂量!$Q28+SUMPRODUCT(DO$5:DO$27,后果有效剂量!$K$5:$K$27)*后果有效剂量!$Q28+SUMPRODUCT(DP$5:DP$27,后果有效剂量!$K$5:$K$27)*后果有效剂量!$R28+SUMPRODUCT(DQ$5:DQ$27,后果有效剂量!$K$5:$K$27)*后果有效剂量!$S28+SUMPRODUCT(DR$5:DR$27,后果有效剂量!$K$5:$K$27)*后果有效剂量!$T28+SUMPRODUCT(DS$5:DS$27,后果有效剂量!$K$5:$K$27)*后果有效剂量!$U28</f>
        <v>0</v>
      </c>
      <c r="DO54" s="332">
        <f ca="1">SUMPRODUCT(DN$5:DN$27,后果甲状腺剂量!$I$5:$I$27)*后果甲状腺剂量!$Q28+SUMPRODUCT(DO$5:DO$27,后果甲状腺剂量!$I$5:$I$27)*后果甲状腺剂量!$Q28+SUMPRODUCT(DP$5:DP$27,后果甲状腺剂量!$I$5:$I$27)*后果甲状腺剂量!$R28+SUMPRODUCT(DQ$5:DQ$27,后果甲状腺剂量!$I$5:$I$27)*后果甲状腺剂量!$S28+SUMPRODUCT(DR$5:DR$27,后果甲状腺剂量!$I$5:$I$27)*后果甲状腺剂量!$T28+SUMPRODUCT(DS$5:DS$27,后果甲状腺剂量!$I$5:$I$27)*后果甲状腺剂量!$U28+SUMPRODUCT(DN$5:DN$27,后果甲状腺剂量!$J$5:$J$27)*后果甲状腺剂量!$Q28*后果甲状腺剂量!$Q$3+SUMPRODUCT(DO$5:DO$27,后果甲状腺剂量!$J$5:$J$27)*后果甲状腺剂量!$Q28*后果甲状腺剂量!$Q$3+SUMPRODUCT(DP$5:DP$27,后果甲状腺剂量!$J$5:$J$27)*后果甲状腺剂量!$R28*后果甲状腺剂量!$R$3+SUMPRODUCT(DQ$5:DQ$27,后果甲状腺剂量!$J$5:$J$27)*后果甲状腺剂量!$S28*后果甲状腺剂量!$S$3+SUMPRODUCT(DR$5:DR$27,后果甲状腺剂量!$J$5:$J$27)*后果甲状腺剂量!$T28*后果甲状腺剂量!$T$3+SUMPRODUCT(DS$5:DS$27,后果甲状腺剂量!$J$5:$J$27)*后果甲状腺剂量!$U28*后果甲状腺剂量!$U$3+SUMPRODUCT(DN$5:DN$27,后果甲状腺剂量!$K$5:$K$27)*后果甲状腺剂量!$Q28+SUMPRODUCT(DO$5:DO$27,后果甲状腺剂量!$K$5:$K$27)*后果甲状腺剂量!$Q28+SUMPRODUCT(DP$5:DP$27,后果甲状腺剂量!$K$5:$K$27)*后果甲状腺剂量!$R28+SUMPRODUCT(DQ$5:DQ$27,后果甲状腺剂量!$K$5:$K$27)*后果甲状腺剂量!$S28+SUMPRODUCT(DR$5:DR$27,后果甲状腺剂量!$K$5:$K$27)*后果甲状腺剂量!$T28+SUMPRODUCT(DS$5:DS$27,后果甲状腺剂量!$K$5:$K$27)*后果甲状腺剂量!$U28</f>
        <v>0</v>
      </c>
      <c r="DP54" s="333">
        <f ca="1" t="shared" si="150"/>
        <v>0</v>
      </c>
      <c r="DQ54" s="333">
        <f ca="1" t="shared" si="151"/>
        <v>0</v>
      </c>
      <c r="DR54" s="357">
        <f ca="1" t="shared" si="156"/>
        <v>0</v>
      </c>
      <c r="DS54" s="357">
        <f ca="1" t="shared" si="157"/>
        <v>0</v>
      </c>
      <c r="DW54" s="331">
        <f>SUMPRODUCT(DW$5:DW$27,后果有效剂量!$I$5:$I$27)*后果有效剂量!$Q28+SUMPRODUCT(DX$5:DX$27,后果有效剂量!$I$5:$I$27)*后果有效剂量!$R28+SUMPRODUCT(DY$5:DY$27,后果有效剂量!$I$5:$I$27)*后果有效剂量!$S28+SUMPRODUCT(DZ$5:DZ$27,后果有效剂量!$I$5:$I$27)*后果有效剂量!$T28+SUMPRODUCT(DW$5:DW$27,后果有效剂量!$J$5:$J$27)*后果有效剂量!$Q28*后果有效剂量!$Q$3+SUMPRODUCT(DX$5:DX$27,后果有效剂量!$J$5:$J$27)*后果有效剂量!$R28*后果有效剂量!$R$3+SUMPRODUCT(DY$5:DY$27,后果有效剂量!$J$5:$J$27)*后果有效剂量!$S28*后果有效剂量!$S$3+SUMPRODUCT(DZ$5:DZ$27,后果有效剂量!$J$5:$J$27)*后果有效剂量!$T28*后果有效剂量!$T$3+SUMPRODUCT(DW$5:DW$27,后果有效剂量!$K$5:$K$27)*后果有效剂量!$Q28+SUMPRODUCT(DX$5:DX$27,后果有效剂量!$K$5:$K$27)*后果有效剂量!$R28+SUMPRODUCT(DY$5:DY$27,后果有效剂量!$K$5:$K$27)*后果有效剂量!$S28+SUMPRODUCT(DZ$5:DZ$27,后果有效剂量!$K$5:$K$27)*后果有效剂量!$T28</f>
        <v>0</v>
      </c>
      <c r="DX54" s="332">
        <f>SUMPRODUCT(DW$5:DW$27,后果甲状腺剂量!$I$5:$I$27)*后果甲状腺剂量!$Q28+SUMPRODUCT(DX$5:DX$27,后果甲状腺剂量!$I$5:$I$27)*后果甲状腺剂量!$R28+SUMPRODUCT(DY$5:DY$27,后果甲状腺剂量!$I$5:$I$27)*后果甲状腺剂量!$S28+SUMPRODUCT(DZ$5:DZ$27,后果甲状腺剂量!$I$5:$I$27)*后果甲状腺剂量!$T28+SUMPRODUCT(DW$5:DW$27,后果甲状腺剂量!$J$5:$J$27)*后果甲状腺剂量!$Q28*后果甲状腺剂量!$Q$3+SUMPRODUCT(DX$5:DX$27,后果甲状腺剂量!$J$5:$J$27)*后果甲状腺剂量!$R28*后果甲状腺剂量!$R$3+SUMPRODUCT(DY$5:DY$27,后果甲状腺剂量!$J$5:$J$27)*后果甲状腺剂量!$S28*后果甲状腺剂量!$S$3+SUMPRODUCT(DZ$5:DZ$27,后果甲状腺剂量!$J$5:$J$27)*后果甲状腺剂量!$T28*后果甲状腺剂量!$T$3+SUMPRODUCT(DW$5:DW$27,后果甲状腺剂量!$K$5:$K$27)*后果甲状腺剂量!$Q28+SUMPRODUCT(DX$5:DX$27,后果甲状腺剂量!$K$5:$K$27)*后果甲状腺剂量!$R28+SUMPRODUCT(DY$5:DY$27,后果甲状腺剂量!$K$5:$K$27)*后果甲状腺剂量!$S28+SUMPRODUCT(DZ$5:DZ$27,后果甲状腺剂量!$K$5:$K$27)*后果甲状腺剂量!$T28</f>
        <v>0</v>
      </c>
      <c r="DY54" s="333">
        <f t="shared" si="152"/>
        <v>0</v>
      </c>
      <c r="DZ54" s="333">
        <f t="shared" si="153"/>
        <v>0</v>
      </c>
      <c r="EA54" s="357">
        <f t="shared" si="158"/>
        <v>0</v>
      </c>
      <c r="EB54" s="357">
        <f t="shared" si="159"/>
        <v>0</v>
      </c>
      <c r="EH54" s="330">
        <f>后果有效剂量!$P28</f>
        <v>0</v>
      </c>
      <c r="EI54" s="331">
        <f>SUMPRODUCT(EJ$5:EJ$27,后果有效剂量!$I$5:$I$27)*后果有效剂量!$Q28+SUMPRODUCT(EK$5:EK$27,后果有效剂量!$I$5:$I$27)*后果有效剂量!$R28+SUMPRODUCT(EL$5:EL$27,后果有效剂量!$I$5:$I$27)*后果有效剂量!$S28+SUMPRODUCT(EM$5:EM$27,后果有效剂量!$I$5:$I$27)*后果有效剂量!$T28+SUMPRODUCT(EN$5:EN$27,后果有效剂量!$I$5:$I$27)*后果有效剂量!$U28+SUMPRODUCT(EJ$5:EJ$27,后果有效剂量!$J$5:$J$27)*后果有效剂量!$Q28*后果有效剂量!$Q$3+SUMPRODUCT(EK$5:EK$27,后果有效剂量!$J$5:$J$27)*后果有效剂量!$R28*后果有效剂量!$R$3+SUMPRODUCT(EL$5:EL$27,后果有效剂量!$J$5:$J$27)*后果有效剂量!$S28*后果有效剂量!$S$3+SUMPRODUCT(EM$5:EM$27,后果有效剂量!$J$5:$J$27)*后果有效剂量!$T28*后果有效剂量!$T$3+SUMPRODUCT(EN$5:EN$27,后果有效剂量!$J$5:$J$27)*后果有效剂量!$U28*后果有效剂量!$U$3+SUMPRODUCT(EJ$5:EJ$27,后果有效剂量!$K$5:$K$27)*后果有效剂量!$Q28+SUMPRODUCT(EK$5:EK$27,后果有效剂量!$K$5:$K$27)*后果有效剂量!$R28+SUMPRODUCT(EL$5:EL$27,后果有效剂量!$K$5:$K$27)*后果有效剂量!$S28+SUMPRODUCT(EM$5:EM$27,后果有效剂量!$K$5:$K$27)*后果有效剂量!$T28+SUMPRODUCT(EN$5:EN$27,后果有效剂量!$K$5:$K$27)*后果有效剂量!$U28</f>
        <v>0</v>
      </c>
      <c r="EJ54" s="332">
        <f>SUMPRODUCT(EJ$5:EJ$27,后果甲状腺剂量!$I$5:$I$27)*后果甲状腺剂量!$Q28+SUMPRODUCT(EK$5:EK$27,后果甲状腺剂量!$I$5:$I$27)*后果甲状腺剂量!$R28+SUMPRODUCT(EL$5:EL$27,后果甲状腺剂量!$I$5:$I$27)*后果甲状腺剂量!$S28+SUMPRODUCT(EM$5:EM$27,后果甲状腺剂量!$I$5:$I$27)*后果甲状腺剂量!$T28+SUMPRODUCT(EN$5:EN$27,后果甲状腺剂量!$I$5:$I$27)*后果甲状腺剂量!$U28+SUMPRODUCT(EJ$5:EJ$27,后果甲状腺剂量!$J$5:$J$27)*后果甲状腺剂量!$Q28*后果甲状腺剂量!$Q$3+SUMPRODUCT(EK$5:EK$27,后果甲状腺剂量!$J$5:$J$27)*后果甲状腺剂量!$R28*后果甲状腺剂量!$R$3+SUMPRODUCT(EL$5:EL$27,后果甲状腺剂量!$J$5:$J$27)*后果甲状腺剂量!$S28*后果甲状腺剂量!$S$3+SUMPRODUCT(EM$5:EM$27,后果甲状腺剂量!$J$5:$J$27)*后果甲状腺剂量!$T28*后果甲状腺剂量!$T$3+SUMPRODUCT(EN$5:EN$27,后果甲状腺剂量!$J$5:$J$27)*后果甲状腺剂量!$U28*后果甲状腺剂量!$U$3+SUMPRODUCT(EJ$5:EJ$27,后果甲状腺剂量!$K$5:$K$27)*后果甲状腺剂量!$Q28+SUMPRODUCT(EK$5:EK$27,后果甲状腺剂量!$K$5:$K$27)*后果甲状腺剂量!$R28+SUMPRODUCT(EL$5:EL$27,后果甲状腺剂量!$K$5:$K$27)*后果甲状腺剂量!$S28+SUMPRODUCT(EM$5:EM$27,后果甲状腺剂量!$K$5:$K$27)*后果甲状腺剂量!$T28+SUMPRODUCT(EN$5:EN$27,后果甲状腺剂量!$K$5:$K$27)*后果甲状腺剂量!$U28</f>
        <v>0</v>
      </c>
      <c r="EK54" s="333">
        <f t="shared" si="154"/>
        <v>0</v>
      </c>
      <c r="EL54" s="333">
        <f t="shared" si="155"/>
        <v>0</v>
      </c>
      <c r="EM54" s="357">
        <f t="shared" si="160"/>
        <v>0</v>
      </c>
      <c r="EN54" s="357">
        <f t="shared" si="161"/>
        <v>0</v>
      </c>
    </row>
    <row r="55" spans="24:144">
      <c r="X55" s="247"/>
      <c r="DM55" s="330">
        <f>后果有效剂量!$P29</f>
        <v>0</v>
      </c>
      <c r="DN55" s="331">
        <f ca="1">SUMPRODUCT(DN$5:DN$27,后果有效剂量!$I$5:$I$27)*后果有效剂量!$Q29+SUMPRODUCT(DO$5:DO$27,后果有效剂量!$I$5:$I$27)*后果有效剂量!$Q29+SUMPRODUCT(DP$5:DP$27,后果有效剂量!$I$5:$I$27)*后果有效剂量!$R29+SUMPRODUCT(DQ$5:DQ$27,后果有效剂量!$I$5:$I$27)*后果有效剂量!$S29+SUMPRODUCT(DR$5:DR$27,后果有效剂量!$I$5:$I$27)*后果有效剂量!$T29+SUMPRODUCT(DS$5:DS$27,后果有效剂量!$I$5:$I$27)*后果有效剂量!$U29+SUMPRODUCT(DN$5:DN$27,后果有效剂量!$J$5:$J$27)*后果有效剂量!$Q29*后果有效剂量!$Q$3+SUMPRODUCT(DO$5:DO$27,后果有效剂量!$J$5:$J$27)*后果有效剂量!$Q29*后果有效剂量!$Q$3+SUMPRODUCT(DP$5:DP$27,后果有效剂量!$J$5:$J$27)*后果有效剂量!$R29*后果有效剂量!$R$3+SUMPRODUCT(DQ$5:DQ$27,后果有效剂量!$J$5:$J$27)*后果有效剂量!$S29*后果有效剂量!$S$3+SUMPRODUCT(DR$5:DR$27,后果有效剂量!$J$5:$J$27)*后果有效剂量!$T29*后果有效剂量!$T$3+SUMPRODUCT(DS$5:DS$27,后果有效剂量!$J$5:$J$27)*后果有效剂量!$U29*后果有效剂量!$U$3+SUMPRODUCT(DN$5:DN$27,后果有效剂量!$K$5:$K$27)*后果有效剂量!$Q29+SUMPRODUCT(DO$5:DO$27,后果有效剂量!$K$5:$K$27)*后果有效剂量!$Q29+SUMPRODUCT(DP$5:DP$27,后果有效剂量!$K$5:$K$27)*后果有效剂量!$R29+SUMPRODUCT(DQ$5:DQ$27,后果有效剂量!$K$5:$K$27)*后果有效剂量!$S29+SUMPRODUCT(DR$5:DR$27,后果有效剂量!$K$5:$K$27)*后果有效剂量!$T29+SUMPRODUCT(DS$5:DS$27,后果有效剂量!$K$5:$K$27)*后果有效剂量!$U29</f>
        <v>0</v>
      </c>
      <c r="DO55" s="332">
        <f ca="1">SUMPRODUCT(DN$5:DN$27,后果甲状腺剂量!$I$5:$I$27)*后果甲状腺剂量!$Q29+SUMPRODUCT(DO$5:DO$27,后果甲状腺剂量!$I$5:$I$27)*后果甲状腺剂量!$Q29+SUMPRODUCT(DP$5:DP$27,后果甲状腺剂量!$I$5:$I$27)*后果甲状腺剂量!$R29+SUMPRODUCT(DQ$5:DQ$27,后果甲状腺剂量!$I$5:$I$27)*后果甲状腺剂量!$S29+SUMPRODUCT(DR$5:DR$27,后果甲状腺剂量!$I$5:$I$27)*后果甲状腺剂量!$T29+SUMPRODUCT(DS$5:DS$27,后果甲状腺剂量!$I$5:$I$27)*后果甲状腺剂量!$U29+SUMPRODUCT(DN$5:DN$27,后果甲状腺剂量!$J$5:$J$27)*后果甲状腺剂量!$Q29*后果甲状腺剂量!$Q$3+SUMPRODUCT(DO$5:DO$27,后果甲状腺剂量!$J$5:$J$27)*后果甲状腺剂量!$Q29*后果甲状腺剂量!$Q$3+SUMPRODUCT(DP$5:DP$27,后果甲状腺剂量!$J$5:$J$27)*后果甲状腺剂量!$R29*后果甲状腺剂量!$R$3+SUMPRODUCT(DQ$5:DQ$27,后果甲状腺剂量!$J$5:$J$27)*后果甲状腺剂量!$S29*后果甲状腺剂量!$S$3+SUMPRODUCT(DR$5:DR$27,后果甲状腺剂量!$J$5:$J$27)*后果甲状腺剂量!$T29*后果甲状腺剂量!$T$3+SUMPRODUCT(DS$5:DS$27,后果甲状腺剂量!$J$5:$J$27)*后果甲状腺剂量!$U29*后果甲状腺剂量!$U$3+SUMPRODUCT(DN$5:DN$27,后果甲状腺剂量!$K$5:$K$27)*后果甲状腺剂量!$Q29+SUMPRODUCT(DO$5:DO$27,后果甲状腺剂量!$K$5:$K$27)*后果甲状腺剂量!$Q29+SUMPRODUCT(DP$5:DP$27,后果甲状腺剂量!$K$5:$K$27)*后果甲状腺剂量!$R29+SUMPRODUCT(DQ$5:DQ$27,后果甲状腺剂量!$K$5:$K$27)*后果甲状腺剂量!$S29+SUMPRODUCT(DR$5:DR$27,后果甲状腺剂量!$K$5:$K$27)*后果甲状腺剂量!$T29+SUMPRODUCT(DS$5:DS$27,后果甲状腺剂量!$K$5:$K$27)*后果甲状腺剂量!$U29</f>
        <v>0</v>
      </c>
      <c r="DP55" s="333">
        <f ca="1" t="shared" si="150"/>
        <v>0</v>
      </c>
      <c r="DQ55" s="333">
        <f ca="1" t="shared" si="151"/>
        <v>0</v>
      </c>
      <c r="DR55" s="357">
        <f ca="1" t="shared" si="156"/>
        <v>0</v>
      </c>
      <c r="DS55" s="357">
        <f ca="1" t="shared" si="157"/>
        <v>0</v>
      </c>
      <c r="DW55" s="331">
        <f>SUMPRODUCT(DW$5:DW$27,后果有效剂量!$I$5:$I$27)*后果有效剂量!$Q29+SUMPRODUCT(DX$5:DX$27,后果有效剂量!$I$5:$I$27)*后果有效剂量!$R29+SUMPRODUCT(DY$5:DY$27,后果有效剂量!$I$5:$I$27)*后果有效剂量!$S29+SUMPRODUCT(DZ$5:DZ$27,后果有效剂量!$I$5:$I$27)*后果有效剂量!$T29+SUMPRODUCT(DW$5:DW$27,后果有效剂量!$J$5:$J$27)*后果有效剂量!$Q29*后果有效剂量!$Q$3+SUMPRODUCT(DX$5:DX$27,后果有效剂量!$J$5:$J$27)*后果有效剂量!$R29*后果有效剂量!$R$3+SUMPRODUCT(DY$5:DY$27,后果有效剂量!$J$5:$J$27)*后果有效剂量!$S29*后果有效剂量!$S$3+SUMPRODUCT(DZ$5:DZ$27,后果有效剂量!$J$5:$J$27)*后果有效剂量!$T29*后果有效剂量!$T$3+SUMPRODUCT(DW$5:DW$27,后果有效剂量!$K$5:$K$27)*后果有效剂量!$Q29+SUMPRODUCT(DX$5:DX$27,后果有效剂量!$K$5:$K$27)*后果有效剂量!$R29+SUMPRODUCT(DY$5:DY$27,后果有效剂量!$K$5:$K$27)*后果有效剂量!$S29+SUMPRODUCT(DZ$5:DZ$27,后果有效剂量!$K$5:$K$27)*后果有效剂量!$T29</f>
        <v>0</v>
      </c>
      <c r="DX55" s="332">
        <f>SUMPRODUCT(DW$5:DW$27,后果甲状腺剂量!$I$5:$I$27)*后果甲状腺剂量!$Q29+SUMPRODUCT(DX$5:DX$27,后果甲状腺剂量!$I$5:$I$27)*后果甲状腺剂量!$R29+SUMPRODUCT(DY$5:DY$27,后果甲状腺剂量!$I$5:$I$27)*后果甲状腺剂量!$S29+SUMPRODUCT(DZ$5:DZ$27,后果甲状腺剂量!$I$5:$I$27)*后果甲状腺剂量!$T29+SUMPRODUCT(DW$5:DW$27,后果甲状腺剂量!$J$5:$J$27)*后果甲状腺剂量!$Q29*后果甲状腺剂量!$Q$3+SUMPRODUCT(DX$5:DX$27,后果甲状腺剂量!$J$5:$J$27)*后果甲状腺剂量!$R29*后果甲状腺剂量!$R$3+SUMPRODUCT(DY$5:DY$27,后果甲状腺剂量!$J$5:$J$27)*后果甲状腺剂量!$S29*后果甲状腺剂量!$S$3+SUMPRODUCT(DZ$5:DZ$27,后果甲状腺剂量!$J$5:$J$27)*后果甲状腺剂量!$T29*后果甲状腺剂量!$T$3+SUMPRODUCT(DW$5:DW$27,后果甲状腺剂量!$K$5:$K$27)*后果甲状腺剂量!$Q29+SUMPRODUCT(DX$5:DX$27,后果甲状腺剂量!$K$5:$K$27)*后果甲状腺剂量!$R29+SUMPRODUCT(DY$5:DY$27,后果甲状腺剂量!$K$5:$K$27)*后果甲状腺剂量!$S29+SUMPRODUCT(DZ$5:DZ$27,后果甲状腺剂量!$K$5:$K$27)*后果甲状腺剂量!$T29</f>
        <v>0</v>
      </c>
      <c r="DY55" s="333">
        <f t="shared" si="152"/>
        <v>0</v>
      </c>
      <c r="DZ55" s="333">
        <f t="shared" si="153"/>
        <v>0</v>
      </c>
      <c r="EA55" s="357">
        <f t="shared" si="158"/>
        <v>0</v>
      </c>
      <c r="EB55" s="357">
        <f t="shared" si="159"/>
        <v>0</v>
      </c>
      <c r="EH55" s="330">
        <f>后果有效剂量!$P29</f>
        <v>0</v>
      </c>
      <c r="EI55" s="331">
        <f>SUMPRODUCT(EJ$5:EJ$27,后果有效剂量!$I$5:$I$27)*后果有效剂量!$Q29+SUMPRODUCT(EK$5:EK$27,后果有效剂量!$I$5:$I$27)*后果有效剂量!$R29+SUMPRODUCT(EL$5:EL$27,后果有效剂量!$I$5:$I$27)*后果有效剂量!$S29+SUMPRODUCT(EM$5:EM$27,后果有效剂量!$I$5:$I$27)*后果有效剂量!$T29+SUMPRODUCT(EN$5:EN$27,后果有效剂量!$I$5:$I$27)*后果有效剂量!$U29+SUMPRODUCT(EJ$5:EJ$27,后果有效剂量!$J$5:$J$27)*后果有效剂量!$Q29*后果有效剂量!$Q$3+SUMPRODUCT(EK$5:EK$27,后果有效剂量!$J$5:$J$27)*后果有效剂量!$R29*后果有效剂量!$R$3+SUMPRODUCT(EL$5:EL$27,后果有效剂量!$J$5:$J$27)*后果有效剂量!$S29*后果有效剂量!$S$3+SUMPRODUCT(EM$5:EM$27,后果有效剂量!$J$5:$J$27)*后果有效剂量!$T29*后果有效剂量!$T$3+SUMPRODUCT(EN$5:EN$27,后果有效剂量!$J$5:$J$27)*后果有效剂量!$U29*后果有效剂量!$U$3+SUMPRODUCT(EJ$5:EJ$27,后果有效剂量!$K$5:$K$27)*后果有效剂量!$Q29+SUMPRODUCT(EK$5:EK$27,后果有效剂量!$K$5:$K$27)*后果有效剂量!$R29+SUMPRODUCT(EL$5:EL$27,后果有效剂量!$K$5:$K$27)*后果有效剂量!$S29+SUMPRODUCT(EM$5:EM$27,后果有效剂量!$K$5:$K$27)*后果有效剂量!$T29+SUMPRODUCT(EN$5:EN$27,后果有效剂量!$K$5:$K$27)*后果有效剂量!$U29</f>
        <v>0</v>
      </c>
      <c r="EJ55" s="332">
        <f>SUMPRODUCT(EJ$5:EJ$27,后果甲状腺剂量!$I$5:$I$27)*后果甲状腺剂量!$Q29+SUMPRODUCT(EK$5:EK$27,后果甲状腺剂量!$I$5:$I$27)*后果甲状腺剂量!$R29+SUMPRODUCT(EL$5:EL$27,后果甲状腺剂量!$I$5:$I$27)*后果甲状腺剂量!$S29+SUMPRODUCT(EM$5:EM$27,后果甲状腺剂量!$I$5:$I$27)*后果甲状腺剂量!$T29+SUMPRODUCT(EN$5:EN$27,后果甲状腺剂量!$I$5:$I$27)*后果甲状腺剂量!$U29+SUMPRODUCT(EJ$5:EJ$27,后果甲状腺剂量!$J$5:$J$27)*后果甲状腺剂量!$Q29*后果甲状腺剂量!$Q$3+SUMPRODUCT(EK$5:EK$27,后果甲状腺剂量!$J$5:$J$27)*后果甲状腺剂量!$R29*后果甲状腺剂量!$R$3+SUMPRODUCT(EL$5:EL$27,后果甲状腺剂量!$J$5:$J$27)*后果甲状腺剂量!$S29*后果甲状腺剂量!$S$3+SUMPRODUCT(EM$5:EM$27,后果甲状腺剂量!$J$5:$J$27)*后果甲状腺剂量!$T29*后果甲状腺剂量!$T$3+SUMPRODUCT(EN$5:EN$27,后果甲状腺剂量!$J$5:$J$27)*后果甲状腺剂量!$U29*后果甲状腺剂量!$U$3+SUMPRODUCT(EJ$5:EJ$27,后果甲状腺剂量!$K$5:$K$27)*后果甲状腺剂量!$Q29+SUMPRODUCT(EK$5:EK$27,后果甲状腺剂量!$K$5:$K$27)*后果甲状腺剂量!$R29+SUMPRODUCT(EL$5:EL$27,后果甲状腺剂量!$K$5:$K$27)*后果甲状腺剂量!$S29+SUMPRODUCT(EM$5:EM$27,后果甲状腺剂量!$K$5:$K$27)*后果甲状腺剂量!$T29+SUMPRODUCT(EN$5:EN$27,后果甲状腺剂量!$K$5:$K$27)*后果甲状腺剂量!$U29</f>
        <v>0</v>
      </c>
      <c r="EK55" s="333">
        <f t="shared" si="154"/>
        <v>0</v>
      </c>
      <c r="EL55" s="333">
        <f t="shared" si="155"/>
        <v>0</v>
      </c>
      <c r="EM55" s="357">
        <f t="shared" si="160"/>
        <v>0</v>
      </c>
      <c r="EN55" s="357">
        <f t="shared" si="161"/>
        <v>0</v>
      </c>
    </row>
    <row r="56" spans="24:144">
      <c r="X56" s="247"/>
      <c r="DM56" s="330">
        <f>后果有效剂量!$P30</f>
        <v>0</v>
      </c>
      <c r="DN56" s="331">
        <f ca="1">SUMPRODUCT(DN$5:DN$27,后果有效剂量!$I$5:$I$27)*后果有效剂量!$Q30+SUMPRODUCT(DO$5:DO$27,后果有效剂量!$I$5:$I$27)*后果有效剂量!$Q30+SUMPRODUCT(DP$5:DP$27,后果有效剂量!$I$5:$I$27)*后果有效剂量!$R30+SUMPRODUCT(DQ$5:DQ$27,后果有效剂量!$I$5:$I$27)*后果有效剂量!$S30+SUMPRODUCT(DR$5:DR$27,后果有效剂量!$I$5:$I$27)*后果有效剂量!$T30+SUMPRODUCT(DS$5:DS$27,后果有效剂量!$I$5:$I$27)*后果有效剂量!$U30+SUMPRODUCT(DN$5:DN$27,后果有效剂量!$J$5:$J$27)*后果有效剂量!$Q30*后果有效剂量!$Q$3+SUMPRODUCT(DO$5:DO$27,后果有效剂量!$J$5:$J$27)*后果有效剂量!$Q30*后果有效剂量!$Q$3+SUMPRODUCT(DP$5:DP$27,后果有效剂量!$J$5:$J$27)*后果有效剂量!$R30*后果有效剂量!$R$3+SUMPRODUCT(DQ$5:DQ$27,后果有效剂量!$J$5:$J$27)*后果有效剂量!$S30*后果有效剂量!$S$3+SUMPRODUCT(DR$5:DR$27,后果有效剂量!$J$5:$J$27)*后果有效剂量!$T30*后果有效剂量!$T$3+SUMPRODUCT(DS$5:DS$27,后果有效剂量!$J$5:$J$27)*后果有效剂量!$U30*后果有效剂量!$U$3+SUMPRODUCT(DN$5:DN$27,后果有效剂量!$K$5:$K$27)*后果有效剂量!$Q30+SUMPRODUCT(DO$5:DO$27,后果有效剂量!$K$5:$K$27)*后果有效剂量!$Q30+SUMPRODUCT(DP$5:DP$27,后果有效剂量!$K$5:$K$27)*后果有效剂量!$R30+SUMPRODUCT(DQ$5:DQ$27,后果有效剂量!$K$5:$K$27)*后果有效剂量!$S30+SUMPRODUCT(DR$5:DR$27,后果有效剂量!$K$5:$K$27)*后果有效剂量!$T30+SUMPRODUCT(DS$5:DS$27,后果有效剂量!$K$5:$K$27)*后果有效剂量!$U30</f>
        <v>0</v>
      </c>
      <c r="DO56" s="332">
        <f ca="1">SUMPRODUCT(DN$5:DN$27,后果甲状腺剂量!$I$5:$I$27)*后果甲状腺剂量!$Q30+SUMPRODUCT(DO$5:DO$27,后果甲状腺剂量!$I$5:$I$27)*后果甲状腺剂量!$Q30+SUMPRODUCT(DP$5:DP$27,后果甲状腺剂量!$I$5:$I$27)*后果甲状腺剂量!$R30+SUMPRODUCT(DQ$5:DQ$27,后果甲状腺剂量!$I$5:$I$27)*后果甲状腺剂量!$S30+SUMPRODUCT(DR$5:DR$27,后果甲状腺剂量!$I$5:$I$27)*后果甲状腺剂量!$T30+SUMPRODUCT(DS$5:DS$27,后果甲状腺剂量!$I$5:$I$27)*后果甲状腺剂量!$U30+SUMPRODUCT(DN$5:DN$27,后果甲状腺剂量!$J$5:$J$27)*后果甲状腺剂量!$Q30*后果甲状腺剂量!$Q$3+SUMPRODUCT(DO$5:DO$27,后果甲状腺剂量!$J$5:$J$27)*后果甲状腺剂量!$Q30*后果甲状腺剂量!$Q$3+SUMPRODUCT(DP$5:DP$27,后果甲状腺剂量!$J$5:$J$27)*后果甲状腺剂量!$R30*后果甲状腺剂量!$R$3+SUMPRODUCT(DQ$5:DQ$27,后果甲状腺剂量!$J$5:$J$27)*后果甲状腺剂量!$S30*后果甲状腺剂量!$S$3+SUMPRODUCT(DR$5:DR$27,后果甲状腺剂量!$J$5:$J$27)*后果甲状腺剂量!$T30*后果甲状腺剂量!$T$3+SUMPRODUCT(DS$5:DS$27,后果甲状腺剂量!$J$5:$J$27)*后果甲状腺剂量!$U30*后果甲状腺剂量!$U$3+SUMPRODUCT(DN$5:DN$27,后果甲状腺剂量!$K$5:$K$27)*后果甲状腺剂量!$Q30+SUMPRODUCT(DO$5:DO$27,后果甲状腺剂量!$K$5:$K$27)*后果甲状腺剂量!$Q30+SUMPRODUCT(DP$5:DP$27,后果甲状腺剂量!$K$5:$K$27)*后果甲状腺剂量!$R30+SUMPRODUCT(DQ$5:DQ$27,后果甲状腺剂量!$K$5:$K$27)*后果甲状腺剂量!$S30+SUMPRODUCT(DR$5:DR$27,后果甲状腺剂量!$K$5:$K$27)*后果甲状腺剂量!$T30+SUMPRODUCT(DS$5:DS$27,后果甲状腺剂量!$K$5:$K$27)*后果甲状腺剂量!$U30</f>
        <v>0</v>
      </c>
      <c r="DP56" s="333">
        <f ca="1" t="shared" si="150"/>
        <v>0</v>
      </c>
      <c r="DQ56" s="333">
        <f ca="1" t="shared" si="151"/>
        <v>0</v>
      </c>
      <c r="DR56" s="357">
        <f ca="1" t="shared" si="156"/>
        <v>0</v>
      </c>
      <c r="DS56" s="357">
        <f ca="1" t="shared" si="157"/>
        <v>0</v>
      </c>
      <c r="DW56" s="331">
        <f>SUMPRODUCT(DW$5:DW$27,后果有效剂量!$I$5:$I$27)*后果有效剂量!$Q30+SUMPRODUCT(DX$5:DX$27,后果有效剂量!$I$5:$I$27)*后果有效剂量!$R30+SUMPRODUCT(DY$5:DY$27,后果有效剂量!$I$5:$I$27)*后果有效剂量!$S30+SUMPRODUCT(DZ$5:DZ$27,后果有效剂量!$I$5:$I$27)*后果有效剂量!$T30+SUMPRODUCT(DW$5:DW$27,后果有效剂量!$J$5:$J$27)*后果有效剂量!$Q30*后果有效剂量!$Q$3+SUMPRODUCT(DX$5:DX$27,后果有效剂量!$J$5:$J$27)*后果有效剂量!$R30*后果有效剂量!$R$3+SUMPRODUCT(DY$5:DY$27,后果有效剂量!$J$5:$J$27)*后果有效剂量!$S30*后果有效剂量!$S$3+SUMPRODUCT(DZ$5:DZ$27,后果有效剂量!$J$5:$J$27)*后果有效剂量!$T30*后果有效剂量!$T$3+SUMPRODUCT(DW$5:DW$27,后果有效剂量!$K$5:$K$27)*后果有效剂量!$Q30+SUMPRODUCT(DX$5:DX$27,后果有效剂量!$K$5:$K$27)*后果有效剂量!$R30+SUMPRODUCT(DY$5:DY$27,后果有效剂量!$K$5:$K$27)*后果有效剂量!$S30+SUMPRODUCT(DZ$5:DZ$27,后果有效剂量!$K$5:$K$27)*后果有效剂量!$T30</f>
        <v>0</v>
      </c>
      <c r="DX56" s="332">
        <f>SUMPRODUCT(DW$5:DW$27,后果甲状腺剂量!$I$5:$I$27)*后果甲状腺剂量!$Q30+SUMPRODUCT(DX$5:DX$27,后果甲状腺剂量!$I$5:$I$27)*后果甲状腺剂量!$R30+SUMPRODUCT(DY$5:DY$27,后果甲状腺剂量!$I$5:$I$27)*后果甲状腺剂量!$S30+SUMPRODUCT(DZ$5:DZ$27,后果甲状腺剂量!$I$5:$I$27)*后果甲状腺剂量!$T30+SUMPRODUCT(DW$5:DW$27,后果甲状腺剂量!$J$5:$J$27)*后果甲状腺剂量!$Q30*后果甲状腺剂量!$Q$3+SUMPRODUCT(DX$5:DX$27,后果甲状腺剂量!$J$5:$J$27)*后果甲状腺剂量!$R30*后果甲状腺剂量!$R$3+SUMPRODUCT(DY$5:DY$27,后果甲状腺剂量!$J$5:$J$27)*后果甲状腺剂量!$S30*后果甲状腺剂量!$S$3+SUMPRODUCT(DZ$5:DZ$27,后果甲状腺剂量!$J$5:$J$27)*后果甲状腺剂量!$T30*后果甲状腺剂量!$T$3+SUMPRODUCT(DW$5:DW$27,后果甲状腺剂量!$K$5:$K$27)*后果甲状腺剂量!$Q30+SUMPRODUCT(DX$5:DX$27,后果甲状腺剂量!$K$5:$K$27)*后果甲状腺剂量!$R30+SUMPRODUCT(DY$5:DY$27,后果甲状腺剂量!$K$5:$K$27)*后果甲状腺剂量!$S30+SUMPRODUCT(DZ$5:DZ$27,后果甲状腺剂量!$K$5:$K$27)*后果甲状腺剂量!$T30</f>
        <v>0</v>
      </c>
      <c r="DY56" s="333">
        <f t="shared" si="152"/>
        <v>0</v>
      </c>
      <c r="DZ56" s="333">
        <f t="shared" si="153"/>
        <v>0</v>
      </c>
      <c r="EA56" s="357">
        <f t="shared" si="158"/>
        <v>0</v>
      </c>
      <c r="EB56" s="357">
        <f t="shared" si="159"/>
        <v>0</v>
      </c>
      <c r="EH56" s="330">
        <f>后果有效剂量!$P30</f>
        <v>0</v>
      </c>
      <c r="EI56" s="331">
        <f>SUMPRODUCT(EJ$5:EJ$27,后果有效剂量!$I$5:$I$27)*后果有效剂量!$Q30+SUMPRODUCT(EK$5:EK$27,后果有效剂量!$I$5:$I$27)*后果有效剂量!$R30+SUMPRODUCT(EL$5:EL$27,后果有效剂量!$I$5:$I$27)*后果有效剂量!$S30+SUMPRODUCT(EM$5:EM$27,后果有效剂量!$I$5:$I$27)*后果有效剂量!$T30+SUMPRODUCT(EN$5:EN$27,后果有效剂量!$I$5:$I$27)*后果有效剂量!$U30+SUMPRODUCT(EJ$5:EJ$27,后果有效剂量!$J$5:$J$27)*后果有效剂量!$Q30*后果有效剂量!$Q$3+SUMPRODUCT(EK$5:EK$27,后果有效剂量!$J$5:$J$27)*后果有效剂量!$R30*后果有效剂量!$R$3+SUMPRODUCT(EL$5:EL$27,后果有效剂量!$J$5:$J$27)*后果有效剂量!$S30*后果有效剂量!$S$3+SUMPRODUCT(EM$5:EM$27,后果有效剂量!$J$5:$J$27)*后果有效剂量!$T30*后果有效剂量!$T$3+SUMPRODUCT(EN$5:EN$27,后果有效剂量!$J$5:$J$27)*后果有效剂量!$U30*后果有效剂量!$U$3+SUMPRODUCT(EJ$5:EJ$27,后果有效剂量!$K$5:$K$27)*后果有效剂量!$Q30+SUMPRODUCT(EK$5:EK$27,后果有效剂量!$K$5:$K$27)*后果有效剂量!$R30+SUMPRODUCT(EL$5:EL$27,后果有效剂量!$K$5:$K$27)*后果有效剂量!$S30+SUMPRODUCT(EM$5:EM$27,后果有效剂量!$K$5:$K$27)*后果有效剂量!$T30+SUMPRODUCT(EN$5:EN$27,后果有效剂量!$K$5:$K$27)*后果有效剂量!$U30</f>
        <v>0</v>
      </c>
      <c r="EJ56" s="332">
        <f>SUMPRODUCT(EJ$5:EJ$27,后果甲状腺剂量!$I$5:$I$27)*后果甲状腺剂量!$Q30+SUMPRODUCT(EK$5:EK$27,后果甲状腺剂量!$I$5:$I$27)*后果甲状腺剂量!$R30+SUMPRODUCT(EL$5:EL$27,后果甲状腺剂量!$I$5:$I$27)*后果甲状腺剂量!$S30+SUMPRODUCT(EM$5:EM$27,后果甲状腺剂量!$I$5:$I$27)*后果甲状腺剂量!$T30+SUMPRODUCT(EN$5:EN$27,后果甲状腺剂量!$I$5:$I$27)*后果甲状腺剂量!$U30+SUMPRODUCT(EJ$5:EJ$27,后果甲状腺剂量!$J$5:$J$27)*后果甲状腺剂量!$Q30*后果甲状腺剂量!$Q$3+SUMPRODUCT(EK$5:EK$27,后果甲状腺剂量!$J$5:$J$27)*后果甲状腺剂量!$R30*后果甲状腺剂量!$R$3+SUMPRODUCT(EL$5:EL$27,后果甲状腺剂量!$J$5:$J$27)*后果甲状腺剂量!$S30*后果甲状腺剂量!$S$3+SUMPRODUCT(EM$5:EM$27,后果甲状腺剂量!$J$5:$J$27)*后果甲状腺剂量!$T30*后果甲状腺剂量!$T$3+SUMPRODUCT(EN$5:EN$27,后果甲状腺剂量!$J$5:$J$27)*后果甲状腺剂量!$U30*后果甲状腺剂量!$U$3+SUMPRODUCT(EJ$5:EJ$27,后果甲状腺剂量!$K$5:$K$27)*后果甲状腺剂量!$Q30+SUMPRODUCT(EK$5:EK$27,后果甲状腺剂量!$K$5:$K$27)*后果甲状腺剂量!$R30+SUMPRODUCT(EL$5:EL$27,后果甲状腺剂量!$K$5:$K$27)*后果甲状腺剂量!$S30+SUMPRODUCT(EM$5:EM$27,后果甲状腺剂量!$K$5:$K$27)*后果甲状腺剂量!$T30+SUMPRODUCT(EN$5:EN$27,后果甲状腺剂量!$K$5:$K$27)*后果甲状腺剂量!$U30</f>
        <v>0</v>
      </c>
      <c r="EK56" s="333">
        <f t="shared" si="154"/>
        <v>0</v>
      </c>
      <c r="EL56" s="333">
        <f t="shared" si="155"/>
        <v>0</v>
      </c>
      <c r="EM56" s="357">
        <f t="shared" si="160"/>
        <v>0</v>
      </c>
      <c r="EN56" s="357">
        <f t="shared" si="161"/>
        <v>0</v>
      </c>
    </row>
    <row r="57" ht="15.75" spans="118:121">
      <c r="DN57" s="337"/>
      <c r="DO57" s="338"/>
      <c r="DP57" s="206"/>
      <c r="DQ57" s="206"/>
    </row>
    <row r="58" ht="15.75" spans="119:126">
      <c r="DO58" s="339" t="s">
        <v>296</v>
      </c>
      <c r="DP58" s="339"/>
      <c r="DQ58" s="339" t="s">
        <v>297</v>
      </c>
      <c r="DR58" s="339"/>
      <c r="DS58" s="358" t="s">
        <v>298</v>
      </c>
      <c r="DT58" s="359"/>
      <c r="DU58" s="358" t="s">
        <v>299</v>
      </c>
      <c r="DV58" s="359"/>
    </row>
    <row r="59" ht="27.75" spans="119:126">
      <c r="DO59" s="340" t="s">
        <v>532</v>
      </c>
      <c r="DP59" s="341" t="s">
        <v>533</v>
      </c>
      <c r="DQ59" s="340" t="s">
        <v>532</v>
      </c>
      <c r="DR59" s="341" t="s">
        <v>533</v>
      </c>
      <c r="DS59" s="341" t="s">
        <v>532</v>
      </c>
      <c r="DT59" s="359" t="s">
        <v>533</v>
      </c>
      <c r="DU59" s="341" t="s">
        <v>532</v>
      </c>
      <c r="DV59" s="359" t="s">
        <v>533</v>
      </c>
    </row>
    <row r="60" ht="15.75" spans="119:126">
      <c r="DO60" s="342">
        <f ca="1">DP56</f>
        <v>0</v>
      </c>
      <c r="DP60" s="342">
        <f ca="1">DQ56</f>
        <v>0</v>
      </c>
      <c r="DQ60" s="342">
        <f ca="1">DP33</f>
        <v>0</v>
      </c>
      <c r="DR60" s="342">
        <f ca="1">DQ33</f>
        <v>0</v>
      </c>
      <c r="DS60" s="342">
        <f ca="1">DP34</f>
        <v>34.9537122694107</v>
      </c>
      <c r="DT60" s="342">
        <f ca="1">DQ34</f>
        <v>874.886984255366</v>
      </c>
      <c r="DU60" s="342">
        <f ca="1">DP35</f>
        <v>11.6539814293035</v>
      </c>
      <c r="DV60" s="342">
        <f ca="1">DQ35</f>
        <v>319.409832123906</v>
      </c>
    </row>
    <row r="61" ht="15.75" spans="119:126">
      <c r="DO61" s="343"/>
      <c r="DP61" s="344"/>
      <c r="DQ61" s="344"/>
      <c r="DR61" s="344"/>
      <c r="DS61" s="344"/>
      <c r="DT61" s="344"/>
      <c r="DU61" s="344"/>
      <c r="DV61" s="360"/>
    </row>
    <row r="62" ht="15.75" spans="119:126">
      <c r="DO62" s="345" t="s">
        <v>532</v>
      </c>
      <c r="DP62" s="346"/>
      <c r="DQ62" s="346"/>
      <c r="DR62" s="361"/>
      <c r="DS62" s="345" t="s">
        <v>533</v>
      </c>
      <c r="DT62" s="346"/>
      <c r="DU62" s="346"/>
      <c r="DV62" s="361"/>
    </row>
    <row r="63" ht="15.75" spans="119:126">
      <c r="DO63" s="347" t="s">
        <v>296</v>
      </c>
      <c r="DP63" s="347" t="s">
        <v>297</v>
      </c>
      <c r="DQ63" s="347" t="s">
        <v>298</v>
      </c>
      <c r="DR63" s="347" t="s">
        <v>299</v>
      </c>
      <c r="DS63" s="347" t="s">
        <v>296</v>
      </c>
      <c r="DT63" s="347" t="s">
        <v>297</v>
      </c>
      <c r="DU63" s="347" t="s">
        <v>298</v>
      </c>
      <c r="DV63" s="347" t="s">
        <v>299</v>
      </c>
    </row>
    <row r="64" ht="15.75" spans="119:126">
      <c r="DO64" s="347">
        <f ca="1">DO60</f>
        <v>0</v>
      </c>
      <c r="DP64" s="347">
        <f ca="1">DQ60</f>
        <v>0</v>
      </c>
      <c r="DQ64" s="347">
        <f ca="1">DS60</f>
        <v>34.9537122694107</v>
      </c>
      <c r="DR64" s="347">
        <f ca="1">DU60</f>
        <v>11.6539814293035</v>
      </c>
      <c r="DS64" s="347">
        <f ca="1">DP60</f>
        <v>0</v>
      </c>
      <c r="DT64" s="347">
        <f ca="1">DR60</f>
        <v>0</v>
      </c>
      <c r="DU64" s="347">
        <f ca="1">DT60</f>
        <v>874.886984255366</v>
      </c>
      <c r="DV64" s="347">
        <f ca="1">DV60</f>
        <v>319.409832123906</v>
      </c>
    </row>
    <row r="65" ht="15.75" spans="117:117">
      <c r="DM65" s="91"/>
    </row>
    <row r="66" ht="15.75" spans="117:126">
      <c r="DM66" s="91"/>
      <c r="DN66" s="371"/>
      <c r="DO66" s="339" t="s">
        <v>296</v>
      </c>
      <c r="DP66" s="339"/>
      <c r="DQ66" s="339" t="s">
        <v>297</v>
      </c>
      <c r="DR66" s="339"/>
      <c r="DS66" s="358" t="s">
        <v>298</v>
      </c>
      <c r="DT66" s="359"/>
      <c r="DU66" s="358" t="s">
        <v>299</v>
      </c>
      <c r="DV66" s="359"/>
    </row>
    <row r="67" ht="27.75" spans="114:126">
      <c r="DJ67" s="372" t="s">
        <v>487</v>
      </c>
      <c r="DK67" s="372" t="s">
        <v>534</v>
      </c>
      <c r="DL67" s="372" t="s">
        <v>535</v>
      </c>
      <c r="DM67" s="373" t="s">
        <v>173</v>
      </c>
      <c r="DN67" s="374" t="s">
        <v>276</v>
      </c>
      <c r="DO67" s="375" t="s">
        <v>300</v>
      </c>
      <c r="DP67" s="376" t="s">
        <v>301</v>
      </c>
      <c r="DQ67" s="375" t="s">
        <v>300</v>
      </c>
      <c r="DR67" s="376" t="s">
        <v>301</v>
      </c>
      <c r="DS67" s="376" t="s">
        <v>300</v>
      </c>
      <c r="DT67" s="383" t="s">
        <v>301</v>
      </c>
      <c r="DU67" s="376" t="s">
        <v>300</v>
      </c>
      <c r="DV67" s="383" t="s">
        <v>301</v>
      </c>
    </row>
    <row r="68" ht="15.75" spans="113:126">
      <c r="DI68" s="166" t="s">
        <v>536</v>
      </c>
      <c r="DJ68" s="166" t="s">
        <v>537</v>
      </c>
      <c r="DK68" s="166" t="s">
        <v>537</v>
      </c>
      <c r="DL68" s="377">
        <v>0.2</v>
      </c>
      <c r="DM68" s="91" t="s">
        <v>302</v>
      </c>
      <c r="DN68" s="378">
        <v>0.1</v>
      </c>
      <c r="DO68" s="379"/>
      <c r="DP68" s="380"/>
      <c r="DQ68" s="379"/>
      <c r="DR68" s="380"/>
      <c r="DS68" s="380"/>
      <c r="DT68" s="380"/>
      <c r="DU68" s="384"/>
      <c r="DV68" s="380"/>
    </row>
    <row r="69" ht="15.75" spans="114:126">
      <c r="DJ69" s="166" t="s">
        <v>538</v>
      </c>
      <c r="DK69" s="166" t="s">
        <v>537</v>
      </c>
      <c r="DL69" s="377">
        <v>0.2</v>
      </c>
      <c r="DM69" s="91" t="s">
        <v>302</v>
      </c>
      <c r="DN69" s="378">
        <v>0.1</v>
      </c>
      <c r="DO69" s="379"/>
      <c r="DP69" s="380"/>
      <c r="DQ69" s="379"/>
      <c r="DR69" s="380"/>
      <c r="DS69" s="380"/>
      <c r="DT69" s="380"/>
      <c r="DU69" s="384"/>
      <c r="DV69" s="380"/>
    </row>
    <row r="70" s="91" customFormat="1" ht="15.75" spans="2:126">
      <c r="B70" s="166"/>
      <c r="AF70" s="166"/>
      <c r="AG70" s="166"/>
      <c r="AH70" s="166"/>
      <c r="AI70" s="166"/>
      <c r="AJ70" s="166"/>
      <c r="AK70" s="166"/>
      <c r="AL70" s="166"/>
      <c r="AM70" s="166"/>
      <c r="AN70" s="166"/>
      <c r="AO70" s="166"/>
      <c r="AP70" s="166"/>
      <c r="AQ70" s="166"/>
      <c r="AR70" s="166"/>
      <c r="AS70" s="166"/>
      <c r="AT70" s="166"/>
      <c r="AU70" s="166"/>
      <c r="AV70" s="166"/>
      <c r="AW70" s="166"/>
      <c r="AX70" s="166"/>
      <c r="AY70" s="166"/>
      <c r="AZ70" s="166"/>
      <c r="BA70" s="166"/>
      <c r="BB70" s="166"/>
      <c r="BC70" s="166"/>
      <c r="BD70" s="166"/>
      <c r="BE70" s="166"/>
      <c r="BF70" s="166"/>
      <c r="BG70" s="166"/>
      <c r="BH70" s="166"/>
      <c r="BI70" s="166"/>
      <c r="BJ70" s="166"/>
      <c r="BK70" s="166"/>
      <c r="BL70" s="166"/>
      <c r="BM70" s="166"/>
      <c r="BN70" s="166"/>
      <c r="BO70" s="166"/>
      <c r="BP70" s="166"/>
      <c r="BQ70" s="166"/>
      <c r="BR70" s="166"/>
      <c r="BS70" s="166"/>
      <c r="BT70" s="166"/>
      <c r="BU70" s="166"/>
      <c r="BV70" s="166"/>
      <c r="BW70" s="166"/>
      <c r="BX70" s="166"/>
      <c r="BY70" s="166"/>
      <c r="BZ70" s="166"/>
      <c r="CA70" s="166"/>
      <c r="CB70" s="166"/>
      <c r="CC70" s="166"/>
      <c r="CD70" s="166"/>
      <c r="CE70" s="166"/>
      <c r="CF70" s="166"/>
      <c r="CG70" s="166"/>
      <c r="CH70" s="166"/>
      <c r="CI70" s="166"/>
      <c r="CJ70" s="166"/>
      <c r="CK70" s="166"/>
      <c r="CL70" s="166"/>
      <c r="CM70" s="166"/>
      <c r="CN70" s="166"/>
      <c r="CO70" s="166"/>
      <c r="CP70" s="166"/>
      <c r="CQ70" s="166"/>
      <c r="CR70" s="166"/>
      <c r="CS70" s="166"/>
      <c r="CT70" s="166"/>
      <c r="CU70" s="166"/>
      <c r="CV70" s="166"/>
      <c r="CW70" s="166"/>
      <c r="CX70" s="166"/>
      <c r="CY70" s="166"/>
      <c r="CZ70" s="166"/>
      <c r="DA70" s="166"/>
      <c r="DB70" s="166"/>
      <c r="DC70" s="166"/>
      <c r="DD70" s="166"/>
      <c r="DE70" s="166"/>
      <c r="DF70" s="166"/>
      <c r="DG70" s="166"/>
      <c r="DH70" s="166"/>
      <c r="DJ70" s="166" t="s">
        <v>537</v>
      </c>
      <c r="DK70" s="166" t="s">
        <v>538</v>
      </c>
      <c r="DL70" s="377">
        <v>0.2</v>
      </c>
      <c r="DM70" s="91" t="s">
        <v>302</v>
      </c>
      <c r="DN70" s="378">
        <v>0.1</v>
      </c>
      <c r="DO70" s="379"/>
      <c r="DP70" s="380"/>
      <c r="DQ70" s="379"/>
      <c r="DR70" s="380"/>
      <c r="DS70" s="385"/>
      <c r="DT70" s="385"/>
      <c r="DU70" s="384"/>
      <c r="DV70" s="380"/>
    </row>
    <row r="71" ht="15.75" spans="114:126">
      <c r="DJ71" s="166" t="s">
        <v>538</v>
      </c>
      <c r="DK71" s="166" t="s">
        <v>538</v>
      </c>
      <c r="DL71" s="377">
        <v>0.2</v>
      </c>
      <c r="DM71" s="91" t="s">
        <v>302</v>
      </c>
      <c r="DN71" s="378">
        <v>0.1</v>
      </c>
      <c r="DO71" s="379"/>
      <c r="DP71" s="380"/>
      <c r="DQ71" s="379"/>
      <c r="DR71" s="380"/>
      <c r="DS71" s="385"/>
      <c r="DT71" s="385"/>
      <c r="DU71" s="384"/>
      <c r="DV71" s="380"/>
    </row>
    <row r="72" ht="15.75" spans="114:126">
      <c r="DJ72" s="166" t="s">
        <v>537</v>
      </c>
      <c r="DK72" s="166" t="s">
        <v>537</v>
      </c>
      <c r="DL72" s="377">
        <v>0.2</v>
      </c>
      <c r="DM72" s="91" t="s">
        <v>303</v>
      </c>
      <c r="DN72" s="378">
        <v>0.1</v>
      </c>
      <c r="DO72" s="379"/>
      <c r="DP72" s="380"/>
      <c r="DQ72" s="379"/>
      <c r="DR72" s="380"/>
      <c r="DS72" s="385"/>
      <c r="DT72" s="385"/>
      <c r="DU72" s="384"/>
      <c r="DV72" s="380"/>
    </row>
    <row r="73" ht="15.75" spans="113:126">
      <c r="DI73" s="166" t="s">
        <v>539</v>
      </c>
      <c r="DJ73" s="166" t="s">
        <v>537</v>
      </c>
      <c r="DK73" s="166" t="s">
        <v>538</v>
      </c>
      <c r="DL73" s="377">
        <v>0.2</v>
      </c>
      <c r="DM73" s="91" t="s">
        <v>303</v>
      </c>
      <c r="DN73" s="378">
        <v>0.1</v>
      </c>
      <c r="DO73" s="379"/>
      <c r="DP73" s="380"/>
      <c r="DQ73" s="379"/>
      <c r="DR73" s="380"/>
      <c r="DS73" s="385"/>
      <c r="DT73" s="385"/>
      <c r="DU73" s="384"/>
      <c r="DV73" s="380"/>
    </row>
    <row r="74" ht="15.75" spans="114:126">
      <c r="DJ74" s="166" t="s">
        <v>538</v>
      </c>
      <c r="DK74" s="166" t="s">
        <v>538</v>
      </c>
      <c r="DL74" s="377">
        <v>0.2</v>
      </c>
      <c r="DM74" s="91" t="s">
        <v>303</v>
      </c>
      <c r="DN74" s="378">
        <v>0.1</v>
      </c>
      <c r="DO74" s="379"/>
      <c r="DP74" s="380"/>
      <c r="DQ74" s="379"/>
      <c r="DR74" s="380"/>
      <c r="DS74" s="380"/>
      <c r="DT74" s="380"/>
      <c r="DU74" s="384"/>
      <c r="DV74" s="380"/>
    </row>
    <row r="75" ht="15.75" spans="116:126">
      <c r="DL75" s="377"/>
      <c r="DM75" s="91"/>
      <c r="DN75" s="378"/>
      <c r="DO75" s="381"/>
      <c r="DP75" s="382"/>
      <c r="DQ75" s="382"/>
      <c r="DR75" s="382"/>
      <c r="DS75" s="386"/>
      <c r="DT75" s="382"/>
      <c r="DU75" s="384"/>
      <c r="DV75" s="380"/>
    </row>
    <row r="76" ht="15.75" spans="116:126">
      <c r="DL76" s="377"/>
      <c r="DM76" s="91"/>
      <c r="DN76" s="378"/>
      <c r="DO76" s="381"/>
      <c r="DP76" s="382"/>
      <c r="DQ76" s="382"/>
      <c r="DR76" s="382"/>
      <c r="DS76" s="386"/>
      <c r="DT76" s="382"/>
      <c r="DU76" s="384"/>
      <c r="DV76" s="380"/>
    </row>
    <row r="77" ht="15.75" spans="116:126">
      <c r="DL77" s="377"/>
      <c r="DM77" s="91"/>
      <c r="DN77" s="378"/>
      <c r="DO77" s="381"/>
      <c r="DP77" s="382"/>
      <c r="DQ77" s="382"/>
      <c r="DR77" s="382"/>
      <c r="DS77" s="386"/>
      <c r="DT77" s="381"/>
      <c r="DU77" s="384"/>
      <c r="DV77" s="380"/>
    </row>
  </sheetData>
  <mergeCells count="10">
    <mergeCell ref="DO58:DP58"/>
    <mergeCell ref="DQ58:DR58"/>
    <mergeCell ref="DS58:DT58"/>
    <mergeCell ref="DU58:DV58"/>
    <mergeCell ref="DO62:DR62"/>
    <mergeCell ref="DS62:DV62"/>
    <mergeCell ref="DO66:DP66"/>
    <mergeCell ref="DQ66:DR66"/>
    <mergeCell ref="DS66:DT66"/>
    <mergeCell ref="DU66:DV66"/>
  </mergeCells>
  <conditionalFormatting sqref="EU5:EU27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V5:EV27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W5:EW27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1200" verticalDpi="12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59"/>
  <sheetViews>
    <sheetView workbookViewId="0">
      <selection activeCell="AB24" sqref="AB24"/>
    </sheetView>
  </sheetViews>
  <sheetFormatPr defaultColWidth="9" defaultRowHeight="15"/>
  <cols>
    <col min="1" max="1" width="6.75" style="91" customWidth="1"/>
    <col min="2" max="7" width="6.625" style="91" customWidth="1"/>
    <col min="8" max="9" width="5.875" style="91" customWidth="1"/>
    <col min="10" max="10" width="3" style="91" customWidth="1"/>
    <col min="11" max="11" width="6.75" style="91" customWidth="1"/>
    <col min="12" max="20" width="6.625" style="91" customWidth="1"/>
    <col min="21" max="22" width="5.875" style="91" customWidth="1"/>
    <col min="23" max="23" width="9" style="91"/>
    <col min="24" max="24" width="16" style="91" customWidth="1"/>
    <col min="25" max="30" width="9.375" style="91" customWidth="1"/>
    <col min="31" max="31" width="9" style="91"/>
    <col min="32" max="35" width="12.625" style="91"/>
    <col min="36" max="38" width="11.125" style="91"/>
    <col min="39" max="39" width="10.125" style="91"/>
    <col min="40" max="42" width="9" style="91"/>
    <col min="43" max="43" width="11.125" style="91"/>
    <col min="44" max="16384" width="9" style="91"/>
  </cols>
  <sheetData>
    <row r="1" s="91" customFormat="1" ht="13.5" customHeight="1" spans="1:30">
      <c r="A1" s="128" t="s">
        <v>114</v>
      </c>
      <c r="B1" s="129"/>
      <c r="C1" s="129"/>
      <c r="D1" s="129"/>
      <c r="E1" s="129"/>
      <c r="F1" s="129"/>
      <c r="G1" s="129"/>
      <c r="H1" s="129"/>
      <c r="I1" s="129"/>
      <c r="J1" s="136"/>
      <c r="K1" s="128" t="s">
        <v>115</v>
      </c>
      <c r="L1" s="129"/>
      <c r="M1" s="129"/>
      <c r="N1" s="137" t="s">
        <v>116</v>
      </c>
      <c r="O1" s="138">
        <v>20</v>
      </c>
      <c r="P1" s="106"/>
      <c r="Q1" s="106"/>
      <c r="R1" s="129"/>
      <c r="S1" s="129"/>
      <c r="T1" s="129"/>
      <c r="U1" s="129"/>
      <c r="V1" s="129"/>
      <c r="X1" s="142" t="s">
        <v>117</v>
      </c>
      <c r="Y1" s="148"/>
      <c r="Z1" s="92"/>
      <c r="AA1" s="148"/>
      <c r="AB1" s="92"/>
      <c r="AC1" s="148"/>
      <c r="AD1" s="92"/>
    </row>
    <row r="2" s="91" customFormat="1" ht="13.5" customHeight="1" spans="1:32">
      <c r="A2" s="128" t="s">
        <v>540</v>
      </c>
      <c r="B2" s="130"/>
      <c r="C2" s="130"/>
      <c r="D2" s="130"/>
      <c r="E2" s="130"/>
      <c r="F2" s="130"/>
      <c r="G2" s="130"/>
      <c r="H2" s="130"/>
      <c r="I2" s="130"/>
      <c r="J2" s="136"/>
      <c r="K2" s="128"/>
      <c r="L2" s="130"/>
      <c r="M2" s="130"/>
      <c r="N2" s="137" t="s">
        <v>119</v>
      </c>
      <c r="O2" s="138">
        <v>10</v>
      </c>
      <c r="P2" s="139"/>
      <c r="Q2" s="143"/>
      <c r="R2" s="144"/>
      <c r="S2" s="145"/>
      <c r="T2" s="130"/>
      <c r="U2" s="130"/>
      <c r="V2" s="130"/>
      <c r="W2" s="130"/>
      <c r="X2" s="130"/>
      <c r="Z2" s="142"/>
      <c r="AA2" s="148"/>
      <c r="AB2" s="92"/>
      <c r="AC2" s="148"/>
      <c r="AD2" s="92"/>
      <c r="AE2" s="149"/>
      <c r="AF2" s="30"/>
    </row>
    <row r="3" s="91" customFormat="1" ht="13.5" customHeight="1" spans="1:37">
      <c r="A3" s="129" t="s">
        <v>121</v>
      </c>
      <c r="B3" s="131"/>
      <c r="C3" s="131"/>
      <c r="D3" s="131"/>
      <c r="E3" s="131"/>
      <c r="F3" s="131"/>
      <c r="G3" s="131"/>
      <c r="H3" s="131"/>
      <c r="I3" s="131"/>
      <c r="J3" s="140"/>
      <c r="K3" s="129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X3" s="142" t="s">
        <v>122</v>
      </c>
      <c r="Y3" s="150" t="str">
        <f>A3</f>
        <v>0h</v>
      </c>
      <c r="Z3" s="150" t="str">
        <f>A26</f>
        <v>8h</v>
      </c>
      <c r="AA3" s="150" t="str">
        <f>A49</f>
        <v>24h</v>
      </c>
      <c r="AB3" s="150" t="str">
        <f>A72</f>
        <v>72h</v>
      </c>
      <c r="AC3" s="150" t="str">
        <f>A95</f>
        <v>96h</v>
      </c>
      <c r="AD3" s="150" t="str">
        <f>A118</f>
        <v>72h</v>
      </c>
      <c r="AF3" s="106"/>
      <c r="AG3" s="157"/>
      <c r="AH3" s="157"/>
      <c r="AI3" s="157"/>
      <c r="AJ3" s="157"/>
      <c r="AK3" s="157"/>
    </row>
    <row r="4" s="91" customFormat="1" spans="1:40">
      <c r="A4" s="132" t="s">
        <v>128</v>
      </c>
      <c r="B4" s="133">
        <v>17.68</v>
      </c>
      <c r="C4" s="133">
        <v>31.58</v>
      </c>
      <c r="D4" s="133">
        <v>54.25</v>
      </c>
      <c r="E4" s="133">
        <v>82.31</v>
      </c>
      <c r="F4" s="133">
        <v>106.26</v>
      </c>
      <c r="G4" s="133">
        <v>125.73</v>
      </c>
      <c r="H4" s="133">
        <v>142.56</v>
      </c>
      <c r="I4" s="133">
        <v>150.78</v>
      </c>
      <c r="J4" s="133"/>
      <c r="K4" s="132" t="str">
        <f t="shared" ref="K4:K24" si="0">A4</f>
        <v>R/Z[cm]</v>
      </c>
      <c r="L4" s="141">
        <v>0</v>
      </c>
      <c r="M4" s="141">
        <f t="shared" ref="M4:V4" si="1">SQRT(L4*L4+150*150/10)</f>
        <v>47.4341649025257</v>
      </c>
      <c r="N4" s="141">
        <f t="shared" si="1"/>
        <v>67.0820393249937</v>
      </c>
      <c r="O4" s="141">
        <f t="shared" si="1"/>
        <v>82.1583836257749</v>
      </c>
      <c r="P4" s="141">
        <f t="shared" si="1"/>
        <v>94.8683298050514</v>
      </c>
      <c r="Q4" s="141">
        <f t="shared" si="1"/>
        <v>106.066017177982</v>
      </c>
      <c r="R4" s="141">
        <f t="shared" si="1"/>
        <v>116.189500386223</v>
      </c>
      <c r="S4" s="141">
        <f t="shared" si="1"/>
        <v>125.499003980111</v>
      </c>
      <c r="T4" s="141">
        <f t="shared" si="1"/>
        <v>134.164078649987</v>
      </c>
      <c r="U4" s="141">
        <f t="shared" si="1"/>
        <v>142.302494707577</v>
      </c>
      <c r="V4" s="141">
        <f t="shared" si="1"/>
        <v>150</v>
      </c>
      <c r="X4" s="142">
        <v>0</v>
      </c>
      <c r="Y4" s="92"/>
      <c r="Z4" s="92"/>
      <c r="AA4" s="92"/>
      <c r="AB4" s="92"/>
      <c r="AC4" s="92"/>
      <c r="AD4" s="92"/>
      <c r="AF4" s="106"/>
      <c r="AG4" s="106"/>
      <c r="AH4" s="106"/>
      <c r="AI4" s="106"/>
      <c r="AJ4" s="106"/>
      <c r="AK4" s="106"/>
      <c r="AL4" s="158"/>
      <c r="AM4" s="158"/>
      <c r="AN4" s="158"/>
    </row>
    <row r="5" s="91" customFormat="1" spans="1:41">
      <c r="A5" s="132">
        <v>27.5</v>
      </c>
      <c r="B5" s="133">
        <v>277.43</v>
      </c>
      <c r="C5" s="133">
        <v>277.14</v>
      </c>
      <c r="D5" s="133">
        <v>276.33</v>
      </c>
      <c r="E5" s="133">
        <v>274.9</v>
      </c>
      <c r="F5" s="133">
        <v>273.34</v>
      </c>
      <c r="G5" s="133">
        <v>272.11</v>
      </c>
      <c r="H5" s="133">
        <v>271.83</v>
      </c>
      <c r="I5" s="133">
        <v>267.8</v>
      </c>
      <c r="J5" s="133"/>
      <c r="K5" s="132">
        <f t="shared" si="0"/>
        <v>27.5</v>
      </c>
      <c r="L5" s="133">
        <f t="shared" ref="L5:L24" si="2">TREND(B5:C5,B$4:C$4,L$4)</f>
        <v>277.798863309353</v>
      </c>
      <c r="M5" s="133">
        <f t="shared" ref="M5:M24" si="3">TREND(C5:D5,C$4:D$4,M$4)</f>
        <v>276.573530058622</v>
      </c>
      <c r="N5" s="133">
        <f t="shared" ref="N5:N24" si="4">TREND(D5:E5,D$4:E$4,N$4)</f>
        <v>275.676050740031</v>
      </c>
      <c r="O5" s="133">
        <f t="shared" ref="O5:O24" si="5">TREND(D5:E5,D$4:E$4,O$4)</f>
        <v>274.907726707596</v>
      </c>
      <c r="P5" s="133">
        <f t="shared" ref="P5:P24" si="6">TREND(E5:F5,E$4:F$4,P$4)</f>
        <v>274.082004405182</v>
      </c>
      <c r="Q5" s="133">
        <f t="shared" ref="Q5:Q24" si="7">TREND(E5:F5,E$4:F$4,Q$4)</f>
        <v>273.352635206779</v>
      </c>
      <c r="R5" s="133">
        <f t="shared" ref="R5:R24" si="8">TREND(F5:G5,F$4:G$4,R$4)</f>
        <v>272.712712610424</v>
      </c>
      <c r="S5" s="133">
        <f t="shared" ref="S5:S24" si="9">TREND(F5:G5,F$4:G$4,S$4)</f>
        <v>272.124592968899</v>
      </c>
      <c r="T5" s="133">
        <f t="shared" ref="T5:T24" si="10">TREND(G5:H5,G$4:H$4,T$4)</f>
        <v>271.969682589305</v>
      </c>
      <c r="U5" s="133">
        <f t="shared" ref="U5:U24" si="11">TREND(G5:H5,G$4:H$4,U$4)</f>
        <v>271.834284104687</v>
      </c>
      <c r="V5" s="133">
        <f t="shared" ref="V5:V24" si="12">TREND(H5:I5,H$4:I$4,V$4)</f>
        <v>268.182408759124</v>
      </c>
      <c r="X5" s="142">
        <v>400</v>
      </c>
      <c r="Y5" s="151">
        <f ca="1" t="shared" ref="Y5:Y18" si="13">COUNTIFS(OFFSET($L$5,0,0,$O$1,$O$2),"&lt;="&amp;($X5),OFFSET($L$5,0,0,$O$1,$O$2),"&gt;"&amp;($X4))/$O$1/$O$2</f>
        <v>0.235</v>
      </c>
      <c r="Z5" s="151">
        <f ca="1" t="shared" ref="Z5:Z18" si="14">COUNTIFS(OFFSET($L$28,0,0,$O$1,$O$2),"&lt;="&amp;($X5),OFFSET($L$28,0,0,$O$1,$O$2),"&gt;"&amp;($X4))/$O$1/$O$2</f>
        <v>0.01</v>
      </c>
      <c r="AA5" s="151">
        <f ca="1" t="shared" ref="AA5:AA18" si="15">COUNTIFS(OFFSET($L$51,0,0,$O$1,$O$2),"&lt;="&amp;($X5),OFFSET($L$51,0,0,$O$1,$O$2),"&gt;"&amp;($X4))/$O$1/$O$2</f>
        <v>0</v>
      </c>
      <c r="AB5" s="151">
        <f ca="1" t="shared" ref="AB5:AB18" si="16">COUNTIFS(OFFSET($L$74,0,0,$O$1,$O$2),"&lt;="&amp;($X5),OFFSET($L$74,0,0,$O$1,$O$2),"&gt;"&amp;($X4))/$O$1/$O$2</f>
        <v>0</v>
      </c>
      <c r="AC5" s="151">
        <f ca="1" t="shared" ref="AC5:AC18" si="17">COUNTIFS(OFFSET($L$97,0,0,$O$1,$O$2),"&lt;="&amp;($X5),OFFSET($L$97,0,0,$O$1,$O$2),"&gt;"&amp;($X4))/$O$1/$O$2</f>
        <v>0</v>
      </c>
      <c r="AD5" s="151">
        <f ca="1" t="shared" ref="AD5:AD18" si="18">COUNTIFS(OFFSET($L$120,0,0,$O$1,$O$2),"&lt;="&amp;($X5),OFFSET($L$120,0,0,$O$1,$O$2),"&gt;"&amp;($X4))/$O$1/$O$2</f>
        <v>0</v>
      </c>
      <c r="AF5" s="106"/>
      <c r="AG5" s="106"/>
      <c r="AH5" s="106"/>
      <c r="AI5" s="106"/>
      <c r="AJ5" s="106"/>
      <c r="AK5" s="106"/>
      <c r="AL5" s="158"/>
      <c r="AM5" s="158"/>
      <c r="AN5" s="158"/>
      <c r="AO5" s="158"/>
    </row>
    <row r="6" s="91" customFormat="1" spans="1:43">
      <c r="A6" s="132">
        <v>82.5</v>
      </c>
      <c r="B6" s="133">
        <v>303.79</v>
      </c>
      <c r="C6" s="133">
        <v>302.96</v>
      </c>
      <c r="D6" s="133">
        <v>300.76</v>
      </c>
      <c r="E6" s="133">
        <v>296.71</v>
      </c>
      <c r="F6" s="133">
        <v>292.33</v>
      </c>
      <c r="G6" s="133">
        <v>288.9</v>
      </c>
      <c r="H6" s="133">
        <v>287.63</v>
      </c>
      <c r="I6" s="133">
        <v>279.49</v>
      </c>
      <c r="J6" s="133"/>
      <c r="K6" s="132">
        <f t="shared" si="0"/>
        <v>82.5</v>
      </c>
      <c r="L6" s="133">
        <f t="shared" si="2"/>
        <v>304.845712230216</v>
      </c>
      <c r="M6" s="133">
        <f t="shared" si="3"/>
        <v>301.421439665392</v>
      </c>
      <c r="N6" s="133">
        <f t="shared" si="4"/>
        <v>298.907905942045</v>
      </c>
      <c r="O6" s="133">
        <f t="shared" si="5"/>
        <v>296.731883332702</v>
      </c>
      <c r="P6" s="133">
        <f t="shared" si="6"/>
        <v>294.413320060705</v>
      </c>
      <c r="Q6" s="133">
        <f t="shared" si="7"/>
        <v>292.365475772878</v>
      </c>
      <c r="R6" s="133">
        <f t="shared" si="8"/>
        <v>290.580735165653</v>
      </c>
      <c r="S6" s="133">
        <f t="shared" si="9"/>
        <v>288.940694214084</v>
      </c>
      <c r="T6" s="133">
        <f t="shared" si="10"/>
        <v>288.263560315776</v>
      </c>
      <c r="U6" s="133">
        <f t="shared" si="11"/>
        <v>287.649431474829</v>
      </c>
      <c r="V6" s="133">
        <f t="shared" si="12"/>
        <v>280.262408759124</v>
      </c>
      <c r="X6" s="142">
        <v>500</v>
      </c>
      <c r="Y6" s="151">
        <f ca="1" t="shared" si="13"/>
        <v>0.115</v>
      </c>
      <c r="Z6" s="151">
        <f ca="1" t="shared" si="14"/>
        <v>0.045</v>
      </c>
      <c r="AA6" s="151">
        <f ca="1" t="shared" si="15"/>
        <v>0.02</v>
      </c>
      <c r="AB6" s="151">
        <f ca="1" t="shared" si="16"/>
        <v>0.01</v>
      </c>
      <c r="AC6" s="151">
        <f ca="1" t="shared" si="17"/>
        <v>0.015</v>
      </c>
      <c r="AD6" s="151">
        <f ca="1" t="shared" si="18"/>
        <v>0</v>
      </c>
      <c r="AF6" s="106"/>
      <c r="AG6" s="106"/>
      <c r="AH6" s="106"/>
      <c r="AI6" s="106"/>
      <c r="AJ6" s="106"/>
      <c r="AK6" s="106"/>
      <c r="AL6" s="158"/>
      <c r="AM6" s="158"/>
      <c r="AN6" s="158"/>
      <c r="AO6" s="158"/>
      <c r="AP6" s="158"/>
      <c r="AQ6" s="158"/>
    </row>
    <row r="7" s="91" customFormat="1" spans="1:37">
      <c r="A7" s="132">
        <v>137.5</v>
      </c>
      <c r="B7" s="133">
        <v>338.04</v>
      </c>
      <c r="C7" s="133">
        <v>336.49</v>
      </c>
      <c r="D7" s="133">
        <v>332.5</v>
      </c>
      <c r="E7" s="133">
        <v>325.21</v>
      </c>
      <c r="F7" s="133">
        <v>317.38</v>
      </c>
      <c r="G7" s="133">
        <v>311.31</v>
      </c>
      <c r="H7" s="133">
        <v>308.78</v>
      </c>
      <c r="I7" s="133">
        <v>297.61</v>
      </c>
      <c r="J7" s="133"/>
      <c r="K7" s="132">
        <f t="shared" si="0"/>
        <v>137.5</v>
      </c>
      <c r="L7" s="133">
        <f t="shared" si="2"/>
        <v>340.011510791367</v>
      </c>
      <c r="M7" s="133">
        <f t="shared" si="3"/>
        <v>333.699611029507</v>
      </c>
      <c r="N7" s="133">
        <f t="shared" si="4"/>
        <v>329.16623069568</v>
      </c>
      <c r="O7" s="133">
        <f t="shared" si="5"/>
        <v>325.249389998863</v>
      </c>
      <c r="P7" s="133">
        <f t="shared" si="6"/>
        <v>321.104291341397</v>
      </c>
      <c r="Q7" s="133">
        <f t="shared" si="7"/>
        <v>317.443419018639</v>
      </c>
      <c r="R7" s="133">
        <f t="shared" si="8"/>
        <v>314.284362231928</v>
      </c>
      <c r="S7" s="133">
        <f t="shared" si="9"/>
        <v>311.382015708306</v>
      </c>
      <c r="T7" s="133">
        <f t="shared" si="10"/>
        <v>310.042131967649</v>
      </c>
      <c r="U7" s="133">
        <f t="shared" si="11"/>
        <v>308.81870994592</v>
      </c>
      <c r="V7" s="133">
        <f t="shared" si="12"/>
        <v>298.669927007299</v>
      </c>
      <c r="X7" s="142">
        <v>600</v>
      </c>
      <c r="Y7" s="151">
        <f ca="1" t="shared" si="13"/>
        <v>0.125</v>
      </c>
      <c r="Z7" s="151">
        <f ca="1" t="shared" si="14"/>
        <v>0.05</v>
      </c>
      <c r="AA7" s="151">
        <f ca="1" t="shared" si="15"/>
        <v>0.05</v>
      </c>
      <c r="AB7" s="151">
        <f ca="1" t="shared" si="16"/>
        <v>0.065</v>
      </c>
      <c r="AC7" s="151">
        <f ca="1" t="shared" si="17"/>
        <v>0.07</v>
      </c>
      <c r="AD7" s="151">
        <f ca="1" t="shared" si="18"/>
        <v>0</v>
      </c>
      <c r="AF7" s="106"/>
      <c r="AG7" s="159"/>
      <c r="AH7" s="159"/>
      <c r="AI7" s="159"/>
      <c r="AJ7" s="159"/>
      <c r="AK7" s="159"/>
    </row>
    <row r="8" s="91" customFormat="1" spans="1:37">
      <c r="A8" s="132">
        <v>192.5</v>
      </c>
      <c r="B8" s="133">
        <v>378.75</v>
      </c>
      <c r="C8" s="133">
        <v>376.33</v>
      </c>
      <c r="D8" s="133">
        <v>370.31</v>
      </c>
      <c r="E8" s="133">
        <v>359.45</v>
      </c>
      <c r="F8" s="133">
        <v>347.82</v>
      </c>
      <c r="G8" s="133">
        <v>338.86</v>
      </c>
      <c r="H8" s="133">
        <v>334.93</v>
      </c>
      <c r="I8" s="133">
        <v>320.29</v>
      </c>
      <c r="J8" s="133"/>
      <c r="K8" s="132">
        <f t="shared" si="0"/>
        <v>192.5</v>
      </c>
      <c r="L8" s="133">
        <f t="shared" si="2"/>
        <v>381.828100719424</v>
      </c>
      <c r="M8" s="133">
        <f t="shared" si="3"/>
        <v>372.119939448028</v>
      </c>
      <c r="N8" s="133">
        <f t="shared" si="4"/>
        <v>365.343644081631</v>
      </c>
      <c r="O8" s="133">
        <f t="shared" si="5"/>
        <v>359.508679751393</v>
      </c>
      <c r="P8" s="133">
        <f t="shared" si="6"/>
        <v>353.351737969405</v>
      </c>
      <c r="Q8" s="133">
        <f t="shared" si="7"/>
        <v>347.914197086433</v>
      </c>
      <c r="R8" s="133">
        <f t="shared" si="8"/>
        <v>343.250491861297</v>
      </c>
      <c r="S8" s="133">
        <f t="shared" si="9"/>
        <v>338.966303253118</v>
      </c>
      <c r="T8" s="133">
        <f t="shared" si="10"/>
        <v>336.890544914174</v>
      </c>
      <c r="U8" s="133">
        <f t="shared" si="11"/>
        <v>334.990130469354</v>
      </c>
      <c r="V8" s="133">
        <f t="shared" si="12"/>
        <v>321.679197080292</v>
      </c>
      <c r="X8" s="142">
        <v>700</v>
      </c>
      <c r="Y8" s="151">
        <f ca="1" t="shared" si="13"/>
        <v>0.165</v>
      </c>
      <c r="Z8" s="151">
        <f ca="1" t="shared" si="14"/>
        <v>0.115</v>
      </c>
      <c r="AA8" s="151">
        <f ca="1" t="shared" si="15"/>
        <v>0.085</v>
      </c>
      <c r="AB8" s="151">
        <f ca="1" t="shared" si="16"/>
        <v>0.085</v>
      </c>
      <c r="AC8" s="151">
        <f ca="1" t="shared" si="17"/>
        <v>0.08</v>
      </c>
      <c r="AD8" s="151">
        <f ca="1" t="shared" si="18"/>
        <v>0</v>
      </c>
      <c r="AF8" s="106"/>
      <c r="AG8" s="159"/>
      <c r="AH8" s="159"/>
      <c r="AI8" s="159"/>
      <c r="AJ8" s="159"/>
      <c r="AK8" s="159"/>
    </row>
    <row r="9" s="91" customFormat="1" spans="1:37">
      <c r="A9" s="132">
        <v>241.5</v>
      </c>
      <c r="B9" s="133">
        <v>419</v>
      </c>
      <c r="C9" s="133">
        <v>415.75</v>
      </c>
      <c r="D9" s="133">
        <v>407.85</v>
      </c>
      <c r="E9" s="133">
        <v>393.84</v>
      </c>
      <c r="F9" s="133">
        <v>378.99</v>
      </c>
      <c r="G9" s="133">
        <v>367.71</v>
      </c>
      <c r="H9" s="133">
        <v>362.88</v>
      </c>
      <c r="I9" s="133">
        <v>344.86</v>
      </c>
      <c r="J9" s="133"/>
      <c r="K9" s="132">
        <f t="shared" si="0"/>
        <v>241.5</v>
      </c>
      <c r="L9" s="133">
        <f t="shared" si="2"/>
        <v>423.13381294964</v>
      </c>
      <c r="M9" s="133">
        <f t="shared" si="3"/>
        <v>410.225169707545</v>
      </c>
      <c r="N9" s="133">
        <f t="shared" si="4"/>
        <v>401.443126480999</v>
      </c>
      <c r="O9" s="133">
        <f t="shared" si="5"/>
        <v>393.915700121272</v>
      </c>
      <c r="P9" s="133">
        <f t="shared" si="6"/>
        <v>386.053311164718</v>
      </c>
      <c r="Q9" s="133">
        <f t="shared" si="7"/>
        <v>379.110277449143</v>
      </c>
      <c r="R9" s="133">
        <f t="shared" si="8"/>
        <v>373.237315646811</v>
      </c>
      <c r="S9" s="133">
        <f t="shared" si="9"/>
        <v>367.843828202586</v>
      </c>
      <c r="T9" s="133">
        <f t="shared" si="10"/>
        <v>365.289524665512</v>
      </c>
      <c r="U9" s="133">
        <f t="shared" si="11"/>
        <v>362.953900805847</v>
      </c>
      <c r="V9" s="133">
        <f t="shared" si="12"/>
        <v>346.569927007299</v>
      </c>
      <c r="X9" s="142">
        <v>800</v>
      </c>
      <c r="Y9" s="151">
        <f ca="1" t="shared" si="13"/>
        <v>0.245</v>
      </c>
      <c r="Z9" s="151">
        <f ca="1" t="shared" si="14"/>
        <v>0.145</v>
      </c>
      <c r="AA9" s="151">
        <f ca="1" t="shared" si="15"/>
        <v>0.095</v>
      </c>
      <c r="AB9" s="151">
        <f ca="1" t="shared" si="16"/>
        <v>0.08</v>
      </c>
      <c r="AC9" s="151">
        <f ca="1" t="shared" si="17"/>
        <v>0.095</v>
      </c>
      <c r="AD9" s="151">
        <f ca="1" t="shared" si="18"/>
        <v>0</v>
      </c>
      <c r="AF9" s="106"/>
      <c r="AG9" s="159"/>
      <c r="AH9" s="159"/>
      <c r="AI9" s="159"/>
      <c r="AJ9" s="159"/>
      <c r="AK9" s="159"/>
    </row>
    <row r="10" s="91" customFormat="1" spans="1:37">
      <c r="A10" s="132">
        <v>296.5</v>
      </c>
      <c r="B10" s="133">
        <v>472.08</v>
      </c>
      <c r="C10" s="133">
        <v>467.78</v>
      </c>
      <c r="D10" s="133">
        <v>457.62</v>
      </c>
      <c r="E10" s="133">
        <v>439.89</v>
      </c>
      <c r="F10" s="133">
        <v>421.5</v>
      </c>
      <c r="G10" s="133">
        <v>408.33</v>
      </c>
      <c r="H10" s="133">
        <v>403.7</v>
      </c>
      <c r="I10" s="133">
        <v>379.32</v>
      </c>
      <c r="J10" s="133"/>
      <c r="K10" s="132">
        <f t="shared" si="0"/>
        <v>296.5</v>
      </c>
      <c r="L10" s="133">
        <f t="shared" si="2"/>
        <v>477.549352517986</v>
      </c>
      <c r="M10" s="133">
        <f t="shared" si="3"/>
        <v>460.674648636539</v>
      </c>
      <c r="N10" s="133">
        <f t="shared" si="4"/>
        <v>449.511943790729</v>
      </c>
      <c r="O10" s="133">
        <f t="shared" si="5"/>
        <v>439.985800367605</v>
      </c>
      <c r="P10" s="133">
        <f t="shared" si="6"/>
        <v>430.247090391862</v>
      </c>
      <c r="Q10" s="133">
        <f t="shared" si="7"/>
        <v>421.64894964914</v>
      </c>
      <c r="R10" s="133">
        <f t="shared" si="8"/>
        <v>414.783435023803</v>
      </c>
      <c r="S10" s="133">
        <f t="shared" si="9"/>
        <v>408.48625154504</v>
      </c>
      <c r="T10" s="133">
        <f t="shared" si="10"/>
        <v>406.009751387437</v>
      </c>
      <c r="U10" s="133">
        <f t="shared" si="11"/>
        <v>403.770840731071</v>
      </c>
      <c r="V10" s="133">
        <f t="shared" si="12"/>
        <v>381.633430656934</v>
      </c>
      <c r="X10" s="142">
        <v>900</v>
      </c>
      <c r="Y10" s="151">
        <f ca="1" t="shared" si="13"/>
        <v>0.105</v>
      </c>
      <c r="Z10" s="151">
        <f ca="1" t="shared" si="14"/>
        <v>0.135</v>
      </c>
      <c r="AA10" s="151">
        <f ca="1" t="shared" si="15"/>
        <v>0.14</v>
      </c>
      <c r="AB10" s="151">
        <f ca="1" t="shared" si="16"/>
        <v>0.13</v>
      </c>
      <c r="AC10" s="151">
        <f ca="1" t="shared" si="17"/>
        <v>0.13</v>
      </c>
      <c r="AD10" s="151">
        <f ca="1" t="shared" si="18"/>
        <v>0</v>
      </c>
      <c r="AF10" s="106"/>
      <c r="AG10" s="159"/>
      <c r="AH10" s="159"/>
      <c r="AI10" s="159"/>
      <c r="AJ10" s="159"/>
      <c r="AK10" s="159"/>
    </row>
    <row r="11" s="91" customFormat="1" spans="1:37">
      <c r="A11" s="132">
        <v>357.5</v>
      </c>
      <c r="B11" s="133">
        <v>527.9</v>
      </c>
      <c r="C11" s="133">
        <v>522.52</v>
      </c>
      <c r="D11" s="133">
        <v>510.09</v>
      </c>
      <c r="E11" s="133">
        <v>488.79</v>
      </c>
      <c r="F11" s="133">
        <v>467.09</v>
      </c>
      <c r="G11" s="133">
        <v>452.07</v>
      </c>
      <c r="H11" s="133">
        <v>446.92</v>
      </c>
      <c r="I11" s="133">
        <v>419</v>
      </c>
      <c r="J11" s="133"/>
      <c r="K11" s="132">
        <f t="shared" si="0"/>
        <v>357.5</v>
      </c>
      <c r="L11" s="133">
        <f t="shared" si="2"/>
        <v>534.743050359712</v>
      </c>
      <c r="M11" s="133">
        <f t="shared" si="3"/>
        <v>513.827134109466</v>
      </c>
      <c r="N11" s="133">
        <f t="shared" si="4"/>
        <v>500.34935717668</v>
      </c>
      <c r="O11" s="133">
        <f t="shared" si="5"/>
        <v>488.905090120135</v>
      </c>
      <c r="P11" s="133">
        <f t="shared" si="6"/>
        <v>477.411471533628</v>
      </c>
      <c r="Q11" s="133">
        <f t="shared" si="7"/>
        <v>467.265758966087</v>
      </c>
      <c r="R11" s="133">
        <f t="shared" si="8"/>
        <v>459.4299539907</v>
      </c>
      <c r="S11" s="133">
        <f t="shared" si="9"/>
        <v>452.248200319401</v>
      </c>
      <c r="T11" s="133">
        <f t="shared" si="10"/>
        <v>449.489161910432</v>
      </c>
      <c r="U11" s="133">
        <f t="shared" si="11"/>
        <v>446.998796925489</v>
      </c>
      <c r="V11" s="133">
        <f t="shared" si="12"/>
        <v>421.649343065693</v>
      </c>
      <c r="X11" s="142">
        <v>1000</v>
      </c>
      <c r="Y11" s="151">
        <f ca="1" t="shared" si="13"/>
        <v>0.01</v>
      </c>
      <c r="Z11" s="151">
        <f ca="1" t="shared" si="14"/>
        <v>0.14</v>
      </c>
      <c r="AA11" s="151">
        <f ca="1" t="shared" si="15"/>
        <v>0.135</v>
      </c>
      <c r="AB11" s="151">
        <f ca="1" t="shared" si="16"/>
        <v>0.16</v>
      </c>
      <c r="AC11" s="151">
        <f ca="1" t="shared" si="17"/>
        <v>0.175</v>
      </c>
      <c r="AD11" s="151">
        <f ca="1" t="shared" si="18"/>
        <v>0</v>
      </c>
      <c r="AF11" s="106"/>
      <c r="AG11" s="159"/>
      <c r="AH11" s="159"/>
      <c r="AI11" s="159"/>
      <c r="AJ11" s="159"/>
      <c r="AK11" s="159"/>
    </row>
    <row r="12" s="91" customFormat="1" spans="1:37">
      <c r="A12" s="132">
        <v>412.5</v>
      </c>
      <c r="B12" s="133">
        <v>579.29</v>
      </c>
      <c r="C12" s="133">
        <v>572.87</v>
      </c>
      <c r="D12" s="133">
        <v>558.32</v>
      </c>
      <c r="E12" s="133">
        <v>533.83</v>
      </c>
      <c r="F12" s="133">
        <v>509.29</v>
      </c>
      <c r="G12" s="133">
        <v>492.53</v>
      </c>
      <c r="H12" s="133">
        <v>486.34</v>
      </c>
      <c r="I12" s="133">
        <v>456.76</v>
      </c>
      <c r="J12" s="133"/>
      <c r="K12" s="132">
        <f t="shared" si="0"/>
        <v>412.5</v>
      </c>
      <c r="L12" s="133">
        <f t="shared" si="2"/>
        <v>587.455870503597</v>
      </c>
      <c r="M12" s="133">
        <f t="shared" si="3"/>
        <v>562.69452142339</v>
      </c>
      <c r="N12" s="133">
        <f t="shared" si="4"/>
        <v>547.120547289056</v>
      </c>
      <c r="O12" s="133">
        <f t="shared" si="5"/>
        <v>533.962326621695</v>
      </c>
      <c r="P12" s="133">
        <f t="shared" si="6"/>
        <v>520.96230006614</v>
      </c>
      <c r="Q12" s="133">
        <f t="shared" si="7"/>
        <v>509.488761522018</v>
      </c>
      <c r="R12" s="133">
        <f t="shared" si="8"/>
        <v>500.742571829836</v>
      </c>
      <c r="S12" s="133">
        <f t="shared" si="9"/>
        <v>492.728844031502</v>
      </c>
      <c r="T12" s="133">
        <f t="shared" si="10"/>
        <v>489.427982956422</v>
      </c>
      <c r="U12" s="133">
        <f t="shared" si="11"/>
        <v>486.434709314325</v>
      </c>
      <c r="V12" s="133">
        <f t="shared" si="12"/>
        <v>459.566861313869</v>
      </c>
      <c r="X12" s="142">
        <v>1100</v>
      </c>
      <c r="Y12" s="151">
        <f ca="1" t="shared" si="13"/>
        <v>0</v>
      </c>
      <c r="Z12" s="151">
        <f ca="1" t="shared" si="14"/>
        <v>0.135</v>
      </c>
      <c r="AA12" s="151">
        <f ca="1" t="shared" si="15"/>
        <v>0.135</v>
      </c>
      <c r="AB12" s="151">
        <f ca="1" t="shared" si="16"/>
        <v>0.15</v>
      </c>
      <c r="AC12" s="151">
        <f ca="1" t="shared" si="17"/>
        <v>0.16</v>
      </c>
      <c r="AD12" s="151">
        <f ca="1" t="shared" si="18"/>
        <v>0</v>
      </c>
      <c r="AF12" s="106"/>
      <c r="AG12" s="159"/>
      <c r="AH12" s="159"/>
      <c r="AI12" s="159"/>
      <c r="AJ12" s="159"/>
      <c r="AK12" s="159"/>
    </row>
    <row r="13" s="91" customFormat="1" spans="1:37">
      <c r="A13" s="132">
        <v>467.5</v>
      </c>
      <c r="B13" s="133">
        <v>628.59</v>
      </c>
      <c r="C13" s="133">
        <v>621.13</v>
      </c>
      <c r="D13" s="133">
        <v>604.54</v>
      </c>
      <c r="E13" s="133">
        <v>577.12</v>
      </c>
      <c r="F13" s="133">
        <v>550.02</v>
      </c>
      <c r="G13" s="133">
        <v>531.59</v>
      </c>
      <c r="H13" s="133">
        <v>524.12</v>
      </c>
      <c r="I13" s="133">
        <v>493.77</v>
      </c>
      <c r="J13" s="133"/>
      <c r="K13" s="132">
        <f t="shared" si="0"/>
        <v>467.5</v>
      </c>
      <c r="L13" s="133">
        <f t="shared" si="2"/>
        <v>638.078690647482</v>
      </c>
      <c r="M13" s="133">
        <f t="shared" si="3"/>
        <v>609.527856385845</v>
      </c>
      <c r="N13" s="133">
        <f t="shared" si="4"/>
        <v>592.000637266881</v>
      </c>
      <c r="O13" s="133">
        <f t="shared" si="5"/>
        <v>577.268158267329</v>
      </c>
      <c r="P13" s="133">
        <f t="shared" si="6"/>
        <v>562.909948320798</v>
      </c>
      <c r="Q13" s="133">
        <f t="shared" si="7"/>
        <v>550.239496220321</v>
      </c>
      <c r="R13" s="133">
        <f t="shared" si="8"/>
        <v>540.620888951306</v>
      </c>
      <c r="S13" s="133">
        <f t="shared" si="9"/>
        <v>531.808657249438</v>
      </c>
      <c r="T13" s="133">
        <f t="shared" si="10"/>
        <v>527.846531936102</v>
      </c>
      <c r="U13" s="133">
        <f t="shared" si="11"/>
        <v>524.234293792894</v>
      </c>
      <c r="V13" s="133">
        <f t="shared" si="12"/>
        <v>496.649927007299</v>
      </c>
      <c r="X13" s="142">
        <v>1200</v>
      </c>
      <c r="Y13" s="151">
        <f ca="1" t="shared" si="13"/>
        <v>0</v>
      </c>
      <c r="Z13" s="151">
        <f ca="1" t="shared" si="14"/>
        <v>0.11</v>
      </c>
      <c r="AA13" s="151">
        <f ca="1" t="shared" si="15"/>
        <v>0.11</v>
      </c>
      <c r="AB13" s="151">
        <f ca="1" t="shared" si="16"/>
        <v>0.125</v>
      </c>
      <c r="AC13" s="151">
        <f ca="1" t="shared" si="17"/>
        <v>0.13</v>
      </c>
      <c r="AD13" s="151">
        <f ca="1" t="shared" si="18"/>
        <v>0</v>
      </c>
      <c r="AF13" s="106"/>
      <c r="AG13" s="159"/>
      <c r="AH13" s="159"/>
      <c r="AI13" s="159"/>
      <c r="AJ13" s="159"/>
      <c r="AK13" s="159"/>
    </row>
    <row r="14" s="91" customFormat="1" spans="1:37">
      <c r="A14" s="132">
        <v>522.5</v>
      </c>
      <c r="B14" s="133">
        <v>674.5</v>
      </c>
      <c r="C14" s="133">
        <v>666.04</v>
      </c>
      <c r="D14" s="133">
        <v>647.57</v>
      </c>
      <c r="E14" s="133">
        <v>617.56</v>
      </c>
      <c r="F14" s="133">
        <v>588.28</v>
      </c>
      <c r="G14" s="133">
        <v>568.29</v>
      </c>
      <c r="H14" s="133">
        <v>559.43</v>
      </c>
      <c r="I14" s="133">
        <v>528.93</v>
      </c>
      <c r="J14" s="133"/>
      <c r="K14" s="132">
        <f t="shared" si="0"/>
        <v>522.5</v>
      </c>
      <c r="L14" s="133">
        <f t="shared" si="2"/>
        <v>685.260633093525</v>
      </c>
      <c r="M14" s="133">
        <f t="shared" si="3"/>
        <v>653.123086645362</v>
      </c>
      <c r="N14" s="133">
        <f t="shared" si="4"/>
        <v>633.846211684139</v>
      </c>
      <c r="O14" s="133">
        <f t="shared" si="5"/>
        <v>617.722152793674</v>
      </c>
      <c r="P14" s="133">
        <f t="shared" si="6"/>
        <v>602.206851912655</v>
      </c>
      <c r="Q14" s="133">
        <f t="shared" si="7"/>
        <v>588.517153111845</v>
      </c>
      <c r="R14" s="133">
        <f t="shared" si="8"/>
        <v>578.085304945013</v>
      </c>
      <c r="S14" s="133">
        <f t="shared" si="9"/>
        <v>568.527165405114</v>
      </c>
      <c r="T14" s="133">
        <f t="shared" si="10"/>
        <v>563.849956218723</v>
      </c>
      <c r="U14" s="133">
        <f t="shared" si="11"/>
        <v>559.565561312589</v>
      </c>
      <c r="V14" s="133">
        <f t="shared" si="12"/>
        <v>531.824160583942</v>
      </c>
      <c r="X14" s="142">
        <v>1300</v>
      </c>
      <c r="Y14" s="151">
        <f ca="1" t="shared" si="13"/>
        <v>0</v>
      </c>
      <c r="Z14" s="151">
        <f ca="1" t="shared" si="14"/>
        <v>0.075</v>
      </c>
      <c r="AA14" s="151">
        <f ca="1" t="shared" si="15"/>
        <v>0.095</v>
      </c>
      <c r="AB14" s="151">
        <f ca="1" t="shared" si="16"/>
        <v>0.11</v>
      </c>
      <c r="AC14" s="151">
        <f ca="1" t="shared" si="17"/>
        <v>0.095</v>
      </c>
      <c r="AD14" s="151">
        <f ca="1" t="shared" si="18"/>
        <v>0</v>
      </c>
      <c r="AF14" s="106"/>
      <c r="AG14" s="159"/>
      <c r="AH14" s="159"/>
      <c r="AI14" s="159"/>
      <c r="AJ14" s="159"/>
      <c r="AK14" s="159"/>
    </row>
    <row r="15" s="91" customFormat="1" spans="1:37">
      <c r="A15" s="132">
        <v>577.5</v>
      </c>
      <c r="B15" s="133">
        <v>716.22</v>
      </c>
      <c r="C15" s="133">
        <v>706.85</v>
      </c>
      <c r="D15" s="133">
        <v>686.75</v>
      </c>
      <c r="E15" s="133">
        <v>654.58</v>
      </c>
      <c r="F15" s="133">
        <v>623.48</v>
      </c>
      <c r="G15" s="133">
        <v>602.09</v>
      </c>
      <c r="H15" s="133">
        <v>591.3</v>
      </c>
      <c r="I15" s="133">
        <v>555.43</v>
      </c>
      <c r="J15" s="133"/>
      <c r="K15" s="132">
        <f t="shared" si="0"/>
        <v>577.5</v>
      </c>
      <c r="L15" s="133">
        <f t="shared" si="2"/>
        <v>728.138100719425</v>
      </c>
      <c r="M15" s="133">
        <f t="shared" si="3"/>
        <v>692.793153306539</v>
      </c>
      <c r="N15" s="133">
        <f t="shared" si="4"/>
        <v>672.038428186563</v>
      </c>
      <c r="O15" s="133">
        <f t="shared" si="5"/>
        <v>654.753823904448</v>
      </c>
      <c r="P15" s="133">
        <f t="shared" si="6"/>
        <v>638.272523718702</v>
      </c>
      <c r="Q15" s="133">
        <f t="shared" si="7"/>
        <v>623.73189418642</v>
      </c>
      <c r="R15" s="133">
        <f t="shared" si="8"/>
        <v>612.571319298341</v>
      </c>
      <c r="S15" s="133">
        <f t="shared" si="9"/>
        <v>602.343775288414</v>
      </c>
      <c r="T15" s="133">
        <f t="shared" si="10"/>
        <v>596.682768352147</v>
      </c>
      <c r="U15" s="133">
        <f t="shared" si="11"/>
        <v>591.46509103418</v>
      </c>
      <c r="V15" s="133">
        <f t="shared" si="12"/>
        <v>558.833722627737</v>
      </c>
      <c r="X15" s="142">
        <v>1400</v>
      </c>
      <c r="Y15" s="151">
        <f ca="1" t="shared" si="13"/>
        <v>0</v>
      </c>
      <c r="Z15" s="151">
        <f ca="1" t="shared" si="14"/>
        <v>0.04</v>
      </c>
      <c r="AA15" s="151">
        <f ca="1" t="shared" si="15"/>
        <v>0.08</v>
      </c>
      <c r="AB15" s="151">
        <f ca="1" t="shared" si="16"/>
        <v>0.065</v>
      </c>
      <c r="AC15" s="151">
        <f ca="1" t="shared" si="17"/>
        <v>0.05</v>
      </c>
      <c r="AD15" s="151">
        <f ca="1" t="shared" si="18"/>
        <v>0</v>
      </c>
      <c r="AF15" s="106"/>
      <c r="AG15" s="159"/>
      <c r="AH15" s="159"/>
      <c r="AI15" s="159"/>
      <c r="AJ15" s="159"/>
      <c r="AK15" s="159"/>
    </row>
    <row r="16" s="91" customFormat="1" spans="1:37">
      <c r="A16" s="132">
        <v>632.5</v>
      </c>
      <c r="B16" s="133">
        <v>753.32</v>
      </c>
      <c r="C16" s="133">
        <v>743.17</v>
      </c>
      <c r="D16" s="133">
        <v>721.69</v>
      </c>
      <c r="E16" s="133">
        <v>687.84</v>
      </c>
      <c r="F16" s="133">
        <v>655.33</v>
      </c>
      <c r="G16" s="133">
        <v>632.59</v>
      </c>
      <c r="H16" s="133">
        <v>619.91</v>
      </c>
      <c r="I16" s="133">
        <v>584.16</v>
      </c>
      <c r="J16" s="133"/>
      <c r="K16" s="132">
        <f t="shared" si="0"/>
        <v>632.5</v>
      </c>
      <c r="L16" s="133">
        <f t="shared" si="2"/>
        <v>766.230215827338</v>
      </c>
      <c r="M16" s="133">
        <f t="shared" si="3"/>
        <v>728.148056369376</v>
      </c>
      <c r="N16" s="133">
        <f t="shared" si="4"/>
        <v>706.210152132893</v>
      </c>
      <c r="O16" s="133">
        <f t="shared" si="5"/>
        <v>688.022901435051</v>
      </c>
      <c r="P16" s="133">
        <f t="shared" si="6"/>
        <v>670.793181546463</v>
      </c>
      <c r="Q16" s="133">
        <f t="shared" si="7"/>
        <v>655.59331446947</v>
      </c>
      <c r="R16" s="133">
        <f t="shared" si="8"/>
        <v>643.73283313905</v>
      </c>
      <c r="S16" s="133">
        <f t="shared" si="9"/>
        <v>632.859791961596</v>
      </c>
      <c r="T16" s="133">
        <f t="shared" si="10"/>
        <v>626.235625829956</v>
      </c>
      <c r="U16" s="133">
        <f t="shared" si="11"/>
        <v>620.104008740815</v>
      </c>
      <c r="V16" s="133">
        <f t="shared" si="12"/>
        <v>587.552335766423</v>
      </c>
      <c r="X16" s="142">
        <v>1500</v>
      </c>
      <c r="Y16" s="151">
        <f ca="1" t="shared" si="13"/>
        <v>0</v>
      </c>
      <c r="Z16" s="151">
        <f ca="1" t="shared" si="14"/>
        <v>0</v>
      </c>
      <c r="AA16" s="151">
        <f ca="1" t="shared" si="15"/>
        <v>0.04</v>
      </c>
      <c r="AB16" s="151">
        <f ca="1" t="shared" si="16"/>
        <v>0.02</v>
      </c>
      <c r="AC16" s="151">
        <f ca="1" t="shared" si="17"/>
        <v>0</v>
      </c>
      <c r="AD16" s="151">
        <f ca="1" t="shared" si="18"/>
        <v>0</v>
      </c>
      <c r="AF16" s="106"/>
      <c r="AG16" s="159"/>
      <c r="AH16" s="159"/>
      <c r="AI16" s="159"/>
      <c r="AJ16" s="159"/>
      <c r="AK16" s="159"/>
    </row>
    <row r="17" s="91" customFormat="1" spans="1:37">
      <c r="A17" s="132">
        <v>687.5</v>
      </c>
      <c r="B17" s="133">
        <v>785.72</v>
      </c>
      <c r="C17" s="133">
        <v>774.89</v>
      </c>
      <c r="D17" s="133">
        <v>752.29</v>
      </c>
      <c r="E17" s="133">
        <v>717.2</v>
      </c>
      <c r="F17" s="133">
        <v>683.66</v>
      </c>
      <c r="G17" s="133">
        <v>659.72</v>
      </c>
      <c r="H17" s="133">
        <v>645.47</v>
      </c>
      <c r="I17" s="133">
        <v>610.22</v>
      </c>
      <c r="J17" s="133"/>
      <c r="K17" s="132">
        <f t="shared" si="0"/>
        <v>687.5</v>
      </c>
      <c r="L17" s="133">
        <f t="shared" si="2"/>
        <v>799.495136690648</v>
      </c>
      <c r="M17" s="133">
        <f t="shared" si="3"/>
        <v>759.084789289939</v>
      </c>
      <c r="N17" s="133">
        <f t="shared" si="4"/>
        <v>736.243091236136</v>
      </c>
      <c r="O17" s="133">
        <f t="shared" si="5"/>
        <v>717.389601517162</v>
      </c>
      <c r="P17" s="133">
        <f t="shared" si="6"/>
        <v>699.613094711423</v>
      </c>
      <c r="Q17" s="133">
        <f t="shared" si="7"/>
        <v>683.93165694574</v>
      </c>
      <c r="R17" s="133">
        <f t="shared" si="8"/>
        <v>671.450845441902</v>
      </c>
      <c r="S17" s="133">
        <f t="shared" si="9"/>
        <v>660.004029004424</v>
      </c>
      <c r="T17" s="133">
        <f t="shared" si="10"/>
        <v>652.578846062845</v>
      </c>
      <c r="U17" s="133">
        <f t="shared" si="11"/>
        <v>645.688030327809</v>
      </c>
      <c r="V17" s="133">
        <f t="shared" si="12"/>
        <v>613.564890510949</v>
      </c>
      <c r="X17" s="142">
        <v>1600</v>
      </c>
      <c r="Y17" s="151">
        <f ca="1" t="shared" si="13"/>
        <v>0</v>
      </c>
      <c r="Z17" s="151">
        <f ca="1" t="shared" si="14"/>
        <v>0</v>
      </c>
      <c r="AA17" s="151">
        <f ca="1" t="shared" si="15"/>
        <v>0.015</v>
      </c>
      <c r="AB17" s="151">
        <f ca="1" t="shared" si="16"/>
        <v>0</v>
      </c>
      <c r="AC17" s="151">
        <f ca="1" t="shared" si="17"/>
        <v>0</v>
      </c>
      <c r="AD17" s="151">
        <f ca="1" t="shared" si="18"/>
        <v>0</v>
      </c>
      <c r="AF17" s="106"/>
      <c r="AG17" s="159"/>
      <c r="AH17" s="159"/>
      <c r="AI17" s="159"/>
      <c r="AJ17" s="159"/>
      <c r="AK17" s="106"/>
    </row>
    <row r="18" s="91" customFormat="1" spans="1:37">
      <c r="A18" s="132">
        <v>742.5</v>
      </c>
      <c r="B18" s="133">
        <v>813.49</v>
      </c>
      <c r="C18" s="133">
        <v>802.1</v>
      </c>
      <c r="D18" s="133">
        <v>778.63</v>
      </c>
      <c r="E18" s="133">
        <v>742.69</v>
      </c>
      <c r="F18" s="133">
        <v>708.46</v>
      </c>
      <c r="G18" s="133">
        <v>683.53</v>
      </c>
      <c r="H18" s="133">
        <v>667.99</v>
      </c>
      <c r="I18" s="133">
        <v>633.43</v>
      </c>
      <c r="J18" s="133"/>
      <c r="K18" s="132">
        <f t="shared" si="0"/>
        <v>742.5</v>
      </c>
      <c r="L18" s="133">
        <f t="shared" si="2"/>
        <v>827.977424460432</v>
      </c>
      <c r="M18" s="133">
        <f t="shared" si="3"/>
        <v>785.686358612163</v>
      </c>
      <c r="N18" s="133">
        <f t="shared" si="4"/>
        <v>762.194380137553</v>
      </c>
      <c r="O18" s="133">
        <f t="shared" si="5"/>
        <v>742.884194315383</v>
      </c>
      <c r="P18" s="133">
        <f t="shared" si="6"/>
        <v>724.741288967561</v>
      </c>
      <c r="Q18" s="133">
        <f t="shared" si="7"/>
        <v>708.737245594892</v>
      </c>
      <c r="R18" s="133">
        <f t="shared" si="8"/>
        <v>695.745955591755</v>
      </c>
      <c r="S18" s="133">
        <f t="shared" si="9"/>
        <v>683.825774564757</v>
      </c>
      <c r="T18" s="133">
        <f t="shared" si="10"/>
        <v>675.742383706429</v>
      </c>
      <c r="U18" s="133">
        <f t="shared" si="11"/>
        <v>668.227767810116</v>
      </c>
      <c r="V18" s="133">
        <f t="shared" si="12"/>
        <v>636.709416058394</v>
      </c>
      <c r="X18" s="142">
        <v>1620</v>
      </c>
      <c r="Y18" s="151">
        <f ca="1" t="shared" si="13"/>
        <v>0</v>
      </c>
      <c r="Z18" s="151">
        <f ca="1" t="shared" si="14"/>
        <v>0</v>
      </c>
      <c r="AA18" s="151">
        <f ca="1" t="shared" si="15"/>
        <v>0</v>
      </c>
      <c r="AB18" s="151">
        <f ca="1" t="shared" si="16"/>
        <v>0</v>
      </c>
      <c r="AC18" s="151">
        <f ca="1" t="shared" si="17"/>
        <v>0</v>
      </c>
      <c r="AD18" s="151">
        <f ca="1" t="shared" si="18"/>
        <v>0</v>
      </c>
      <c r="AF18" s="106"/>
      <c r="AG18" s="106"/>
      <c r="AH18" s="106"/>
      <c r="AI18" s="106"/>
      <c r="AJ18" s="106"/>
      <c r="AK18" s="106"/>
    </row>
    <row r="19" s="91" customFormat="1" spans="1:30">
      <c r="A19" s="132">
        <v>797.5</v>
      </c>
      <c r="B19" s="133">
        <v>836.82</v>
      </c>
      <c r="C19" s="133">
        <v>824.99</v>
      </c>
      <c r="D19" s="133">
        <v>800.91</v>
      </c>
      <c r="E19" s="133">
        <v>764.45</v>
      </c>
      <c r="F19" s="133">
        <v>729.8</v>
      </c>
      <c r="G19" s="133">
        <v>704.15</v>
      </c>
      <c r="H19" s="133">
        <v>687.57</v>
      </c>
      <c r="I19" s="133">
        <v>653.83</v>
      </c>
      <c r="J19" s="133"/>
      <c r="K19" s="132">
        <f t="shared" si="0"/>
        <v>797.5</v>
      </c>
      <c r="L19" s="133">
        <f t="shared" si="2"/>
        <v>851.867079136691</v>
      </c>
      <c r="M19" s="133">
        <f t="shared" si="3"/>
        <v>808.149757792112</v>
      </c>
      <c r="N19" s="133">
        <f t="shared" si="4"/>
        <v>784.236580406655</v>
      </c>
      <c r="O19" s="133">
        <f t="shared" si="5"/>
        <v>764.647004027236</v>
      </c>
      <c r="P19" s="133">
        <f t="shared" si="6"/>
        <v>746.281059384341</v>
      </c>
      <c r="Q19" s="133">
        <f t="shared" si="7"/>
        <v>730.080647381333</v>
      </c>
      <c r="R19" s="133">
        <f t="shared" si="8"/>
        <v>716.718762973466</v>
      </c>
      <c r="S19" s="133">
        <f t="shared" si="9"/>
        <v>704.454316790454</v>
      </c>
      <c r="T19" s="133">
        <f t="shared" si="10"/>
        <v>695.841204752419</v>
      </c>
      <c r="U19" s="133">
        <f t="shared" si="11"/>
        <v>687.823680198953</v>
      </c>
      <c r="V19" s="133">
        <f t="shared" si="12"/>
        <v>657.031605839416</v>
      </c>
      <c r="X19" s="142"/>
      <c r="Y19" s="151"/>
      <c r="Z19" s="151"/>
      <c r="AA19" s="151"/>
      <c r="AB19" s="151"/>
      <c r="AC19" s="151"/>
      <c r="AD19" s="151"/>
    </row>
    <row r="20" s="91" customFormat="1" spans="1:30">
      <c r="A20" s="132">
        <v>852.5</v>
      </c>
      <c r="B20" s="133">
        <v>855.97</v>
      </c>
      <c r="C20" s="133">
        <v>843.81</v>
      </c>
      <c r="D20" s="133">
        <v>819.34</v>
      </c>
      <c r="E20" s="133">
        <v>782.7</v>
      </c>
      <c r="F20" s="133">
        <v>747.9</v>
      </c>
      <c r="G20" s="133">
        <v>721.75</v>
      </c>
      <c r="H20" s="133">
        <v>704.37</v>
      </c>
      <c r="I20" s="133">
        <v>671.55</v>
      </c>
      <c r="J20" s="133"/>
      <c r="K20" s="132">
        <f t="shared" si="0"/>
        <v>852.5</v>
      </c>
      <c r="L20" s="133">
        <f t="shared" si="2"/>
        <v>871.436820143885</v>
      </c>
      <c r="M20" s="133">
        <f t="shared" si="3"/>
        <v>826.697013005523</v>
      </c>
      <c r="N20" s="133">
        <f t="shared" si="4"/>
        <v>802.58426511519</v>
      </c>
      <c r="O20" s="133">
        <f t="shared" si="5"/>
        <v>782.897976619801</v>
      </c>
      <c r="P20" s="133">
        <f t="shared" si="6"/>
        <v>764.452405961763</v>
      </c>
      <c r="Q20" s="133">
        <f t="shared" si="7"/>
        <v>748.181862305061</v>
      </c>
      <c r="R20" s="133">
        <f t="shared" si="8"/>
        <v>734.563768099655</v>
      </c>
      <c r="S20" s="133">
        <f t="shared" si="9"/>
        <v>722.060248891633</v>
      </c>
      <c r="T20" s="133">
        <f t="shared" si="10"/>
        <v>713.040297864719</v>
      </c>
      <c r="U20" s="133">
        <f t="shared" si="11"/>
        <v>704.635920498058</v>
      </c>
      <c r="V20" s="133">
        <f t="shared" si="12"/>
        <v>674.664306569343</v>
      </c>
      <c r="X20" s="142" t="s">
        <v>129</v>
      </c>
      <c r="Y20" s="152">
        <f ca="1">MAX(OFFSET($L$5,0,0,$O$1,$O$2))</f>
        <v>914.921338129496</v>
      </c>
      <c r="Z20" s="152">
        <f ca="1">MAX(OFFSET($L$28,0,0,$O$1,$O$2))</f>
        <v>1368.58395683453</v>
      </c>
      <c r="AA20" s="152">
        <f ca="1">MAX(OFFSET($L$51,0,0,$O$1,$O$2))</f>
        <v>1522.52828776978</v>
      </c>
      <c r="AB20" s="152">
        <f ca="1">MAX(OFFSET($L$74,0,0,$O$1,$O$2))</f>
        <v>1442.09323741007</v>
      </c>
      <c r="AC20" s="152">
        <f ca="1">MAX(OFFSET($L$97,0,0,$O$1,$O$2))</f>
        <v>1388.58568345324</v>
      </c>
      <c r="AD20" s="152" t="e">
        <f ca="1">MAX(OFFSET($L$120,0,0,$O$1,$O$2))</f>
        <v>#VALUE!</v>
      </c>
    </row>
    <row r="21" s="91" customFormat="1" spans="1:30">
      <c r="A21" s="132">
        <v>907.5</v>
      </c>
      <c r="B21" s="133">
        <v>871.9</v>
      </c>
      <c r="C21" s="133">
        <v>859.53</v>
      </c>
      <c r="D21" s="133">
        <v>834.88</v>
      </c>
      <c r="E21" s="133">
        <v>798.34</v>
      </c>
      <c r="F21" s="133">
        <v>763.62</v>
      </c>
      <c r="G21" s="133">
        <v>737.18</v>
      </c>
      <c r="H21" s="133">
        <v>719.18</v>
      </c>
      <c r="I21" s="133">
        <v>687.33</v>
      </c>
      <c r="J21" s="133"/>
      <c r="K21" s="132">
        <f t="shared" si="0"/>
        <v>907.5</v>
      </c>
      <c r="L21" s="133">
        <f t="shared" si="2"/>
        <v>887.633928057554</v>
      </c>
      <c r="M21" s="133">
        <f t="shared" si="3"/>
        <v>842.291130796327</v>
      </c>
      <c r="N21" s="133">
        <f t="shared" si="4"/>
        <v>818.16999583267</v>
      </c>
      <c r="O21" s="133">
        <f t="shared" si="5"/>
        <v>798.537436290598</v>
      </c>
      <c r="P21" s="133">
        <f t="shared" si="6"/>
        <v>780.134354453804</v>
      </c>
      <c r="Q21" s="133">
        <f t="shared" si="7"/>
        <v>763.90121434574</v>
      </c>
      <c r="R21" s="133">
        <f t="shared" si="8"/>
        <v>750.135871072844</v>
      </c>
      <c r="S21" s="133">
        <f t="shared" si="9"/>
        <v>737.493689510316</v>
      </c>
      <c r="T21" s="133">
        <f t="shared" si="10"/>
        <v>728.159595026751</v>
      </c>
      <c r="U21" s="133">
        <f t="shared" si="11"/>
        <v>719.455406729864</v>
      </c>
      <c r="V21" s="133">
        <f t="shared" si="12"/>
        <v>690.352262773723</v>
      </c>
      <c r="X21" s="142" t="s">
        <v>130</v>
      </c>
      <c r="Y21" s="152">
        <f ca="1">AVERAGE(OFFSET($L$5,0,0,$O$1,$O$2))</f>
        <v>584.367105678598</v>
      </c>
      <c r="Z21" s="152">
        <f ca="1">AVERAGE(OFFSET($L$28,0,0,$O$1,$O$2))</f>
        <v>896.708044451765</v>
      </c>
      <c r="AA21" s="152">
        <f ca="1">AVERAGE(OFFSET($L$51,0,0,$O$1,$O$2))</f>
        <v>985.297420985679</v>
      </c>
      <c r="AB21" s="152">
        <f ca="1">AVERAGE(OFFSET($L$74,0,0,$O$1,$O$2))</f>
        <v>976.786014395985</v>
      </c>
      <c r="AC21" s="152">
        <f ca="1">AVERAGE(OFFSET($L$97,0,0,$O$1,$O$2))</f>
        <v>948.545835839496</v>
      </c>
      <c r="AD21" s="152" t="e">
        <f ca="1">AVERAGE(OFFSET($L$120,0,0,$O$1,$O$2))</f>
        <v>#VALUE!</v>
      </c>
    </row>
    <row r="22" s="91" customFormat="1" spans="1:30">
      <c r="A22" s="132">
        <v>962.5</v>
      </c>
      <c r="B22" s="133">
        <v>883.21</v>
      </c>
      <c r="C22" s="133">
        <v>870.77</v>
      </c>
      <c r="D22" s="133">
        <v>846.14</v>
      </c>
      <c r="E22" s="133">
        <v>809.96</v>
      </c>
      <c r="F22" s="133">
        <v>775.56</v>
      </c>
      <c r="G22" s="133">
        <v>749.04</v>
      </c>
      <c r="H22" s="133">
        <v>730.61</v>
      </c>
      <c r="I22" s="133">
        <v>699.71</v>
      </c>
      <c r="J22" s="133"/>
      <c r="K22" s="132">
        <f t="shared" si="0"/>
        <v>962.5</v>
      </c>
      <c r="L22" s="133">
        <f t="shared" si="2"/>
        <v>899.032964028777</v>
      </c>
      <c r="M22" s="133">
        <f t="shared" si="3"/>
        <v>853.54511770846</v>
      </c>
      <c r="N22" s="133">
        <f t="shared" si="4"/>
        <v>829.5946264156</v>
      </c>
      <c r="O22" s="133">
        <f t="shared" si="5"/>
        <v>810.155491105469</v>
      </c>
      <c r="P22" s="133">
        <f t="shared" si="6"/>
        <v>791.922148421972</v>
      </c>
      <c r="Q22" s="133">
        <f t="shared" si="7"/>
        <v>775.838622508452</v>
      </c>
      <c r="R22" s="133">
        <f t="shared" si="8"/>
        <v>762.035071893034</v>
      </c>
      <c r="S22" s="133">
        <f t="shared" si="9"/>
        <v>749.354638646505</v>
      </c>
      <c r="T22" s="133">
        <f t="shared" si="10"/>
        <v>739.804107574613</v>
      </c>
      <c r="U22" s="133">
        <f t="shared" si="11"/>
        <v>730.891985890633</v>
      </c>
      <c r="V22" s="133">
        <f t="shared" si="12"/>
        <v>702.642116788321</v>
      </c>
      <c r="X22" s="142" t="s">
        <v>131</v>
      </c>
      <c r="Y22" s="153">
        <f ca="1" t="shared" ref="Y22:AD22" si="19">Y21+273.15</f>
        <v>857.517105678598</v>
      </c>
      <c r="Z22" s="153">
        <f ca="1" t="shared" si="19"/>
        <v>1169.85804445177</v>
      </c>
      <c r="AA22" s="153">
        <f ca="1" t="shared" si="19"/>
        <v>1258.44742098568</v>
      </c>
      <c r="AB22" s="153">
        <f ca="1" t="shared" si="19"/>
        <v>1249.93601439599</v>
      </c>
      <c r="AC22" s="153">
        <f ca="1" t="shared" si="19"/>
        <v>1221.6958358395</v>
      </c>
      <c r="AD22" s="153" t="e">
        <f ca="1" t="shared" si="19"/>
        <v>#VALUE!</v>
      </c>
    </row>
    <row r="23" s="91" customFormat="1" spans="1:30">
      <c r="A23" s="132">
        <v>1017.5</v>
      </c>
      <c r="B23" s="133">
        <v>891.01</v>
      </c>
      <c r="C23" s="133">
        <v>878.36</v>
      </c>
      <c r="D23" s="133">
        <v>854.62</v>
      </c>
      <c r="E23" s="133">
        <v>819.27</v>
      </c>
      <c r="F23" s="133">
        <v>785.2</v>
      </c>
      <c r="G23" s="133">
        <v>758.49</v>
      </c>
      <c r="H23" s="133">
        <v>739.65</v>
      </c>
      <c r="I23" s="133">
        <v>710.77</v>
      </c>
      <c r="J23" s="133"/>
      <c r="K23" s="132">
        <f t="shared" si="0"/>
        <v>1017.5</v>
      </c>
      <c r="L23" s="133">
        <f t="shared" si="2"/>
        <v>907.100071942446</v>
      </c>
      <c r="M23" s="133">
        <f t="shared" si="3"/>
        <v>861.75753529837</v>
      </c>
      <c r="N23" s="133">
        <f t="shared" si="4"/>
        <v>838.454191370687</v>
      </c>
      <c r="O23" s="133">
        <f t="shared" si="5"/>
        <v>819.461006373088</v>
      </c>
      <c r="P23" s="133">
        <f t="shared" si="6"/>
        <v>801.405185951645</v>
      </c>
      <c r="Q23" s="133">
        <f t="shared" si="7"/>
        <v>785.475949676249</v>
      </c>
      <c r="R23" s="133">
        <f t="shared" si="8"/>
        <v>771.578173840986</v>
      </c>
      <c r="S23" s="133">
        <f t="shared" si="9"/>
        <v>758.806892844953</v>
      </c>
      <c r="T23" s="133">
        <f t="shared" si="10"/>
        <v>749.048642794667</v>
      </c>
      <c r="U23" s="133">
        <f t="shared" si="11"/>
        <v>739.938259043924</v>
      </c>
      <c r="V23" s="133">
        <f t="shared" si="12"/>
        <v>713.510437956204</v>
      </c>
      <c r="X23" s="142" t="s">
        <v>132</v>
      </c>
      <c r="Y23" s="106"/>
      <c r="Z23" s="151">
        <f ca="1" t="shared" ref="Z23:AD23" si="20">Z22/Y22-1</f>
        <v>0.364238726790174</v>
      </c>
      <c r="AA23" s="151">
        <f ca="1" t="shared" si="20"/>
        <v>0.0757266037140683</v>
      </c>
      <c r="AB23" s="151">
        <f ca="1" t="shared" si="20"/>
        <v>-0.00676341851694284</v>
      </c>
      <c r="AC23" s="151">
        <f ca="1" t="shared" si="20"/>
        <v>-0.0225932993619162</v>
      </c>
      <c r="AD23" s="151" t="e">
        <f ca="1" t="shared" si="20"/>
        <v>#VALUE!</v>
      </c>
    </row>
    <row r="24" s="91" customFormat="1" spans="1:30">
      <c r="A24" s="132">
        <v>1072.5</v>
      </c>
      <c r="B24" s="133">
        <v>903.83</v>
      </c>
      <c r="C24" s="133">
        <v>895.11</v>
      </c>
      <c r="D24" s="133">
        <v>868.11</v>
      </c>
      <c r="E24" s="133">
        <v>829.91</v>
      </c>
      <c r="F24" s="133">
        <v>794.04</v>
      </c>
      <c r="G24" s="133">
        <v>766.14</v>
      </c>
      <c r="H24" s="133">
        <v>746.27</v>
      </c>
      <c r="I24" s="133">
        <v>711.83</v>
      </c>
      <c r="J24" s="133"/>
      <c r="K24" s="132">
        <f t="shared" si="0"/>
        <v>1072.5</v>
      </c>
      <c r="L24" s="133">
        <f t="shared" si="2"/>
        <v>914.921338129496</v>
      </c>
      <c r="M24" s="133">
        <f t="shared" si="3"/>
        <v>876.227668620724</v>
      </c>
      <c r="N24" s="133">
        <f t="shared" si="4"/>
        <v>850.640865922496</v>
      </c>
      <c r="O24" s="133">
        <f t="shared" si="5"/>
        <v>830.11640575536</v>
      </c>
      <c r="P24" s="133">
        <f t="shared" si="6"/>
        <v>811.101344880702</v>
      </c>
      <c r="Q24" s="133">
        <f t="shared" si="7"/>
        <v>794.330528760993</v>
      </c>
      <c r="R24" s="133">
        <f t="shared" si="8"/>
        <v>779.811286041314</v>
      </c>
      <c r="S24" s="133">
        <f t="shared" si="9"/>
        <v>766.471011245757</v>
      </c>
      <c r="T24" s="133">
        <f t="shared" si="10"/>
        <v>756.182475176753</v>
      </c>
      <c r="U24" s="133">
        <f t="shared" si="11"/>
        <v>746.574018429022</v>
      </c>
      <c r="V24" s="133">
        <f t="shared" si="12"/>
        <v>715.09802919708</v>
      </c>
      <c r="X24" s="161" t="s">
        <v>133</v>
      </c>
      <c r="Y24" s="106"/>
      <c r="Z24" s="162">
        <f ca="1">Z23*150%/8/3600</f>
        <v>1.89707670203216e-5</v>
      </c>
      <c r="AA24" s="162">
        <f ca="1">AA23*150%/16/3600</f>
        <v>1.97204697172053e-6</v>
      </c>
      <c r="AB24" s="162"/>
      <c r="AC24" s="162"/>
      <c r="AD24" s="162"/>
    </row>
    <row r="25" s="91" customFormat="1" spans="1:22">
      <c r="A25" s="129"/>
      <c r="B25" s="129"/>
      <c r="C25" s="134">
        <f t="shared" ref="C25:I25" si="21">PI()*(C4*C4-B4*B4)</f>
        <v>2151.09247221008</v>
      </c>
      <c r="D25" s="134">
        <f t="shared" si="21"/>
        <v>6112.80448536406</v>
      </c>
      <c r="E25" s="134">
        <f t="shared" si="21"/>
        <v>12038.1859512447</v>
      </c>
      <c r="F25" s="134">
        <f t="shared" si="21"/>
        <v>14188.2225341639</v>
      </c>
      <c r="G25" s="134">
        <f t="shared" si="21"/>
        <v>14190.0880118816</v>
      </c>
      <c r="H25" s="134">
        <f t="shared" si="21"/>
        <v>14185.2983397219</v>
      </c>
      <c r="I25" s="134">
        <f t="shared" si="21"/>
        <v>7575.18036561312</v>
      </c>
      <c r="J25" s="134"/>
      <c r="K25" s="129"/>
      <c r="L25" s="129"/>
      <c r="M25" s="134">
        <f t="shared" ref="M25:V25" si="22">PI()*(M4*M4-L4*L4)</f>
        <v>7068.58347057703</v>
      </c>
      <c r="N25" s="134">
        <f t="shared" si="22"/>
        <v>7068.58347057703</v>
      </c>
      <c r="O25" s="134">
        <f t="shared" si="22"/>
        <v>7068.58347057704</v>
      </c>
      <c r="P25" s="134">
        <f t="shared" si="22"/>
        <v>7068.58347057703</v>
      </c>
      <c r="Q25" s="134">
        <f t="shared" si="22"/>
        <v>7068.58347057703</v>
      </c>
      <c r="R25" s="134">
        <f t="shared" si="22"/>
        <v>7068.58347057704</v>
      </c>
      <c r="S25" s="134">
        <f t="shared" si="22"/>
        <v>7068.58347057703</v>
      </c>
      <c r="T25" s="134">
        <f t="shared" si="22"/>
        <v>7068.58347057703</v>
      </c>
      <c r="U25" s="134">
        <f t="shared" si="22"/>
        <v>7068.58347057705</v>
      </c>
      <c r="V25" s="134">
        <f t="shared" si="22"/>
        <v>7068.58347057703</v>
      </c>
    </row>
    <row r="26" s="91" customFormat="1" spans="1:30">
      <c r="A26" s="129" t="s">
        <v>136</v>
      </c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X26" s="146" t="s">
        <v>135</v>
      </c>
      <c r="Y26" s="155" t="str">
        <f t="shared" ref="Y26:AD26" si="23">Y3</f>
        <v>0h</v>
      </c>
      <c r="Z26" s="155" t="str">
        <f t="shared" si="23"/>
        <v>8h</v>
      </c>
      <c r="AA26" s="155" t="str">
        <f t="shared" si="23"/>
        <v>24h</v>
      </c>
      <c r="AB26" s="155" t="str">
        <f t="shared" si="23"/>
        <v>72h</v>
      </c>
      <c r="AC26" s="155" t="str">
        <f t="shared" si="23"/>
        <v>96h</v>
      </c>
      <c r="AD26" s="155" t="str">
        <f t="shared" si="23"/>
        <v>72h</v>
      </c>
    </row>
    <row r="27" s="91" customFormat="1" spans="1:37">
      <c r="A27" s="132" t="s">
        <v>128</v>
      </c>
      <c r="B27" s="133">
        <v>17.68</v>
      </c>
      <c r="C27" s="133">
        <v>31.58</v>
      </c>
      <c r="D27" s="133">
        <v>54.25</v>
      </c>
      <c r="E27" s="133">
        <v>82.31</v>
      </c>
      <c r="F27" s="133">
        <v>106.26</v>
      </c>
      <c r="G27" s="133">
        <v>125.73</v>
      </c>
      <c r="H27" s="133">
        <v>142.56</v>
      </c>
      <c r="I27" s="133">
        <v>150.78</v>
      </c>
      <c r="J27" s="133"/>
      <c r="K27" s="132" t="str">
        <f t="shared" ref="K27:K47" si="24">A27</f>
        <v>R/Z[cm]</v>
      </c>
      <c r="L27" s="141">
        <v>0</v>
      </c>
      <c r="M27" s="141">
        <f t="shared" ref="M27:V27" si="25">SQRT(L27*L27+150*150/10)</f>
        <v>47.4341649025257</v>
      </c>
      <c r="N27" s="141">
        <f t="shared" si="25"/>
        <v>67.0820393249937</v>
      </c>
      <c r="O27" s="141">
        <f t="shared" si="25"/>
        <v>82.1583836257749</v>
      </c>
      <c r="P27" s="141">
        <f t="shared" si="25"/>
        <v>94.8683298050514</v>
      </c>
      <c r="Q27" s="141">
        <f t="shared" si="25"/>
        <v>106.066017177982</v>
      </c>
      <c r="R27" s="141">
        <f t="shared" si="25"/>
        <v>116.189500386223</v>
      </c>
      <c r="S27" s="141">
        <f t="shared" si="25"/>
        <v>125.499003980111</v>
      </c>
      <c r="T27" s="141">
        <f t="shared" si="25"/>
        <v>134.164078649987</v>
      </c>
      <c r="U27" s="141">
        <f t="shared" si="25"/>
        <v>142.302494707577</v>
      </c>
      <c r="V27" s="141">
        <f t="shared" si="25"/>
        <v>150</v>
      </c>
      <c r="X27" s="106" t="str">
        <f>事故释放率!A4</f>
        <v>Kr-83m</v>
      </c>
      <c r="Y27" s="156">
        <f ca="1" t="array" ref="Y27">SUMPRODUCT(Y$5:Y$18,TRANSPOSE(事故释放率!$B4:$O4))</f>
        <v>5.17144111060829e-11</v>
      </c>
      <c r="Z27" s="156">
        <f ca="1" t="array" ref="Z27">SUMPRODUCT(Z$5:Z$18,TRANSPOSE(事故释放率!$B4:$O4))</f>
        <v>1.79821936448399e-10</v>
      </c>
      <c r="AA27" s="156">
        <f ca="1" t="array" ref="AA27">SUMPRODUCT(AA$5:AA$18,TRANSPOSE(事故释放率!$B4:$O4))</f>
        <v>6.11617910336207e-10</v>
      </c>
      <c r="AB27" s="156">
        <f ca="1" t="array" ref="AB27">SUMPRODUCT(AB$5:AB$18,TRANSPOSE(事故释放率!$B4:$O4))</f>
        <v>3.13680994001991e-10</v>
      </c>
      <c r="AC27" s="156">
        <f ca="1" t="array" ref="AC27">SUMPRODUCT(AC$5:AC$18,TRANSPOSE(事故释放率!$B4:$O4))</f>
        <v>2.07927197951497e-10</v>
      </c>
      <c r="AD27" s="156">
        <f ca="1" t="array" ref="AD27">SUMPRODUCT(AD$5:AD$18,TRANSPOSE(事故释放率!$B4:$O4))</f>
        <v>0</v>
      </c>
      <c r="AF27" s="156">
        <f ca="1">MMULT(事故释放率!$B4:$O4,Y$5:Y$18)</f>
        <v>5.17144111060829e-11</v>
      </c>
      <c r="AG27" s="156">
        <f ca="1">MMULT(事故释放率!$B4:$O4,Z$5:Z$18)</f>
        <v>1.79821936448399e-10</v>
      </c>
      <c r="AH27" s="156">
        <f ca="1">MMULT(事故释放率!$B4:$O4,AA$5:AA$18)</f>
        <v>6.11617910336207e-10</v>
      </c>
      <c r="AI27" s="156">
        <f ca="1">MMULT(事故释放率!$B4:$O4,AB$5:AB$18)</f>
        <v>3.13680994001991e-10</v>
      </c>
      <c r="AJ27" s="156">
        <f ca="1">MMULT(事故释放率!$B4:$O4,AC$5:AC$18)</f>
        <v>2.07927197951497e-10</v>
      </c>
      <c r="AK27" s="156">
        <f ca="1">MMULT(事故释放率!$B4:$O4,AD$5:AD$18)</f>
        <v>0</v>
      </c>
    </row>
    <row r="28" s="91" customFormat="1" spans="1:37">
      <c r="A28" s="132">
        <v>27.5</v>
      </c>
      <c r="B28" s="135">
        <v>520.94</v>
      </c>
      <c r="C28" s="135">
        <v>517.9</v>
      </c>
      <c r="D28" s="135">
        <v>507.83</v>
      </c>
      <c r="E28" s="135">
        <v>484.73</v>
      </c>
      <c r="F28" s="135">
        <v>452.1</v>
      </c>
      <c r="G28" s="135">
        <v>411.3</v>
      </c>
      <c r="H28" s="135">
        <v>359.08</v>
      </c>
      <c r="I28" s="135">
        <v>328.22</v>
      </c>
      <c r="J28" s="133"/>
      <c r="K28" s="132">
        <f t="shared" si="24"/>
        <v>27.5</v>
      </c>
      <c r="L28" s="133">
        <f t="shared" ref="L28:L47" si="26">TREND(B28:C28,B$4:C$4,L$4)</f>
        <v>524.806705035971</v>
      </c>
      <c r="M28" s="133">
        <f t="shared" ref="M28:M47" si="27">TREND(C28:D28,C$4:D$4,M$4)</f>
        <v>510.857589741137</v>
      </c>
      <c r="N28" s="133">
        <f t="shared" ref="N28:N47" si="28">TREND(D28:E28,D$4:E$4,N$4)</f>
        <v>497.266204262033</v>
      </c>
      <c r="O28" s="133">
        <f t="shared" ref="O28:O47" si="29">TREND(D28:E28,D$4:E$4,O$4)</f>
        <v>484.854816045781</v>
      </c>
      <c r="P28" s="133">
        <f t="shared" ref="P28:P47" si="30">TREND(E28:F28,E$4:F$4,P$4)</f>
        <v>467.6202588084</v>
      </c>
      <c r="Q28" s="133">
        <f t="shared" ref="Q28:Q47" si="31">TREND(E28:F28,E$4:F$4,Q$4)</f>
        <v>452.364286408453</v>
      </c>
      <c r="R28" s="133">
        <f t="shared" ref="R28:R47" si="32">TREND(F28:G28,F$4:G$4,R$4)</f>
        <v>431.292418296976</v>
      </c>
      <c r="S28" s="133">
        <f t="shared" ref="S28:S47" si="33">TREND(F28:G28,F$4:G$4,S$4)</f>
        <v>411.784059456161</v>
      </c>
      <c r="T28" s="133">
        <f t="shared" ref="T28:T47" si="34">TREND(G28:H28,G$4:H$4,T$4)</f>
        <v>385.130802905387</v>
      </c>
      <c r="U28" s="133">
        <f t="shared" ref="U28:U47" si="35">TREND(G28:H28,G$4:H$4,U$4)</f>
        <v>359.878985524084</v>
      </c>
      <c r="V28" s="133">
        <f t="shared" ref="V28:V47" si="36">TREND(H28:I28,H$4:I$4,V$4)</f>
        <v>331.148321167883</v>
      </c>
      <c r="X28" s="106" t="str">
        <f>事故释放率!A5</f>
        <v>Kr-85</v>
      </c>
      <c r="Y28" s="156">
        <f ca="1" t="array" ref="Y28">SUMPRODUCT(Y$5:Y$18,TRANSPOSE(事故释放率!$B5:$O5))</f>
        <v>1.413685e-13</v>
      </c>
      <c r="Z28" s="156">
        <f ca="1" t="array" ref="Z28">SUMPRODUCT(Z$5:Z$18,TRANSPOSE(事故释放率!$B5:$O5))</f>
        <v>6.2686333e-12</v>
      </c>
      <c r="AA28" s="156">
        <f ca="1" t="array" ref="AA28">SUMPRODUCT(AA$5:AA$18,TRANSPOSE(事故释放率!$B5:$O5))</f>
        <v>1.68236277e-11</v>
      </c>
      <c r="AB28" s="156">
        <f ca="1" t="array" ref="AB28">SUMPRODUCT(AB$5:AB$18,TRANSPOSE(事故释放率!$B5:$O5))</f>
        <v>1.1458207e-11</v>
      </c>
      <c r="AC28" s="156">
        <f ca="1" t="array" ref="AC28">SUMPRODUCT(AC$5:AC$18,TRANSPOSE(事故释放率!$B5:$O5))</f>
        <v>7.7252851e-12</v>
      </c>
      <c r="AD28" s="156">
        <f ca="1" t="array" ref="AD28">SUMPRODUCT(AD$5:AD$18,TRANSPOSE(事故释放率!$B5:$O5))</f>
        <v>0</v>
      </c>
      <c r="AF28" s="156">
        <f ca="1">MMULT(事故释放率!$B5:$O5,Y$5:Y$18)</f>
        <v>1.413685e-13</v>
      </c>
      <c r="AG28" s="156">
        <f ca="1">MMULT(事故释放率!$B5:$O5,Z$5:Z$18)</f>
        <v>6.2686333e-12</v>
      </c>
      <c r="AH28" s="156">
        <f ca="1">MMULT(事故释放率!$B5:$O5,AA$5:AA$18)</f>
        <v>1.68236277e-11</v>
      </c>
      <c r="AI28" s="156">
        <f ca="1">MMULT(事故释放率!$B5:$O5,AB$5:AB$18)</f>
        <v>1.1458207e-11</v>
      </c>
      <c r="AJ28" s="156">
        <f ca="1">MMULT(事故释放率!$B5:$O5,AC$5:AC$18)</f>
        <v>7.7252851e-12</v>
      </c>
      <c r="AK28" s="156">
        <f ca="1">MMULT(事故释放率!$B5:$O5,AD$5:AD$18)</f>
        <v>0</v>
      </c>
    </row>
    <row r="29" s="91" customFormat="1" spans="1:37">
      <c r="A29" s="132">
        <v>82.5</v>
      </c>
      <c r="B29" s="135">
        <v>716.77</v>
      </c>
      <c r="C29" s="135">
        <v>710.59</v>
      </c>
      <c r="D29" s="135">
        <v>691.03</v>
      </c>
      <c r="E29" s="135">
        <v>647.78</v>
      </c>
      <c r="F29" s="135">
        <v>589</v>
      </c>
      <c r="G29" s="135">
        <v>518.45</v>
      </c>
      <c r="H29" s="135">
        <v>430.93</v>
      </c>
      <c r="I29" s="135">
        <v>380.5</v>
      </c>
      <c r="J29" s="133"/>
      <c r="K29" s="132">
        <f t="shared" si="24"/>
        <v>82.5</v>
      </c>
      <c r="L29" s="133">
        <f t="shared" si="26"/>
        <v>724.630604316547</v>
      </c>
      <c r="M29" s="133">
        <f t="shared" si="27"/>
        <v>696.910799934124</v>
      </c>
      <c r="N29" s="133">
        <f t="shared" si="28"/>
        <v>671.251464689737</v>
      </c>
      <c r="O29" s="133">
        <f t="shared" si="29"/>
        <v>648.013692380087</v>
      </c>
      <c r="P29" s="133">
        <f t="shared" si="30"/>
        <v>616.958345472195</v>
      </c>
      <c r="Q29" s="133">
        <f t="shared" si="31"/>
        <v>589.476088111825</v>
      </c>
      <c r="R29" s="133">
        <f t="shared" si="32"/>
        <v>553.020223305188</v>
      </c>
      <c r="S29" s="133">
        <f t="shared" si="33"/>
        <v>519.287019476279</v>
      </c>
      <c r="T29" s="133">
        <f t="shared" si="34"/>
        <v>474.590786485627</v>
      </c>
      <c r="U29" s="133">
        <f t="shared" si="35"/>
        <v>432.269088722095</v>
      </c>
      <c r="V29" s="133">
        <f t="shared" si="36"/>
        <v>385.285328467153</v>
      </c>
      <c r="X29" s="106" t="str">
        <f>事故释放率!A6</f>
        <v>Kr-85m</v>
      </c>
      <c r="Y29" s="156">
        <f ca="1" t="array" ref="Y29">SUMPRODUCT(Y$5:Y$18,TRANSPOSE(事故释放率!$B6:$O6))</f>
        <v>3.32247048591873e-11</v>
      </c>
      <c r="Z29" s="156">
        <f ca="1" t="array" ref="Z29">SUMPRODUCT(Z$5:Z$18,TRANSPOSE(事故释放率!$B6:$O6))</f>
        <v>1.152355471115e-10</v>
      </c>
      <c r="AA29" s="156">
        <f ca="1" t="array" ref="AA29">SUMPRODUCT(AA$5:AA$18,TRANSPOSE(事故释放率!$B6:$O6))</f>
        <v>3.85089678347014e-10</v>
      </c>
      <c r="AB29" s="156">
        <f ca="1" t="array" ref="AB29">SUMPRODUCT(AB$5:AB$18,TRANSPOSE(事故释放率!$B6:$O6))</f>
        <v>2.00304059826066e-10</v>
      </c>
      <c r="AC29" s="156">
        <f ca="1" t="array" ref="AC29">SUMPRODUCT(AC$5:AC$18,TRANSPOSE(事故释放率!$B6:$O6))</f>
        <v>1.33220584754517e-10</v>
      </c>
      <c r="AD29" s="156">
        <f ca="1" t="array" ref="AD29">SUMPRODUCT(AD$5:AD$18,TRANSPOSE(事故释放率!$B6:$O6))</f>
        <v>0</v>
      </c>
      <c r="AF29" s="156">
        <f ca="1">MMULT(事故释放率!$B6:$O6,Y$5:Y$18)</f>
        <v>3.32247048591873e-11</v>
      </c>
      <c r="AG29" s="156">
        <f ca="1">MMULT(事故释放率!$B6:$O6,Z$5:Z$18)</f>
        <v>1.152355471115e-10</v>
      </c>
      <c r="AH29" s="156">
        <f ca="1">MMULT(事故释放率!$B6:$O6,AA$5:AA$18)</f>
        <v>3.85089678347014e-10</v>
      </c>
      <c r="AI29" s="156">
        <f ca="1">MMULT(事故释放率!$B6:$O6,AB$5:AB$18)</f>
        <v>2.00304059826066e-10</v>
      </c>
      <c r="AJ29" s="156">
        <f ca="1">MMULT(事故释放率!$B6:$O6,AC$5:AC$18)</f>
        <v>1.33220584754517e-10</v>
      </c>
      <c r="AK29" s="156">
        <f ca="1">MMULT(事故释放率!$B6:$O6,AD$5:AD$18)</f>
        <v>0</v>
      </c>
    </row>
    <row r="30" s="91" customFormat="1" spans="1:37">
      <c r="A30" s="132">
        <v>137.5</v>
      </c>
      <c r="B30" s="135">
        <v>859.65</v>
      </c>
      <c r="C30" s="135">
        <v>851.27</v>
      </c>
      <c r="D30" s="135">
        <v>824.89</v>
      </c>
      <c r="E30" s="135">
        <v>767.35</v>
      </c>
      <c r="F30" s="135">
        <v>690.9</v>
      </c>
      <c r="G30" s="135">
        <v>601.52</v>
      </c>
      <c r="H30" s="135">
        <v>492.86</v>
      </c>
      <c r="I30" s="135">
        <v>430.99</v>
      </c>
      <c r="J30" s="133"/>
      <c r="K30" s="132">
        <f t="shared" si="24"/>
        <v>137.5</v>
      </c>
      <c r="L30" s="133">
        <f t="shared" si="26"/>
        <v>870.308877697842</v>
      </c>
      <c r="M30" s="133">
        <f t="shared" si="27"/>
        <v>832.82126289684</v>
      </c>
      <c r="N30" s="133">
        <f t="shared" si="28"/>
        <v>798.576545161791</v>
      </c>
      <c r="O30" s="133">
        <f t="shared" si="29"/>
        <v>767.660905423126</v>
      </c>
      <c r="P30" s="133">
        <f t="shared" si="30"/>
        <v>727.262972292435</v>
      </c>
      <c r="Q30" s="133">
        <f t="shared" si="31"/>
        <v>691.519206127067</v>
      </c>
      <c r="R30" s="133">
        <f t="shared" si="32"/>
        <v>645.317116357444</v>
      </c>
      <c r="S30" s="133">
        <f t="shared" si="33"/>
        <v>602.580422406659</v>
      </c>
      <c r="T30" s="133">
        <f t="shared" si="34"/>
        <v>547.066821978157</v>
      </c>
      <c r="U30" s="133">
        <f t="shared" si="35"/>
        <v>494.522538625946</v>
      </c>
      <c r="V30" s="133">
        <f t="shared" si="36"/>
        <v>436.860875912409</v>
      </c>
      <c r="X30" s="106" t="str">
        <f>事故释放率!A7</f>
        <v>Kr-87</v>
      </c>
      <c r="Y30" s="156">
        <f ca="1" t="array" ref="Y30">SUMPRODUCT(Y$5:Y$18,TRANSPOSE(事故释放率!$B7:$O7))</f>
        <v>6.17798114499848e-11</v>
      </c>
      <c r="Z30" s="156">
        <f ca="1" t="array" ref="Z30">SUMPRODUCT(Z$5:Z$18,TRANSPOSE(事故释放率!$B7:$O7))</f>
        <v>2.14982285390766e-10</v>
      </c>
      <c r="AA30" s="156">
        <f ca="1" t="array" ref="AA30">SUMPRODUCT(AA$5:AA$18,TRANSPOSE(事故释放率!$B7:$O7))</f>
        <v>7.349591197231e-10</v>
      </c>
      <c r="AB30" s="156">
        <f ca="1" t="array" ref="AB30">SUMPRODUCT(AB$5:AB$18,TRANSPOSE(事故释放率!$B7:$O7))</f>
        <v>3.75404727254278e-10</v>
      </c>
      <c r="AC30" s="156">
        <f ca="1" t="array" ref="AC30">SUMPRODUCT(AC$5:AC$18,TRANSPOSE(事故释放率!$B7:$O7))</f>
        <v>2.48596999777903e-10</v>
      </c>
      <c r="AD30" s="156">
        <f ca="1" t="array" ref="AD30">SUMPRODUCT(AD$5:AD$18,TRANSPOSE(事故释放率!$B7:$O7))</f>
        <v>0</v>
      </c>
      <c r="AF30" s="156">
        <f ca="1">MMULT(事故释放率!$B7:$O7,Y$5:Y$18)</f>
        <v>6.17798114499848e-11</v>
      </c>
      <c r="AG30" s="156">
        <f ca="1">MMULT(事故释放率!$B7:$O7,Z$5:Z$18)</f>
        <v>2.14982285390766e-10</v>
      </c>
      <c r="AH30" s="156">
        <f ca="1">MMULT(事故释放率!$B7:$O7,AA$5:AA$18)</f>
        <v>7.349591197231e-10</v>
      </c>
      <c r="AI30" s="156">
        <f ca="1">MMULT(事故释放率!$B7:$O7,AB$5:AB$18)</f>
        <v>3.75404727254278e-10</v>
      </c>
      <c r="AJ30" s="156">
        <f ca="1">MMULT(事故释放率!$B7:$O7,AC$5:AC$18)</f>
        <v>2.48596999777903e-10</v>
      </c>
      <c r="AK30" s="156">
        <f ca="1">MMULT(事故释放率!$B7:$O7,AD$5:AD$18)</f>
        <v>0</v>
      </c>
    </row>
    <row r="31" s="91" customFormat="1" spans="1:37">
      <c r="A31" s="132">
        <v>192.5</v>
      </c>
      <c r="B31" s="135">
        <v>988.65</v>
      </c>
      <c r="C31" s="135">
        <v>978.5</v>
      </c>
      <c r="D31" s="135">
        <v>946.64</v>
      </c>
      <c r="E31" s="135">
        <v>877.47</v>
      </c>
      <c r="F31" s="135">
        <v>786.22</v>
      </c>
      <c r="G31" s="135">
        <v>680.96</v>
      </c>
      <c r="H31" s="135">
        <v>555.08</v>
      </c>
      <c r="I31" s="135">
        <v>483.93</v>
      </c>
      <c r="J31" s="133"/>
      <c r="K31" s="132">
        <f t="shared" si="24"/>
        <v>192.5</v>
      </c>
      <c r="L31" s="133">
        <f t="shared" si="26"/>
        <v>1001.56021582734</v>
      </c>
      <c r="M31" s="133">
        <f t="shared" si="27"/>
        <v>956.218848972454</v>
      </c>
      <c r="N31" s="133">
        <f t="shared" si="28"/>
        <v>915.008062718824</v>
      </c>
      <c r="O31" s="133">
        <f t="shared" si="29"/>
        <v>877.843745709378</v>
      </c>
      <c r="P31" s="133">
        <f t="shared" si="30"/>
        <v>829.622501264679</v>
      </c>
      <c r="Q31" s="133">
        <f t="shared" si="31"/>
        <v>786.959078601634</v>
      </c>
      <c r="R31" s="133">
        <f t="shared" si="32"/>
        <v>732.538479165189</v>
      </c>
      <c r="S31" s="133">
        <f t="shared" si="33"/>
        <v>682.208825940087</v>
      </c>
      <c r="T31" s="133">
        <f t="shared" si="34"/>
        <v>617.877301220415</v>
      </c>
      <c r="U31" s="133">
        <f t="shared" si="35"/>
        <v>557.006011064183</v>
      </c>
      <c r="V31" s="133">
        <f t="shared" si="36"/>
        <v>490.681459854015</v>
      </c>
      <c r="X31" s="106" t="str">
        <f>事故释放率!A8</f>
        <v>Kr-88</v>
      </c>
      <c r="Y31" s="156">
        <f ca="1" t="array" ref="Y31">SUMPRODUCT(Y$5:Y$18,TRANSPOSE(事故释放率!$B8:$O8))</f>
        <v>4.164740616655e-11</v>
      </c>
      <c r="Z31" s="156">
        <f ca="1" t="array" ref="Z31">SUMPRODUCT(Z$5:Z$18,TRANSPOSE(事故释放率!$B8:$O8))</f>
        <v>1.44656619812826e-10</v>
      </c>
      <c r="AA31" s="156">
        <f ca="1" t="array" ref="AA31">SUMPRODUCT(AA$5:AA$18,TRANSPOSE(事故释放率!$B8:$O8))</f>
        <v>4.88274079777607e-10</v>
      </c>
      <c r="AB31" s="156">
        <f ca="1" t="array" ref="AB31">SUMPRODUCT(AB$5:AB$18,TRANSPOSE(事故释放率!$B8:$O8))</f>
        <v>2.51950079161292e-10</v>
      </c>
      <c r="AC31" s="156">
        <f ca="1" t="array" ref="AC31">SUMPRODUCT(AC$5:AC$18,TRANSPOSE(事故释放率!$B8:$O8))</f>
        <v>1.67251705524257e-10</v>
      </c>
      <c r="AD31" s="156">
        <f ca="1" t="array" ref="AD31">SUMPRODUCT(AD$5:AD$18,TRANSPOSE(事故释放率!$B8:$O8))</f>
        <v>0</v>
      </c>
      <c r="AF31" s="156">
        <f ca="1">MMULT(事故释放率!$B8:$O8,Y$5:Y$18)</f>
        <v>4.164740616655e-11</v>
      </c>
      <c r="AG31" s="156">
        <f ca="1">MMULT(事故释放率!$B8:$O8,Z$5:Z$18)</f>
        <v>1.44656619812826e-10</v>
      </c>
      <c r="AH31" s="156">
        <f ca="1">MMULT(事故释放率!$B8:$O8,AA$5:AA$18)</f>
        <v>4.88274079777607e-10</v>
      </c>
      <c r="AI31" s="156">
        <f ca="1">MMULT(事故释放率!$B8:$O8,AB$5:AB$18)</f>
        <v>2.51950079161292e-10</v>
      </c>
      <c r="AJ31" s="156">
        <f ca="1">MMULT(事故释放率!$B8:$O8,AC$5:AC$18)</f>
        <v>1.67251705524257e-10</v>
      </c>
      <c r="AK31" s="156">
        <f ca="1">MMULT(事故释放率!$B8:$O8,AD$5:AD$18)</f>
        <v>0</v>
      </c>
    </row>
    <row r="32" s="91" customFormat="1" spans="1:37">
      <c r="A32" s="132">
        <v>241.5</v>
      </c>
      <c r="B32" s="135">
        <v>1093.92</v>
      </c>
      <c r="C32" s="135">
        <v>1082.53</v>
      </c>
      <c r="D32" s="135">
        <v>1046.73</v>
      </c>
      <c r="E32" s="135">
        <v>969.16</v>
      </c>
      <c r="F32" s="135">
        <v>866.96</v>
      </c>
      <c r="G32" s="135">
        <v>749.29</v>
      </c>
      <c r="H32" s="135">
        <v>609.97</v>
      </c>
      <c r="I32" s="135">
        <v>531.85</v>
      </c>
      <c r="J32" s="133"/>
      <c r="K32" s="132">
        <f t="shared" si="24"/>
        <v>241.5</v>
      </c>
      <c r="L32" s="133">
        <f t="shared" si="26"/>
        <v>1108.40742446043</v>
      </c>
      <c r="M32" s="133">
        <f t="shared" si="27"/>
        <v>1057.49342728229</v>
      </c>
      <c r="N32" s="133">
        <f t="shared" si="28"/>
        <v>1011.25668245047</v>
      </c>
      <c r="O32" s="133">
        <f t="shared" si="29"/>
        <v>969.579133362389</v>
      </c>
      <c r="P32" s="133">
        <f t="shared" si="30"/>
        <v>915.570801416441</v>
      </c>
      <c r="Q32" s="133">
        <f t="shared" si="31"/>
        <v>867.78776803383</v>
      </c>
      <c r="R32" s="133">
        <f t="shared" si="32"/>
        <v>806.949506397185</v>
      </c>
      <c r="S32" s="133">
        <f t="shared" si="33"/>
        <v>750.686060691335</v>
      </c>
      <c r="T32" s="133">
        <f t="shared" si="34"/>
        <v>679.472065507056</v>
      </c>
      <c r="U32" s="133">
        <f t="shared" si="35"/>
        <v>612.101648089148</v>
      </c>
      <c r="V32" s="133">
        <f t="shared" si="36"/>
        <v>539.262846715328</v>
      </c>
      <c r="X32" s="106" t="str">
        <f>事故释放率!A9</f>
        <v>Xe-131m</v>
      </c>
      <c r="Y32" s="156">
        <f ca="1" t="array" ref="Y32">SUMPRODUCT(Y$5:Y$18,TRANSPOSE(事故释放率!$B9:$O9))</f>
        <v>4.12163033367916e-12</v>
      </c>
      <c r="Z32" s="156">
        <f ca="1" t="array" ref="Z32">SUMPRODUCT(Z$5:Z$18,TRANSPOSE(事故释放率!$B9:$O9))</f>
        <v>1.35704394881556e-11</v>
      </c>
      <c r="AA32" s="156">
        <f ca="1" t="array" ref="AA32">SUMPRODUCT(AA$5:AA$18,TRANSPOSE(事故释放率!$B9:$O9))</f>
        <v>3.32045627428431e-11</v>
      </c>
      <c r="AB32" s="156">
        <f ca="1" t="array" ref="AB32">SUMPRODUCT(AB$5:AB$18,TRANSPOSE(事故释放率!$B9:$O9))</f>
        <v>2.18990884905156e-11</v>
      </c>
      <c r="AC32" s="156">
        <f ca="1" t="array" ref="AC32">SUMPRODUCT(AC$5:AC$18,TRANSPOSE(事故释放率!$B9:$O9))</f>
        <v>1.56259708845346e-11</v>
      </c>
      <c r="AD32" s="156">
        <f ca="1" t="array" ref="AD32">SUMPRODUCT(AD$5:AD$18,TRANSPOSE(事故释放率!$B9:$O9))</f>
        <v>0</v>
      </c>
      <c r="AF32" s="156">
        <f ca="1">MMULT(事故释放率!$B9:$O9,Y$5:Y$18)</f>
        <v>4.12163033367916e-12</v>
      </c>
      <c r="AG32" s="156">
        <f ca="1">MMULT(事故释放率!$B9:$O9,Z$5:Z$18)</f>
        <v>1.35704394881556e-11</v>
      </c>
      <c r="AH32" s="156">
        <f ca="1">MMULT(事故释放率!$B9:$O9,AA$5:AA$18)</f>
        <v>3.32045627428431e-11</v>
      </c>
      <c r="AI32" s="156">
        <f ca="1">MMULT(事故释放率!$B9:$O9,AB$5:AB$18)</f>
        <v>2.18990884905156e-11</v>
      </c>
      <c r="AJ32" s="156">
        <f ca="1">MMULT(事故释放率!$B9:$O9,AC$5:AC$18)</f>
        <v>1.56259708845346e-11</v>
      </c>
      <c r="AK32" s="156">
        <f ca="1">MMULT(事故释放率!$B9:$O9,AD$5:AD$18)</f>
        <v>0</v>
      </c>
    </row>
    <row r="33" s="91" customFormat="1" spans="1:37">
      <c r="A33" s="132">
        <v>296.5</v>
      </c>
      <c r="B33" s="135">
        <v>1190.75</v>
      </c>
      <c r="C33" s="135">
        <v>1178.19</v>
      </c>
      <c r="D33" s="135">
        <v>1138.73</v>
      </c>
      <c r="E33" s="135">
        <v>1053.39</v>
      </c>
      <c r="F33" s="135">
        <v>941.18</v>
      </c>
      <c r="G33" s="135">
        <v>811.44</v>
      </c>
      <c r="H33" s="135">
        <v>656.11</v>
      </c>
      <c r="I33" s="135">
        <v>567.77</v>
      </c>
      <c r="J33" s="133"/>
      <c r="K33" s="132">
        <f t="shared" si="24"/>
        <v>296.5</v>
      </c>
      <c r="L33" s="133">
        <f t="shared" si="26"/>
        <v>1206.7255971223</v>
      </c>
      <c r="M33" s="133">
        <f t="shared" si="27"/>
        <v>1150.59382236199</v>
      </c>
      <c r="N33" s="133">
        <f t="shared" si="28"/>
        <v>1099.70340570225</v>
      </c>
      <c r="O33" s="133">
        <f t="shared" si="29"/>
        <v>1053.85111694142</v>
      </c>
      <c r="P33" s="133">
        <f t="shared" si="30"/>
        <v>994.551996349695</v>
      </c>
      <c r="Q33" s="133">
        <f t="shared" si="31"/>
        <v>942.088843943993</v>
      </c>
      <c r="R33" s="133">
        <f t="shared" si="32"/>
        <v>875.013930143374</v>
      </c>
      <c r="S33" s="133">
        <f t="shared" si="33"/>
        <v>812.979261613783</v>
      </c>
      <c r="T33" s="133">
        <f t="shared" si="34"/>
        <v>733.598916416962</v>
      </c>
      <c r="U33" s="133">
        <f t="shared" si="35"/>
        <v>658.486607074988</v>
      </c>
      <c r="V33" s="133">
        <f t="shared" si="36"/>
        <v>576.152627737226</v>
      </c>
      <c r="X33" s="106" t="str">
        <f>事故释放率!A10</f>
        <v>Xe-133</v>
      </c>
      <c r="Y33" s="156">
        <f ca="1" t="array" ref="Y33">SUMPRODUCT(Y$5:Y$18,TRANSPOSE(事故释放率!$B10:$O10))</f>
        <v>6.22678742756518e-12</v>
      </c>
      <c r="Z33" s="156">
        <f ca="1" t="array" ref="Z33">SUMPRODUCT(Z$5:Z$18,TRANSPOSE(事故释放率!$B10:$O10))</f>
        <v>2.09165191081466e-11</v>
      </c>
      <c r="AA33" s="156">
        <f ca="1" t="array" ref="AA33">SUMPRODUCT(AA$5:AA$18,TRANSPOSE(事故释放率!$B10:$O10))</f>
        <v>5.65286580568044e-11</v>
      </c>
      <c r="AB33" s="156">
        <f ca="1" t="array" ref="AB33">SUMPRODUCT(AB$5:AB$18,TRANSPOSE(事故释放率!$B10:$O10))</f>
        <v>3.47754357880622e-11</v>
      </c>
      <c r="AC33" s="156">
        <f ca="1" t="array" ref="AC33">SUMPRODUCT(AC$5:AC$18,TRANSPOSE(事故释放率!$B10:$O10))</f>
        <v>2.4123128536224e-11</v>
      </c>
      <c r="AD33" s="156">
        <f ca="1" t="array" ref="AD33">SUMPRODUCT(AD$5:AD$18,TRANSPOSE(事故释放率!$B10:$O10))</f>
        <v>0</v>
      </c>
      <c r="AF33" s="156">
        <f ca="1">MMULT(事故释放率!$B10:$O10,Y$5:Y$18)</f>
        <v>6.22678742756518e-12</v>
      </c>
      <c r="AG33" s="156">
        <f ca="1">MMULT(事故释放率!$B10:$O10,Z$5:Z$18)</f>
        <v>2.09165191081466e-11</v>
      </c>
      <c r="AH33" s="156">
        <f ca="1">MMULT(事故释放率!$B10:$O10,AA$5:AA$18)</f>
        <v>5.65286580568044e-11</v>
      </c>
      <c r="AI33" s="156">
        <f ca="1">MMULT(事故释放率!$B10:$O10,AB$5:AB$18)</f>
        <v>3.47754357880622e-11</v>
      </c>
      <c r="AJ33" s="156">
        <f ca="1">MMULT(事故释放率!$B10:$O10,AC$5:AC$18)</f>
        <v>2.4123128536224e-11</v>
      </c>
      <c r="AK33" s="156">
        <f ca="1">MMULT(事故释放率!$B10:$O10,AD$5:AD$18)</f>
        <v>0</v>
      </c>
    </row>
    <row r="34" s="91" customFormat="1" spans="1:37">
      <c r="A34" s="132">
        <v>357.5</v>
      </c>
      <c r="B34" s="135">
        <v>1274.51</v>
      </c>
      <c r="C34" s="135">
        <v>1260.97</v>
      </c>
      <c r="D34" s="135">
        <v>1218.3</v>
      </c>
      <c r="E34" s="135">
        <v>1126.28</v>
      </c>
      <c r="F34" s="135">
        <v>1005.98</v>
      </c>
      <c r="G34" s="135">
        <v>867.9</v>
      </c>
      <c r="H34" s="135">
        <v>703.75</v>
      </c>
      <c r="I34" s="135">
        <v>610.65</v>
      </c>
      <c r="J34" s="133"/>
      <c r="K34" s="132">
        <f t="shared" si="24"/>
        <v>357.5</v>
      </c>
      <c r="L34" s="133">
        <f t="shared" si="26"/>
        <v>1291.73210071942</v>
      </c>
      <c r="M34" s="133">
        <f t="shared" si="27"/>
        <v>1231.12892296468</v>
      </c>
      <c r="N34" s="133">
        <f t="shared" si="28"/>
        <v>1176.21859377456</v>
      </c>
      <c r="O34" s="133">
        <f t="shared" si="29"/>
        <v>1126.77721093215</v>
      </c>
      <c r="P34" s="133">
        <f t="shared" si="30"/>
        <v>1063.19995509195</v>
      </c>
      <c r="Q34" s="133">
        <f t="shared" si="31"/>
        <v>1006.95436883043</v>
      </c>
      <c r="R34" s="133">
        <f t="shared" si="32"/>
        <v>935.560615648197</v>
      </c>
      <c r="S34" s="133">
        <f t="shared" si="33"/>
        <v>869.538209061439</v>
      </c>
      <c r="T34" s="133">
        <f t="shared" si="34"/>
        <v>785.63891798007</v>
      </c>
      <c r="U34" s="133">
        <f t="shared" si="35"/>
        <v>706.261556372622</v>
      </c>
      <c r="V34" s="133">
        <f t="shared" si="36"/>
        <v>619.484306569343</v>
      </c>
      <c r="X34" s="106" t="str">
        <f>事故释放率!A11</f>
        <v>Xe-133m</v>
      </c>
      <c r="Y34" s="156">
        <f ca="1" t="array" ref="Y34">SUMPRODUCT(Y$5:Y$18,TRANSPOSE(事故释放率!$B11:$O11))</f>
        <v>9.6687199394571e-12</v>
      </c>
      <c r="Z34" s="156">
        <f ca="1" t="array" ref="Z34">SUMPRODUCT(Z$5:Z$18,TRANSPOSE(事故释放率!$B11:$O11))</f>
        <v>3.29274406077992e-11</v>
      </c>
      <c r="AA34" s="156">
        <f ca="1" t="array" ref="AA34">SUMPRODUCT(AA$5:AA$18,TRANSPOSE(事故释放率!$B11:$O11))</f>
        <v>9.71788642269109e-11</v>
      </c>
      <c r="AB34" s="156">
        <f ca="1" t="array" ref="AB34">SUMPRODUCT(AB$5:AB$18,TRANSPOSE(事故释放率!$B11:$O11))</f>
        <v>5.5874180083594e-11</v>
      </c>
      <c r="AC34" s="156">
        <f ca="1" t="array" ref="AC34">SUMPRODUCT(AC$5:AC$18,TRANSPOSE(事故释放率!$B11:$O11))</f>
        <v>3.80160822955391e-11</v>
      </c>
      <c r="AD34" s="156">
        <f ca="1" t="array" ref="AD34">SUMPRODUCT(AD$5:AD$18,TRANSPOSE(事故释放率!$B11:$O11))</f>
        <v>0</v>
      </c>
      <c r="AF34" s="156">
        <f ca="1">MMULT(事故释放率!$B11:$O11,Y$5:Y$18)</f>
        <v>9.6687199394571e-12</v>
      </c>
      <c r="AG34" s="156">
        <f ca="1">MMULT(事故释放率!$B11:$O11,Z$5:Z$18)</f>
        <v>3.29274406077992e-11</v>
      </c>
      <c r="AH34" s="156">
        <f ca="1">MMULT(事故释放率!$B11:$O11,AA$5:AA$18)</f>
        <v>9.71788642269109e-11</v>
      </c>
      <c r="AI34" s="156">
        <f ca="1">MMULT(事故释放率!$B11:$O11,AB$5:AB$18)</f>
        <v>5.5874180083594e-11</v>
      </c>
      <c r="AJ34" s="156">
        <f ca="1">MMULT(事故释放率!$B11:$O11,AC$5:AC$18)</f>
        <v>3.80160822955391e-11</v>
      </c>
      <c r="AK34" s="156">
        <f ca="1">MMULT(事故释放率!$B11:$O11,AD$5:AD$18)</f>
        <v>0</v>
      </c>
    </row>
    <row r="35" s="91" customFormat="1" spans="1:37">
      <c r="A35" s="132">
        <v>412.5</v>
      </c>
      <c r="B35" s="135">
        <v>1323.12</v>
      </c>
      <c r="C35" s="135">
        <v>1309.03</v>
      </c>
      <c r="D35" s="135">
        <v>1264.62</v>
      </c>
      <c r="E35" s="135">
        <v>1168.62</v>
      </c>
      <c r="F35" s="135">
        <v>1043.51</v>
      </c>
      <c r="G35" s="135">
        <v>901.07</v>
      </c>
      <c r="H35" s="135">
        <v>732.96</v>
      </c>
      <c r="I35" s="135">
        <v>637.72</v>
      </c>
      <c r="J35" s="133"/>
      <c r="K35" s="132">
        <f t="shared" si="24"/>
        <v>412.5</v>
      </c>
      <c r="L35" s="133">
        <f t="shared" si="26"/>
        <v>1341.04166906475</v>
      </c>
      <c r="M35" s="133">
        <f t="shared" si="27"/>
        <v>1277.97206160912</v>
      </c>
      <c r="N35" s="133">
        <f t="shared" si="28"/>
        <v>1220.71851121884</v>
      </c>
      <c r="O35" s="133">
        <f t="shared" si="29"/>
        <v>1169.13871603441</v>
      </c>
      <c r="P35" s="133">
        <f t="shared" si="30"/>
        <v>1103.01780200793</v>
      </c>
      <c r="Q35" s="133">
        <f t="shared" si="31"/>
        <v>1044.52332738466</v>
      </c>
      <c r="R35" s="133">
        <f t="shared" si="32"/>
        <v>970.86706034856</v>
      </c>
      <c r="S35" s="133">
        <f t="shared" si="33"/>
        <v>902.759936983716</v>
      </c>
      <c r="T35" s="133">
        <f t="shared" si="34"/>
        <v>816.824428885955</v>
      </c>
      <c r="U35" s="133">
        <f t="shared" si="35"/>
        <v>735.532145853192</v>
      </c>
      <c r="V35" s="133">
        <f t="shared" si="36"/>
        <v>646.757372262774</v>
      </c>
      <c r="X35" s="106" t="str">
        <f>事故释放率!A12</f>
        <v>Xe-135</v>
      </c>
      <c r="Y35" s="156">
        <f ca="1" t="array" ref="Y35">SUMPRODUCT(Y$5:Y$18,TRANSPOSE(事故释放率!$B12:$O12))</f>
        <v>2.32310048121819e-11</v>
      </c>
      <c r="Z35" s="156">
        <f ca="1" t="array" ref="Z35">SUMPRODUCT(Z$5:Z$18,TRANSPOSE(事故释放率!$B12:$O12))</f>
        <v>8.02550783478437e-11</v>
      </c>
      <c r="AA35" s="156">
        <f ca="1" t="array" ref="AA35">SUMPRODUCT(AA$5:AA$18,TRANSPOSE(事故释放率!$B12:$O12))</f>
        <v>2.62953374928545e-10</v>
      </c>
      <c r="AB35" s="156">
        <f ca="1" t="array" ref="AB35">SUMPRODUCT(AB$5:AB$18,TRANSPOSE(事故释放率!$B12:$O12))</f>
        <v>1.39022029547371e-10</v>
      </c>
      <c r="AC35" s="156">
        <f ca="1" t="array" ref="AC35">SUMPRODUCT(AC$5:AC$18,TRANSPOSE(事故释放率!$B12:$O12))</f>
        <v>9.27597249675439e-11</v>
      </c>
      <c r="AD35" s="156">
        <f ca="1" t="array" ref="AD35">SUMPRODUCT(AD$5:AD$18,TRANSPOSE(事故释放率!$B12:$O12))</f>
        <v>0</v>
      </c>
      <c r="AF35" s="156">
        <f ca="1">MMULT(事故释放率!$B12:$O12,Y$5:Y$18)</f>
        <v>2.32310048121819e-11</v>
      </c>
      <c r="AG35" s="156">
        <f ca="1">MMULT(事故释放率!$B12:$O12,Z$5:Z$18)</f>
        <v>8.02550783478437e-11</v>
      </c>
      <c r="AH35" s="156">
        <f ca="1">MMULT(事故释放率!$B12:$O12,AA$5:AA$18)</f>
        <v>2.62953374928545e-10</v>
      </c>
      <c r="AI35" s="156">
        <f ca="1">MMULT(事故释放率!$B12:$O12,AB$5:AB$18)</f>
        <v>1.39022029547371e-10</v>
      </c>
      <c r="AJ35" s="156">
        <f ca="1">MMULT(事故释放率!$B12:$O12,AC$5:AC$18)</f>
        <v>9.27597249675439e-11</v>
      </c>
      <c r="AK35" s="156">
        <f ca="1">MMULT(事故释放率!$B12:$O12,AD$5:AD$18)</f>
        <v>0</v>
      </c>
    </row>
    <row r="36" s="91" customFormat="1" spans="1:37">
      <c r="A36" s="132">
        <v>467.5</v>
      </c>
      <c r="B36" s="135">
        <v>1347.08</v>
      </c>
      <c r="C36" s="135">
        <v>1332.65</v>
      </c>
      <c r="D36" s="135">
        <v>1287.24</v>
      </c>
      <c r="E36" s="135">
        <v>1189.04</v>
      </c>
      <c r="F36" s="135">
        <v>1061.34</v>
      </c>
      <c r="G36" s="135">
        <v>916.84</v>
      </c>
      <c r="H36" s="135">
        <v>747.51</v>
      </c>
      <c r="I36" s="135">
        <v>651.88</v>
      </c>
      <c r="J36" s="133"/>
      <c r="K36" s="132">
        <f t="shared" si="24"/>
        <v>467.5</v>
      </c>
      <c r="L36" s="133">
        <f t="shared" si="26"/>
        <v>1365.4341294964</v>
      </c>
      <c r="M36" s="133">
        <f t="shared" si="27"/>
        <v>1300.89271600248</v>
      </c>
      <c r="N36" s="133">
        <f t="shared" si="28"/>
        <v>1242.33243543427</v>
      </c>
      <c r="O36" s="133">
        <f t="shared" si="29"/>
        <v>1189.57060327687</v>
      </c>
      <c r="P36" s="133">
        <f t="shared" si="30"/>
        <v>1122.07971957808</v>
      </c>
      <c r="Q36" s="133">
        <f t="shared" si="31"/>
        <v>1062.37430506771</v>
      </c>
      <c r="R36" s="133">
        <f t="shared" si="32"/>
        <v>987.646481468456</v>
      </c>
      <c r="S36" s="133">
        <f t="shared" si="33"/>
        <v>918.554377240571</v>
      </c>
      <c r="T36" s="133">
        <f t="shared" si="34"/>
        <v>831.983045882212</v>
      </c>
      <c r="U36" s="133">
        <f t="shared" si="35"/>
        <v>750.100812309327</v>
      </c>
      <c r="V36" s="133">
        <f t="shared" si="36"/>
        <v>660.954379562044</v>
      </c>
      <c r="X36" s="106" t="str">
        <f>事故释放率!A13</f>
        <v>I-131</v>
      </c>
      <c r="Y36" s="156">
        <f ca="1" t="array" ref="Y36">SUMPRODUCT(Y$5:Y$18,TRANSPOSE(事故释放率!$B13:$O13))</f>
        <v>1.09415105791873e-12</v>
      </c>
      <c r="Z36" s="156">
        <f ca="1" t="array" ref="Z36">SUMPRODUCT(Z$5:Z$18,TRANSPOSE(事故释放率!$B13:$O13))</f>
        <v>1.3195002821649e-11</v>
      </c>
      <c r="AA36" s="156">
        <f ca="1" t="array" ref="AA36">SUMPRODUCT(AA$5:AA$18,TRANSPOSE(事故释放率!$B13:$O13))</f>
        <v>3.99033501106259e-11</v>
      </c>
      <c r="AB36" s="156">
        <f ca="1" t="array" ref="AB36">SUMPRODUCT(AB$5:AB$18,TRANSPOSE(事故释放率!$B13:$O13))</f>
        <v>2.42942633208222e-11</v>
      </c>
      <c r="AC36" s="156">
        <f ca="1" t="array" ref="AC36">SUMPRODUCT(AC$5:AC$18,TRANSPOSE(事故释放率!$B13:$O13))</f>
        <v>1.59738480210708e-11</v>
      </c>
      <c r="AD36" s="156">
        <f ca="1" t="array" ref="AD36">SUMPRODUCT(AD$5:AD$18,TRANSPOSE(事故释放率!$B13:$O13))</f>
        <v>0</v>
      </c>
      <c r="AF36" s="156">
        <f ca="1">MMULT(事故释放率!$B13:$O13,Y$5:Y$18)</f>
        <v>1.09415105791873e-12</v>
      </c>
      <c r="AG36" s="156">
        <f ca="1">MMULT(事故释放率!$B13:$O13,Z$5:Z$18)</f>
        <v>1.3195002821649e-11</v>
      </c>
      <c r="AH36" s="156">
        <f ca="1">MMULT(事故释放率!$B13:$O13,AA$5:AA$18)</f>
        <v>3.99033501106259e-11</v>
      </c>
      <c r="AI36" s="156">
        <f ca="1">MMULT(事故释放率!$B13:$O13,AB$5:AB$18)</f>
        <v>2.42942633208222e-11</v>
      </c>
      <c r="AJ36" s="156">
        <f ca="1">MMULT(事故释放率!$B13:$O13,AC$5:AC$18)</f>
        <v>1.59738480210708e-11</v>
      </c>
      <c r="AK36" s="156">
        <f ca="1">MMULT(事故释放率!$B13:$O13,AD$5:AD$18)</f>
        <v>0</v>
      </c>
    </row>
    <row r="37" s="91" customFormat="1" spans="1:37">
      <c r="A37" s="132">
        <v>522.5</v>
      </c>
      <c r="B37" s="135">
        <v>1349.95</v>
      </c>
      <c r="C37" s="135">
        <v>1335.3</v>
      </c>
      <c r="D37" s="135">
        <v>1289.24</v>
      </c>
      <c r="E37" s="135">
        <v>1189.68</v>
      </c>
      <c r="F37" s="135">
        <v>1060.36</v>
      </c>
      <c r="G37" s="135">
        <v>914.43</v>
      </c>
      <c r="H37" s="135">
        <v>744.58</v>
      </c>
      <c r="I37" s="135">
        <v>649.64</v>
      </c>
      <c r="J37" s="133"/>
      <c r="K37" s="132">
        <f t="shared" si="24"/>
        <v>522.5</v>
      </c>
      <c r="L37" s="133">
        <f t="shared" si="26"/>
        <v>1368.58395683453</v>
      </c>
      <c r="M37" s="133">
        <f t="shared" si="27"/>
        <v>1303.08814135817</v>
      </c>
      <c r="N37" s="133">
        <f t="shared" si="28"/>
        <v>1243.71049767654</v>
      </c>
      <c r="O37" s="133">
        <f t="shared" si="29"/>
        <v>1190.21795175402</v>
      </c>
      <c r="P37" s="133">
        <f t="shared" si="30"/>
        <v>1121.87026261423</v>
      </c>
      <c r="Q37" s="133">
        <f t="shared" si="31"/>
        <v>1061.40742624398</v>
      </c>
      <c r="R37" s="133">
        <f t="shared" si="32"/>
        <v>985.937196129355</v>
      </c>
      <c r="S37" s="133">
        <f t="shared" si="33"/>
        <v>916.161343049941</v>
      </c>
      <c r="T37" s="133">
        <f t="shared" si="34"/>
        <v>829.312456405208</v>
      </c>
      <c r="U37" s="133">
        <f t="shared" si="35"/>
        <v>747.178768503745</v>
      </c>
      <c r="V37" s="133">
        <f t="shared" si="36"/>
        <v>658.648905109489</v>
      </c>
      <c r="X37" s="106" t="str">
        <f>事故释放率!A14</f>
        <v>I-132</v>
      </c>
      <c r="Y37" s="156">
        <f ca="1" t="array" ref="Y37">SUMPRODUCT(Y$5:Y$18,TRANSPOSE(事故释放率!$B14:$O14))</f>
        <v>9.74899510660259e-12</v>
      </c>
      <c r="Z37" s="156">
        <f ca="1" t="array" ref="Z37">SUMPRODUCT(Z$5:Z$18,TRANSPOSE(事故释放率!$B14:$O14))</f>
        <v>1.24606972882033e-10</v>
      </c>
      <c r="AA37" s="156">
        <f ca="1" t="array" ref="AA37">SUMPRODUCT(AA$5:AA$18,TRANSPOSE(事故释放率!$B14:$O14))</f>
        <v>5.03563941594016e-10</v>
      </c>
      <c r="AB37" s="156">
        <f ca="1" t="array" ref="AB37">SUMPRODUCT(AB$5:AB$18,TRANSPOSE(事故释放率!$B14:$O14))</f>
        <v>2.44839817187134e-10</v>
      </c>
      <c r="AC37" s="156">
        <f ca="1" t="array" ref="AC37">SUMPRODUCT(AC$5:AC$18,TRANSPOSE(事故释放率!$B14:$O14))</f>
        <v>1.51098615556871e-10</v>
      </c>
      <c r="AD37" s="156">
        <f ca="1" t="array" ref="AD37">SUMPRODUCT(AD$5:AD$18,TRANSPOSE(事故释放率!$B14:$O14))</f>
        <v>0</v>
      </c>
      <c r="AF37" s="156">
        <f ca="1">MMULT(事故释放率!$B14:$O14,Y$5:Y$18)</f>
        <v>9.74899510660259e-12</v>
      </c>
      <c r="AG37" s="156">
        <f ca="1">MMULT(事故释放率!$B14:$O14,Z$5:Z$18)</f>
        <v>1.24606972882033e-10</v>
      </c>
      <c r="AH37" s="156">
        <f ca="1">MMULT(事故释放率!$B14:$O14,AA$5:AA$18)</f>
        <v>5.03563941594016e-10</v>
      </c>
      <c r="AI37" s="156">
        <f ca="1">MMULT(事故释放率!$B14:$O14,AB$5:AB$18)</f>
        <v>2.44839817187134e-10</v>
      </c>
      <c r="AJ37" s="156">
        <f ca="1">MMULT(事故释放率!$B14:$O14,AC$5:AC$18)</f>
        <v>1.51098615556871e-10</v>
      </c>
      <c r="AK37" s="156">
        <f ca="1">MMULT(事故释放率!$B14:$O14,AD$5:AD$18)</f>
        <v>0</v>
      </c>
    </row>
    <row r="38" s="91" customFormat="1" spans="1:37">
      <c r="A38" s="132">
        <v>577.5</v>
      </c>
      <c r="B38" s="135">
        <v>1336.7</v>
      </c>
      <c r="C38" s="135">
        <v>1321.89</v>
      </c>
      <c r="D38" s="135">
        <v>1275.37</v>
      </c>
      <c r="E38" s="135">
        <v>1174.79</v>
      </c>
      <c r="F38" s="135">
        <v>1043.59</v>
      </c>
      <c r="G38" s="135">
        <v>893.67</v>
      </c>
      <c r="H38" s="135">
        <v>713.71</v>
      </c>
      <c r="I38" s="135">
        <v>610.22</v>
      </c>
      <c r="J38" s="133"/>
      <c r="K38" s="132">
        <f t="shared" si="24"/>
        <v>577.5</v>
      </c>
      <c r="L38" s="133">
        <f t="shared" si="26"/>
        <v>1355.5374676259</v>
      </c>
      <c r="M38" s="133">
        <f t="shared" si="27"/>
        <v>1289.35644237911</v>
      </c>
      <c r="N38" s="133">
        <f t="shared" si="28"/>
        <v>1229.37404435824</v>
      </c>
      <c r="O38" s="133">
        <f t="shared" si="29"/>
        <v>1175.33346311189</v>
      </c>
      <c r="P38" s="133">
        <f t="shared" si="30"/>
        <v>1105.99447305124</v>
      </c>
      <c r="Q38" s="133">
        <f t="shared" si="31"/>
        <v>1044.65265328805</v>
      </c>
      <c r="R38" s="133">
        <f t="shared" si="32"/>
        <v>967.132337036339</v>
      </c>
      <c r="S38" s="133">
        <f t="shared" si="33"/>
        <v>895.448681217345</v>
      </c>
      <c r="T38" s="133">
        <f t="shared" si="34"/>
        <v>803.4859956119</v>
      </c>
      <c r="U38" s="133">
        <f t="shared" si="35"/>
        <v>716.463455283686</v>
      </c>
      <c r="V38" s="133">
        <f t="shared" si="36"/>
        <v>620.040218978102</v>
      </c>
      <c r="X38" s="106" t="str">
        <f>事故释放率!A15</f>
        <v>I-133</v>
      </c>
      <c r="Y38" s="156">
        <f ca="1" t="array" ref="Y38">SUMPRODUCT(Y$5:Y$18,TRANSPOSE(事故释放率!$B15:$O15))</f>
        <v>3.32954905035366e-12</v>
      </c>
      <c r="Z38" s="156">
        <f ca="1" t="array" ref="Z38">SUMPRODUCT(Z$5:Z$18,TRANSPOSE(事故释放率!$B15:$O15))</f>
        <v>4.19664753982052e-11</v>
      </c>
      <c r="AA38" s="156">
        <f ca="1" t="array" ref="AA38">SUMPRODUCT(AA$5:AA$18,TRANSPOSE(事故释放率!$B15:$O15))</f>
        <v>1.57192586536745e-10</v>
      </c>
      <c r="AB38" s="156">
        <f ca="1" t="array" ref="AB38">SUMPRODUCT(AB$5:AB$18,TRANSPOSE(事故释放率!$B15:$O15))</f>
        <v>8.12322328306491e-11</v>
      </c>
      <c r="AC38" s="156">
        <f ca="1" t="array" ref="AC38">SUMPRODUCT(AC$5:AC$18,TRANSPOSE(事故释放率!$B15:$O15))</f>
        <v>5.08688643089838e-11</v>
      </c>
      <c r="AD38" s="156">
        <f ca="1" t="array" ref="AD38">SUMPRODUCT(AD$5:AD$18,TRANSPOSE(事故释放率!$B15:$O15))</f>
        <v>0</v>
      </c>
      <c r="AF38" s="156">
        <f ca="1">MMULT(事故释放率!$B15:$O15,Y$5:Y$18)</f>
        <v>3.32954905035366e-12</v>
      </c>
      <c r="AG38" s="156">
        <f ca="1">MMULT(事故释放率!$B15:$O15,Z$5:Z$18)</f>
        <v>4.19664753982052e-11</v>
      </c>
      <c r="AH38" s="156">
        <f ca="1">MMULT(事故释放率!$B15:$O15,AA$5:AA$18)</f>
        <v>1.57192586536745e-10</v>
      </c>
      <c r="AI38" s="156">
        <f ca="1">MMULT(事故释放率!$B15:$O15,AB$5:AB$18)</f>
        <v>8.12322328306491e-11</v>
      </c>
      <c r="AJ38" s="156">
        <f ca="1">MMULT(事故释放率!$B15:$O15,AC$5:AC$18)</f>
        <v>5.08688643089838e-11</v>
      </c>
      <c r="AK38" s="156">
        <f ca="1">MMULT(事故释放率!$B15:$O15,AD$5:AD$18)</f>
        <v>0</v>
      </c>
    </row>
    <row r="39" s="91" customFormat="1" spans="1:37">
      <c r="A39" s="132">
        <v>632.5</v>
      </c>
      <c r="B39" s="135">
        <v>1313.45</v>
      </c>
      <c r="C39" s="135">
        <v>1298.82</v>
      </c>
      <c r="D39" s="135">
        <v>1252.78</v>
      </c>
      <c r="E39" s="135">
        <v>1153.39</v>
      </c>
      <c r="F39" s="135">
        <v>1023.8</v>
      </c>
      <c r="G39" s="135">
        <v>875.7</v>
      </c>
      <c r="H39" s="135">
        <v>699.09</v>
      </c>
      <c r="I39" s="135">
        <v>598.78</v>
      </c>
      <c r="J39" s="133"/>
      <c r="K39" s="132">
        <f t="shared" si="24"/>
        <v>632.5</v>
      </c>
      <c r="L39" s="133">
        <f t="shared" si="26"/>
        <v>1332.05851798561</v>
      </c>
      <c r="M39" s="133">
        <f t="shared" si="27"/>
        <v>1266.6221282703</v>
      </c>
      <c r="N39" s="133">
        <f t="shared" si="28"/>
        <v>1207.32823989625</v>
      </c>
      <c r="O39" s="133">
        <f t="shared" si="29"/>
        <v>1153.92703319438</v>
      </c>
      <c r="P39" s="133">
        <f t="shared" si="30"/>
        <v>1085.43868645359</v>
      </c>
      <c r="Q39" s="133">
        <f t="shared" si="31"/>
        <v>1024.84961310669</v>
      </c>
      <c r="R39" s="133">
        <f t="shared" si="32"/>
        <v>948.270518377013</v>
      </c>
      <c r="S39" s="133">
        <f t="shared" si="33"/>
        <v>877.457088369056</v>
      </c>
      <c r="T39" s="133">
        <f t="shared" si="34"/>
        <v>787.194793204143</v>
      </c>
      <c r="U39" s="133">
        <f t="shared" si="35"/>
        <v>701.792199031183</v>
      </c>
      <c r="V39" s="133">
        <f t="shared" si="36"/>
        <v>608.298467153284</v>
      </c>
      <c r="X39" s="106" t="str">
        <f>事故释放率!A16</f>
        <v>I-134</v>
      </c>
      <c r="Y39" s="156">
        <f ca="1" t="array" ref="Y39">SUMPRODUCT(Y$5:Y$18,TRANSPOSE(事故释放率!$B16:$O16))</f>
        <v>1.50380108028672e-11</v>
      </c>
      <c r="Z39" s="156">
        <f ca="1" t="array" ref="Z39">SUMPRODUCT(Z$5:Z$18,TRANSPOSE(事故释放率!$B16:$O16))</f>
        <v>1.92715186319396e-10</v>
      </c>
      <c r="AA39" s="156">
        <f ca="1" t="array" ref="AA39">SUMPRODUCT(AA$5:AA$18,TRANSPOSE(事故释放率!$B16:$O16))</f>
        <v>7.89480860806729e-10</v>
      </c>
      <c r="AB39" s="156">
        <f ca="1" t="array" ref="AB39">SUMPRODUCT(AB$5:AB$18,TRANSPOSE(事故释放率!$B16:$O16))</f>
        <v>3.79718955846351e-10</v>
      </c>
      <c r="AC39" s="156">
        <f ca="1" t="array" ref="AC39">SUMPRODUCT(AC$5:AC$18,TRANSPOSE(事故释放率!$B16:$O16))</f>
        <v>2.33703696008716e-10</v>
      </c>
      <c r="AD39" s="156">
        <f ca="1" t="array" ref="AD39">SUMPRODUCT(AD$5:AD$18,TRANSPOSE(事故释放率!$B16:$O16))</f>
        <v>0</v>
      </c>
      <c r="AF39" s="156">
        <f ca="1">MMULT(事故释放率!$B16:$O16,Y$5:Y$18)</f>
        <v>1.50380108028672e-11</v>
      </c>
      <c r="AG39" s="156">
        <f ca="1">MMULT(事故释放率!$B16:$O16,Z$5:Z$18)</f>
        <v>1.92715186319396e-10</v>
      </c>
      <c r="AH39" s="156">
        <f ca="1">MMULT(事故释放率!$B16:$O16,AA$5:AA$18)</f>
        <v>7.89480860806729e-10</v>
      </c>
      <c r="AI39" s="156">
        <f ca="1">MMULT(事故释放率!$B16:$O16,AB$5:AB$18)</f>
        <v>3.79718955846351e-10</v>
      </c>
      <c r="AJ39" s="156">
        <f ca="1">MMULT(事故释放率!$B16:$O16,AC$5:AC$18)</f>
        <v>2.33703696008716e-10</v>
      </c>
      <c r="AK39" s="156">
        <f ca="1">MMULT(事故释放率!$B16:$O16,AD$5:AD$18)</f>
        <v>0</v>
      </c>
    </row>
    <row r="40" s="91" customFormat="1" ht="13.5" customHeight="1" spans="1:37">
      <c r="A40" s="132">
        <v>687.5</v>
      </c>
      <c r="B40" s="135">
        <v>1283.57</v>
      </c>
      <c r="C40" s="135">
        <v>1269.34</v>
      </c>
      <c r="D40" s="135">
        <v>1224.43</v>
      </c>
      <c r="E40" s="135">
        <v>1127.67</v>
      </c>
      <c r="F40" s="135">
        <v>1001.45</v>
      </c>
      <c r="G40" s="135">
        <v>857.06</v>
      </c>
      <c r="H40" s="135">
        <v>685.31</v>
      </c>
      <c r="I40" s="135">
        <v>588.11</v>
      </c>
      <c r="J40" s="133"/>
      <c r="K40" s="132">
        <f t="shared" si="24"/>
        <v>687.5</v>
      </c>
      <c r="L40" s="133">
        <f t="shared" si="26"/>
        <v>1301.66974100719</v>
      </c>
      <c r="M40" s="133">
        <f t="shared" si="27"/>
        <v>1237.9323888058</v>
      </c>
      <c r="N40" s="133">
        <f t="shared" si="28"/>
        <v>1180.18095776599</v>
      </c>
      <c r="O40" s="133">
        <f t="shared" si="29"/>
        <v>1128.19282253635</v>
      </c>
      <c r="P40" s="133">
        <f t="shared" si="30"/>
        <v>1061.48576668085</v>
      </c>
      <c r="Q40" s="133">
        <f t="shared" si="31"/>
        <v>1002.47231782025</v>
      </c>
      <c r="R40" s="133">
        <f t="shared" si="32"/>
        <v>927.812580340695</v>
      </c>
      <c r="S40" s="133">
        <f t="shared" si="33"/>
        <v>858.773072178312</v>
      </c>
      <c r="T40" s="133">
        <f t="shared" si="34"/>
        <v>770.99030254692</v>
      </c>
      <c r="U40" s="133">
        <f t="shared" si="35"/>
        <v>687.93783921412</v>
      </c>
      <c r="V40" s="133">
        <f t="shared" si="36"/>
        <v>597.333357664234</v>
      </c>
      <c r="X40" s="106" t="str">
        <f>事故释放率!A17</f>
        <v>I-135</v>
      </c>
      <c r="Y40" s="156">
        <f ca="1" t="array" ref="Y40">SUMPRODUCT(Y$5:Y$18,TRANSPOSE(事故释放率!$B17:$O17))</f>
        <v>5.88176586292123e-12</v>
      </c>
      <c r="Z40" s="156">
        <f ca="1" t="array" ref="Z40">SUMPRODUCT(Z$5:Z$18,TRANSPOSE(事故释放率!$B17:$O17))</f>
        <v>7.48193083968061e-11</v>
      </c>
      <c r="AA40" s="156">
        <f ca="1" t="array" ref="AA40">SUMPRODUCT(AA$5:AA$18,TRANSPOSE(事故释放率!$B17:$O17))</f>
        <v>2.94802998222939e-10</v>
      </c>
      <c r="AB40" s="156">
        <f ca="1" t="array" ref="AB40">SUMPRODUCT(AB$5:AB$18,TRANSPOSE(事故释放率!$B17:$O17))</f>
        <v>1.46266387096515e-10</v>
      </c>
      <c r="AC40" s="156">
        <f ca="1" t="array" ref="AC40">SUMPRODUCT(AC$5:AC$18,TRANSPOSE(事故释放率!$B17:$O17))</f>
        <v>9.07140134598508e-11</v>
      </c>
      <c r="AD40" s="156">
        <f ca="1" t="array" ref="AD40">SUMPRODUCT(AD$5:AD$18,TRANSPOSE(事故释放率!$B17:$O17))</f>
        <v>0</v>
      </c>
      <c r="AF40" s="156">
        <f ca="1">MMULT(事故释放率!$B17:$O17,Y$5:Y$18)</f>
        <v>5.88176586292123e-12</v>
      </c>
      <c r="AG40" s="156">
        <f ca="1">MMULT(事故释放率!$B17:$O17,Z$5:Z$18)</f>
        <v>7.48193083968061e-11</v>
      </c>
      <c r="AH40" s="156">
        <f ca="1">MMULT(事故释放率!$B17:$O17,AA$5:AA$18)</f>
        <v>2.94802998222939e-10</v>
      </c>
      <c r="AI40" s="156">
        <f ca="1">MMULT(事故释放率!$B17:$O17,AB$5:AB$18)</f>
        <v>1.46266387096515e-10</v>
      </c>
      <c r="AJ40" s="156">
        <f ca="1">MMULT(事故释放率!$B17:$O17,AC$5:AC$18)</f>
        <v>9.07140134598508e-11</v>
      </c>
      <c r="AK40" s="156">
        <f ca="1">MMULT(事故释放率!$B17:$O17,AD$5:AD$18)</f>
        <v>0</v>
      </c>
    </row>
    <row r="41" s="91" customFormat="1" ht="13.5" customHeight="1" spans="1:37">
      <c r="A41" s="132">
        <v>742.5</v>
      </c>
      <c r="B41" s="135">
        <v>1248.96</v>
      </c>
      <c r="C41" s="135">
        <v>1235.19</v>
      </c>
      <c r="D41" s="135">
        <v>1191.75</v>
      </c>
      <c r="E41" s="135">
        <v>1098.26</v>
      </c>
      <c r="F41" s="135">
        <v>976.04</v>
      </c>
      <c r="G41" s="135">
        <v>835.95</v>
      </c>
      <c r="H41" s="135">
        <v>669.59</v>
      </c>
      <c r="I41" s="135">
        <v>575.69</v>
      </c>
      <c r="J41" s="133"/>
      <c r="K41" s="132">
        <f t="shared" si="24"/>
        <v>742.5</v>
      </c>
      <c r="L41" s="133">
        <f t="shared" si="26"/>
        <v>1266.47464748201</v>
      </c>
      <c r="M41" s="133">
        <f t="shared" si="27"/>
        <v>1204.81042684756</v>
      </c>
      <c r="N41" s="133">
        <f t="shared" si="28"/>
        <v>1148.9963522276</v>
      </c>
      <c r="O41" s="133">
        <f t="shared" si="29"/>
        <v>1098.76515377143</v>
      </c>
      <c r="P41" s="133">
        <f t="shared" si="30"/>
        <v>1034.17319128295</v>
      </c>
      <c r="Q41" s="133">
        <f t="shared" si="31"/>
        <v>977.029919854156</v>
      </c>
      <c r="R41" s="133">
        <f t="shared" si="32"/>
        <v>904.595536255474</v>
      </c>
      <c r="S41" s="133">
        <f t="shared" si="33"/>
        <v>837.612056108177</v>
      </c>
      <c r="T41" s="133">
        <f t="shared" si="34"/>
        <v>752.581412702799</v>
      </c>
      <c r="U41" s="133">
        <f t="shared" si="35"/>
        <v>672.1353701989</v>
      </c>
      <c r="V41" s="133">
        <f t="shared" si="36"/>
        <v>584.600218978102</v>
      </c>
      <c r="X41" s="106" t="str">
        <f>事故释放率!A18</f>
        <v>Sr-89</v>
      </c>
      <c r="Y41" s="156">
        <f ca="1" t="array" ref="Y41">SUMPRODUCT(Y$5:Y$18,TRANSPOSE(事故释放率!$B18:$O18))</f>
        <v>1.7472115825e-17</v>
      </c>
      <c r="Z41" s="156">
        <f ca="1" t="array" ref="Z41">SUMPRODUCT(Z$5:Z$18,TRANSPOSE(事故释放率!$B18:$O18))</f>
        <v>1.8199409569035e-14</v>
      </c>
      <c r="AA41" s="156">
        <f ca="1" t="array" ref="AA41">SUMPRODUCT(AA$5:AA$18,TRANSPOSE(事故释放率!$B18:$O18))</f>
        <v>9.134484240019e-14</v>
      </c>
      <c r="AB41" s="156">
        <f ca="1" t="array" ref="AB41">SUMPRODUCT(AB$5:AB$18,TRANSPOSE(事故释放率!$B18:$O18))</f>
        <v>4.8226223801025e-14</v>
      </c>
      <c r="AC41" s="156">
        <f ca="1" t="array" ref="AC41">SUMPRODUCT(AC$5:AC$18,TRANSPOSE(事故释放率!$B18:$O18))</f>
        <v>2.2708175942195e-14</v>
      </c>
      <c r="AD41" s="156">
        <f ca="1" t="array" ref="AD41">SUMPRODUCT(AD$5:AD$18,TRANSPOSE(事故释放率!$B18:$O18))</f>
        <v>0</v>
      </c>
      <c r="AF41" s="156">
        <f ca="1">MMULT(事故释放率!$B18:$O18,Y$5:Y$18)</f>
        <v>1.7472115825e-17</v>
      </c>
      <c r="AG41" s="156">
        <f ca="1">MMULT(事故释放率!$B18:$O18,Z$5:Z$18)</f>
        <v>1.8199409569035e-14</v>
      </c>
      <c r="AH41" s="156">
        <f ca="1">MMULT(事故释放率!$B18:$O18,AA$5:AA$18)</f>
        <v>9.134484240019e-14</v>
      </c>
      <c r="AI41" s="156">
        <f ca="1">MMULT(事故释放率!$B18:$O18,AB$5:AB$18)</f>
        <v>4.8226223801025e-14</v>
      </c>
      <c r="AJ41" s="156">
        <f ca="1">MMULT(事故释放率!$B18:$O18,AC$5:AC$18)</f>
        <v>2.2708175942195e-14</v>
      </c>
      <c r="AK41" s="156">
        <f ca="1">MMULT(事故释放率!$B18:$O18,AD$5:AD$18)</f>
        <v>0</v>
      </c>
    </row>
    <row r="42" s="91" customFormat="1" spans="1:37">
      <c r="A42" s="132">
        <v>797.5</v>
      </c>
      <c r="B42" s="135">
        <v>1211.48</v>
      </c>
      <c r="C42" s="135">
        <v>1198.22</v>
      </c>
      <c r="D42" s="135">
        <v>1156.52</v>
      </c>
      <c r="E42" s="135">
        <v>1066.56</v>
      </c>
      <c r="F42" s="135">
        <v>948.58</v>
      </c>
      <c r="G42" s="135">
        <v>813.11</v>
      </c>
      <c r="H42" s="135">
        <v>652.49</v>
      </c>
      <c r="I42" s="135">
        <v>562.05</v>
      </c>
      <c r="J42" s="133"/>
      <c r="K42" s="132">
        <f t="shared" si="24"/>
        <v>797.5</v>
      </c>
      <c r="L42" s="133">
        <f t="shared" si="26"/>
        <v>1228.34595683453</v>
      </c>
      <c r="M42" s="133">
        <f t="shared" si="27"/>
        <v>1169.05728820312</v>
      </c>
      <c r="N42" s="133">
        <f t="shared" si="28"/>
        <v>1115.38064655465</v>
      </c>
      <c r="O42" s="133">
        <f t="shared" si="29"/>
        <v>1067.04608015058</v>
      </c>
      <c r="P42" s="133">
        <f t="shared" si="30"/>
        <v>1004.69646136117</v>
      </c>
      <c r="Q42" s="133">
        <f t="shared" si="31"/>
        <v>949.535578010091</v>
      </c>
      <c r="R42" s="133">
        <f t="shared" si="32"/>
        <v>879.491688889494</v>
      </c>
      <c r="S42" s="133">
        <f t="shared" si="33"/>
        <v>814.717243493288</v>
      </c>
      <c r="T42" s="133">
        <f t="shared" si="34"/>
        <v>732.617919622046</v>
      </c>
      <c r="U42" s="133">
        <f t="shared" si="35"/>
        <v>654.947546052821</v>
      </c>
      <c r="V42" s="133">
        <f t="shared" si="36"/>
        <v>570.631897810219</v>
      </c>
      <c r="X42" s="106" t="str">
        <f>事故释放率!A19</f>
        <v>Sr-90</v>
      </c>
      <c r="Y42" s="156">
        <f ca="1" t="array" ref="Y42">SUMPRODUCT(Y$5:Y$18,TRANSPOSE(事故释放率!$B19:$O19))</f>
        <v>1.6751609825e-17</v>
      </c>
      <c r="Z42" s="156">
        <f ca="1" t="array" ref="Z42">SUMPRODUCT(Z$5:Z$18,TRANSPOSE(事故释放率!$B19:$O19))</f>
        <v>1.7696183283035e-14</v>
      </c>
      <c r="AA42" s="156">
        <f ca="1" t="array" ref="AA42">SUMPRODUCT(AA$5:AA$18,TRANSPOSE(事故释放率!$B19:$O19))</f>
        <v>9.088372222619e-14</v>
      </c>
      <c r="AB42" s="156">
        <f ca="1" t="array" ref="AB42">SUMPRODUCT(AB$5:AB$18,TRANSPOSE(事故释放率!$B19:$O19))</f>
        <v>4.7485323807025e-14</v>
      </c>
      <c r="AC42" s="156">
        <f ca="1" t="array" ref="AC42">SUMPRODUCT(AC$5:AC$18,TRANSPOSE(事故释放率!$B19:$O19))</f>
        <v>2.2081254770195e-14</v>
      </c>
      <c r="AD42" s="156">
        <f ca="1" t="array" ref="AD42">SUMPRODUCT(AD$5:AD$18,TRANSPOSE(事故释放率!$B19:$O19))</f>
        <v>0</v>
      </c>
      <c r="AF42" s="156">
        <f ca="1">MMULT(事故释放率!$B19:$O19,Y$5:Y$18)</f>
        <v>1.6751609825e-17</v>
      </c>
      <c r="AG42" s="156">
        <f ca="1">MMULT(事故释放率!$B19:$O19,Z$5:Z$18)</f>
        <v>1.7696183283035e-14</v>
      </c>
      <c r="AH42" s="156">
        <f ca="1">MMULT(事故释放率!$B19:$O19,AA$5:AA$18)</f>
        <v>9.088372222619e-14</v>
      </c>
      <c r="AI42" s="156">
        <f ca="1">MMULT(事故释放率!$B19:$O19,AB$5:AB$18)</f>
        <v>4.7485323807025e-14</v>
      </c>
      <c r="AJ42" s="156">
        <f ca="1">MMULT(事故释放率!$B19:$O19,AC$5:AC$18)</f>
        <v>2.2081254770195e-14</v>
      </c>
      <c r="AK42" s="156">
        <f ca="1">MMULT(事故释放率!$B19:$O19,AD$5:AD$18)</f>
        <v>0</v>
      </c>
    </row>
    <row r="43" s="91" customFormat="1" spans="1:37">
      <c r="A43" s="132">
        <v>852.5</v>
      </c>
      <c r="B43" s="135">
        <v>1172.54</v>
      </c>
      <c r="C43" s="135">
        <v>1159.87</v>
      </c>
      <c r="D43" s="135">
        <v>1119.95</v>
      </c>
      <c r="E43" s="135">
        <v>1033.63</v>
      </c>
      <c r="F43" s="135">
        <v>920.01</v>
      </c>
      <c r="G43" s="135">
        <v>789.38</v>
      </c>
      <c r="H43" s="135">
        <v>634.78</v>
      </c>
      <c r="I43" s="135">
        <v>547.93</v>
      </c>
      <c r="J43" s="133"/>
      <c r="K43" s="132">
        <f t="shared" si="24"/>
        <v>852.5</v>
      </c>
      <c r="L43" s="133">
        <f t="shared" si="26"/>
        <v>1188.65551079137</v>
      </c>
      <c r="M43" s="133">
        <f t="shared" si="27"/>
        <v>1131.95212338294</v>
      </c>
      <c r="N43" s="133">
        <f t="shared" si="28"/>
        <v>1080.47524467094</v>
      </c>
      <c r="O43" s="133">
        <f t="shared" si="29"/>
        <v>1034.09641216761</v>
      </c>
      <c r="P43" s="133">
        <f t="shared" si="30"/>
        <v>974.052654177456</v>
      </c>
      <c r="Q43" s="133">
        <f t="shared" si="31"/>
        <v>920.930264227043</v>
      </c>
      <c r="R43" s="133">
        <f t="shared" si="32"/>
        <v>853.390039267989</v>
      </c>
      <c r="S43" s="133">
        <f t="shared" si="33"/>
        <v>790.929820753881</v>
      </c>
      <c r="T43" s="133">
        <f t="shared" si="34"/>
        <v>711.904743951988</v>
      </c>
      <c r="U43" s="133">
        <f t="shared" si="35"/>
        <v>637.145437802055</v>
      </c>
      <c r="V43" s="133">
        <f t="shared" si="36"/>
        <v>556.171240875913</v>
      </c>
      <c r="X43" s="106" t="str">
        <f>事故释放率!A20</f>
        <v>Cs-134</v>
      </c>
      <c r="Y43" s="156">
        <f ca="1" t="array" ref="Y43">SUMPRODUCT(Y$5:Y$18,TRANSPOSE(事故释放率!$B20:$O20))</f>
        <v>2.87423225e-14</v>
      </c>
      <c r="Z43" s="156">
        <f ca="1" t="array" ref="Z43">SUMPRODUCT(Z$5:Z$18,TRANSPOSE(事故释放率!$B20:$O20))</f>
        <v>2.4991166955e-12</v>
      </c>
      <c r="AA43" s="156">
        <f ca="1" t="array" ref="AA43">SUMPRODUCT(AA$5:AA$18,TRANSPOSE(事故释放率!$B20:$O20))</f>
        <v>8.8691116422e-11</v>
      </c>
      <c r="AB43" s="156">
        <f ca="1" t="array" ref="AB43">SUMPRODUCT(AB$5:AB$18,TRANSPOSE(事故释放率!$B20:$O20))</f>
        <v>2.04080165825e-11</v>
      </c>
      <c r="AC43" s="156">
        <f ca="1" t="array" ref="AC43">SUMPRODUCT(AC$5:AC$18,TRANSPOSE(事故释放率!$B20:$O20))</f>
        <v>3.0961541285e-12</v>
      </c>
      <c r="AD43" s="156">
        <f ca="1" t="array" ref="AD43">SUMPRODUCT(AD$5:AD$18,TRANSPOSE(事故释放率!$B20:$O20))</f>
        <v>0</v>
      </c>
      <c r="AF43" s="156">
        <f ca="1">MMULT(事故释放率!$B20:$O20,Y$5:Y$18)</f>
        <v>2.87423225e-14</v>
      </c>
      <c r="AG43" s="156">
        <f ca="1">MMULT(事故释放率!$B20:$O20,Z$5:Z$18)</f>
        <v>2.4991166955e-12</v>
      </c>
      <c r="AH43" s="156">
        <f ca="1">MMULT(事故释放率!$B20:$O20,AA$5:AA$18)</f>
        <v>8.8691116422e-11</v>
      </c>
      <c r="AI43" s="156">
        <f ca="1">MMULT(事故释放率!$B20:$O20,AB$5:AB$18)</f>
        <v>2.04080165825e-11</v>
      </c>
      <c r="AJ43" s="156">
        <f ca="1">MMULT(事故释放率!$B20:$O20,AC$5:AC$18)</f>
        <v>3.0961541285e-12</v>
      </c>
      <c r="AK43" s="156">
        <f ca="1">MMULT(事故释放率!$B20:$O20,AD$5:AD$18)</f>
        <v>0</v>
      </c>
    </row>
    <row r="44" s="91" customFormat="1" spans="1:37">
      <c r="A44" s="132">
        <v>907.5</v>
      </c>
      <c r="B44" s="135">
        <v>1132.91</v>
      </c>
      <c r="C44" s="135">
        <v>1120.81</v>
      </c>
      <c r="D44" s="135">
        <v>1082.68</v>
      </c>
      <c r="E44" s="135">
        <v>1000.02</v>
      </c>
      <c r="F44" s="135">
        <v>890.82</v>
      </c>
      <c r="G44" s="135">
        <v>765.27</v>
      </c>
      <c r="H44" s="135">
        <v>617.05</v>
      </c>
      <c r="I44" s="135">
        <v>534.01</v>
      </c>
      <c r="J44" s="133"/>
      <c r="K44" s="132">
        <f t="shared" si="24"/>
        <v>907.5</v>
      </c>
      <c r="L44" s="133">
        <f t="shared" si="26"/>
        <v>1148.30050359712</v>
      </c>
      <c r="M44" s="133">
        <f t="shared" si="27"/>
        <v>1094.14395201882</v>
      </c>
      <c r="N44" s="133">
        <f t="shared" si="28"/>
        <v>1044.87898893072</v>
      </c>
      <c r="O44" s="133">
        <f t="shared" si="29"/>
        <v>1000.4666361188</v>
      </c>
      <c r="P44" s="133">
        <f t="shared" si="30"/>
        <v>942.760308362772</v>
      </c>
      <c r="Q44" s="133">
        <f t="shared" si="31"/>
        <v>891.704464474503</v>
      </c>
      <c r="R44" s="133">
        <f t="shared" si="32"/>
        <v>826.790787185915</v>
      </c>
      <c r="S44" s="133">
        <f t="shared" si="33"/>
        <v>766.759550605908</v>
      </c>
      <c r="T44" s="133">
        <f t="shared" si="34"/>
        <v>690.991976381394</v>
      </c>
      <c r="U44" s="133">
        <f t="shared" si="35"/>
        <v>619.317821416692</v>
      </c>
      <c r="V44" s="133">
        <f t="shared" si="36"/>
        <v>541.889708029197</v>
      </c>
      <c r="X44" s="106" t="str">
        <f>事故释放率!A21</f>
        <v>Cs-137</v>
      </c>
      <c r="Y44" s="156">
        <f ca="1" t="array" ref="Y44">SUMPRODUCT(Y$5:Y$18,TRANSPOSE(事故释放率!$B21:$O21))</f>
        <v>3.2230275e-14</v>
      </c>
      <c r="Z44" s="156">
        <f ca="1" t="array" ref="Z44">SUMPRODUCT(Z$5:Z$18,TRANSPOSE(事故释放率!$B21:$O21))</f>
        <v>2.835841549e-12</v>
      </c>
      <c r="AA44" s="156">
        <f ca="1" t="array" ref="AA44">SUMPRODUCT(AA$5:AA$18,TRANSPOSE(事故释放率!$B21:$O21))</f>
        <v>9.0538255041e-11</v>
      </c>
      <c r="AB44" s="156">
        <f ca="1" t="array" ref="AB44">SUMPRODUCT(AB$5:AB$18,TRANSPOSE(事故释放率!$B21:$O21))</f>
        <v>2.1415367115e-11</v>
      </c>
      <c r="AC44" s="156">
        <f ca="1" t="array" ref="AC44">SUMPRODUCT(AC$5:AC$18,TRANSPOSE(事故释放率!$B21:$O21))</f>
        <v>3.512443098e-12</v>
      </c>
      <c r="AD44" s="156">
        <f ca="1" t="array" ref="AD44">SUMPRODUCT(AD$5:AD$18,TRANSPOSE(事故释放率!$B21:$O21))</f>
        <v>0</v>
      </c>
      <c r="AF44" s="156">
        <f ca="1">MMULT(事故释放率!$B21:$O21,Y$5:Y$18)</f>
        <v>3.2230275e-14</v>
      </c>
      <c r="AG44" s="156">
        <f ca="1">MMULT(事故释放率!$B21:$O21,Z$5:Z$18)</f>
        <v>2.835841549e-12</v>
      </c>
      <c r="AH44" s="156">
        <f ca="1">MMULT(事故释放率!$B21:$O21,AA$5:AA$18)</f>
        <v>9.0538255041e-11</v>
      </c>
      <c r="AI44" s="156">
        <f ca="1">MMULT(事故释放率!$B21:$O21,AB$5:AB$18)</f>
        <v>2.1415367115e-11</v>
      </c>
      <c r="AJ44" s="156">
        <f ca="1">MMULT(事故释放率!$B21:$O21,AC$5:AC$18)</f>
        <v>3.512443098e-12</v>
      </c>
      <c r="AK44" s="156">
        <f ca="1">MMULT(事故释放率!$B21:$O21,AD$5:AD$18)</f>
        <v>0</v>
      </c>
    </row>
    <row r="45" s="91" customFormat="1" spans="1:37">
      <c r="A45" s="132">
        <v>962.5</v>
      </c>
      <c r="B45" s="135">
        <v>1091.55</v>
      </c>
      <c r="C45" s="135">
        <v>1080.01</v>
      </c>
      <c r="D45" s="135">
        <v>1043.65</v>
      </c>
      <c r="E45" s="135">
        <v>964.76</v>
      </c>
      <c r="F45" s="135">
        <v>860.4</v>
      </c>
      <c r="G45" s="135">
        <v>740.65</v>
      </c>
      <c r="H45" s="135">
        <v>599.83</v>
      </c>
      <c r="I45" s="135">
        <v>521.18</v>
      </c>
      <c r="J45" s="133"/>
      <c r="K45" s="132">
        <f t="shared" si="24"/>
        <v>962.5</v>
      </c>
      <c r="L45" s="133">
        <f t="shared" si="26"/>
        <v>1106.22821582734</v>
      </c>
      <c r="M45" s="133">
        <f t="shared" si="27"/>
        <v>1054.58179374257</v>
      </c>
      <c r="N45" s="133">
        <f t="shared" si="28"/>
        <v>1007.57303697973</v>
      </c>
      <c r="O45" s="133">
        <f t="shared" si="29"/>
        <v>965.186265707862</v>
      </c>
      <c r="P45" s="133">
        <f t="shared" si="30"/>
        <v>910.038192131309</v>
      </c>
      <c r="Q45" s="133">
        <f t="shared" si="31"/>
        <v>861.245262935524</v>
      </c>
      <c r="R45" s="133">
        <f t="shared" si="32"/>
        <v>799.328727722129</v>
      </c>
      <c r="S45" s="133">
        <f t="shared" si="33"/>
        <v>742.070738232238</v>
      </c>
      <c r="T45" s="133">
        <f t="shared" si="34"/>
        <v>670.080365092619</v>
      </c>
      <c r="U45" s="133">
        <f t="shared" si="35"/>
        <v>601.98459864997</v>
      </c>
      <c r="V45" s="133">
        <f t="shared" si="36"/>
        <v>528.643138686131</v>
      </c>
      <c r="X45" s="106" t="str">
        <f>事故释放率!A22</f>
        <v>Ag-110m</v>
      </c>
      <c r="Y45" s="156">
        <f ca="1" t="array" ref="Y45">SUMPRODUCT(Y$5:Y$18,TRANSPOSE(事故释放率!$B22:$O22))</f>
        <v>2.37048625e-12</v>
      </c>
      <c r="Z45" s="156">
        <f ca="1" t="array" ref="Z45">SUMPRODUCT(Z$5:Z$18,TRANSPOSE(事故释放率!$B22:$O22))</f>
        <v>7.1280140195e-10</v>
      </c>
      <c r="AA45" s="156">
        <f ca="1" t="array" ref="AA45">SUMPRODUCT(AA$5:AA$18,TRANSPOSE(事故释放率!$B22:$O22))</f>
        <v>2.2264979413e-9</v>
      </c>
      <c r="AB45" s="156">
        <f ca="1" t="array" ref="AB45">SUMPRODUCT(AB$5:AB$18,TRANSPOSE(事故释放率!$B22:$O22))</f>
        <v>1.18537210325e-9</v>
      </c>
      <c r="AC45" s="156">
        <f ca="1" t="array" ref="AC45">SUMPRODUCT(AC$5:AC$18,TRANSPOSE(事故释放率!$B22:$O22))</f>
        <v>8.8453183515e-10</v>
      </c>
      <c r="AD45" s="156">
        <f ca="1" t="array" ref="AD45">SUMPRODUCT(AD$5:AD$18,TRANSPOSE(事故释放率!$B22:$O22))</f>
        <v>0</v>
      </c>
      <c r="AF45" s="156">
        <f ca="1">MMULT(事故释放率!$B22:$O22,Y$5:Y$18)</f>
        <v>2.37048625e-12</v>
      </c>
      <c r="AG45" s="156">
        <f ca="1">MMULT(事故释放率!$B22:$O22,Z$5:Z$18)</f>
        <v>7.1280140195e-10</v>
      </c>
      <c r="AH45" s="156">
        <f ca="1">MMULT(事故释放率!$B22:$O22,AA$5:AA$18)</f>
        <v>2.2264979413e-9</v>
      </c>
      <c r="AI45" s="156">
        <f ca="1">MMULT(事故释放率!$B22:$O22,AB$5:AB$18)</f>
        <v>1.18537210325e-9</v>
      </c>
      <c r="AJ45" s="156">
        <f ca="1">MMULT(事故释放率!$B22:$O22,AC$5:AC$18)</f>
        <v>8.8453183515e-10</v>
      </c>
      <c r="AK45" s="156">
        <f ca="1">MMULT(事故释放率!$B22:$O22,AD$5:AD$18)</f>
        <v>0</v>
      </c>
    </row>
    <row r="46" s="91" customFormat="1" spans="1:37">
      <c r="A46" s="132">
        <v>1017.5</v>
      </c>
      <c r="B46" s="135">
        <v>1033.78</v>
      </c>
      <c r="C46" s="135">
        <v>1022.74</v>
      </c>
      <c r="D46" s="135">
        <v>988.67</v>
      </c>
      <c r="E46" s="135">
        <v>915.49</v>
      </c>
      <c r="F46" s="135">
        <v>819.39</v>
      </c>
      <c r="G46" s="135">
        <v>709.79</v>
      </c>
      <c r="H46" s="135">
        <v>581.49</v>
      </c>
      <c r="I46" s="135">
        <v>509.92</v>
      </c>
      <c r="J46" s="133"/>
      <c r="K46" s="132">
        <f t="shared" si="24"/>
        <v>1017.5</v>
      </c>
      <c r="L46" s="133">
        <f t="shared" si="26"/>
        <v>1047.82224460432</v>
      </c>
      <c r="M46" s="133">
        <f t="shared" si="27"/>
        <v>998.91329518178</v>
      </c>
      <c r="N46" s="133">
        <f t="shared" si="28"/>
        <v>955.20426094786</v>
      </c>
      <c r="O46" s="133">
        <f t="shared" si="29"/>
        <v>915.885412910399</v>
      </c>
      <c r="P46" s="133">
        <f t="shared" si="30"/>
        <v>865.099373934637</v>
      </c>
      <c r="Q46" s="133">
        <f t="shared" si="31"/>
        <v>820.168361135529</v>
      </c>
      <c r="R46" s="133">
        <f t="shared" si="32"/>
        <v>763.495123660504</v>
      </c>
      <c r="S46" s="133">
        <f t="shared" si="33"/>
        <v>711.090316578315</v>
      </c>
      <c r="T46" s="133">
        <f t="shared" si="34"/>
        <v>645.494557885123</v>
      </c>
      <c r="U46" s="133">
        <f t="shared" si="35"/>
        <v>583.453037968976</v>
      </c>
      <c r="V46" s="133">
        <f t="shared" si="36"/>
        <v>516.711313868613</v>
      </c>
      <c r="X46" s="106" t="str">
        <f>事故释放率!A23</f>
        <v>H-3</v>
      </c>
      <c r="Y46" s="156">
        <f ca="1" t="array" ref="Y46">SUMPRODUCT(Y$5:Y$18,TRANSPOSE(事故释放率!$B23:$O23))</f>
        <v>0</v>
      </c>
      <c r="Z46" s="156">
        <f ca="1" t="array" ref="Z46">SUMPRODUCT(Z$5:Z$18,TRANSPOSE(事故释放率!$B23:$O23))</f>
        <v>0</v>
      </c>
      <c r="AA46" s="156">
        <f ca="1" t="array" ref="AA46">SUMPRODUCT(AA$5:AA$18,TRANSPOSE(事故释放率!$B23:$O23))</f>
        <v>0</v>
      </c>
      <c r="AB46" s="156">
        <f ca="1" t="array" ref="AB46">SUMPRODUCT(AB$5:AB$18,TRANSPOSE(事故释放率!$B23:$O23))</f>
        <v>0</v>
      </c>
      <c r="AC46" s="156">
        <f ca="1" t="array" ref="AC46">SUMPRODUCT(AC$5:AC$18,TRANSPOSE(事故释放率!$B23:$O23))</f>
        <v>0</v>
      </c>
      <c r="AD46" s="156">
        <f ca="1" t="array" ref="AD46">SUMPRODUCT(AD$5:AD$18,TRANSPOSE(事故释放率!$B23:$O23))</f>
        <v>0</v>
      </c>
      <c r="AF46" s="156">
        <f ca="1">MMULT(事故释放率!$B23:$O23,Y$5:Y$18)</f>
        <v>0</v>
      </c>
      <c r="AG46" s="156">
        <f ca="1">MMULT(事故释放率!$B23:$O23,Z$5:Z$18)</f>
        <v>0</v>
      </c>
      <c r="AH46" s="156">
        <f ca="1">MMULT(事故释放率!$B23:$O23,AA$5:AA$18)</f>
        <v>0</v>
      </c>
      <c r="AI46" s="156">
        <f ca="1">MMULT(事故释放率!$B23:$O23,AB$5:AB$18)</f>
        <v>0</v>
      </c>
      <c r="AJ46" s="156">
        <f ca="1">MMULT(事故释放率!$B23:$O23,AC$5:AC$18)</f>
        <v>0</v>
      </c>
      <c r="AK46" s="156">
        <f ca="1">MMULT(事故释放率!$B23:$O23,AD$5:AD$18)</f>
        <v>0</v>
      </c>
    </row>
    <row r="47" s="91" customFormat="1" spans="1:37">
      <c r="A47" s="132">
        <v>1072.5</v>
      </c>
      <c r="B47" s="135">
        <v>888.76</v>
      </c>
      <c r="C47" s="135">
        <v>874.88</v>
      </c>
      <c r="D47" s="135">
        <v>845.85</v>
      </c>
      <c r="E47" s="135">
        <v>789.55</v>
      </c>
      <c r="F47" s="135">
        <v>719.88</v>
      </c>
      <c r="G47" s="135">
        <v>643.05</v>
      </c>
      <c r="H47" s="135">
        <v>552.99</v>
      </c>
      <c r="I47" s="135">
        <v>500.81</v>
      </c>
      <c r="J47" s="133"/>
      <c r="K47" s="132">
        <f t="shared" si="24"/>
        <v>1072.5</v>
      </c>
      <c r="L47" s="133">
        <f t="shared" si="26"/>
        <v>906.414561151079</v>
      </c>
      <c r="M47" s="133">
        <f t="shared" si="27"/>
        <v>854.577997039245</v>
      </c>
      <c r="N47" s="133">
        <f t="shared" si="28"/>
        <v>820.103606058548</v>
      </c>
      <c r="O47" s="133">
        <f t="shared" si="29"/>
        <v>789.854205341015</v>
      </c>
      <c r="P47" s="133">
        <f t="shared" si="30"/>
        <v>753.018106992988</v>
      </c>
      <c r="Q47" s="133">
        <f t="shared" si="31"/>
        <v>720.44429157453</v>
      </c>
      <c r="R47" s="133">
        <f t="shared" si="32"/>
        <v>680.697487690114</v>
      </c>
      <c r="S47" s="133">
        <f t="shared" si="33"/>
        <v>643.96152666708</v>
      </c>
      <c r="T47" s="133">
        <f t="shared" si="34"/>
        <v>597.91790711718</v>
      </c>
      <c r="U47" s="133">
        <f t="shared" si="35"/>
        <v>554.367951671753</v>
      </c>
      <c r="V47" s="133">
        <f t="shared" si="36"/>
        <v>505.761386861314</v>
      </c>
      <c r="X47" s="106" t="str">
        <f>事故释放率!A24</f>
        <v>C-14</v>
      </c>
      <c r="Y47" s="156">
        <f ca="1" t="array" ref="Y47">SUMPRODUCT(Y$5:Y$18,TRANSPOSE(事故释放率!$B24:$O24))</f>
        <v>0</v>
      </c>
      <c r="Z47" s="156">
        <f ca="1" t="array" ref="Z47">SUMPRODUCT(Z$5:Z$18,TRANSPOSE(事故释放率!$B24:$O24))</f>
        <v>0</v>
      </c>
      <c r="AA47" s="156">
        <f ca="1" t="array" ref="AA47">SUMPRODUCT(AA$5:AA$18,TRANSPOSE(事故释放率!$B24:$O24))</f>
        <v>0</v>
      </c>
      <c r="AB47" s="156">
        <f ca="1" t="array" ref="AB47">SUMPRODUCT(AB$5:AB$18,TRANSPOSE(事故释放率!$B24:$O24))</f>
        <v>0</v>
      </c>
      <c r="AC47" s="156">
        <f ca="1" t="array" ref="AC47">SUMPRODUCT(AC$5:AC$18,TRANSPOSE(事故释放率!$B24:$O24))</f>
        <v>0</v>
      </c>
      <c r="AD47" s="156">
        <f ca="1" t="array" ref="AD47">SUMPRODUCT(AD$5:AD$18,TRANSPOSE(事故释放率!$B24:$O24))</f>
        <v>0</v>
      </c>
      <c r="AF47" s="156">
        <f ca="1">MMULT(事故释放率!$B24:$O24,Y$5:Y$18)</f>
        <v>0</v>
      </c>
      <c r="AG47" s="156">
        <f ca="1">MMULT(事故释放率!$B24:$O24,Z$5:Z$18)</f>
        <v>0</v>
      </c>
      <c r="AH47" s="156">
        <f ca="1">MMULT(事故释放率!$B24:$O24,AA$5:AA$18)</f>
        <v>0</v>
      </c>
      <c r="AI47" s="156">
        <f ca="1">MMULT(事故释放率!$B24:$O24,AB$5:AB$18)</f>
        <v>0</v>
      </c>
      <c r="AJ47" s="156">
        <f ca="1">MMULT(事故释放率!$B24:$O24,AC$5:AC$18)</f>
        <v>0</v>
      </c>
      <c r="AK47" s="156">
        <f ca="1">MMULT(事故释放率!$B24:$O24,AD$5:AD$18)</f>
        <v>0</v>
      </c>
    </row>
    <row r="48" s="91" customFormat="1" spans="1:37">
      <c r="A48" s="129"/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X48" s="106" t="str">
        <f>事故释放率!A25</f>
        <v>Co-60</v>
      </c>
      <c r="Y48" s="156">
        <f ca="1" t="array" ref="Y48">SUMPRODUCT(Y$5:Y$18,TRANSPOSE(事故释放率!$B25:$O25))</f>
        <v>0</v>
      </c>
      <c r="Z48" s="156">
        <f ca="1" t="array" ref="Z48">SUMPRODUCT(Z$5:Z$18,TRANSPOSE(事故释放率!$B25:$O25))</f>
        <v>0</v>
      </c>
      <c r="AA48" s="156">
        <f ca="1" t="array" ref="AA48">SUMPRODUCT(AA$5:AA$18,TRANSPOSE(事故释放率!$B25:$O25))</f>
        <v>0</v>
      </c>
      <c r="AB48" s="156">
        <f ca="1" t="array" ref="AB48">SUMPRODUCT(AB$5:AB$18,TRANSPOSE(事故释放率!$B25:$O25))</f>
        <v>0</v>
      </c>
      <c r="AC48" s="156">
        <f ca="1" t="array" ref="AC48">SUMPRODUCT(AC$5:AC$18,TRANSPOSE(事故释放率!$B25:$O25))</f>
        <v>0</v>
      </c>
      <c r="AD48" s="156">
        <f ca="1" t="array" ref="AD48">SUMPRODUCT(AD$5:AD$18,TRANSPOSE(事故释放率!$B25:$O25))</f>
        <v>0</v>
      </c>
      <c r="AF48" s="156">
        <f ca="1">MMULT(事故释放率!$B25:$O25,Y$5:Y$18)</f>
        <v>0</v>
      </c>
      <c r="AG48" s="156">
        <f ca="1">MMULT(事故释放率!$B25:$O25,Z$5:Z$18)</f>
        <v>0</v>
      </c>
      <c r="AH48" s="156">
        <f ca="1">MMULT(事故释放率!$B25:$O25,AA$5:AA$18)</f>
        <v>0</v>
      </c>
      <c r="AI48" s="156">
        <f ca="1">MMULT(事故释放率!$B25:$O25,AB$5:AB$18)</f>
        <v>0</v>
      </c>
      <c r="AJ48" s="156">
        <f ca="1">MMULT(事故释放率!$B25:$O25,AC$5:AC$18)</f>
        <v>0</v>
      </c>
      <c r="AK48" s="156">
        <f ca="1">MMULT(事故释放率!$B25:$O25,AD$5:AD$18)</f>
        <v>0</v>
      </c>
    </row>
    <row r="49" s="91" customFormat="1" spans="1:37">
      <c r="A49" s="129" t="s">
        <v>138</v>
      </c>
      <c r="B49" s="129"/>
      <c r="C49" s="129"/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X49" s="106" t="str">
        <f>事故释放率!A26</f>
        <v>Ar-41</v>
      </c>
      <c r="Y49" s="156">
        <f ca="1" t="array" ref="Y49">SUMPRODUCT(Y$5:Y$18,TRANSPOSE(事故释放率!$B26:$O26))</f>
        <v>0</v>
      </c>
      <c r="Z49" s="156">
        <f ca="1" t="array" ref="Z49">SUMPRODUCT(Z$5:Z$18,TRANSPOSE(事故释放率!$B26:$O26))</f>
        <v>0</v>
      </c>
      <c r="AA49" s="156">
        <f ca="1" t="array" ref="AA49">SUMPRODUCT(AA$5:AA$18,TRANSPOSE(事故释放率!$B26:$O26))</f>
        <v>0</v>
      </c>
      <c r="AB49" s="156">
        <f ca="1" t="array" ref="AB49">SUMPRODUCT(AB$5:AB$18,TRANSPOSE(事故释放率!$B26:$O26))</f>
        <v>0</v>
      </c>
      <c r="AC49" s="156">
        <f ca="1" t="array" ref="AC49">SUMPRODUCT(AC$5:AC$18,TRANSPOSE(事故释放率!$B26:$O26))</f>
        <v>0</v>
      </c>
      <c r="AD49" s="156">
        <f ca="1" t="array" ref="AD49">SUMPRODUCT(AD$5:AD$18,TRANSPOSE(事故释放率!$B26:$O26))</f>
        <v>0</v>
      </c>
      <c r="AF49" s="156">
        <f ca="1">MMULT(事故释放率!$B26:$O26,Y$5:Y$18)</f>
        <v>0</v>
      </c>
      <c r="AG49" s="156">
        <f ca="1">MMULT(事故释放率!$B26:$O26,Z$5:Z$18)</f>
        <v>0</v>
      </c>
      <c r="AH49" s="156">
        <f ca="1">MMULT(事故释放率!$B26:$O26,AA$5:AA$18)</f>
        <v>0</v>
      </c>
      <c r="AI49" s="156">
        <f ca="1">MMULT(事故释放率!$B26:$O26,AB$5:AB$18)</f>
        <v>0</v>
      </c>
      <c r="AJ49" s="156">
        <f ca="1">MMULT(事故释放率!$B26:$O26,AC$5:AC$18)</f>
        <v>0</v>
      </c>
      <c r="AK49" s="156">
        <f ca="1">MMULT(事故释放率!$B26:$O26,AD$5:AD$18)</f>
        <v>0</v>
      </c>
    </row>
    <row r="50" s="91" customFormat="1" spans="1:22">
      <c r="A50" s="132" t="s">
        <v>128</v>
      </c>
      <c r="B50" s="133">
        <v>17.68</v>
      </c>
      <c r="C50" s="133">
        <v>31.58</v>
      </c>
      <c r="D50" s="133">
        <v>54.25</v>
      </c>
      <c r="E50" s="133">
        <v>82.31</v>
      </c>
      <c r="F50" s="133">
        <v>106.26</v>
      </c>
      <c r="G50" s="133">
        <v>125.73</v>
      </c>
      <c r="H50" s="133">
        <v>142.56</v>
      </c>
      <c r="I50" s="133">
        <v>150.78</v>
      </c>
      <c r="J50" s="133"/>
      <c r="K50" s="132" t="str">
        <f t="shared" ref="K50:K70" si="37">A50</f>
        <v>R/Z[cm]</v>
      </c>
      <c r="L50" s="141">
        <v>0</v>
      </c>
      <c r="M50" s="141">
        <f t="shared" ref="M50:V50" si="38">SQRT(L50*L50+150*150/10)</f>
        <v>47.4341649025257</v>
      </c>
      <c r="N50" s="141">
        <f t="shared" si="38"/>
        <v>67.0820393249937</v>
      </c>
      <c r="O50" s="141">
        <f t="shared" si="38"/>
        <v>82.1583836257749</v>
      </c>
      <c r="P50" s="141">
        <f t="shared" si="38"/>
        <v>94.8683298050514</v>
      </c>
      <c r="Q50" s="141">
        <f t="shared" si="38"/>
        <v>106.066017177982</v>
      </c>
      <c r="R50" s="141">
        <f t="shared" si="38"/>
        <v>116.189500386223</v>
      </c>
      <c r="S50" s="141">
        <f t="shared" si="38"/>
        <v>125.499003980111</v>
      </c>
      <c r="T50" s="141">
        <f t="shared" si="38"/>
        <v>134.164078649987</v>
      </c>
      <c r="U50" s="141">
        <f t="shared" si="38"/>
        <v>142.302494707577</v>
      </c>
      <c r="V50" s="141">
        <f t="shared" si="38"/>
        <v>150</v>
      </c>
    </row>
    <row r="51" s="91" customFormat="1" spans="1:30">
      <c r="A51" s="132">
        <v>27.5</v>
      </c>
      <c r="B51" s="133">
        <v>623.83</v>
      </c>
      <c r="C51" s="133">
        <v>618.07</v>
      </c>
      <c r="D51" s="133">
        <v>600.49</v>
      </c>
      <c r="E51" s="133">
        <v>564.03</v>
      </c>
      <c r="F51" s="133">
        <v>518.04</v>
      </c>
      <c r="G51" s="133">
        <v>467.12</v>
      </c>
      <c r="H51" s="133">
        <v>409.19</v>
      </c>
      <c r="I51" s="133">
        <v>377.29</v>
      </c>
      <c r="J51" s="133"/>
      <c r="K51" s="132">
        <f t="shared" si="37"/>
        <v>27.5</v>
      </c>
      <c r="L51" s="133">
        <f t="shared" ref="L51:L70" si="39">TREND(B51:C51,B$4:C$4,L$4)</f>
        <v>631.156388489209</v>
      </c>
      <c r="M51" s="133">
        <f t="shared" ref="M51:M70" si="40">TREND(C51:D51,C$4:D$4,M$4)</f>
        <v>605.775504235271</v>
      </c>
      <c r="N51" s="133">
        <f t="shared" ref="N51:N70" si="41">TREND(D51:E51,D$4:E$4,N$4)</f>
        <v>583.816580406655</v>
      </c>
      <c r="O51" s="133">
        <f t="shared" ref="O51:O70" si="42">TREND(D51:E51,D$4:E$4,O$4)</f>
        <v>564.227004027236</v>
      </c>
      <c r="P51" s="133">
        <f t="shared" ref="P51:P70" si="43">TREND(E51:F51,E$4:F$4,P$4)</f>
        <v>539.914860637398</v>
      </c>
      <c r="Q51" s="133">
        <f t="shared" ref="Q51:Q70" si="44">TREND(E51:F51,E$4:F$4,Q$4)</f>
        <v>518.412495615223</v>
      </c>
      <c r="R51" s="133">
        <f t="shared" ref="R51:R70" si="45">TREND(F51:G51,F$4:G$4,R$4)</f>
        <v>492.07132205103</v>
      </c>
      <c r="S51" s="133">
        <f t="shared" ref="S51:S70" si="46">TREND(F51:G51,F$4:G$4,S$4)</f>
        <v>467.724125184013</v>
      </c>
      <c r="T51" s="133">
        <f t="shared" ref="T51:T70" si="47">TREND(G51:H51,G$4:H$4,T$4)</f>
        <v>438.089329994429</v>
      </c>
      <c r="U51" s="133">
        <f t="shared" ref="U51:U70" si="48">TREND(G51:H51,G$4:H$4,U$4)</f>
        <v>410.076350658946</v>
      </c>
      <c r="V51" s="133">
        <f t="shared" ref="V51:V70" si="49">TREND(H51:I51,H$4:I$4,V$4)</f>
        <v>380.31700729927</v>
      </c>
      <c r="X51" s="147" t="s">
        <v>137</v>
      </c>
      <c r="Y51" s="106"/>
      <c r="Z51" s="106" t="s">
        <v>134</v>
      </c>
      <c r="AA51" s="106" t="s">
        <v>136</v>
      </c>
      <c r="AB51" s="106" t="s">
        <v>138</v>
      </c>
      <c r="AC51" s="106" t="s">
        <v>139</v>
      </c>
      <c r="AD51" s="106" t="s">
        <v>140</v>
      </c>
    </row>
    <row r="52" s="91" customFormat="1" spans="1:30">
      <c r="A52" s="132">
        <v>82.5</v>
      </c>
      <c r="B52" s="133">
        <v>886.36</v>
      </c>
      <c r="C52" s="133">
        <v>875.99</v>
      </c>
      <c r="D52" s="133">
        <v>844.92</v>
      </c>
      <c r="E52" s="133">
        <v>781.24</v>
      </c>
      <c r="F52" s="133">
        <v>701.82</v>
      </c>
      <c r="G52" s="133">
        <v>615.01</v>
      </c>
      <c r="H52" s="133">
        <v>516.76</v>
      </c>
      <c r="I52" s="133">
        <v>462.83</v>
      </c>
      <c r="J52" s="133"/>
      <c r="K52" s="132">
        <f t="shared" si="37"/>
        <v>82.5</v>
      </c>
      <c r="L52" s="133">
        <f t="shared" si="39"/>
        <v>899.550043165468</v>
      </c>
      <c r="M52" s="133">
        <f t="shared" si="40"/>
        <v>854.261332001699</v>
      </c>
      <c r="N52" s="133">
        <f t="shared" si="41"/>
        <v>815.798679108496</v>
      </c>
      <c r="O52" s="133">
        <f t="shared" si="42"/>
        <v>781.58408163616</v>
      </c>
      <c r="P52" s="133">
        <f t="shared" si="43"/>
        <v>739.595634525379</v>
      </c>
      <c r="Q52" s="133">
        <f t="shared" si="44"/>
        <v>702.463261616896</v>
      </c>
      <c r="R52" s="133">
        <f t="shared" si="45"/>
        <v>657.547790008835</v>
      </c>
      <c r="S52" s="133">
        <f t="shared" si="46"/>
        <v>616.039931406602</v>
      </c>
      <c r="T52" s="133">
        <f t="shared" si="47"/>
        <v>565.773622854352</v>
      </c>
      <c r="U52" s="133">
        <f t="shared" si="48"/>
        <v>518.263261733842</v>
      </c>
      <c r="V52" s="133">
        <f t="shared" si="49"/>
        <v>467.947445255474</v>
      </c>
      <c r="X52" s="106" t="s">
        <v>46</v>
      </c>
      <c r="Y52" s="106"/>
      <c r="Z52" s="106"/>
      <c r="AA52" s="106"/>
      <c r="AB52" s="106"/>
      <c r="AC52" s="106"/>
      <c r="AD52" s="106"/>
    </row>
    <row r="53" s="91" customFormat="1" spans="1:30">
      <c r="A53" s="132">
        <v>137.5</v>
      </c>
      <c r="B53" s="133">
        <v>1054.33</v>
      </c>
      <c r="C53" s="133">
        <v>1041.5</v>
      </c>
      <c r="D53" s="133">
        <v>1003.08</v>
      </c>
      <c r="E53" s="133">
        <v>924.67</v>
      </c>
      <c r="F53" s="133">
        <v>827.55</v>
      </c>
      <c r="G53" s="133">
        <v>722.63</v>
      </c>
      <c r="H53" s="133">
        <v>606.1</v>
      </c>
      <c r="I53" s="133">
        <v>542.71</v>
      </c>
      <c r="J53" s="133"/>
      <c r="K53" s="132">
        <f t="shared" si="37"/>
        <v>137.5</v>
      </c>
      <c r="L53" s="133">
        <f t="shared" si="39"/>
        <v>1070.64902158273</v>
      </c>
      <c r="M53" s="133">
        <f t="shared" si="40"/>
        <v>1014.6311417929</v>
      </c>
      <c r="N53" s="133">
        <f t="shared" si="41"/>
        <v>967.222544423637</v>
      </c>
      <c r="O53" s="133">
        <f t="shared" si="42"/>
        <v>925.09367212769</v>
      </c>
      <c r="P53" s="133">
        <f t="shared" si="43"/>
        <v>873.744530661103</v>
      </c>
      <c r="Q53" s="133">
        <f t="shared" si="44"/>
        <v>828.336622616884</v>
      </c>
      <c r="R53" s="133">
        <f t="shared" si="45"/>
        <v>774.04187567938</v>
      </c>
      <c r="S53" s="133">
        <f t="shared" si="46"/>
        <v>723.874792111285</v>
      </c>
      <c r="T53" s="133">
        <f t="shared" si="47"/>
        <v>664.232900470408</v>
      </c>
      <c r="U53" s="133">
        <f t="shared" si="48"/>
        <v>607.882952568392</v>
      </c>
      <c r="V53" s="133">
        <f t="shared" si="49"/>
        <v>548.725109489051</v>
      </c>
      <c r="X53" s="106" t="s">
        <v>113</v>
      </c>
      <c r="Y53" s="106"/>
      <c r="Z53" s="106"/>
      <c r="AA53" s="106"/>
      <c r="AB53" s="106"/>
      <c r="AC53" s="106"/>
      <c r="AD53" s="106"/>
    </row>
    <row r="54" s="91" customFormat="1" spans="1:30">
      <c r="A54" s="132">
        <v>192.5</v>
      </c>
      <c r="B54" s="133">
        <v>1188.98</v>
      </c>
      <c r="C54" s="133">
        <v>1174.31</v>
      </c>
      <c r="D54" s="133">
        <v>1130.4</v>
      </c>
      <c r="E54" s="133">
        <v>1041.42</v>
      </c>
      <c r="F54" s="133">
        <v>932.5</v>
      </c>
      <c r="G54" s="133">
        <v>815.86</v>
      </c>
      <c r="H54" s="133">
        <v>688.11</v>
      </c>
      <c r="I54" s="133">
        <v>619.04</v>
      </c>
      <c r="J54" s="133"/>
      <c r="K54" s="132">
        <f t="shared" si="37"/>
        <v>192.5</v>
      </c>
      <c r="L54" s="133">
        <f t="shared" si="39"/>
        <v>1207.63939568345</v>
      </c>
      <c r="M54" s="133">
        <f t="shared" si="40"/>
        <v>1143.60173441244</v>
      </c>
      <c r="N54" s="133">
        <f t="shared" si="41"/>
        <v>1089.70880758596</v>
      </c>
      <c r="O54" s="133">
        <f t="shared" si="42"/>
        <v>1041.9007849244</v>
      </c>
      <c r="P54" s="133">
        <f t="shared" si="43"/>
        <v>984.307128084919</v>
      </c>
      <c r="Q54" s="133">
        <f t="shared" si="44"/>
        <v>933.382196616876</v>
      </c>
      <c r="R54" s="133">
        <f t="shared" si="45"/>
        <v>873.014795837237</v>
      </c>
      <c r="S54" s="133">
        <f t="shared" si="46"/>
        <v>817.243840562908</v>
      </c>
      <c r="T54" s="133">
        <f t="shared" si="47"/>
        <v>751.840181370417</v>
      </c>
      <c r="U54" s="133">
        <f t="shared" si="48"/>
        <v>690.064622763341</v>
      </c>
      <c r="V54" s="133">
        <f t="shared" si="49"/>
        <v>625.594087591241</v>
      </c>
      <c r="X54" s="106" t="s">
        <v>48</v>
      </c>
      <c r="Y54" s="106"/>
      <c r="Z54" s="106"/>
      <c r="AA54" s="106"/>
      <c r="AB54" s="106"/>
      <c r="AC54" s="106"/>
      <c r="AD54" s="106"/>
    </row>
    <row r="55" s="91" customFormat="1" spans="1:30">
      <c r="A55" s="132">
        <v>241.5</v>
      </c>
      <c r="B55" s="133">
        <v>1290.65</v>
      </c>
      <c r="C55" s="133">
        <v>1274.94</v>
      </c>
      <c r="D55" s="133">
        <v>1227.54</v>
      </c>
      <c r="E55" s="133">
        <v>1131.12</v>
      </c>
      <c r="F55" s="133">
        <v>1013.72</v>
      </c>
      <c r="G55" s="133">
        <v>889.41</v>
      </c>
      <c r="H55" s="133">
        <v>754.75</v>
      </c>
      <c r="I55" s="133">
        <v>682.3</v>
      </c>
      <c r="J55" s="133"/>
      <c r="K55" s="132">
        <f t="shared" si="37"/>
        <v>241.5</v>
      </c>
      <c r="L55" s="133">
        <f t="shared" si="39"/>
        <v>1310.63221582734</v>
      </c>
      <c r="M55" s="133">
        <f t="shared" si="40"/>
        <v>1241.79101824527</v>
      </c>
      <c r="N55" s="133">
        <f t="shared" si="41"/>
        <v>1183.44644220542</v>
      </c>
      <c r="O55" s="133">
        <f t="shared" si="42"/>
        <v>1131.64098541706</v>
      </c>
      <c r="P55" s="133">
        <f t="shared" si="43"/>
        <v>1069.56058792847</v>
      </c>
      <c r="Q55" s="133">
        <f t="shared" si="44"/>
        <v>1014.67088030501</v>
      </c>
      <c r="R55" s="133">
        <f t="shared" si="45"/>
        <v>950.323174472968</v>
      </c>
      <c r="S55" s="133">
        <f t="shared" si="46"/>
        <v>890.884838994985</v>
      </c>
      <c r="T55" s="133">
        <f t="shared" si="47"/>
        <v>821.927348127908</v>
      </c>
      <c r="U55" s="133">
        <f t="shared" si="48"/>
        <v>756.810348346861</v>
      </c>
      <c r="V55" s="133">
        <f t="shared" si="49"/>
        <v>689.174817518248</v>
      </c>
      <c r="X55" s="106" t="s">
        <v>49</v>
      </c>
      <c r="Y55" s="106"/>
      <c r="Z55" s="106"/>
      <c r="AA55" s="106"/>
      <c r="AB55" s="106"/>
      <c r="AC55" s="106"/>
      <c r="AD55" s="106"/>
    </row>
    <row r="56" s="91" customFormat="1" spans="1:30">
      <c r="A56" s="132">
        <v>296.5</v>
      </c>
      <c r="B56" s="133">
        <v>1379.36</v>
      </c>
      <c r="C56" s="133">
        <v>1362.89</v>
      </c>
      <c r="D56" s="133">
        <v>1313.21</v>
      </c>
      <c r="E56" s="133">
        <v>1211.23</v>
      </c>
      <c r="F56" s="133">
        <v>1086.19</v>
      </c>
      <c r="G56" s="133">
        <v>954.05</v>
      </c>
      <c r="H56" s="133">
        <v>810.14</v>
      </c>
      <c r="I56" s="133">
        <v>731.31</v>
      </c>
      <c r="J56" s="133"/>
      <c r="K56" s="132">
        <f t="shared" si="37"/>
        <v>296.5</v>
      </c>
      <c r="L56" s="133">
        <f t="shared" si="39"/>
        <v>1400.30889208633</v>
      </c>
      <c r="M56" s="133">
        <f t="shared" si="40"/>
        <v>1328.14651026213</v>
      </c>
      <c r="N56" s="133">
        <f t="shared" si="41"/>
        <v>1266.57381431351</v>
      </c>
      <c r="O56" s="133">
        <f t="shared" si="42"/>
        <v>1211.78102772072</v>
      </c>
      <c r="P56" s="133">
        <f t="shared" si="43"/>
        <v>1145.66450693847</v>
      </c>
      <c r="Q56" s="133">
        <f t="shared" si="44"/>
        <v>1087.20276042026</v>
      </c>
      <c r="R56" s="133">
        <f t="shared" si="45"/>
        <v>1018.79995474908</v>
      </c>
      <c r="S56" s="133">
        <f t="shared" si="46"/>
        <v>955.61773569944</v>
      </c>
      <c r="T56" s="133">
        <f t="shared" si="47"/>
        <v>881.931862238878</v>
      </c>
      <c r="U56" s="133">
        <f t="shared" si="48"/>
        <v>812.341876805264</v>
      </c>
      <c r="V56" s="133">
        <f t="shared" si="49"/>
        <v>738.790218978102</v>
      </c>
      <c r="X56" s="106" t="s">
        <v>50</v>
      </c>
      <c r="Y56" s="106"/>
      <c r="Z56" s="106"/>
      <c r="AA56" s="106"/>
      <c r="AB56" s="106"/>
      <c r="AC56" s="106"/>
      <c r="AD56" s="106"/>
    </row>
    <row r="57" s="91" customFormat="1" spans="1:30">
      <c r="A57" s="132">
        <v>357.5</v>
      </c>
      <c r="B57" s="133">
        <v>1451.36</v>
      </c>
      <c r="C57" s="133">
        <v>1434.37</v>
      </c>
      <c r="D57" s="133">
        <v>1383.1</v>
      </c>
      <c r="E57" s="133">
        <v>1277.96</v>
      </c>
      <c r="F57" s="133">
        <v>1148.27</v>
      </c>
      <c r="G57" s="133">
        <v>1011.29</v>
      </c>
      <c r="H57" s="133">
        <v>864.02</v>
      </c>
      <c r="I57" s="133">
        <v>783.61</v>
      </c>
      <c r="J57" s="133"/>
      <c r="K57" s="132">
        <f t="shared" si="37"/>
        <v>357.5</v>
      </c>
      <c r="L57" s="133">
        <f t="shared" si="39"/>
        <v>1472.97030215827</v>
      </c>
      <c r="M57" s="133">
        <f t="shared" si="40"/>
        <v>1398.51455074757</v>
      </c>
      <c r="N57" s="133">
        <f t="shared" si="41"/>
        <v>1335.01872364113</v>
      </c>
      <c r="O57" s="133">
        <f t="shared" si="42"/>
        <v>1278.52810212352</v>
      </c>
      <c r="P57" s="133">
        <f t="shared" si="43"/>
        <v>1209.95625083853</v>
      </c>
      <c r="Q57" s="133">
        <f t="shared" si="44"/>
        <v>1149.32042305585</v>
      </c>
      <c r="R57" s="133">
        <f t="shared" si="45"/>
        <v>1078.41160437058</v>
      </c>
      <c r="S57" s="133">
        <f t="shared" si="46"/>
        <v>1012.91515843885</v>
      </c>
      <c r="T57" s="133">
        <f t="shared" si="47"/>
        <v>937.488053310538</v>
      </c>
      <c r="U57" s="133">
        <f t="shared" si="48"/>
        <v>866.273286061505</v>
      </c>
      <c r="V57" s="133">
        <f t="shared" si="49"/>
        <v>791.240145985402</v>
      </c>
      <c r="X57" s="106" t="s">
        <v>51</v>
      </c>
      <c r="Y57" s="106"/>
      <c r="Z57" s="106"/>
      <c r="AA57" s="106"/>
      <c r="AB57" s="106"/>
      <c r="AC57" s="106"/>
      <c r="AD57" s="106"/>
    </row>
    <row r="58" s="91" customFormat="1" spans="1:30">
      <c r="A58" s="132">
        <v>412.5</v>
      </c>
      <c r="B58" s="133">
        <v>1488.74</v>
      </c>
      <c r="C58" s="133">
        <v>1471.53</v>
      </c>
      <c r="D58" s="133">
        <v>1419.62</v>
      </c>
      <c r="E58" s="133">
        <v>1313.39</v>
      </c>
      <c r="F58" s="133">
        <v>1182.11</v>
      </c>
      <c r="G58" s="133">
        <v>1043.44</v>
      </c>
      <c r="H58" s="133">
        <v>895.51</v>
      </c>
      <c r="I58" s="133">
        <v>814.86</v>
      </c>
      <c r="J58" s="133"/>
      <c r="K58" s="132">
        <f t="shared" si="37"/>
        <v>412.5</v>
      </c>
      <c r="L58" s="133">
        <f t="shared" si="39"/>
        <v>1510.6301294964</v>
      </c>
      <c r="M58" s="133">
        <f t="shared" si="40"/>
        <v>1435.22696955932</v>
      </c>
      <c r="N58" s="133">
        <f t="shared" si="41"/>
        <v>1371.0402588206</v>
      </c>
      <c r="O58" s="133">
        <f t="shared" si="42"/>
        <v>1313.96399171183</v>
      </c>
      <c r="P58" s="133">
        <f t="shared" si="43"/>
        <v>1244.5525245592</v>
      </c>
      <c r="Q58" s="133">
        <f t="shared" si="44"/>
        <v>1183.17330124737</v>
      </c>
      <c r="R58" s="133">
        <f t="shared" si="45"/>
        <v>1111.3897216971</v>
      </c>
      <c r="S58" s="133">
        <f t="shared" si="46"/>
        <v>1045.08520894083</v>
      </c>
      <c r="T58" s="133">
        <f t="shared" si="47"/>
        <v>969.307305128186</v>
      </c>
      <c r="U58" s="133">
        <f t="shared" si="48"/>
        <v>897.773384308266</v>
      </c>
      <c r="V58" s="133">
        <f t="shared" si="49"/>
        <v>822.512919708029</v>
      </c>
      <c r="X58" s="106" t="s">
        <v>52</v>
      </c>
      <c r="Y58" s="106"/>
      <c r="Z58" s="106"/>
      <c r="AA58" s="106"/>
      <c r="AB58" s="106"/>
      <c r="AC58" s="106"/>
      <c r="AD58" s="106"/>
    </row>
    <row r="59" s="91" customFormat="1" spans="1:30">
      <c r="A59" s="132">
        <v>467.5</v>
      </c>
      <c r="B59" s="133">
        <v>1500.6</v>
      </c>
      <c r="C59" s="133">
        <v>1483.36</v>
      </c>
      <c r="D59" s="133">
        <v>1431.35</v>
      </c>
      <c r="E59" s="133">
        <v>1325</v>
      </c>
      <c r="F59" s="133">
        <v>1193.66</v>
      </c>
      <c r="G59" s="133">
        <v>1055.16</v>
      </c>
      <c r="H59" s="133">
        <v>908.22</v>
      </c>
      <c r="I59" s="133">
        <v>828.33</v>
      </c>
      <c r="J59" s="133"/>
      <c r="K59" s="132">
        <f t="shared" si="37"/>
        <v>467.5</v>
      </c>
      <c r="L59" s="133">
        <f t="shared" si="39"/>
        <v>1522.52828776978</v>
      </c>
      <c r="M59" s="133">
        <f t="shared" si="40"/>
        <v>1446.98703499866</v>
      </c>
      <c r="N59" s="133">
        <f t="shared" si="41"/>
        <v>1382.71538195962</v>
      </c>
      <c r="O59" s="133">
        <f t="shared" si="42"/>
        <v>1325.57464010687</v>
      </c>
      <c r="P59" s="133">
        <f t="shared" si="43"/>
        <v>1256.13106319017</v>
      </c>
      <c r="Q59" s="133">
        <f t="shared" si="44"/>
        <v>1194.72378721686</v>
      </c>
      <c r="R59" s="133">
        <f t="shared" si="45"/>
        <v>1123.0264199542</v>
      </c>
      <c r="S59" s="133">
        <f t="shared" si="46"/>
        <v>1056.80319202643</v>
      </c>
      <c r="T59" s="133">
        <f t="shared" si="47"/>
        <v>981.523427401714</v>
      </c>
      <c r="U59" s="133">
        <f t="shared" si="48"/>
        <v>910.468236938124</v>
      </c>
      <c r="V59" s="133">
        <f t="shared" si="49"/>
        <v>835.910802919708</v>
      </c>
      <c r="X59" s="106" t="s">
        <v>53</v>
      </c>
      <c r="Y59" s="106"/>
      <c r="Z59" s="106"/>
      <c r="AA59" s="106"/>
      <c r="AB59" s="106"/>
      <c r="AC59" s="106"/>
      <c r="AD59" s="106"/>
    </row>
    <row r="60" s="91" customFormat="1" spans="1:30">
      <c r="A60" s="132">
        <v>522.5</v>
      </c>
      <c r="B60" s="133">
        <v>1489.21</v>
      </c>
      <c r="C60" s="133">
        <v>1471.98</v>
      </c>
      <c r="D60" s="133">
        <v>1420.02</v>
      </c>
      <c r="E60" s="133">
        <v>1313.73</v>
      </c>
      <c r="F60" s="133">
        <v>1182.59</v>
      </c>
      <c r="G60" s="133">
        <v>1044.63</v>
      </c>
      <c r="H60" s="133">
        <v>899.04</v>
      </c>
      <c r="I60" s="133">
        <v>820.68</v>
      </c>
      <c r="J60" s="133"/>
      <c r="K60" s="132">
        <f t="shared" si="37"/>
        <v>522.5</v>
      </c>
      <c r="L60" s="133">
        <f t="shared" si="39"/>
        <v>1511.12556834532</v>
      </c>
      <c r="M60" s="133">
        <f t="shared" si="40"/>
        <v>1435.64200227899</v>
      </c>
      <c r="N60" s="133">
        <f t="shared" si="41"/>
        <v>1371.41282039011</v>
      </c>
      <c r="O60" s="133">
        <f t="shared" si="42"/>
        <v>1314.30431590935</v>
      </c>
      <c r="P60" s="133">
        <f t="shared" si="43"/>
        <v>1244.96593442027</v>
      </c>
      <c r="Q60" s="133">
        <f t="shared" si="44"/>
        <v>1183.65216731856</v>
      </c>
      <c r="R60" s="133">
        <f t="shared" si="45"/>
        <v>1112.23181441791</v>
      </c>
      <c r="S60" s="133">
        <f t="shared" si="46"/>
        <v>1046.26678535716</v>
      </c>
      <c r="T60" s="133">
        <f t="shared" si="47"/>
        <v>971.669957774708</v>
      </c>
      <c r="U60" s="133">
        <f t="shared" si="48"/>
        <v>901.267581433384</v>
      </c>
      <c r="V60" s="133">
        <f t="shared" si="49"/>
        <v>828.115620437956</v>
      </c>
      <c r="X60" s="106" t="s">
        <v>54</v>
      </c>
      <c r="Y60" s="106"/>
      <c r="Z60" s="106"/>
      <c r="AA60" s="106"/>
      <c r="AB60" s="106"/>
      <c r="AC60" s="106"/>
      <c r="AD60" s="106"/>
    </row>
    <row r="61" s="91" customFormat="1" spans="1:30">
      <c r="A61" s="132">
        <v>577.5</v>
      </c>
      <c r="B61" s="133">
        <v>1459.76</v>
      </c>
      <c r="C61" s="133">
        <v>1442.56</v>
      </c>
      <c r="D61" s="133">
        <v>1390.71</v>
      </c>
      <c r="E61" s="133">
        <v>1284.34</v>
      </c>
      <c r="F61" s="133">
        <v>1152.7</v>
      </c>
      <c r="G61" s="133">
        <v>1012.84</v>
      </c>
      <c r="H61" s="133">
        <v>860.35</v>
      </c>
      <c r="I61" s="133">
        <v>775.6</v>
      </c>
      <c r="J61" s="133"/>
      <c r="K61" s="132">
        <f t="shared" si="37"/>
        <v>577.5</v>
      </c>
      <c r="L61" s="133">
        <f t="shared" si="39"/>
        <v>1481.63741007194</v>
      </c>
      <c r="M61" s="133">
        <f t="shared" si="40"/>
        <v>1406.29893029572</v>
      </c>
      <c r="N61" s="133">
        <f t="shared" si="41"/>
        <v>1342.06623581612</v>
      </c>
      <c r="O61" s="133">
        <f t="shared" si="42"/>
        <v>1284.91474817271</v>
      </c>
      <c r="P61" s="133">
        <f t="shared" si="43"/>
        <v>1215.31375634501</v>
      </c>
      <c r="Q61" s="133">
        <f t="shared" si="44"/>
        <v>1153.76621706432</v>
      </c>
      <c r="R61" s="133">
        <f t="shared" si="45"/>
        <v>1081.37283389743</v>
      </c>
      <c r="S61" s="133">
        <f t="shared" si="46"/>
        <v>1014.49932734163</v>
      </c>
      <c r="T61" s="133">
        <f t="shared" si="47"/>
        <v>936.422135868296</v>
      </c>
      <c r="U61" s="133">
        <f t="shared" si="48"/>
        <v>862.683154013165</v>
      </c>
      <c r="V61" s="133">
        <f t="shared" si="49"/>
        <v>783.64197080292</v>
      </c>
      <c r="X61" s="106" t="s">
        <v>55</v>
      </c>
      <c r="Y61" s="106"/>
      <c r="Z61" s="106"/>
      <c r="AA61" s="106"/>
      <c r="AB61" s="106"/>
      <c r="AC61" s="106"/>
      <c r="AD61" s="106"/>
    </row>
    <row r="62" s="91" customFormat="1" spans="1:30">
      <c r="A62" s="132">
        <v>632.5</v>
      </c>
      <c r="B62" s="133">
        <v>1419.44</v>
      </c>
      <c r="C62" s="133">
        <v>1402.58</v>
      </c>
      <c r="D62" s="133">
        <v>1351.7</v>
      </c>
      <c r="E62" s="133">
        <v>1247.12</v>
      </c>
      <c r="F62" s="133">
        <v>1118.23</v>
      </c>
      <c r="G62" s="133">
        <v>981.85</v>
      </c>
      <c r="H62" s="133">
        <v>833.65</v>
      </c>
      <c r="I62" s="133">
        <v>752.32</v>
      </c>
      <c r="J62" s="133"/>
      <c r="K62" s="132">
        <f t="shared" si="37"/>
        <v>632.5</v>
      </c>
      <c r="L62" s="133">
        <f t="shared" si="39"/>
        <v>1440.88494964029</v>
      </c>
      <c r="M62" s="133">
        <f t="shared" si="40"/>
        <v>1366.99729553416</v>
      </c>
      <c r="N62" s="133">
        <f t="shared" si="41"/>
        <v>1303.87481565902</v>
      </c>
      <c r="O62" s="133">
        <f t="shared" si="42"/>
        <v>1247.68507627999</v>
      </c>
      <c r="P62" s="133">
        <f t="shared" si="43"/>
        <v>1179.53573575895</v>
      </c>
      <c r="Q62" s="133">
        <f t="shared" si="44"/>
        <v>1119.27394346263</v>
      </c>
      <c r="R62" s="133">
        <f t="shared" si="45"/>
        <v>1048.67759821916</v>
      </c>
      <c r="S62" s="133">
        <f t="shared" si="46"/>
        <v>983.468039917433</v>
      </c>
      <c r="T62" s="133">
        <f t="shared" si="47"/>
        <v>907.581999053587</v>
      </c>
      <c r="U62" s="133">
        <f t="shared" si="48"/>
        <v>835.917515409215</v>
      </c>
      <c r="V62" s="133">
        <f t="shared" si="49"/>
        <v>760.037445255474</v>
      </c>
      <c r="X62" s="106" t="s">
        <v>56</v>
      </c>
      <c r="Y62" s="106"/>
      <c r="Z62" s="106"/>
      <c r="AA62" s="106"/>
      <c r="AB62" s="106"/>
      <c r="AC62" s="106"/>
      <c r="AD62" s="106"/>
    </row>
    <row r="63" s="91" customFormat="1" ht="13.5" customHeight="1" spans="1:30">
      <c r="A63" s="132">
        <v>687.5</v>
      </c>
      <c r="B63" s="133">
        <v>1372.38</v>
      </c>
      <c r="C63" s="133">
        <v>1356.04</v>
      </c>
      <c r="D63" s="133">
        <v>1306.68</v>
      </c>
      <c r="E63" s="133">
        <v>1205.2</v>
      </c>
      <c r="F63" s="133">
        <v>1080.76</v>
      </c>
      <c r="G63" s="133">
        <v>949.29</v>
      </c>
      <c r="H63" s="133">
        <v>806.14</v>
      </c>
      <c r="I63" s="133">
        <v>727.79</v>
      </c>
      <c r="J63" s="133"/>
      <c r="K63" s="132">
        <f t="shared" si="37"/>
        <v>687.5</v>
      </c>
      <c r="L63" s="133">
        <f t="shared" si="39"/>
        <v>1393.16353956835</v>
      </c>
      <c r="M63" s="133">
        <f t="shared" si="40"/>
        <v>1321.52030085626</v>
      </c>
      <c r="N63" s="133">
        <f t="shared" si="41"/>
        <v>1260.27246790091</v>
      </c>
      <c r="O63" s="133">
        <f t="shared" si="42"/>
        <v>1205.74832607471</v>
      </c>
      <c r="P63" s="133">
        <f t="shared" si="43"/>
        <v>1139.94912062879</v>
      </c>
      <c r="Q63" s="133">
        <f t="shared" si="44"/>
        <v>1081.76790072534</v>
      </c>
      <c r="R63" s="133">
        <f t="shared" si="45"/>
        <v>1013.71164787999</v>
      </c>
      <c r="S63" s="133">
        <f t="shared" si="46"/>
        <v>950.84978668386</v>
      </c>
      <c r="T63" s="133">
        <f t="shared" si="47"/>
        <v>877.552723782193</v>
      </c>
      <c r="U63" s="133">
        <f t="shared" si="48"/>
        <v>808.330248521114</v>
      </c>
      <c r="V63" s="133">
        <f t="shared" si="49"/>
        <v>735.224671532847</v>
      </c>
      <c r="X63" s="106" t="s">
        <v>57</v>
      </c>
      <c r="Y63" s="106"/>
      <c r="Z63" s="106"/>
      <c r="AA63" s="106"/>
      <c r="AB63" s="106"/>
      <c r="AC63" s="106"/>
      <c r="AD63" s="106"/>
    </row>
    <row r="64" s="91" customFormat="1" ht="13.5" customHeight="1" spans="1:30">
      <c r="A64" s="132">
        <v>742.5</v>
      </c>
      <c r="B64" s="133">
        <v>1320.43</v>
      </c>
      <c r="C64" s="133">
        <v>1304.67</v>
      </c>
      <c r="D64" s="133">
        <v>1256.95</v>
      </c>
      <c r="E64" s="133">
        <v>1159.32</v>
      </c>
      <c r="F64" s="133">
        <v>1040.11</v>
      </c>
      <c r="G64" s="133">
        <v>913.84</v>
      </c>
      <c r="H64" s="133">
        <v>775.96</v>
      </c>
      <c r="I64" s="133">
        <v>700.65</v>
      </c>
      <c r="J64" s="133"/>
      <c r="K64" s="132">
        <f t="shared" si="37"/>
        <v>742.5</v>
      </c>
      <c r="L64" s="133">
        <f t="shared" si="39"/>
        <v>1340.47581294964</v>
      </c>
      <c r="M64" s="133">
        <f t="shared" si="40"/>
        <v>1271.29722765115</v>
      </c>
      <c r="N64" s="133">
        <f t="shared" si="41"/>
        <v>1212.30310052391</v>
      </c>
      <c r="O64" s="133">
        <f t="shared" si="42"/>
        <v>1159.84752340041</v>
      </c>
      <c r="P64" s="133">
        <f t="shared" si="43"/>
        <v>1096.81150329603</v>
      </c>
      <c r="Q64" s="133">
        <f t="shared" si="44"/>
        <v>1041.07554038467</v>
      </c>
      <c r="R64" s="133">
        <f t="shared" si="45"/>
        <v>975.713594567626</v>
      </c>
      <c r="S64" s="133">
        <f t="shared" si="46"/>
        <v>915.338092831605</v>
      </c>
      <c r="T64" s="133">
        <f t="shared" si="47"/>
        <v>844.743697904916</v>
      </c>
      <c r="U64" s="133">
        <f t="shared" si="48"/>
        <v>778.069615550759</v>
      </c>
      <c r="V64" s="133">
        <f t="shared" si="49"/>
        <v>707.796204379562</v>
      </c>
      <c r="X64" s="106" t="s">
        <v>58</v>
      </c>
      <c r="Y64" s="106"/>
      <c r="Z64" s="106"/>
      <c r="AA64" s="106"/>
      <c r="AB64" s="106"/>
      <c r="AC64" s="106"/>
      <c r="AD64" s="106"/>
    </row>
    <row r="65" s="91" customFormat="1" spans="1:30">
      <c r="A65" s="132">
        <v>797.5</v>
      </c>
      <c r="B65" s="133">
        <v>1264.98</v>
      </c>
      <c r="C65" s="133">
        <v>1249.82</v>
      </c>
      <c r="D65" s="133">
        <v>1203.96</v>
      </c>
      <c r="E65" s="133">
        <v>1110.77</v>
      </c>
      <c r="F65" s="133">
        <v>997.22</v>
      </c>
      <c r="G65" s="133">
        <v>876.34</v>
      </c>
      <c r="H65" s="133">
        <v>744.03</v>
      </c>
      <c r="I65" s="133">
        <v>671.93</v>
      </c>
      <c r="J65" s="133"/>
      <c r="K65" s="132">
        <f t="shared" si="37"/>
        <v>797.5</v>
      </c>
      <c r="L65" s="133">
        <f t="shared" si="39"/>
        <v>1284.26264748201</v>
      </c>
      <c r="M65" s="133">
        <f t="shared" si="40"/>
        <v>1217.7480104795</v>
      </c>
      <c r="N65" s="133">
        <f t="shared" si="41"/>
        <v>1161.34354438004</v>
      </c>
      <c r="O65" s="133">
        <f t="shared" si="42"/>
        <v>1111.27353278382</v>
      </c>
      <c r="P65" s="133">
        <f t="shared" si="43"/>
        <v>1051.22935910799</v>
      </c>
      <c r="Q65" s="133">
        <f t="shared" si="44"/>
        <v>998.139697262636</v>
      </c>
      <c r="R65" s="133">
        <f t="shared" si="45"/>
        <v>935.572439307315</v>
      </c>
      <c r="S65" s="133">
        <f t="shared" si="46"/>
        <v>877.774144780901</v>
      </c>
      <c r="T65" s="133">
        <f t="shared" si="47"/>
        <v>810.035012110527</v>
      </c>
      <c r="U65" s="133">
        <f t="shared" si="48"/>
        <v>746.05439246824</v>
      </c>
      <c r="V65" s="133">
        <f t="shared" si="49"/>
        <v>678.771605839416</v>
      </c>
      <c r="X65" s="106" t="s">
        <v>59</v>
      </c>
      <c r="Y65" s="106"/>
      <c r="Z65" s="106"/>
      <c r="AA65" s="106"/>
      <c r="AB65" s="106"/>
      <c r="AC65" s="106"/>
      <c r="AD65" s="106"/>
    </row>
    <row r="66" s="91" customFormat="1" spans="1:30">
      <c r="A66" s="132">
        <v>852.5</v>
      </c>
      <c r="B66" s="133">
        <v>1206.46</v>
      </c>
      <c r="C66" s="133">
        <v>1191.97</v>
      </c>
      <c r="D66" s="133">
        <v>1148.47</v>
      </c>
      <c r="E66" s="133">
        <v>1060.35</v>
      </c>
      <c r="F66" s="133">
        <v>952.65</v>
      </c>
      <c r="G66" s="133">
        <v>837.45</v>
      </c>
      <c r="H66" s="133">
        <v>711.18</v>
      </c>
      <c r="I66" s="133">
        <v>642.5</v>
      </c>
      <c r="J66" s="133"/>
      <c r="K66" s="132">
        <f t="shared" si="37"/>
        <v>852.5</v>
      </c>
      <c r="L66" s="133">
        <f t="shared" si="39"/>
        <v>1224.89044604317</v>
      </c>
      <c r="M66" s="133">
        <f t="shared" si="40"/>
        <v>1161.54846611117</v>
      </c>
      <c r="N66" s="133">
        <f t="shared" si="41"/>
        <v>1108.17209175629</v>
      </c>
      <c r="O66" s="133">
        <f t="shared" si="42"/>
        <v>1060.82613809325</v>
      </c>
      <c r="P66" s="133">
        <f t="shared" si="43"/>
        <v>1003.87684258856</v>
      </c>
      <c r="Q66" s="133">
        <f t="shared" si="44"/>
        <v>953.522315237216</v>
      </c>
      <c r="R66" s="133">
        <f t="shared" si="45"/>
        <v>893.899181073815</v>
      </c>
      <c r="S66" s="133">
        <f t="shared" si="46"/>
        <v>838.816756111514</v>
      </c>
      <c r="T66" s="133">
        <f t="shared" si="47"/>
        <v>774.171859112662</v>
      </c>
      <c r="U66" s="133">
        <f t="shared" si="48"/>
        <v>713.111978209997</v>
      </c>
      <c r="V66" s="133">
        <f t="shared" si="49"/>
        <v>649.017080291971</v>
      </c>
      <c r="X66" s="106" t="s">
        <v>60</v>
      </c>
      <c r="Y66" s="106"/>
      <c r="Z66" s="106"/>
      <c r="AA66" s="106"/>
      <c r="AB66" s="106"/>
      <c r="AC66" s="106"/>
      <c r="AD66" s="106"/>
    </row>
    <row r="67" s="91" customFormat="1" spans="1:30">
      <c r="A67" s="132">
        <v>907.5</v>
      </c>
      <c r="B67" s="133">
        <v>1143.08</v>
      </c>
      <c r="C67" s="133">
        <v>1129.53</v>
      </c>
      <c r="D67" s="133">
        <v>1088.98</v>
      </c>
      <c r="E67" s="133">
        <v>1006.64</v>
      </c>
      <c r="F67" s="133">
        <v>905.42</v>
      </c>
      <c r="G67" s="133">
        <v>796.7</v>
      </c>
      <c r="H67" s="133">
        <v>677.32</v>
      </c>
      <c r="I67" s="133">
        <v>612.42</v>
      </c>
      <c r="J67" s="133"/>
      <c r="K67" s="132">
        <f t="shared" si="37"/>
        <v>907.5</v>
      </c>
      <c r="L67" s="133">
        <f t="shared" si="39"/>
        <v>1160.31482014388</v>
      </c>
      <c r="M67" s="133">
        <f t="shared" si="40"/>
        <v>1101.17153565075</v>
      </c>
      <c r="N67" s="133">
        <f t="shared" si="41"/>
        <v>1051.32532722666</v>
      </c>
      <c r="O67" s="133">
        <f t="shared" si="42"/>
        <v>1007.08490706535</v>
      </c>
      <c r="P67" s="133">
        <f t="shared" si="43"/>
        <v>953.564670443954</v>
      </c>
      <c r="Q67" s="133">
        <f t="shared" si="44"/>
        <v>906.239830532136</v>
      </c>
      <c r="R67" s="133">
        <f t="shared" si="45"/>
        <v>849.973914638412</v>
      </c>
      <c r="S67" s="133">
        <f t="shared" si="46"/>
        <v>797.989876080241</v>
      </c>
      <c r="T67" s="133">
        <f t="shared" si="47"/>
        <v>736.874669682977</v>
      </c>
      <c r="U67" s="133">
        <f t="shared" si="48"/>
        <v>679.146558633954</v>
      </c>
      <c r="V67" s="133">
        <f t="shared" si="49"/>
        <v>618.578394160584</v>
      </c>
      <c r="X67" s="106" t="s">
        <v>61</v>
      </c>
      <c r="Y67" s="106"/>
      <c r="Z67" s="106"/>
      <c r="AA67" s="106"/>
      <c r="AB67" s="106"/>
      <c r="AC67" s="106"/>
      <c r="AD67" s="106"/>
    </row>
    <row r="68" s="91" customFormat="1" spans="1:30">
      <c r="A68" s="132">
        <v>962.5</v>
      </c>
      <c r="B68" s="133">
        <v>1067.27</v>
      </c>
      <c r="C68" s="133">
        <v>1055.01</v>
      </c>
      <c r="D68" s="133">
        <v>1018.27</v>
      </c>
      <c r="E68" s="133">
        <v>943.32</v>
      </c>
      <c r="F68" s="133">
        <v>850.62</v>
      </c>
      <c r="G68" s="133">
        <v>750.76</v>
      </c>
      <c r="H68" s="133">
        <v>640.71</v>
      </c>
      <c r="I68" s="133">
        <v>580.74</v>
      </c>
      <c r="J68" s="133"/>
      <c r="K68" s="132">
        <f t="shared" si="37"/>
        <v>962.5</v>
      </c>
      <c r="L68" s="133">
        <f t="shared" si="39"/>
        <v>1082.86401438849</v>
      </c>
      <c r="M68" s="133">
        <f t="shared" si="40"/>
        <v>1029.31604241205</v>
      </c>
      <c r="N68" s="133">
        <f t="shared" si="41"/>
        <v>983.994827248458</v>
      </c>
      <c r="O68" s="133">
        <f t="shared" si="42"/>
        <v>943.724976737283</v>
      </c>
      <c r="P68" s="133">
        <f t="shared" si="43"/>
        <v>894.712184846419</v>
      </c>
      <c r="Q68" s="133">
        <f t="shared" si="44"/>
        <v>851.370822864345</v>
      </c>
      <c r="R68" s="133">
        <f t="shared" si="45"/>
        <v>799.692423802353</v>
      </c>
      <c r="S68" s="133">
        <f t="shared" si="46"/>
        <v>751.944759247359</v>
      </c>
      <c r="T68" s="133">
        <f t="shared" si="47"/>
        <v>695.610246260778</v>
      </c>
      <c r="U68" s="133">
        <f t="shared" si="48"/>
        <v>642.393806145641</v>
      </c>
      <c r="V68" s="133">
        <f t="shared" si="49"/>
        <v>586.430583941606</v>
      </c>
      <c r="X68" s="106" t="s">
        <v>62</v>
      </c>
      <c r="Y68" s="106"/>
      <c r="Z68" s="106"/>
      <c r="AA68" s="106"/>
      <c r="AB68" s="106"/>
      <c r="AC68" s="106"/>
      <c r="AD68" s="106"/>
    </row>
    <row r="69" s="91" customFormat="1" spans="1:30">
      <c r="A69" s="132">
        <v>1017.5</v>
      </c>
      <c r="B69" s="133">
        <v>956.7</v>
      </c>
      <c r="C69" s="133">
        <v>946.24</v>
      </c>
      <c r="D69" s="133">
        <v>915.29</v>
      </c>
      <c r="E69" s="133">
        <v>852.29</v>
      </c>
      <c r="F69" s="133">
        <v>774.33</v>
      </c>
      <c r="G69" s="133">
        <v>690.12</v>
      </c>
      <c r="H69" s="133">
        <v>596.61</v>
      </c>
      <c r="I69" s="133">
        <v>545.26</v>
      </c>
      <c r="J69" s="133"/>
      <c r="K69" s="132">
        <f t="shared" si="37"/>
        <v>1017.5</v>
      </c>
      <c r="L69" s="133">
        <f t="shared" si="39"/>
        <v>970.004517985612</v>
      </c>
      <c r="M69" s="133">
        <f t="shared" si="40"/>
        <v>924.595253474496</v>
      </c>
      <c r="N69" s="133">
        <f t="shared" si="41"/>
        <v>886.479647987363</v>
      </c>
      <c r="O69" s="133">
        <f t="shared" si="42"/>
        <v>852.630407397583</v>
      </c>
      <c r="P69" s="133">
        <f t="shared" si="43"/>
        <v>811.411194505144</v>
      </c>
      <c r="Q69" s="133">
        <f t="shared" si="44"/>
        <v>774.96143635927</v>
      </c>
      <c r="R69" s="133">
        <f t="shared" si="45"/>
        <v>731.383763352656</v>
      </c>
      <c r="S69" s="133">
        <f t="shared" si="46"/>
        <v>691.119084480474</v>
      </c>
      <c r="T69" s="133">
        <f t="shared" si="47"/>
        <v>643.258996163974</v>
      </c>
      <c r="U69" s="133">
        <f t="shared" si="48"/>
        <v>598.040737961644</v>
      </c>
      <c r="V69" s="133">
        <f t="shared" si="49"/>
        <v>550.132627737226</v>
      </c>
      <c r="X69" s="106" t="s">
        <v>63</v>
      </c>
      <c r="Y69" s="106"/>
      <c r="Z69" s="106"/>
      <c r="AA69" s="106"/>
      <c r="AB69" s="106"/>
      <c r="AC69" s="106"/>
      <c r="AD69" s="106"/>
    </row>
    <row r="70" s="91" customFormat="1" spans="1:30">
      <c r="A70" s="132">
        <v>1072.5</v>
      </c>
      <c r="B70" s="133">
        <v>746.39</v>
      </c>
      <c r="C70" s="133">
        <v>736.04</v>
      </c>
      <c r="D70" s="133">
        <v>716.24</v>
      </c>
      <c r="E70" s="133">
        <v>679.53</v>
      </c>
      <c r="F70" s="133">
        <v>635.44</v>
      </c>
      <c r="G70" s="133">
        <v>588.05</v>
      </c>
      <c r="H70" s="133">
        <v>534.42</v>
      </c>
      <c r="I70" s="133">
        <v>503.78</v>
      </c>
      <c r="J70" s="133"/>
      <c r="K70" s="132">
        <f t="shared" si="37"/>
        <v>1072.5</v>
      </c>
      <c r="L70" s="133">
        <f t="shared" si="39"/>
        <v>759.554604316547</v>
      </c>
      <c r="M70" s="133">
        <f t="shared" si="40"/>
        <v>722.192956988531</v>
      </c>
      <c r="N70" s="133">
        <f t="shared" si="41"/>
        <v>699.452253612954</v>
      </c>
      <c r="O70" s="133">
        <f t="shared" si="42"/>
        <v>679.728354850242</v>
      </c>
      <c r="P70" s="133">
        <f t="shared" si="43"/>
        <v>656.411137323394</v>
      </c>
      <c r="Q70" s="133">
        <f t="shared" si="44"/>
        <v>635.797106581326</v>
      </c>
      <c r="R70" s="133">
        <f t="shared" si="45"/>
        <v>611.271585860139</v>
      </c>
      <c r="S70" s="133">
        <f t="shared" si="46"/>
        <v>588.612244549693</v>
      </c>
      <c r="T70" s="133">
        <f t="shared" si="47"/>
        <v>561.174204515816</v>
      </c>
      <c r="U70" s="133">
        <f t="shared" si="48"/>
        <v>535.240559051256</v>
      </c>
      <c r="V70" s="133">
        <f t="shared" si="49"/>
        <v>506.687445255474</v>
      </c>
      <c r="X70" s="106" t="s">
        <v>64</v>
      </c>
      <c r="Y70" s="106"/>
      <c r="Z70" s="106"/>
      <c r="AA70" s="106"/>
      <c r="AB70" s="106"/>
      <c r="AC70" s="106"/>
      <c r="AD70" s="106"/>
    </row>
    <row r="71" s="91" customFormat="1" spans="1:22">
      <c r="A71" s="129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</row>
    <row r="72" s="91" customFormat="1" spans="1:22">
      <c r="A72" s="129" t="s">
        <v>140</v>
      </c>
      <c r="B72" s="129"/>
      <c r="C72" s="129"/>
      <c r="D72" s="129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</row>
    <row r="73" s="91" customFormat="1" spans="1:30">
      <c r="A73" s="132" t="s">
        <v>128</v>
      </c>
      <c r="B73" s="133">
        <v>17.68</v>
      </c>
      <c r="C73" s="133">
        <v>31.58</v>
      </c>
      <c r="D73" s="133">
        <v>54.25</v>
      </c>
      <c r="E73" s="133">
        <v>82.31</v>
      </c>
      <c r="F73" s="133">
        <v>106.26</v>
      </c>
      <c r="G73" s="133">
        <v>125.73</v>
      </c>
      <c r="H73" s="133">
        <v>142.56</v>
      </c>
      <c r="I73" s="133">
        <v>150.78</v>
      </c>
      <c r="J73" s="133"/>
      <c r="K73" s="132" t="str">
        <f t="shared" ref="K73:K93" si="50">A73</f>
        <v>R/Z[cm]</v>
      </c>
      <c r="L73" s="141">
        <v>0</v>
      </c>
      <c r="M73" s="141">
        <f t="shared" ref="M73:V73" si="51">SQRT(L73*L73+150*150/10)</f>
        <v>47.4341649025257</v>
      </c>
      <c r="N73" s="141">
        <f t="shared" si="51"/>
        <v>67.0820393249937</v>
      </c>
      <c r="O73" s="141">
        <f t="shared" si="51"/>
        <v>82.1583836257749</v>
      </c>
      <c r="P73" s="141">
        <f t="shared" si="51"/>
        <v>94.8683298050514</v>
      </c>
      <c r="Q73" s="141">
        <f t="shared" si="51"/>
        <v>106.066017177982</v>
      </c>
      <c r="R73" s="141">
        <f t="shared" si="51"/>
        <v>116.189500386223</v>
      </c>
      <c r="S73" s="141">
        <f t="shared" si="51"/>
        <v>125.499003980111</v>
      </c>
      <c r="T73" s="141">
        <f t="shared" si="51"/>
        <v>134.164078649987</v>
      </c>
      <c r="U73" s="141">
        <f t="shared" si="51"/>
        <v>142.302494707577</v>
      </c>
      <c r="V73" s="141">
        <f t="shared" si="51"/>
        <v>150</v>
      </c>
      <c r="X73" s="147" t="s">
        <v>141</v>
      </c>
      <c r="Y73" s="106"/>
      <c r="Z73" s="106" t="s">
        <v>134</v>
      </c>
      <c r="AA73" s="106" t="s">
        <v>136</v>
      </c>
      <c r="AB73" s="106" t="s">
        <v>138</v>
      </c>
      <c r="AC73" s="106" t="s">
        <v>139</v>
      </c>
      <c r="AD73" s="106" t="s">
        <v>140</v>
      </c>
    </row>
    <row r="74" s="91" customFormat="1" spans="1:30">
      <c r="A74" s="132">
        <v>27.5</v>
      </c>
      <c r="B74" s="133">
        <v>636.84</v>
      </c>
      <c r="C74" s="133">
        <v>631.97</v>
      </c>
      <c r="D74" s="133">
        <v>617.31</v>
      </c>
      <c r="E74" s="133">
        <v>587.35</v>
      </c>
      <c r="F74" s="133">
        <v>550.32</v>
      </c>
      <c r="G74" s="133">
        <v>510.54</v>
      </c>
      <c r="H74" s="133">
        <v>467.06</v>
      </c>
      <c r="I74" s="133">
        <v>443.53</v>
      </c>
      <c r="J74" s="133"/>
      <c r="K74" s="132">
        <f t="shared" si="50"/>
        <v>27.5</v>
      </c>
      <c r="L74" s="133">
        <f t="shared" ref="L74:L93" si="52">TREND(B74:C74,B$4:C$4,L$4)</f>
        <v>643.03435971223</v>
      </c>
      <c r="M74" s="133">
        <f t="shared" ref="M74:M93" si="53">TREND(C74:D74,C$4:D$4,M$4)</f>
        <v>621.71759340666</v>
      </c>
      <c r="N74" s="133">
        <f t="shared" ref="N74:N93" si="54">TREND(D74:E74,D$4:E$4,N$4)</f>
        <v>603.609077042879</v>
      </c>
      <c r="O74" s="133">
        <f t="shared" ref="O74:O93" si="55">TREND(D74:E74,D$4:E$4,O$4)</f>
        <v>587.511882629073</v>
      </c>
      <c r="P74" s="133">
        <f t="shared" ref="P74:P93" si="56">TREND(E74:F74,E$4:F$4,P$4)</f>
        <v>567.933091746094</v>
      </c>
      <c r="Q74" s="133">
        <f t="shared" ref="Q74:Q93" si="57">TREND(E74:F74,E$4:F$4,Q$4)</f>
        <v>550.619924171162</v>
      </c>
      <c r="R74" s="133">
        <f t="shared" ref="R74:R93" si="58">TREND(F74:G74,F$4:G$4,R$4)</f>
        <v>530.032607839552</v>
      </c>
      <c r="S74" s="133">
        <f t="shared" ref="S74:S93" si="59">TREND(F74:G74,F$4:G$4,S$4)</f>
        <v>511.011957969757</v>
      </c>
      <c r="T74" s="133">
        <f t="shared" ref="T74:T93" si="60">TREND(G74:H74,G$4:H$4,T$4)</f>
        <v>488.750710653509</v>
      </c>
      <c r="U74" s="133">
        <f t="shared" ref="U74:U93" si="61">TREND(G74:H74,G$4:H$4,U$4)</f>
        <v>467.725260256361</v>
      </c>
      <c r="V74" s="133">
        <f t="shared" ref="V74:V93" si="62">TREND(H74:I74,H$4:I$4,V$4)</f>
        <v>445.762773722628</v>
      </c>
      <c r="X74" s="106" t="s">
        <v>46</v>
      </c>
      <c r="Y74" s="106"/>
      <c r="Z74" s="160" t="e">
        <f ca="1" t="shared" ref="Z74:AD74" si="63">Z27/Z52</f>
        <v>#DIV/0!</v>
      </c>
      <c r="AA74" s="160" t="e">
        <f ca="1" t="shared" si="63"/>
        <v>#DIV/0!</v>
      </c>
      <c r="AB74" s="160" t="e">
        <f ca="1" t="shared" si="63"/>
        <v>#DIV/0!</v>
      </c>
      <c r="AC74" s="160" t="e">
        <f ca="1" t="shared" si="63"/>
        <v>#DIV/0!</v>
      </c>
      <c r="AD74" s="160" t="e">
        <f ca="1" t="shared" si="63"/>
        <v>#DIV/0!</v>
      </c>
    </row>
    <row r="75" s="91" customFormat="1" spans="1:30">
      <c r="A75" s="132">
        <v>82.5</v>
      </c>
      <c r="B75" s="133">
        <v>882.78</v>
      </c>
      <c r="C75" s="133">
        <v>873.97</v>
      </c>
      <c r="D75" s="133">
        <v>847.83</v>
      </c>
      <c r="E75" s="133">
        <v>794.82</v>
      </c>
      <c r="F75" s="133">
        <v>729.47</v>
      </c>
      <c r="G75" s="133">
        <v>659.41</v>
      </c>
      <c r="H75" s="133">
        <v>582.67</v>
      </c>
      <c r="I75" s="133">
        <v>540.88</v>
      </c>
      <c r="J75" s="133"/>
      <c r="K75" s="132">
        <f t="shared" si="50"/>
        <v>82.5</v>
      </c>
      <c r="L75" s="133">
        <f t="shared" si="52"/>
        <v>893.98581294964</v>
      </c>
      <c r="M75" s="133">
        <f t="shared" si="53"/>
        <v>855.689105842434</v>
      </c>
      <c r="N75" s="133">
        <f t="shared" si="54"/>
        <v>823.588146663652</v>
      </c>
      <c r="O75" s="133">
        <f t="shared" si="55"/>
        <v>795.106428510252</v>
      </c>
      <c r="P75" s="133">
        <f t="shared" si="56"/>
        <v>760.553325563252</v>
      </c>
      <c r="Q75" s="133">
        <f t="shared" si="57"/>
        <v>729.999301771143</v>
      </c>
      <c r="R75" s="133">
        <f t="shared" si="58"/>
        <v>693.740118281523</v>
      </c>
      <c r="S75" s="133">
        <f t="shared" si="59"/>
        <v>660.241206017124</v>
      </c>
      <c r="T75" s="133">
        <f t="shared" si="60"/>
        <v>620.953006797384</v>
      </c>
      <c r="U75" s="133">
        <f t="shared" si="61"/>
        <v>583.844150691654</v>
      </c>
      <c r="V75" s="133">
        <f t="shared" si="62"/>
        <v>544.845474452555</v>
      </c>
      <c r="X75" s="106" t="s">
        <v>113</v>
      </c>
      <c r="Y75" s="106"/>
      <c r="Z75" s="160" t="e">
        <f ca="1" t="shared" ref="Z75:AD75" si="64">Z28/Z53</f>
        <v>#DIV/0!</v>
      </c>
      <c r="AA75" s="160" t="e">
        <f ca="1" t="shared" si="64"/>
        <v>#DIV/0!</v>
      </c>
      <c r="AB75" s="160" t="e">
        <f ca="1" t="shared" si="64"/>
        <v>#DIV/0!</v>
      </c>
      <c r="AC75" s="160" t="e">
        <f ca="1" t="shared" si="64"/>
        <v>#DIV/0!</v>
      </c>
      <c r="AD75" s="160" t="e">
        <f ca="1" t="shared" si="64"/>
        <v>#DIV/0!</v>
      </c>
    </row>
    <row r="76" s="91" customFormat="1" spans="1:30">
      <c r="A76" s="132">
        <v>137.5</v>
      </c>
      <c r="B76" s="133">
        <v>1037.41</v>
      </c>
      <c r="C76" s="133">
        <v>1026.74</v>
      </c>
      <c r="D76" s="133">
        <v>994.98</v>
      </c>
      <c r="E76" s="133">
        <v>930.74</v>
      </c>
      <c r="F76" s="133">
        <v>852.06</v>
      </c>
      <c r="G76" s="133">
        <v>768.56</v>
      </c>
      <c r="H76" s="133">
        <v>678.8</v>
      </c>
      <c r="I76" s="133">
        <v>630.4</v>
      </c>
      <c r="J76" s="133"/>
      <c r="K76" s="132">
        <f t="shared" si="50"/>
        <v>137.5</v>
      </c>
      <c r="L76" s="133">
        <f t="shared" si="52"/>
        <v>1050.98162589928</v>
      </c>
      <c r="M76" s="133">
        <f t="shared" si="53"/>
        <v>1004.52878353312</v>
      </c>
      <c r="N76" s="133">
        <f t="shared" si="54"/>
        <v>965.602587090606</v>
      </c>
      <c r="O76" s="133">
        <f t="shared" si="55"/>
        <v>931.087107479694</v>
      </c>
      <c r="P76" s="133">
        <f t="shared" si="56"/>
        <v>889.483658076766</v>
      </c>
      <c r="Q76" s="133">
        <f t="shared" si="57"/>
        <v>852.697267993168</v>
      </c>
      <c r="R76" s="133">
        <f t="shared" si="58"/>
        <v>809.475856073468</v>
      </c>
      <c r="S76" s="133">
        <f t="shared" si="59"/>
        <v>769.5506608968</v>
      </c>
      <c r="T76" s="133">
        <f t="shared" si="60"/>
        <v>723.578247200067</v>
      </c>
      <c r="U76" s="133">
        <f t="shared" si="61"/>
        <v>680.173361559589</v>
      </c>
      <c r="V76" s="133">
        <f t="shared" si="62"/>
        <v>634.992700729927</v>
      </c>
      <c r="X76" s="106" t="s">
        <v>48</v>
      </c>
      <c r="Y76" s="106"/>
      <c r="Z76" s="160" t="e">
        <f ca="1" t="shared" ref="Z76:AD76" si="65">Z29/Z54</f>
        <v>#DIV/0!</v>
      </c>
      <c r="AA76" s="160" t="e">
        <f ca="1" t="shared" si="65"/>
        <v>#DIV/0!</v>
      </c>
      <c r="AB76" s="160" t="e">
        <f ca="1" t="shared" si="65"/>
        <v>#DIV/0!</v>
      </c>
      <c r="AC76" s="160" t="e">
        <f ca="1" t="shared" si="65"/>
        <v>#DIV/0!</v>
      </c>
      <c r="AD76" s="160" t="e">
        <f ca="1" t="shared" si="65"/>
        <v>#DIV/0!</v>
      </c>
    </row>
    <row r="77" s="91" customFormat="1" spans="1:30">
      <c r="A77" s="132">
        <v>192.5</v>
      </c>
      <c r="B77" s="133">
        <v>1156.68</v>
      </c>
      <c r="C77" s="133">
        <v>1144.76</v>
      </c>
      <c r="D77" s="133">
        <v>1109.29</v>
      </c>
      <c r="E77" s="133">
        <v>1037.97</v>
      </c>
      <c r="F77" s="133">
        <v>951.62</v>
      </c>
      <c r="G77" s="133">
        <v>861.01</v>
      </c>
      <c r="H77" s="133">
        <v>764.81</v>
      </c>
      <c r="I77" s="133">
        <v>713.1</v>
      </c>
      <c r="J77" s="133"/>
      <c r="K77" s="132">
        <f t="shared" si="50"/>
        <v>192.5</v>
      </c>
      <c r="L77" s="133">
        <f t="shared" si="52"/>
        <v>1171.84155395683</v>
      </c>
      <c r="M77" s="133">
        <f t="shared" si="53"/>
        <v>1119.95421133248</v>
      </c>
      <c r="N77" s="133">
        <f t="shared" si="54"/>
        <v>1076.674852293</v>
      </c>
      <c r="O77" s="133">
        <f t="shared" si="55"/>
        <v>1038.35536278723</v>
      </c>
      <c r="P77" s="133">
        <f t="shared" si="56"/>
        <v>992.691846402247</v>
      </c>
      <c r="Q77" s="133">
        <f t="shared" si="57"/>
        <v>952.319391093163</v>
      </c>
      <c r="R77" s="133">
        <f t="shared" si="58"/>
        <v>905.409828967867</v>
      </c>
      <c r="S77" s="133">
        <f t="shared" si="59"/>
        <v>862.085015375558</v>
      </c>
      <c r="T77" s="133">
        <f t="shared" si="60"/>
        <v>812.800946754083</v>
      </c>
      <c r="U77" s="133">
        <f t="shared" si="61"/>
        <v>766.281895967385</v>
      </c>
      <c r="V77" s="133">
        <f t="shared" si="62"/>
        <v>718.006788321168</v>
      </c>
      <c r="X77" s="106" t="s">
        <v>49</v>
      </c>
      <c r="Y77" s="106"/>
      <c r="Z77" s="160" t="e">
        <f ca="1" t="shared" ref="Z77:AD77" si="66">Z30/Z55</f>
        <v>#DIV/0!</v>
      </c>
      <c r="AA77" s="160" t="e">
        <f ca="1" t="shared" si="66"/>
        <v>#DIV/0!</v>
      </c>
      <c r="AB77" s="160" t="e">
        <f ca="1" t="shared" si="66"/>
        <v>#DIV/0!</v>
      </c>
      <c r="AC77" s="160" t="e">
        <f ca="1" t="shared" si="66"/>
        <v>#DIV/0!</v>
      </c>
      <c r="AD77" s="160" t="e">
        <f ca="1" t="shared" si="66"/>
        <v>#DIV/0!</v>
      </c>
    </row>
    <row r="78" s="91" customFormat="1" spans="1:30">
      <c r="A78" s="132">
        <v>241.5</v>
      </c>
      <c r="B78" s="133">
        <v>1244.36</v>
      </c>
      <c r="C78" s="133">
        <v>1231.76</v>
      </c>
      <c r="D78" s="133">
        <v>1194.05</v>
      </c>
      <c r="E78" s="133">
        <v>1118.09</v>
      </c>
      <c r="F78" s="133">
        <v>1026.69</v>
      </c>
      <c r="G78" s="133">
        <v>931.89</v>
      </c>
      <c r="H78" s="133">
        <v>832.52</v>
      </c>
      <c r="I78" s="133">
        <v>779.39</v>
      </c>
      <c r="J78" s="133"/>
      <c r="K78" s="132">
        <f t="shared" si="50"/>
        <v>241.5</v>
      </c>
      <c r="L78" s="133">
        <f t="shared" si="52"/>
        <v>1260.38647482014</v>
      </c>
      <c r="M78" s="133">
        <f t="shared" si="53"/>
        <v>1205.38767717361</v>
      </c>
      <c r="N78" s="133">
        <f t="shared" si="54"/>
        <v>1159.31294700191</v>
      </c>
      <c r="O78" s="133">
        <f t="shared" si="55"/>
        <v>1118.50043406223</v>
      </c>
      <c r="P78" s="133">
        <f t="shared" si="56"/>
        <v>1070.1638478421</v>
      </c>
      <c r="Q78" s="133">
        <f t="shared" si="57"/>
        <v>1027.43029352536</v>
      </c>
      <c r="R78" s="133">
        <f t="shared" si="58"/>
        <v>978.342971925326</v>
      </c>
      <c r="S78" s="133">
        <f t="shared" si="59"/>
        <v>933.014726383433</v>
      </c>
      <c r="T78" s="133">
        <f t="shared" si="60"/>
        <v>882.092353211572</v>
      </c>
      <c r="U78" s="133">
        <f t="shared" si="61"/>
        <v>834.040398152589</v>
      </c>
      <c r="V78" s="133">
        <f t="shared" si="62"/>
        <v>784.431532846715</v>
      </c>
      <c r="X78" s="106" t="s">
        <v>50</v>
      </c>
      <c r="Y78" s="106"/>
      <c r="Z78" s="160" t="e">
        <f ca="1" t="shared" ref="Z78:AD78" si="67">Z31/Z56</f>
        <v>#DIV/0!</v>
      </c>
      <c r="AA78" s="160" t="e">
        <f ca="1" t="shared" si="67"/>
        <v>#DIV/0!</v>
      </c>
      <c r="AB78" s="160" t="e">
        <f ca="1" t="shared" si="67"/>
        <v>#DIV/0!</v>
      </c>
      <c r="AC78" s="160" t="e">
        <f ca="1" t="shared" si="67"/>
        <v>#DIV/0!</v>
      </c>
      <c r="AD78" s="160" t="e">
        <f ca="1" t="shared" si="67"/>
        <v>#DIV/0!</v>
      </c>
    </row>
    <row r="79" s="91" customFormat="1" spans="1:30">
      <c r="A79" s="132">
        <v>296.5</v>
      </c>
      <c r="B79" s="133">
        <v>1320.44</v>
      </c>
      <c r="C79" s="133">
        <v>1307.45</v>
      </c>
      <c r="D79" s="133">
        <v>1268.46</v>
      </c>
      <c r="E79" s="133">
        <v>1189.2</v>
      </c>
      <c r="F79" s="133">
        <v>1093.24</v>
      </c>
      <c r="G79" s="133">
        <v>993.87</v>
      </c>
      <c r="H79" s="133">
        <v>889.34</v>
      </c>
      <c r="I79" s="133">
        <v>832.53</v>
      </c>
      <c r="J79" s="133"/>
      <c r="K79" s="132">
        <f t="shared" si="50"/>
        <v>296.5</v>
      </c>
      <c r="L79" s="133">
        <f t="shared" si="52"/>
        <v>1336.9625323741</v>
      </c>
      <c r="M79" s="133">
        <f t="shared" si="53"/>
        <v>1280.18251479711</v>
      </c>
      <c r="N79" s="133">
        <f t="shared" si="54"/>
        <v>1232.21383332505</v>
      </c>
      <c r="O79" s="133">
        <f t="shared" si="55"/>
        <v>1189.62826492591</v>
      </c>
      <c r="P79" s="133">
        <f t="shared" si="56"/>
        <v>1138.88278379571</v>
      </c>
      <c r="Q79" s="133">
        <f t="shared" si="57"/>
        <v>1094.01722720672</v>
      </c>
      <c r="R79" s="133">
        <f t="shared" si="58"/>
        <v>1042.56231877869</v>
      </c>
      <c r="S79" s="133">
        <f t="shared" si="59"/>
        <v>995.048945788204</v>
      </c>
      <c r="T79" s="133">
        <f t="shared" si="60"/>
        <v>941.486503785907</v>
      </c>
      <c r="U79" s="133">
        <f t="shared" si="61"/>
        <v>890.939348081816</v>
      </c>
      <c r="V79" s="133">
        <f t="shared" si="62"/>
        <v>837.920729927007</v>
      </c>
      <c r="X79" s="106" t="s">
        <v>51</v>
      </c>
      <c r="Y79" s="106"/>
      <c r="Z79" s="160" t="e">
        <f ca="1" t="shared" ref="Z79:AD79" si="68">Z32/Z57</f>
        <v>#DIV/0!</v>
      </c>
      <c r="AA79" s="160" t="e">
        <f ca="1" t="shared" si="68"/>
        <v>#DIV/0!</v>
      </c>
      <c r="AB79" s="160" t="e">
        <f ca="1" t="shared" si="68"/>
        <v>#DIV/0!</v>
      </c>
      <c r="AC79" s="160" t="e">
        <f ca="1" t="shared" si="68"/>
        <v>#DIV/0!</v>
      </c>
      <c r="AD79" s="160" t="e">
        <f ca="1" t="shared" si="68"/>
        <v>#DIV/0!</v>
      </c>
    </row>
    <row r="80" s="91" customFormat="1" spans="1:30">
      <c r="A80" s="132">
        <v>357.5</v>
      </c>
      <c r="B80" s="133">
        <v>1382.18</v>
      </c>
      <c r="C80" s="133">
        <v>1368.98</v>
      </c>
      <c r="D80" s="133">
        <v>1329.3</v>
      </c>
      <c r="E80" s="133">
        <v>1248.48</v>
      </c>
      <c r="F80" s="133">
        <v>1150.04</v>
      </c>
      <c r="G80" s="133">
        <v>1048.05</v>
      </c>
      <c r="H80" s="133">
        <v>942.04</v>
      </c>
      <c r="I80" s="133">
        <v>884.68</v>
      </c>
      <c r="J80" s="133"/>
      <c r="K80" s="132">
        <f t="shared" si="50"/>
        <v>357.5</v>
      </c>
      <c r="L80" s="133">
        <f t="shared" si="52"/>
        <v>1398.96964028777</v>
      </c>
      <c r="M80" s="133">
        <f t="shared" si="53"/>
        <v>1341.22996632853</v>
      </c>
      <c r="N80" s="133">
        <f t="shared" si="54"/>
        <v>1292.34043413236</v>
      </c>
      <c r="O80" s="133">
        <f t="shared" si="55"/>
        <v>1248.91669406147</v>
      </c>
      <c r="P80" s="133">
        <f t="shared" si="56"/>
        <v>1196.86238054241</v>
      </c>
      <c r="Q80" s="133">
        <f t="shared" si="57"/>
        <v>1150.8373139457</v>
      </c>
      <c r="R80" s="133">
        <f t="shared" si="58"/>
        <v>1098.02614563992</v>
      </c>
      <c r="S80" s="133">
        <f t="shared" si="59"/>
        <v>1049.26002999838</v>
      </c>
      <c r="T80" s="133">
        <f t="shared" si="60"/>
        <v>994.924826043663</v>
      </c>
      <c r="U80" s="133">
        <f t="shared" si="61"/>
        <v>943.661992635161</v>
      </c>
      <c r="V80" s="133">
        <f t="shared" si="62"/>
        <v>890.122919708029</v>
      </c>
      <c r="X80" s="106" t="s">
        <v>52</v>
      </c>
      <c r="Y80" s="106"/>
      <c r="Z80" s="160" t="e">
        <f ca="1" t="shared" ref="Z80:AD80" si="69">Z33/Z58</f>
        <v>#DIV/0!</v>
      </c>
      <c r="AA80" s="160" t="e">
        <f ca="1" t="shared" si="69"/>
        <v>#DIV/0!</v>
      </c>
      <c r="AB80" s="160" t="e">
        <f ca="1" t="shared" si="69"/>
        <v>#DIV/0!</v>
      </c>
      <c r="AC80" s="160" t="e">
        <f ca="1" t="shared" si="69"/>
        <v>#DIV/0!</v>
      </c>
      <c r="AD80" s="160" t="e">
        <f ca="1" t="shared" si="69"/>
        <v>#DIV/0!</v>
      </c>
    </row>
    <row r="81" s="91" customFormat="1" spans="1:30">
      <c r="A81" s="132">
        <v>412.5</v>
      </c>
      <c r="B81" s="133">
        <v>1414.59</v>
      </c>
      <c r="C81" s="133">
        <v>1401.32</v>
      </c>
      <c r="D81" s="133">
        <v>1361.45</v>
      </c>
      <c r="E81" s="133">
        <v>1280.34</v>
      </c>
      <c r="F81" s="133">
        <v>1181.34</v>
      </c>
      <c r="G81" s="133">
        <v>1078.64</v>
      </c>
      <c r="H81" s="133">
        <v>972.48</v>
      </c>
      <c r="I81" s="133">
        <v>915.09</v>
      </c>
      <c r="J81" s="133"/>
      <c r="K81" s="132">
        <f t="shared" si="50"/>
        <v>412.5</v>
      </c>
      <c r="L81" s="133">
        <f t="shared" si="52"/>
        <v>1431.46867625899</v>
      </c>
      <c r="M81" s="133">
        <f t="shared" si="53"/>
        <v>1373.43709066327</v>
      </c>
      <c r="N81" s="133">
        <f t="shared" si="54"/>
        <v>1324.35781505167</v>
      </c>
      <c r="O81" s="133">
        <f t="shared" si="55"/>
        <v>1280.77826101616</v>
      </c>
      <c r="P81" s="133">
        <f t="shared" si="56"/>
        <v>1228.42874109812</v>
      </c>
      <c r="Q81" s="133">
        <f t="shared" si="57"/>
        <v>1182.14184966095</v>
      </c>
      <c r="R81" s="133">
        <f t="shared" si="58"/>
        <v>1128.9640529191</v>
      </c>
      <c r="S81" s="133">
        <f t="shared" si="59"/>
        <v>1079.85845358205</v>
      </c>
      <c r="T81" s="133">
        <f t="shared" si="60"/>
        <v>1025.43965600222</v>
      </c>
      <c r="U81" s="133">
        <f t="shared" si="61"/>
        <v>974.104287691243</v>
      </c>
      <c r="V81" s="133">
        <f t="shared" si="62"/>
        <v>920.535766423358</v>
      </c>
      <c r="X81" s="106" t="s">
        <v>53</v>
      </c>
      <c r="Y81" s="106"/>
      <c r="Z81" s="160" t="e">
        <f ca="1" t="shared" ref="Z81:AD81" si="70">Z34/Z59</f>
        <v>#DIV/0!</v>
      </c>
      <c r="AA81" s="160" t="e">
        <f ca="1" t="shared" si="70"/>
        <v>#DIV/0!</v>
      </c>
      <c r="AB81" s="160" t="e">
        <f ca="1" t="shared" si="70"/>
        <v>#DIV/0!</v>
      </c>
      <c r="AC81" s="160" t="e">
        <f ca="1" t="shared" si="70"/>
        <v>#DIV/0!</v>
      </c>
      <c r="AD81" s="160" t="e">
        <f ca="1" t="shared" si="70"/>
        <v>#DIV/0!</v>
      </c>
    </row>
    <row r="82" s="91" customFormat="1" spans="1:30">
      <c r="A82" s="132">
        <v>467.5</v>
      </c>
      <c r="B82" s="133">
        <v>1425.24</v>
      </c>
      <c r="C82" s="133">
        <v>1411.99</v>
      </c>
      <c r="D82" s="133">
        <v>1372.17</v>
      </c>
      <c r="E82" s="133">
        <v>1291.21</v>
      </c>
      <c r="F82" s="133">
        <v>1192.43</v>
      </c>
      <c r="G82" s="133">
        <v>1090.06</v>
      </c>
      <c r="H82" s="133">
        <v>984.66</v>
      </c>
      <c r="I82" s="133">
        <v>927.76</v>
      </c>
      <c r="J82" s="133"/>
      <c r="K82" s="132">
        <f t="shared" si="50"/>
        <v>467.5</v>
      </c>
      <c r="L82" s="133">
        <f t="shared" si="52"/>
        <v>1442.09323741007</v>
      </c>
      <c r="M82" s="133">
        <f t="shared" si="53"/>
        <v>1384.1420579436</v>
      </c>
      <c r="N82" s="133">
        <f t="shared" si="54"/>
        <v>1335.14641112789</v>
      </c>
      <c r="O82" s="133">
        <f t="shared" si="55"/>
        <v>1291.64745052235</v>
      </c>
      <c r="P82" s="133">
        <f t="shared" si="56"/>
        <v>1239.41409945123</v>
      </c>
      <c r="Q82" s="133">
        <f t="shared" si="57"/>
        <v>1193.23006777282</v>
      </c>
      <c r="R82" s="133">
        <f t="shared" si="58"/>
        <v>1140.22234953582</v>
      </c>
      <c r="S82" s="133">
        <f t="shared" si="59"/>
        <v>1091.27453839527</v>
      </c>
      <c r="T82" s="133">
        <f t="shared" si="60"/>
        <v>1037.24051754553</v>
      </c>
      <c r="U82" s="133">
        <f t="shared" si="61"/>
        <v>986.272659407093</v>
      </c>
      <c r="V82" s="133">
        <f t="shared" si="62"/>
        <v>933.159270072993</v>
      </c>
      <c r="X82" s="106" t="s">
        <v>54</v>
      </c>
      <c r="Y82" s="106"/>
      <c r="Z82" s="160" t="e">
        <f ca="1" t="shared" ref="Z82:AD82" si="71">Z35/Z60</f>
        <v>#DIV/0!</v>
      </c>
      <c r="AA82" s="160" t="e">
        <f ca="1" t="shared" si="71"/>
        <v>#DIV/0!</v>
      </c>
      <c r="AB82" s="160" t="e">
        <f ca="1" t="shared" si="71"/>
        <v>#DIV/0!</v>
      </c>
      <c r="AC82" s="160" t="e">
        <f ca="1" t="shared" si="71"/>
        <v>#DIV/0!</v>
      </c>
      <c r="AD82" s="160" t="e">
        <f ca="1" t="shared" si="71"/>
        <v>#DIV/0!</v>
      </c>
    </row>
    <row r="83" s="91" customFormat="1" spans="1:30">
      <c r="A83" s="132">
        <v>522.5</v>
      </c>
      <c r="B83" s="133">
        <v>1415.32</v>
      </c>
      <c r="C83" s="133">
        <v>1402.07</v>
      </c>
      <c r="D83" s="133">
        <v>1362.26</v>
      </c>
      <c r="E83" s="133">
        <v>1281.26</v>
      </c>
      <c r="F83" s="133">
        <v>1182.5</v>
      </c>
      <c r="G83" s="133">
        <v>1080.42</v>
      </c>
      <c r="H83" s="133">
        <v>975.91</v>
      </c>
      <c r="I83" s="133">
        <v>920.09</v>
      </c>
      <c r="J83" s="133"/>
      <c r="K83" s="132">
        <f t="shared" si="50"/>
        <v>522.5</v>
      </c>
      <c r="L83" s="133">
        <f t="shared" si="52"/>
        <v>1432.17323741007</v>
      </c>
      <c r="M83" s="133">
        <f t="shared" si="53"/>
        <v>1374.22905139967</v>
      </c>
      <c r="N83" s="133">
        <f t="shared" si="54"/>
        <v>1325.21811884089</v>
      </c>
      <c r="O83" s="133">
        <f t="shared" si="55"/>
        <v>1281.69766665404</v>
      </c>
      <c r="P83" s="133">
        <f t="shared" si="56"/>
        <v>1229.47458657424</v>
      </c>
      <c r="Q83" s="133">
        <f t="shared" si="57"/>
        <v>1183.29990578298</v>
      </c>
      <c r="R83" s="133">
        <f t="shared" si="58"/>
        <v>1130.44024656263</v>
      </c>
      <c r="S83" s="133">
        <f t="shared" si="59"/>
        <v>1081.63109777659</v>
      </c>
      <c r="T83" s="133">
        <f t="shared" si="60"/>
        <v>1028.0465264581</v>
      </c>
      <c r="U83" s="133">
        <f t="shared" si="61"/>
        <v>977.509042074339</v>
      </c>
      <c r="V83" s="133">
        <f t="shared" si="62"/>
        <v>925.386788321168</v>
      </c>
      <c r="X83" s="106" t="s">
        <v>55</v>
      </c>
      <c r="Y83" s="106"/>
      <c r="Z83" s="160" t="e">
        <f ca="1" t="shared" ref="Z83:AD83" si="72">Z36/Z61</f>
        <v>#DIV/0!</v>
      </c>
      <c r="AA83" s="160" t="e">
        <f ca="1" t="shared" si="72"/>
        <v>#DIV/0!</v>
      </c>
      <c r="AB83" s="160" t="e">
        <f ca="1" t="shared" si="72"/>
        <v>#DIV/0!</v>
      </c>
      <c r="AC83" s="160" t="e">
        <f ca="1" t="shared" si="72"/>
        <v>#DIV/0!</v>
      </c>
      <c r="AD83" s="160" t="e">
        <f ca="1" t="shared" si="72"/>
        <v>#DIV/0!</v>
      </c>
    </row>
    <row r="84" s="91" customFormat="1" spans="1:30">
      <c r="A84" s="132">
        <v>577.5</v>
      </c>
      <c r="B84" s="133">
        <v>1388.6</v>
      </c>
      <c r="C84" s="133">
        <v>1375.33</v>
      </c>
      <c r="D84" s="133">
        <v>1335.45</v>
      </c>
      <c r="E84" s="133">
        <v>1254.05</v>
      </c>
      <c r="F84" s="133">
        <v>1154.46</v>
      </c>
      <c r="G84" s="133">
        <v>1050.51</v>
      </c>
      <c r="H84" s="133">
        <v>940.73</v>
      </c>
      <c r="I84" s="133">
        <v>880.16</v>
      </c>
      <c r="J84" s="133"/>
      <c r="K84" s="132">
        <f t="shared" si="50"/>
        <v>577.5</v>
      </c>
      <c r="L84" s="133">
        <f t="shared" si="52"/>
        <v>1405.47867625899</v>
      </c>
      <c r="M84" s="133">
        <f t="shared" si="53"/>
        <v>1347.4400972072</v>
      </c>
      <c r="N84" s="133">
        <f t="shared" si="54"/>
        <v>1298.22519597097</v>
      </c>
      <c r="O84" s="133">
        <f t="shared" si="55"/>
        <v>1254.48982797085</v>
      </c>
      <c r="P84" s="133">
        <f t="shared" si="56"/>
        <v>1201.82937096931</v>
      </c>
      <c r="Q84" s="133">
        <f t="shared" si="57"/>
        <v>1155.26662836095</v>
      </c>
      <c r="R84" s="133">
        <f t="shared" si="58"/>
        <v>1101.44656573457</v>
      </c>
      <c r="S84" s="133">
        <f t="shared" si="59"/>
        <v>1051.743283835</v>
      </c>
      <c r="T84" s="133">
        <f t="shared" si="60"/>
        <v>995.495552335376</v>
      </c>
      <c r="U84" s="133">
        <f t="shared" si="61"/>
        <v>942.409675044693</v>
      </c>
      <c r="V84" s="133">
        <f t="shared" si="62"/>
        <v>885.907518248175</v>
      </c>
      <c r="X84" s="106" t="s">
        <v>56</v>
      </c>
      <c r="Y84" s="106"/>
      <c r="Z84" s="160" t="e">
        <f ca="1" t="shared" ref="Z84:AD84" si="73">Z37/Z62</f>
        <v>#DIV/0!</v>
      </c>
      <c r="AA84" s="160" t="e">
        <f ca="1" t="shared" si="73"/>
        <v>#DIV/0!</v>
      </c>
      <c r="AB84" s="160" t="e">
        <f ca="1" t="shared" si="73"/>
        <v>#DIV/0!</v>
      </c>
      <c r="AC84" s="160" t="e">
        <f ca="1" t="shared" si="73"/>
        <v>#DIV/0!</v>
      </c>
      <c r="AD84" s="160" t="e">
        <f ca="1" t="shared" si="73"/>
        <v>#DIV/0!</v>
      </c>
    </row>
    <row r="85" s="91" customFormat="1" spans="1:30">
      <c r="A85" s="132">
        <v>632.5</v>
      </c>
      <c r="B85" s="133">
        <v>1350.7</v>
      </c>
      <c r="C85" s="133">
        <v>1337.62</v>
      </c>
      <c r="D85" s="133">
        <v>1298.27</v>
      </c>
      <c r="E85" s="133">
        <v>1217.89</v>
      </c>
      <c r="F85" s="133">
        <v>1119.97</v>
      </c>
      <c r="G85" s="133">
        <v>1018.23</v>
      </c>
      <c r="H85" s="133">
        <v>911.16</v>
      </c>
      <c r="I85" s="133">
        <v>852.79</v>
      </c>
      <c r="J85" s="133"/>
      <c r="K85" s="132">
        <f t="shared" si="50"/>
        <v>632.5</v>
      </c>
      <c r="L85" s="133">
        <f t="shared" si="52"/>
        <v>1367.33700719424</v>
      </c>
      <c r="M85" s="133">
        <f t="shared" si="53"/>
        <v>1310.10075037872</v>
      </c>
      <c r="N85" s="133">
        <f t="shared" si="54"/>
        <v>1261.51164928927</v>
      </c>
      <c r="O85" s="133">
        <f t="shared" si="55"/>
        <v>1218.32431661298</v>
      </c>
      <c r="P85" s="133">
        <f t="shared" si="56"/>
        <v>1166.54504574068</v>
      </c>
      <c r="Q85" s="133">
        <f t="shared" si="57"/>
        <v>1120.7631022101</v>
      </c>
      <c r="R85" s="133">
        <f t="shared" si="58"/>
        <v>1068.08364307682</v>
      </c>
      <c r="S85" s="133">
        <f t="shared" si="59"/>
        <v>1019.43706394779</v>
      </c>
      <c r="T85" s="133">
        <f t="shared" si="60"/>
        <v>964.57362441746</v>
      </c>
      <c r="U85" s="133">
        <f t="shared" si="61"/>
        <v>912.798211031475</v>
      </c>
      <c r="V85" s="133">
        <f t="shared" si="62"/>
        <v>858.328759124088</v>
      </c>
      <c r="X85" s="106" t="s">
        <v>57</v>
      </c>
      <c r="Y85" s="106"/>
      <c r="Z85" s="160" t="e">
        <f ca="1" t="shared" ref="Z85:AD85" si="74">Z38/Z63</f>
        <v>#DIV/0!</v>
      </c>
      <c r="AA85" s="160" t="e">
        <f ca="1" t="shared" si="74"/>
        <v>#DIV/0!</v>
      </c>
      <c r="AB85" s="160" t="e">
        <f ca="1" t="shared" si="74"/>
        <v>#DIV/0!</v>
      </c>
      <c r="AC85" s="160" t="e">
        <f ca="1" t="shared" si="74"/>
        <v>#DIV/0!</v>
      </c>
      <c r="AD85" s="160" t="e">
        <f ca="1" t="shared" si="74"/>
        <v>#DIV/0!</v>
      </c>
    </row>
    <row r="86" s="91" customFormat="1" ht="13.5" customHeight="1" spans="1:30">
      <c r="A86" s="132">
        <v>687.5</v>
      </c>
      <c r="B86" s="133">
        <v>1304.84</v>
      </c>
      <c r="C86" s="133">
        <v>1292.09</v>
      </c>
      <c r="D86" s="133">
        <v>1253.64</v>
      </c>
      <c r="E86" s="133">
        <v>1175.32</v>
      </c>
      <c r="F86" s="133">
        <v>1080.39</v>
      </c>
      <c r="G86" s="133">
        <v>981.79</v>
      </c>
      <c r="H86" s="133">
        <v>877.61</v>
      </c>
      <c r="I86" s="133">
        <v>820.89</v>
      </c>
      <c r="J86" s="133"/>
      <c r="K86" s="132">
        <f t="shared" si="50"/>
        <v>687.5</v>
      </c>
      <c r="L86" s="133">
        <f t="shared" si="52"/>
        <v>1321.05726618705</v>
      </c>
      <c r="M86" s="133">
        <f t="shared" si="53"/>
        <v>1265.2001614247</v>
      </c>
      <c r="N86" s="133">
        <f t="shared" si="54"/>
        <v>1217.82370206937</v>
      </c>
      <c r="O86" s="133">
        <f t="shared" si="55"/>
        <v>1175.74318583141</v>
      </c>
      <c r="P86" s="133">
        <f t="shared" si="56"/>
        <v>1125.54287063075</v>
      </c>
      <c r="Q86" s="133">
        <f t="shared" si="57"/>
        <v>1081.15888473045</v>
      </c>
      <c r="R86" s="133">
        <f t="shared" si="58"/>
        <v>1030.10501088436</v>
      </c>
      <c r="S86" s="133">
        <f t="shared" si="59"/>
        <v>982.959810352389</v>
      </c>
      <c r="T86" s="133">
        <f t="shared" si="60"/>
        <v>929.581900549276</v>
      </c>
      <c r="U86" s="133">
        <f t="shared" si="61"/>
        <v>879.203992950958</v>
      </c>
      <c r="V86" s="133">
        <f t="shared" si="62"/>
        <v>826.272189781022</v>
      </c>
      <c r="X86" s="106" t="s">
        <v>58</v>
      </c>
      <c r="Y86" s="106"/>
      <c r="Z86" s="160" t="e">
        <f ca="1" t="shared" ref="Z86:AD86" si="75">Z39/Z64</f>
        <v>#DIV/0!</v>
      </c>
      <c r="AA86" s="160" t="e">
        <f ca="1" t="shared" si="75"/>
        <v>#DIV/0!</v>
      </c>
      <c r="AB86" s="160" t="e">
        <f ca="1" t="shared" si="75"/>
        <v>#DIV/0!</v>
      </c>
      <c r="AC86" s="160" t="e">
        <f ca="1" t="shared" si="75"/>
        <v>#DIV/0!</v>
      </c>
      <c r="AD86" s="160" t="e">
        <f ca="1" t="shared" si="75"/>
        <v>#DIV/0!</v>
      </c>
    </row>
    <row r="87" s="91" customFormat="1" ht="13.5" customHeight="1" spans="1:30">
      <c r="A87" s="132">
        <v>742.5</v>
      </c>
      <c r="B87" s="133">
        <v>1252.27</v>
      </c>
      <c r="C87" s="133">
        <v>1239.88</v>
      </c>
      <c r="D87" s="133">
        <v>1202.55</v>
      </c>
      <c r="E87" s="133">
        <v>1126.97</v>
      </c>
      <c r="F87" s="133">
        <v>1035.59</v>
      </c>
      <c r="G87" s="133">
        <v>940.21</v>
      </c>
      <c r="H87" s="133">
        <v>838.81</v>
      </c>
      <c r="I87" s="133">
        <v>783.64</v>
      </c>
      <c r="J87" s="133"/>
      <c r="K87" s="132">
        <f t="shared" si="50"/>
        <v>742.5</v>
      </c>
      <c r="L87" s="133">
        <f t="shared" si="52"/>
        <v>1268.02936690647</v>
      </c>
      <c r="M87" s="133">
        <f t="shared" si="53"/>
        <v>1213.77342850413</v>
      </c>
      <c r="N87" s="133">
        <f t="shared" si="54"/>
        <v>1167.98672372833</v>
      </c>
      <c r="O87" s="133">
        <f t="shared" si="55"/>
        <v>1127.37838081126</v>
      </c>
      <c r="P87" s="133">
        <f t="shared" si="56"/>
        <v>1079.05433496511</v>
      </c>
      <c r="Q87" s="133">
        <f t="shared" si="57"/>
        <v>1036.33013153553</v>
      </c>
      <c r="R87" s="133">
        <f t="shared" si="58"/>
        <v>986.947177871705</v>
      </c>
      <c r="S87" s="133">
        <f t="shared" si="59"/>
        <v>941.3416076208</v>
      </c>
      <c r="T87" s="133">
        <f t="shared" si="60"/>
        <v>889.395051984033</v>
      </c>
      <c r="U87" s="133">
        <f t="shared" si="61"/>
        <v>840.361457911568</v>
      </c>
      <c r="V87" s="133">
        <f t="shared" si="62"/>
        <v>788.875109489051</v>
      </c>
      <c r="X87" s="106" t="s">
        <v>59</v>
      </c>
      <c r="Y87" s="106"/>
      <c r="Z87" s="160" t="e">
        <f ca="1" t="shared" ref="Z87:AD87" si="76">Z40/Z65</f>
        <v>#DIV/0!</v>
      </c>
      <c r="AA87" s="160" t="e">
        <f ca="1" t="shared" si="76"/>
        <v>#DIV/0!</v>
      </c>
      <c r="AB87" s="160" t="e">
        <f ca="1" t="shared" si="76"/>
        <v>#DIV/0!</v>
      </c>
      <c r="AC87" s="160" t="e">
        <f ca="1" t="shared" si="76"/>
        <v>#DIV/0!</v>
      </c>
      <c r="AD87" s="160" t="e">
        <f ca="1" t="shared" si="76"/>
        <v>#DIV/0!</v>
      </c>
    </row>
    <row r="88" s="91" customFormat="1" spans="1:30">
      <c r="A88" s="132">
        <v>797.5</v>
      </c>
      <c r="B88" s="133">
        <v>1193.72</v>
      </c>
      <c r="C88" s="133">
        <v>1181.77</v>
      </c>
      <c r="D88" s="133">
        <v>1146.01</v>
      </c>
      <c r="E88" s="133">
        <v>1073.76</v>
      </c>
      <c r="F88" s="133">
        <v>986.17</v>
      </c>
      <c r="G88" s="133">
        <v>894.07</v>
      </c>
      <c r="H88" s="133">
        <v>795.58</v>
      </c>
      <c r="I88" s="133">
        <v>742.04</v>
      </c>
      <c r="J88" s="133"/>
      <c r="K88" s="132">
        <f t="shared" si="50"/>
        <v>797.5</v>
      </c>
      <c r="L88" s="133">
        <f t="shared" si="52"/>
        <v>1208.91971223022</v>
      </c>
      <c r="M88" s="133">
        <f t="shared" si="53"/>
        <v>1156.76140110656</v>
      </c>
      <c r="N88" s="133">
        <f t="shared" si="54"/>
        <v>1112.96955662043</v>
      </c>
      <c r="O88" s="133">
        <f t="shared" si="55"/>
        <v>1074.15038784882</v>
      </c>
      <c r="P88" s="133">
        <f t="shared" si="56"/>
        <v>1027.8316447756</v>
      </c>
      <c r="Q88" s="133">
        <f t="shared" si="57"/>
        <v>986.879434462653</v>
      </c>
      <c r="R88" s="133">
        <f t="shared" si="58"/>
        <v>939.199944243909</v>
      </c>
      <c r="S88" s="133">
        <f t="shared" si="59"/>
        <v>895.16269303707</v>
      </c>
      <c r="T88" s="133">
        <f t="shared" si="60"/>
        <v>844.713350788042</v>
      </c>
      <c r="U88" s="133">
        <f t="shared" si="61"/>
        <v>797.086933823573</v>
      </c>
      <c r="V88" s="133">
        <f t="shared" si="62"/>
        <v>747.120437956204</v>
      </c>
      <c r="X88" s="106" t="s">
        <v>60</v>
      </c>
      <c r="Y88" s="106"/>
      <c r="Z88" s="160" t="e">
        <f ca="1" t="shared" ref="Z88:AD88" si="77">Z41/Z66</f>
        <v>#DIV/0!</v>
      </c>
      <c r="AA88" s="160" t="e">
        <f ca="1" t="shared" si="77"/>
        <v>#DIV/0!</v>
      </c>
      <c r="AB88" s="160" t="e">
        <f ca="1" t="shared" si="77"/>
        <v>#DIV/0!</v>
      </c>
      <c r="AC88" s="160" t="e">
        <f ca="1" t="shared" si="77"/>
        <v>#DIV/0!</v>
      </c>
      <c r="AD88" s="160" t="e">
        <f ca="1" t="shared" si="77"/>
        <v>#DIV/0!</v>
      </c>
    </row>
    <row r="89" s="91" customFormat="1" spans="1:30">
      <c r="A89" s="132">
        <v>852.5</v>
      </c>
      <c r="B89" s="133">
        <v>1129.5</v>
      </c>
      <c r="C89" s="133">
        <v>1118.2</v>
      </c>
      <c r="D89" s="133">
        <v>1084.4</v>
      </c>
      <c r="E89" s="133">
        <v>1015.92</v>
      </c>
      <c r="F89" s="133">
        <v>932.33</v>
      </c>
      <c r="G89" s="133">
        <v>843.79</v>
      </c>
      <c r="H89" s="133">
        <v>748.65</v>
      </c>
      <c r="I89" s="133">
        <v>696.99</v>
      </c>
      <c r="J89" s="133"/>
      <c r="K89" s="132">
        <f t="shared" si="50"/>
        <v>852.5</v>
      </c>
      <c r="L89" s="133">
        <f t="shared" si="52"/>
        <v>1143.87294964029</v>
      </c>
      <c r="M89" s="133">
        <f t="shared" si="53"/>
        <v>1094.56211849557</v>
      </c>
      <c r="N89" s="133">
        <f t="shared" si="54"/>
        <v>1053.08360466944</v>
      </c>
      <c r="O89" s="133">
        <f t="shared" si="55"/>
        <v>1016.29001743788</v>
      </c>
      <c r="P89" s="133">
        <f t="shared" si="56"/>
        <v>972.089069377693</v>
      </c>
      <c r="Q89" s="133">
        <f t="shared" si="57"/>
        <v>933.007036496554</v>
      </c>
      <c r="R89" s="133">
        <f t="shared" si="58"/>
        <v>887.175507745447</v>
      </c>
      <c r="S89" s="133">
        <f t="shared" si="59"/>
        <v>844.840456476679</v>
      </c>
      <c r="T89" s="133">
        <f t="shared" si="60"/>
        <v>796.112148380285</v>
      </c>
      <c r="U89" s="133">
        <f t="shared" si="61"/>
        <v>750.105677571071</v>
      </c>
      <c r="V89" s="133">
        <f t="shared" si="62"/>
        <v>701.89204379562</v>
      </c>
      <c r="X89" s="106" t="s">
        <v>61</v>
      </c>
      <c r="Y89" s="106"/>
      <c r="Z89" s="160" t="e">
        <f ca="1" t="shared" ref="Z89:AD89" si="78">Z42/Z67</f>
        <v>#DIV/0!</v>
      </c>
      <c r="AA89" s="160" t="e">
        <f ca="1" t="shared" si="78"/>
        <v>#DIV/0!</v>
      </c>
      <c r="AB89" s="160" t="e">
        <f ca="1" t="shared" si="78"/>
        <v>#DIV/0!</v>
      </c>
      <c r="AC89" s="160" t="e">
        <f ca="1" t="shared" si="78"/>
        <v>#DIV/0!</v>
      </c>
      <c r="AD89" s="160" t="e">
        <f ca="1" t="shared" si="78"/>
        <v>#DIV/0!</v>
      </c>
    </row>
    <row r="90" s="91" customFormat="1" spans="1:30">
      <c r="A90" s="132">
        <v>907.5</v>
      </c>
      <c r="B90" s="133">
        <v>1058.16</v>
      </c>
      <c r="C90" s="133">
        <v>1047.67</v>
      </c>
      <c r="D90" s="133">
        <v>1016.2</v>
      </c>
      <c r="E90" s="133">
        <v>952.05</v>
      </c>
      <c r="F90" s="133">
        <v>873.16</v>
      </c>
      <c r="G90" s="133">
        <v>789.08</v>
      </c>
      <c r="H90" s="133">
        <v>698.22</v>
      </c>
      <c r="I90" s="133">
        <v>648.89</v>
      </c>
      <c r="J90" s="133"/>
      <c r="K90" s="132">
        <f t="shared" si="50"/>
        <v>907.5</v>
      </c>
      <c r="L90" s="133">
        <f t="shared" si="52"/>
        <v>1071.50267625899</v>
      </c>
      <c r="M90" s="133">
        <f t="shared" si="53"/>
        <v>1025.66159375904</v>
      </c>
      <c r="N90" s="133">
        <f t="shared" si="54"/>
        <v>986.863744736339</v>
      </c>
      <c r="O90" s="133">
        <f t="shared" si="55"/>
        <v>952.396621183412</v>
      </c>
      <c r="P90" s="133">
        <f t="shared" si="56"/>
        <v>910.683543285156</v>
      </c>
      <c r="Q90" s="133">
        <f t="shared" si="57"/>
        <v>873.798968886388</v>
      </c>
      <c r="R90" s="133">
        <f t="shared" si="58"/>
        <v>830.280062019847</v>
      </c>
      <c r="S90" s="133">
        <f t="shared" si="59"/>
        <v>790.077542134168</v>
      </c>
      <c r="T90" s="133">
        <f t="shared" si="60"/>
        <v>743.54700022948</v>
      </c>
      <c r="U90" s="133">
        <f t="shared" si="61"/>
        <v>699.610191970858</v>
      </c>
      <c r="V90" s="133">
        <f t="shared" si="62"/>
        <v>653.570948905109</v>
      </c>
      <c r="X90" s="106" t="s">
        <v>62</v>
      </c>
      <c r="Y90" s="106"/>
      <c r="Z90" s="160" t="e">
        <f ca="1" t="shared" ref="Z90:AD90" si="79">Z43/Z68</f>
        <v>#DIV/0!</v>
      </c>
      <c r="AA90" s="160" t="e">
        <f ca="1" t="shared" si="79"/>
        <v>#DIV/0!</v>
      </c>
      <c r="AB90" s="160" t="e">
        <f ca="1" t="shared" si="79"/>
        <v>#DIV/0!</v>
      </c>
      <c r="AC90" s="160" t="e">
        <f ca="1" t="shared" si="79"/>
        <v>#DIV/0!</v>
      </c>
      <c r="AD90" s="160" t="e">
        <f ca="1" t="shared" si="79"/>
        <v>#DIV/0!</v>
      </c>
    </row>
    <row r="91" s="91" customFormat="1" spans="1:30">
      <c r="A91" s="132">
        <v>962.5</v>
      </c>
      <c r="B91" s="133">
        <v>973.29</v>
      </c>
      <c r="C91" s="133">
        <v>963.83</v>
      </c>
      <c r="D91" s="133">
        <v>935.39</v>
      </c>
      <c r="E91" s="133">
        <v>877.16</v>
      </c>
      <c r="F91" s="133">
        <v>805.12</v>
      </c>
      <c r="G91" s="133">
        <v>727.93</v>
      </c>
      <c r="H91" s="133">
        <v>643.73</v>
      </c>
      <c r="I91" s="133">
        <v>597.79</v>
      </c>
      <c r="J91" s="133"/>
      <c r="K91" s="132">
        <f t="shared" si="50"/>
        <v>962.5</v>
      </c>
      <c r="L91" s="133">
        <f t="shared" si="52"/>
        <v>985.322575539568</v>
      </c>
      <c r="M91" s="133">
        <f t="shared" si="53"/>
        <v>943.940610947162</v>
      </c>
      <c r="N91" s="133">
        <f t="shared" si="54"/>
        <v>908.761003211177</v>
      </c>
      <c r="O91" s="133">
        <f t="shared" si="55"/>
        <v>877.474633694623</v>
      </c>
      <c r="P91" s="133">
        <f t="shared" si="56"/>
        <v>839.385382916246</v>
      </c>
      <c r="Q91" s="133">
        <f t="shared" si="57"/>
        <v>805.703487369443</v>
      </c>
      <c r="R91" s="133">
        <f t="shared" si="58"/>
        <v>765.75389138097</v>
      </c>
      <c r="S91" s="133">
        <f t="shared" si="59"/>
        <v>728.845797779928</v>
      </c>
      <c r="T91" s="133">
        <f t="shared" si="60"/>
        <v>685.734550069582</v>
      </c>
      <c r="U91" s="133">
        <f t="shared" si="61"/>
        <v>645.018291480809</v>
      </c>
      <c r="V91" s="133">
        <f t="shared" si="62"/>
        <v>602.149270072993</v>
      </c>
      <c r="X91" s="106" t="s">
        <v>63</v>
      </c>
      <c r="Y91" s="106"/>
      <c r="Z91" s="160" t="e">
        <f ca="1" t="shared" ref="Z91:AD91" si="80">Z44/Z69</f>
        <v>#DIV/0!</v>
      </c>
      <c r="AA91" s="160" t="e">
        <f ca="1" t="shared" si="80"/>
        <v>#DIV/0!</v>
      </c>
      <c r="AB91" s="160" t="e">
        <f ca="1" t="shared" si="80"/>
        <v>#DIV/0!</v>
      </c>
      <c r="AC91" s="160" t="e">
        <f ca="1" t="shared" si="80"/>
        <v>#DIV/0!</v>
      </c>
      <c r="AD91" s="160" t="e">
        <f ca="1" t="shared" si="80"/>
        <v>#DIV/0!</v>
      </c>
    </row>
    <row r="92" s="91" customFormat="1" spans="1:30">
      <c r="A92" s="132">
        <v>1017.5</v>
      </c>
      <c r="B92" s="133">
        <v>856.98</v>
      </c>
      <c r="C92" s="133">
        <v>849.03</v>
      </c>
      <c r="D92" s="133">
        <v>825.47</v>
      </c>
      <c r="E92" s="133">
        <v>777.44</v>
      </c>
      <c r="F92" s="133">
        <v>717.98</v>
      </c>
      <c r="G92" s="133">
        <v>653.78</v>
      </c>
      <c r="H92" s="133">
        <v>582.7</v>
      </c>
      <c r="I92" s="133">
        <v>543.52</v>
      </c>
      <c r="J92" s="133"/>
      <c r="K92" s="132">
        <f t="shared" si="50"/>
        <v>1017.5</v>
      </c>
      <c r="L92" s="133">
        <f t="shared" si="52"/>
        <v>867.091942446043</v>
      </c>
      <c r="M92" s="133">
        <f t="shared" si="53"/>
        <v>832.553417507565</v>
      </c>
      <c r="N92" s="133">
        <f t="shared" si="54"/>
        <v>803.505536394175</v>
      </c>
      <c r="O92" s="133">
        <f t="shared" si="55"/>
        <v>777.699520115967</v>
      </c>
      <c r="P92" s="133">
        <f t="shared" si="56"/>
        <v>746.261783289839</v>
      </c>
      <c r="Q92" s="133">
        <f t="shared" si="57"/>
        <v>718.461595766062</v>
      </c>
      <c r="R92" s="133">
        <f t="shared" si="58"/>
        <v>685.238658202595</v>
      </c>
      <c r="S92" s="133">
        <f t="shared" si="59"/>
        <v>654.541681791313</v>
      </c>
      <c r="T92" s="133">
        <f t="shared" si="60"/>
        <v>618.159423027861</v>
      </c>
      <c r="U92" s="133">
        <f t="shared" si="61"/>
        <v>583.787550575486</v>
      </c>
      <c r="V92" s="133">
        <f t="shared" si="62"/>
        <v>547.237810218978</v>
      </c>
      <c r="X92" s="106" t="s">
        <v>64</v>
      </c>
      <c r="Y92" s="106"/>
      <c r="Z92" s="160" t="e">
        <f ca="1" t="shared" ref="Z92:AD92" si="81">Z45/Z70</f>
        <v>#DIV/0!</v>
      </c>
      <c r="AA92" s="160" t="e">
        <f ca="1" t="shared" si="81"/>
        <v>#DIV/0!</v>
      </c>
      <c r="AB92" s="160" t="e">
        <f ca="1" t="shared" si="81"/>
        <v>#DIV/0!</v>
      </c>
      <c r="AC92" s="160" t="e">
        <f ca="1" t="shared" si="81"/>
        <v>#DIV/0!</v>
      </c>
      <c r="AD92" s="160" t="e">
        <f ca="1" t="shared" si="81"/>
        <v>#DIV/0!</v>
      </c>
    </row>
    <row r="93" s="91" customFormat="1" spans="1:22">
      <c r="A93" s="132">
        <v>1072.5</v>
      </c>
      <c r="B93" s="133">
        <v>654.96</v>
      </c>
      <c r="C93" s="133">
        <v>647.45</v>
      </c>
      <c r="D93" s="133">
        <v>633.6</v>
      </c>
      <c r="E93" s="133">
        <v>607.99</v>
      </c>
      <c r="F93" s="133">
        <v>577.13</v>
      </c>
      <c r="G93" s="133">
        <v>543.91</v>
      </c>
      <c r="H93" s="133">
        <v>506.51</v>
      </c>
      <c r="I93" s="133">
        <v>485.24</v>
      </c>
      <c r="J93" s="133"/>
      <c r="K93" s="132">
        <f t="shared" si="50"/>
        <v>1072.5</v>
      </c>
      <c r="L93" s="133">
        <f t="shared" si="52"/>
        <v>664.512287769784</v>
      </c>
      <c r="M93" s="133">
        <f t="shared" si="53"/>
        <v>637.764063348038</v>
      </c>
      <c r="N93" s="133">
        <f t="shared" si="54"/>
        <v>621.888363253276</v>
      </c>
      <c r="O93" s="133">
        <f t="shared" si="55"/>
        <v>608.128378308764</v>
      </c>
      <c r="P93" s="133">
        <f t="shared" si="56"/>
        <v>591.808369194827</v>
      </c>
      <c r="Q93" s="133">
        <f t="shared" si="57"/>
        <v>577.379950308454</v>
      </c>
      <c r="R93" s="133">
        <f t="shared" si="58"/>
        <v>560.188140583959</v>
      </c>
      <c r="S93" s="133">
        <f t="shared" si="59"/>
        <v>544.304128802296</v>
      </c>
      <c r="T93" s="133">
        <f t="shared" si="60"/>
        <v>525.167603000028</v>
      </c>
      <c r="U93" s="133">
        <f t="shared" si="61"/>
        <v>507.082233983162</v>
      </c>
      <c r="V93" s="133">
        <f t="shared" si="62"/>
        <v>487.258321167883</v>
      </c>
    </row>
    <row r="94" s="91" customFormat="1" spans="1:22">
      <c r="A94" s="129"/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</row>
    <row r="95" s="91" customFormat="1" spans="1:22">
      <c r="A95" s="129" t="s">
        <v>142</v>
      </c>
      <c r="B95" s="129"/>
      <c r="C95" s="129"/>
      <c r="D95" s="129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</row>
    <row r="96" s="91" customFormat="1" spans="1:22">
      <c r="A96" s="132" t="s">
        <v>128</v>
      </c>
      <c r="B96" s="133">
        <v>17.68</v>
      </c>
      <c r="C96" s="133">
        <v>31.58</v>
      </c>
      <c r="D96" s="133">
        <v>54.25</v>
      </c>
      <c r="E96" s="133">
        <v>82.31</v>
      </c>
      <c r="F96" s="133">
        <v>106.26</v>
      </c>
      <c r="G96" s="133">
        <v>125.73</v>
      </c>
      <c r="H96" s="133">
        <v>142.56</v>
      </c>
      <c r="I96" s="133">
        <v>150.78</v>
      </c>
      <c r="J96" s="133"/>
      <c r="K96" s="132" t="str">
        <f t="shared" ref="K96:K116" si="82">A96</f>
        <v>R/Z[cm]</v>
      </c>
      <c r="L96" s="141">
        <v>0</v>
      </c>
      <c r="M96" s="141">
        <f t="shared" ref="M96:V96" si="83">SQRT(L96*L96+150*150/10)</f>
        <v>47.4341649025257</v>
      </c>
      <c r="N96" s="141">
        <f t="shared" si="83"/>
        <v>67.0820393249937</v>
      </c>
      <c r="O96" s="141">
        <f t="shared" si="83"/>
        <v>82.1583836257749</v>
      </c>
      <c r="P96" s="141">
        <f t="shared" si="83"/>
        <v>94.8683298050514</v>
      </c>
      <c r="Q96" s="141">
        <f t="shared" si="83"/>
        <v>106.066017177982</v>
      </c>
      <c r="R96" s="141">
        <f t="shared" si="83"/>
        <v>116.189500386223</v>
      </c>
      <c r="S96" s="141">
        <f t="shared" si="83"/>
        <v>125.499003980111</v>
      </c>
      <c r="T96" s="141">
        <f t="shared" si="83"/>
        <v>134.164078649987</v>
      </c>
      <c r="U96" s="141">
        <f t="shared" si="83"/>
        <v>142.302494707577</v>
      </c>
      <c r="V96" s="141">
        <f t="shared" si="83"/>
        <v>150</v>
      </c>
    </row>
    <row r="97" s="91" customFormat="1" spans="1:22">
      <c r="A97" s="132">
        <v>27.5</v>
      </c>
      <c r="B97" s="133">
        <v>628.32</v>
      </c>
      <c r="C97" s="133">
        <v>623.82</v>
      </c>
      <c r="D97" s="133">
        <v>610.26</v>
      </c>
      <c r="E97" s="133">
        <v>582.56</v>
      </c>
      <c r="F97" s="133">
        <v>548.3</v>
      </c>
      <c r="G97" s="133">
        <v>511.49</v>
      </c>
      <c r="H97" s="133">
        <v>471.3</v>
      </c>
      <c r="I97" s="133">
        <v>449.52</v>
      </c>
      <c r="J97" s="133"/>
      <c r="K97" s="132">
        <f t="shared" si="82"/>
        <v>27.5</v>
      </c>
      <c r="L97" s="133">
        <f t="shared" ref="L97:L116" si="84">TREND(B97:C97,B$4:C$4,L$4)</f>
        <v>634.043741007194</v>
      </c>
      <c r="M97" s="133">
        <f t="shared" ref="M97:M116" si="85">TREND(C97:D97,C$4:D$4,M$4)</f>
        <v>614.336873573964</v>
      </c>
      <c r="N97" s="133">
        <f t="shared" ref="N97:N116" si="86">TREND(D97:E97,D$4:E$4,N$4)</f>
        <v>597.592591257936</v>
      </c>
      <c r="O97" s="133">
        <f t="shared" ref="O97:O116" si="87">TREND(D97:E97,D$4:E$4,O$4)</f>
        <v>582.709671189096</v>
      </c>
      <c r="P97" s="133">
        <f t="shared" ref="P97:P116" si="88">TREND(E97:F97,E$4:F$4,P$4)</f>
        <v>564.595558283045</v>
      </c>
      <c r="Q97" s="133">
        <f t="shared" ref="Q97:Q116" si="89">TREND(E97:F97,E$4:F$4,Q$4)</f>
        <v>548.577488579638</v>
      </c>
      <c r="R97" s="133">
        <f t="shared" ref="R97:R116" si="90">TREND(F97:G97,F$4:G$4,R$4)</f>
        <v>529.527277389992</v>
      </c>
      <c r="S97" s="133">
        <f t="shared" ref="S97:S116" si="91">TREND(F97:G97,F$4:G$4,S$4)</f>
        <v>511.926721288757</v>
      </c>
      <c r="T97" s="133">
        <f t="shared" ref="T97:T116" si="92">TREND(G97:H97,G$4:H$4,T$4)</f>
        <v>491.349440229174</v>
      </c>
      <c r="U97" s="133">
        <f t="shared" ref="U97:U116" si="93">TREND(G97:H97,G$4:H$4,U$4)</f>
        <v>471.914922026291</v>
      </c>
      <c r="V97" s="133">
        <f t="shared" ref="V97:V116" si="94">TREND(H97:I97,H$4:I$4,V$4)</f>
        <v>451.586715328467</v>
      </c>
    </row>
    <row r="98" s="91" customFormat="1" spans="1:22">
      <c r="A98" s="132">
        <v>82.5</v>
      </c>
      <c r="B98" s="133">
        <v>860.15</v>
      </c>
      <c r="C98" s="133">
        <v>851.94</v>
      </c>
      <c r="D98" s="133">
        <v>827.59</v>
      </c>
      <c r="E98" s="133">
        <v>778.22</v>
      </c>
      <c r="F98" s="133">
        <v>717.33</v>
      </c>
      <c r="G98" s="133">
        <v>652.05</v>
      </c>
      <c r="H98" s="133">
        <v>580.6</v>
      </c>
      <c r="I98" s="133">
        <v>541.66</v>
      </c>
      <c r="J98" s="133"/>
      <c r="K98" s="132">
        <f t="shared" si="82"/>
        <v>82.5</v>
      </c>
      <c r="L98" s="133">
        <f t="shared" si="84"/>
        <v>870.592647482014</v>
      </c>
      <c r="M98" s="133">
        <f t="shared" si="85"/>
        <v>834.910934478319</v>
      </c>
      <c r="N98" s="133">
        <f t="shared" si="86"/>
        <v>805.012744779938</v>
      </c>
      <c r="O98" s="133">
        <f t="shared" si="87"/>
        <v>778.486760527281</v>
      </c>
      <c r="P98" s="133">
        <f t="shared" si="88"/>
        <v>746.29195399459</v>
      </c>
      <c r="Q98" s="133">
        <f t="shared" si="89"/>
        <v>717.823178038942</v>
      </c>
      <c r="R98" s="133">
        <f t="shared" si="90"/>
        <v>684.037869275161</v>
      </c>
      <c r="S98" s="133">
        <f t="shared" si="91"/>
        <v>652.824495129858</v>
      </c>
      <c r="T98" s="133">
        <f t="shared" si="92"/>
        <v>616.244003592299</v>
      </c>
      <c r="U98" s="133">
        <f t="shared" si="93"/>
        <v>581.693211713822</v>
      </c>
      <c r="V98" s="133">
        <f t="shared" si="94"/>
        <v>545.35503649635</v>
      </c>
    </row>
    <row r="99" s="91" customFormat="1" spans="1:22">
      <c r="A99" s="132">
        <v>137.5</v>
      </c>
      <c r="B99" s="133">
        <v>1005.91</v>
      </c>
      <c r="C99" s="133">
        <v>995.99</v>
      </c>
      <c r="D99" s="133">
        <v>966.4</v>
      </c>
      <c r="E99" s="133">
        <v>906.46</v>
      </c>
      <c r="F99" s="133">
        <v>832.96</v>
      </c>
      <c r="G99" s="133">
        <v>754.97</v>
      </c>
      <c r="H99" s="133">
        <v>671.21</v>
      </c>
      <c r="I99" s="133">
        <v>626.03</v>
      </c>
      <c r="J99" s="133"/>
      <c r="K99" s="132">
        <f t="shared" si="82"/>
        <v>137.5</v>
      </c>
      <c r="L99" s="133">
        <f t="shared" si="84"/>
        <v>1018.52766906475</v>
      </c>
      <c r="M99" s="133">
        <f t="shared" si="85"/>
        <v>975.296363499526</v>
      </c>
      <c r="N99" s="133">
        <f t="shared" si="86"/>
        <v>938.989007942262</v>
      </c>
      <c r="O99" s="133">
        <f t="shared" si="87"/>
        <v>906.783873323986</v>
      </c>
      <c r="P99" s="133">
        <f t="shared" si="88"/>
        <v>867.919822936481</v>
      </c>
      <c r="Q99" s="133">
        <f t="shared" si="89"/>
        <v>833.555312627069</v>
      </c>
      <c r="R99" s="133">
        <f t="shared" si="90"/>
        <v>793.185899582872</v>
      </c>
      <c r="S99" s="133">
        <f t="shared" si="91"/>
        <v>755.895289141814</v>
      </c>
      <c r="T99" s="133">
        <f t="shared" si="92"/>
        <v>712.995048857817</v>
      </c>
      <c r="U99" s="133">
        <f t="shared" si="93"/>
        <v>672.491559316301</v>
      </c>
      <c r="V99" s="133">
        <f t="shared" si="94"/>
        <v>630.317153284672</v>
      </c>
    </row>
    <row r="100" s="91" customFormat="1" spans="1:22">
      <c r="A100" s="132">
        <v>192.5</v>
      </c>
      <c r="B100" s="133">
        <v>1117.78</v>
      </c>
      <c r="C100" s="133">
        <v>1106.7</v>
      </c>
      <c r="D100" s="133">
        <v>1073.74</v>
      </c>
      <c r="E100" s="133">
        <v>1007.33</v>
      </c>
      <c r="F100" s="133">
        <v>926.71</v>
      </c>
      <c r="G100" s="133">
        <v>841.96</v>
      </c>
      <c r="H100" s="133">
        <v>752.05</v>
      </c>
      <c r="I100" s="133">
        <v>703.73</v>
      </c>
      <c r="J100" s="133"/>
      <c r="K100" s="132">
        <f t="shared" si="82"/>
        <v>192.5</v>
      </c>
      <c r="L100" s="133">
        <f t="shared" si="84"/>
        <v>1131.87312230216</v>
      </c>
      <c r="M100" s="133">
        <f t="shared" si="85"/>
        <v>1083.64956880515</v>
      </c>
      <c r="N100" s="133">
        <f t="shared" si="86"/>
        <v>1043.37023052128</v>
      </c>
      <c r="O100" s="133">
        <f t="shared" si="87"/>
        <v>1007.68883262339</v>
      </c>
      <c r="P100" s="133">
        <f t="shared" si="88"/>
        <v>965.05640714475</v>
      </c>
      <c r="Q100" s="133">
        <f t="shared" si="89"/>
        <v>927.362981006726</v>
      </c>
      <c r="R100" s="133">
        <f t="shared" si="90"/>
        <v>883.488368888939</v>
      </c>
      <c r="S100" s="133">
        <f t="shared" si="91"/>
        <v>842.965491149747</v>
      </c>
      <c r="T100" s="133">
        <f t="shared" si="92"/>
        <v>796.903077158624</v>
      </c>
      <c r="U100" s="133">
        <f t="shared" si="93"/>
        <v>753.425656615671</v>
      </c>
      <c r="V100" s="133">
        <f t="shared" si="94"/>
        <v>708.315109489051</v>
      </c>
    </row>
    <row r="101" s="91" customFormat="1" spans="1:22">
      <c r="A101" s="132">
        <v>241.5</v>
      </c>
      <c r="B101" s="133">
        <v>1200.18</v>
      </c>
      <c r="C101" s="133">
        <v>1188.37</v>
      </c>
      <c r="D101" s="133">
        <v>1153.18</v>
      </c>
      <c r="E101" s="133">
        <v>1082.45</v>
      </c>
      <c r="F101" s="133">
        <v>997.24</v>
      </c>
      <c r="G101" s="133">
        <v>908.6</v>
      </c>
      <c r="H101" s="133">
        <v>815.58</v>
      </c>
      <c r="I101" s="133">
        <v>765.87</v>
      </c>
      <c r="J101" s="133"/>
      <c r="K101" s="132">
        <f t="shared" si="82"/>
        <v>241.5</v>
      </c>
      <c r="L101" s="133">
        <f t="shared" si="84"/>
        <v>1215.20164028777</v>
      </c>
      <c r="M101" s="133">
        <f t="shared" si="85"/>
        <v>1163.76002810234</v>
      </c>
      <c r="N101" s="133">
        <f t="shared" si="86"/>
        <v>1120.83466352613</v>
      </c>
      <c r="O101" s="133">
        <f t="shared" si="87"/>
        <v>1082.83217484494</v>
      </c>
      <c r="P101" s="133">
        <f t="shared" si="88"/>
        <v>1037.76961241384</v>
      </c>
      <c r="Q101" s="133">
        <f t="shared" si="89"/>
        <v>997.930157672824</v>
      </c>
      <c r="R101" s="133">
        <f t="shared" si="90"/>
        <v>952.034508770685</v>
      </c>
      <c r="S101" s="133">
        <f t="shared" si="91"/>
        <v>909.651642896915</v>
      </c>
      <c r="T101" s="133">
        <f t="shared" si="92"/>
        <v>861.98455163269</v>
      </c>
      <c r="U101" s="133">
        <f t="shared" si="93"/>
        <v>817.003240778442</v>
      </c>
      <c r="V101" s="133">
        <f t="shared" si="94"/>
        <v>770.58700729927</v>
      </c>
    </row>
    <row r="102" s="91" customFormat="1" spans="1:22">
      <c r="A102" s="132">
        <v>296.5</v>
      </c>
      <c r="B102" s="133">
        <v>1272.21</v>
      </c>
      <c r="C102" s="133">
        <v>1260.01</v>
      </c>
      <c r="D102" s="133">
        <v>1223.36</v>
      </c>
      <c r="E102" s="133">
        <v>1149.21</v>
      </c>
      <c r="F102" s="133">
        <v>1059.73</v>
      </c>
      <c r="G102" s="133">
        <v>966.88</v>
      </c>
      <c r="H102" s="133">
        <v>868.97</v>
      </c>
      <c r="I102" s="133">
        <v>815.77</v>
      </c>
      <c r="J102" s="133"/>
      <c r="K102" s="132">
        <f t="shared" si="82"/>
        <v>296.5</v>
      </c>
      <c r="L102" s="133">
        <f t="shared" si="84"/>
        <v>1287.72769784173</v>
      </c>
      <c r="M102" s="133">
        <f t="shared" si="85"/>
        <v>1234.37898351665</v>
      </c>
      <c r="N102" s="133">
        <f t="shared" si="86"/>
        <v>1189.4506729883</v>
      </c>
      <c r="O102" s="133">
        <f t="shared" si="87"/>
        <v>1149.61065410366</v>
      </c>
      <c r="P102" s="133">
        <f t="shared" si="88"/>
        <v>1102.29061165111</v>
      </c>
      <c r="Q102" s="133">
        <f t="shared" si="89"/>
        <v>1060.45474250164</v>
      </c>
      <c r="R102" s="133">
        <f t="shared" si="90"/>
        <v>1012.37745193319</v>
      </c>
      <c r="S102" s="133">
        <f t="shared" si="91"/>
        <v>967.981591188837</v>
      </c>
      <c r="T102" s="133">
        <f t="shared" si="92"/>
        <v>917.814008281624</v>
      </c>
      <c r="U102" s="133">
        <f t="shared" si="93"/>
        <v>870.468059606722</v>
      </c>
      <c r="V102" s="133">
        <f t="shared" si="94"/>
        <v>820.818175182482</v>
      </c>
    </row>
    <row r="103" s="91" customFormat="1" spans="1:22">
      <c r="A103" s="132">
        <v>357.5</v>
      </c>
      <c r="B103" s="133">
        <v>1330.87</v>
      </c>
      <c r="C103" s="133">
        <v>1318.47</v>
      </c>
      <c r="D103" s="133">
        <v>1281.17</v>
      </c>
      <c r="E103" s="133">
        <v>1205.21</v>
      </c>
      <c r="F103" s="133">
        <v>1113.08</v>
      </c>
      <c r="G103" s="133">
        <v>1017.88</v>
      </c>
      <c r="H103" s="133">
        <v>918.54</v>
      </c>
      <c r="I103" s="133">
        <v>864.76</v>
      </c>
      <c r="J103" s="133"/>
      <c r="K103" s="132">
        <f t="shared" si="82"/>
        <v>357.5</v>
      </c>
      <c r="L103" s="133">
        <f t="shared" si="84"/>
        <v>1346.64208633093</v>
      </c>
      <c r="M103" s="133">
        <f t="shared" si="85"/>
        <v>1292.38440887233</v>
      </c>
      <c r="N103" s="133">
        <f t="shared" si="86"/>
        <v>1246.43294700191</v>
      </c>
      <c r="O103" s="133">
        <f t="shared" si="87"/>
        <v>1205.62043406223</v>
      </c>
      <c r="P103" s="133">
        <f t="shared" si="88"/>
        <v>1156.90106785222</v>
      </c>
      <c r="Q103" s="133">
        <f t="shared" si="89"/>
        <v>1113.82620615418</v>
      </c>
      <c r="R103" s="133">
        <f t="shared" si="90"/>
        <v>1064.52897602628</v>
      </c>
      <c r="S103" s="133">
        <f t="shared" si="91"/>
        <v>1019.00947206438</v>
      </c>
      <c r="T103" s="133">
        <f t="shared" si="92"/>
        <v>968.097387219861</v>
      </c>
      <c r="U103" s="133">
        <f t="shared" si="93"/>
        <v>920.059939141372</v>
      </c>
      <c r="V103" s="133">
        <f t="shared" si="94"/>
        <v>869.863211678832</v>
      </c>
    </row>
    <row r="104" s="91" customFormat="1" spans="1:22">
      <c r="A104" s="132">
        <v>412.5</v>
      </c>
      <c r="B104" s="133">
        <v>1362</v>
      </c>
      <c r="C104" s="133">
        <v>1349.54</v>
      </c>
      <c r="D104" s="133">
        <v>1312.06</v>
      </c>
      <c r="E104" s="133">
        <v>1235.69</v>
      </c>
      <c r="F104" s="133">
        <v>1142.81</v>
      </c>
      <c r="G104" s="133">
        <v>1046.84</v>
      </c>
      <c r="H104" s="133">
        <v>947.32</v>
      </c>
      <c r="I104" s="133">
        <v>893.46</v>
      </c>
      <c r="J104" s="133"/>
      <c r="K104" s="132">
        <f t="shared" si="82"/>
        <v>412.5</v>
      </c>
      <c r="L104" s="133">
        <f t="shared" si="84"/>
        <v>1377.8484028777</v>
      </c>
      <c r="M104" s="133">
        <f t="shared" si="85"/>
        <v>1323.32852666314</v>
      </c>
      <c r="N104" s="133">
        <f t="shared" si="86"/>
        <v>1277.13545106024</v>
      </c>
      <c r="O104" s="133">
        <f t="shared" si="87"/>
        <v>1236.10264941196</v>
      </c>
      <c r="P104" s="133">
        <f t="shared" si="88"/>
        <v>1186.98780073932</v>
      </c>
      <c r="Q104" s="133">
        <f t="shared" si="89"/>
        <v>1143.56228077282</v>
      </c>
      <c r="R104" s="133">
        <f t="shared" si="90"/>
        <v>1093.86628392061</v>
      </c>
      <c r="S104" s="133">
        <f t="shared" si="91"/>
        <v>1047.97860750019</v>
      </c>
      <c r="T104" s="133">
        <f t="shared" si="92"/>
        <v>996.967183170128</v>
      </c>
      <c r="U104" s="133">
        <f t="shared" si="93"/>
        <v>948.842693208671</v>
      </c>
      <c r="V104" s="133">
        <f t="shared" si="94"/>
        <v>898.570802919708</v>
      </c>
    </row>
    <row r="105" s="91" customFormat="1" spans="1:22">
      <c r="A105" s="132">
        <v>467.5</v>
      </c>
      <c r="B105" s="133">
        <v>1372.75</v>
      </c>
      <c r="C105" s="133">
        <v>1360.3</v>
      </c>
      <c r="D105" s="133">
        <v>1322.85</v>
      </c>
      <c r="E105" s="133">
        <v>1246.55</v>
      </c>
      <c r="F105" s="133">
        <v>1153.75</v>
      </c>
      <c r="G105" s="133">
        <v>1057.97</v>
      </c>
      <c r="H105" s="133">
        <v>959.08</v>
      </c>
      <c r="I105" s="133">
        <v>905.63</v>
      </c>
      <c r="J105" s="133"/>
      <c r="K105" s="132">
        <f t="shared" si="82"/>
        <v>467.5</v>
      </c>
      <c r="L105" s="133">
        <f t="shared" si="84"/>
        <v>1388.58568345324</v>
      </c>
      <c r="M105" s="133">
        <f t="shared" si="85"/>
        <v>1334.10950703134</v>
      </c>
      <c r="N105" s="133">
        <f t="shared" si="86"/>
        <v>1287.95746256247</v>
      </c>
      <c r="O105" s="133">
        <f t="shared" si="87"/>
        <v>1246.96227118152</v>
      </c>
      <c r="P105" s="133">
        <f t="shared" si="88"/>
        <v>1197.88974923137</v>
      </c>
      <c r="Q105" s="133">
        <f t="shared" si="89"/>
        <v>1154.5016328135</v>
      </c>
      <c r="R105" s="133">
        <f t="shared" si="90"/>
        <v>1104.90318197266</v>
      </c>
      <c r="S105" s="133">
        <f t="shared" si="91"/>
        <v>1059.10635330174</v>
      </c>
      <c r="T105" s="133">
        <f t="shared" si="92"/>
        <v>1008.41289734419</v>
      </c>
      <c r="U105" s="133">
        <f t="shared" si="93"/>
        <v>960.593053973126</v>
      </c>
      <c r="V105" s="133">
        <f t="shared" si="94"/>
        <v>910.701897810219</v>
      </c>
    </row>
    <row r="106" s="91" customFormat="1" spans="1:22">
      <c r="A106" s="132">
        <v>522.5</v>
      </c>
      <c r="B106" s="133">
        <v>1364.15</v>
      </c>
      <c r="C106" s="133">
        <v>1351.69</v>
      </c>
      <c r="D106" s="133">
        <v>1314.2</v>
      </c>
      <c r="E106" s="133">
        <v>1237.79</v>
      </c>
      <c r="F106" s="133">
        <v>1144.95</v>
      </c>
      <c r="G106" s="133">
        <v>1049.37</v>
      </c>
      <c r="H106" s="133">
        <v>951.19</v>
      </c>
      <c r="I106" s="133">
        <v>898.7</v>
      </c>
      <c r="J106" s="133"/>
      <c r="K106" s="132">
        <f t="shared" si="82"/>
        <v>522.5</v>
      </c>
      <c r="L106" s="133">
        <f t="shared" si="84"/>
        <v>1379.9984028777</v>
      </c>
      <c r="M106" s="133">
        <f t="shared" si="85"/>
        <v>1325.47153320707</v>
      </c>
      <c r="N106" s="133">
        <f t="shared" si="86"/>
        <v>1279.25715877324</v>
      </c>
      <c r="O106" s="133">
        <f t="shared" si="87"/>
        <v>1238.20286554364</v>
      </c>
      <c r="P106" s="133">
        <f t="shared" si="88"/>
        <v>1189.10877498535</v>
      </c>
      <c r="Q106" s="133">
        <f t="shared" si="89"/>
        <v>1145.70195679316</v>
      </c>
      <c r="R106" s="133">
        <f t="shared" si="90"/>
        <v>1096.20517992218</v>
      </c>
      <c r="S106" s="133">
        <f t="shared" si="91"/>
        <v>1050.50398046127</v>
      </c>
      <c r="T106" s="133">
        <f t="shared" si="92"/>
        <v>1000.16870220703</v>
      </c>
      <c r="U106" s="133">
        <f t="shared" si="93"/>
        <v>952.69219070767</v>
      </c>
      <c r="V106" s="133">
        <f t="shared" si="94"/>
        <v>903.680802919708</v>
      </c>
    </row>
    <row r="107" s="91" customFormat="1" spans="1:22">
      <c r="A107" s="132">
        <v>577.5</v>
      </c>
      <c r="B107" s="133">
        <v>1339.57</v>
      </c>
      <c r="C107" s="133">
        <v>1327.07</v>
      </c>
      <c r="D107" s="133">
        <v>1289.45</v>
      </c>
      <c r="E107" s="133">
        <v>1212.62</v>
      </c>
      <c r="F107" s="133">
        <v>1119.01</v>
      </c>
      <c r="G107" s="133">
        <v>1021.58</v>
      </c>
      <c r="H107" s="133">
        <v>918.33</v>
      </c>
      <c r="I107" s="133">
        <v>861.32</v>
      </c>
      <c r="J107" s="133"/>
      <c r="K107" s="132">
        <f t="shared" si="82"/>
        <v>577.5</v>
      </c>
      <c r="L107" s="133">
        <f t="shared" si="84"/>
        <v>1355.46928057554</v>
      </c>
      <c r="M107" s="133">
        <f t="shared" si="85"/>
        <v>1300.76061827821</v>
      </c>
      <c r="N107" s="133">
        <f t="shared" si="86"/>
        <v>1254.31508975983</v>
      </c>
      <c r="O107" s="133">
        <f t="shared" si="87"/>
        <v>1213.03513492629</v>
      </c>
      <c r="P107" s="133">
        <f t="shared" si="88"/>
        <v>1163.53502074944</v>
      </c>
      <c r="Q107" s="133">
        <f t="shared" si="89"/>
        <v>1119.76819340163</v>
      </c>
      <c r="R107" s="133">
        <f t="shared" si="90"/>
        <v>1069.32169888908</v>
      </c>
      <c r="S107" s="133">
        <f t="shared" si="91"/>
        <v>1022.73592923563</v>
      </c>
      <c r="T107" s="133">
        <f t="shared" si="92"/>
        <v>969.837954806227</v>
      </c>
      <c r="U107" s="133">
        <f t="shared" si="93"/>
        <v>919.909763603248</v>
      </c>
      <c r="V107" s="133">
        <f t="shared" si="94"/>
        <v>866.729708029197</v>
      </c>
    </row>
    <row r="108" s="91" customFormat="1" spans="1:22">
      <c r="A108" s="132">
        <v>632.5</v>
      </c>
      <c r="B108" s="133">
        <v>1304.13</v>
      </c>
      <c r="C108" s="133">
        <v>1291.78</v>
      </c>
      <c r="D108" s="133">
        <v>1254.57</v>
      </c>
      <c r="E108" s="133">
        <v>1178.74</v>
      </c>
      <c r="F108" s="133">
        <v>1086.76</v>
      </c>
      <c r="G108" s="133">
        <v>991.2</v>
      </c>
      <c r="H108" s="133">
        <v>890.31</v>
      </c>
      <c r="I108" s="133">
        <v>835.29</v>
      </c>
      <c r="J108" s="133"/>
      <c r="K108" s="132">
        <f t="shared" si="82"/>
        <v>632.5</v>
      </c>
      <c r="L108" s="133">
        <f t="shared" si="84"/>
        <v>1319.83848920863</v>
      </c>
      <c r="M108" s="133">
        <f t="shared" si="85"/>
        <v>1265.75734997693</v>
      </c>
      <c r="N108" s="133">
        <f t="shared" si="86"/>
        <v>1219.89239693463</v>
      </c>
      <c r="O108" s="133">
        <f t="shared" si="87"/>
        <v>1179.14973163427</v>
      </c>
      <c r="P108" s="133">
        <f t="shared" si="88"/>
        <v>1130.5097212748</v>
      </c>
      <c r="Q108" s="133">
        <f t="shared" si="89"/>
        <v>1087.50499123045</v>
      </c>
      <c r="R108" s="133">
        <f t="shared" si="90"/>
        <v>1038.02537971713</v>
      </c>
      <c r="S108" s="133">
        <f t="shared" si="91"/>
        <v>992.333743177225</v>
      </c>
      <c r="T108" s="133">
        <f t="shared" si="92"/>
        <v>940.640630124942</v>
      </c>
      <c r="U108" s="133">
        <f t="shared" si="93"/>
        <v>891.853654720888</v>
      </c>
      <c r="V108" s="133">
        <f t="shared" si="94"/>
        <v>840.510875912409</v>
      </c>
    </row>
    <row r="109" s="91" customFormat="1" ht="13.5" customHeight="1" spans="1:22">
      <c r="A109" s="132">
        <v>687.5</v>
      </c>
      <c r="B109" s="133">
        <v>1260.67</v>
      </c>
      <c r="C109" s="133">
        <v>1248.6</v>
      </c>
      <c r="D109" s="133">
        <v>1212.21</v>
      </c>
      <c r="E109" s="133">
        <v>1138.45</v>
      </c>
      <c r="F109" s="133">
        <v>1049.28</v>
      </c>
      <c r="G109" s="133">
        <v>956.4</v>
      </c>
      <c r="H109" s="133">
        <v>858.02</v>
      </c>
      <c r="I109" s="133">
        <v>804.46</v>
      </c>
      <c r="J109" s="133"/>
      <c r="K109" s="132">
        <f t="shared" si="82"/>
        <v>687.5</v>
      </c>
      <c r="L109" s="133">
        <f t="shared" si="84"/>
        <v>1276.02234532374</v>
      </c>
      <c r="M109" s="133">
        <f t="shared" si="85"/>
        <v>1223.15081337438</v>
      </c>
      <c r="N109" s="133">
        <f t="shared" si="86"/>
        <v>1178.47902278647</v>
      </c>
      <c r="O109" s="133">
        <f t="shared" si="87"/>
        <v>1138.84854681977</v>
      </c>
      <c r="P109" s="133">
        <f t="shared" si="88"/>
        <v>1091.69316205777</v>
      </c>
      <c r="Q109" s="133">
        <f t="shared" si="89"/>
        <v>1050.00223165926</v>
      </c>
      <c r="R109" s="133">
        <f t="shared" si="90"/>
        <v>1001.91215224076</v>
      </c>
      <c r="S109" s="133">
        <f t="shared" si="91"/>
        <v>957.501947114908</v>
      </c>
      <c r="T109" s="133">
        <f t="shared" si="92"/>
        <v>907.098475485101</v>
      </c>
      <c r="U109" s="133">
        <f t="shared" si="93"/>
        <v>859.525250782446</v>
      </c>
      <c r="V109" s="133">
        <f t="shared" si="94"/>
        <v>809.542335766423</v>
      </c>
    </row>
    <row r="110" s="91" customFormat="1" ht="13.5" customHeight="1" spans="1:22">
      <c r="A110" s="132">
        <v>742.5</v>
      </c>
      <c r="B110" s="133">
        <v>1210.32</v>
      </c>
      <c r="C110" s="133">
        <v>1198.58</v>
      </c>
      <c r="D110" s="133">
        <v>1163.39</v>
      </c>
      <c r="E110" s="133">
        <v>1092.3</v>
      </c>
      <c r="F110" s="133">
        <v>1006.3</v>
      </c>
      <c r="G110" s="133">
        <v>916.19</v>
      </c>
      <c r="H110" s="133">
        <v>820.24</v>
      </c>
      <c r="I110" s="133">
        <v>768.06</v>
      </c>
      <c r="J110" s="133"/>
      <c r="K110" s="132">
        <f t="shared" si="82"/>
        <v>742.5</v>
      </c>
      <c r="L110" s="133">
        <f t="shared" si="84"/>
        <v>1225.25260431655</v>
      </c>
      <c r="M110" s="133">
        <f t="shared" si="85"/>
        <v>1173.97002810234</v>
      </c>
      <c r="N110" s="133">
        <f t="shared" si="86"/>
        <v>1130.8800329432</v>
      </c>
      <c r="O110" s="133">
        <f t="shared" si="87"/>
        <v>1092.68412003007</v>
      </c>
      <c r="P110" s="133">
        <f t="shared" si="88"/>
        <v>1047.20537105493</v>
      </c>
      <c r="Q110" s="133">
        <f t="shared" si="89"/>
        <v>1006.99655627113</v>
      </c>
      <c r="R110" s="133">
        <f t="shared" si="90"/>
        <v>960.344823841679</v>
      </c>
      <c r="S110" s="133">
        <f t="shared" si="91"/>
        <v>917.259083274379</v>
      </c>
      <c r="T110" s="133">
        <f t="shared" si="92"/>
        <v>868.106230156489</v>
      </c>
      <c r="U110" s="133">
        <f t="shared" si="93"/>
        <v>821.708070873914</v>
      </c>
      <c r="V110" s="133">
        <f t="shared" si="94"/>
        <v>773.011386861314</v>
      </c>
    </row>
    <row r="111" s="91" customFormat="1" spans="1:22">
      <c r="A111" s="132">
        <v>797.5</v>
      </c>
      <c r="B111" s="133">
        <v>1153.99</v>
      </c>
      <c r="C111" s="133">
        <v>1142.75</v>
      </c>
      <c r="D111" s="133">
        <v>1109.12</v>
      </c>
      <c r="E111" s="133">
        <v>1041.09</v>
      </c>
      <c r="F111" s="133">
        <v>958.36</v>
      </c>
      <c r="G111" s="133">
        <v>871.11</v>
      </c>
      <c r="H111" s="133">
        <v>777.74</v>
      </c>
      <c r="I111" s="133">
        <v>727.02</v>
      </c>
      <c r="J111" s="133"/>
      <c r="K111" s="132">
        <f t="shared" si="82"/>
        <v>797.5</v>
      </c>
      <c r="L111" s="133">
        <f t="shared" si="84"/>
        <v>1168.28663309353</v>
      </c>
      <c r="M111" s="133">
        <f t="shared" si="85"/>
        <v>1119.2310072487</v>
      </c>
      <c r="N111" s="133">
        <f t="shared" si="86"/>
        <v>1078.0093928981</v>
      </c>
      <c r="O111" s="133">
        <f t="shared" si="87"/>
        <v>1041.45758595647</v>
      </c>
      <c r="P111" s="133">
        <f t="shared" si="88"/>
        <v>997.710015667144</v>
      </c>
      <c r="Q111" s="133">
        <f t="shared" si="89"/>
        <v>959.030070933843</v>
      </c>
      <c r="R111" s="133">
        <f t="shared" si="90"/>
        <v>913.863394519881</v>
      </c>
      <c r="S111" s="133">
        <f t="shared" si="91"/>
        <v>872.145151655639</v>
      </c>
      <c r="T111" s="133">
        <f t="shared" si="92"/>
        <v>824.319154869321</v>
      </c>
      <c r="U111" s="133">
        <f t="shared" si="93"/>
        <v>779.168595909301</v>
      </c>
      <c r="V111" s="133">
        <f t="shared" si="94"/>
        <v>731.832846715328</v>
      </c>
    </row>
    <row r="112" s="91" customFormat="1" spans="1:22">
      <c r="A112" s="132">
        <v>852.5</v>
      </c>
      <c r="B112" s="133">
        <v>1092.15</v>
      </c>
      <c r="C112" s="133">
        <v>1081.53</v>
      </c>
      <c r="D112" s="133">
        <v>1049.68</v>
      </c>
      <c r="E112" s="133">
        <v>984.99</v>
      </c>
      <c r="F112" s="133">
        <v>905.77</v>
      </c>
      <c r="G112" s="133">
        <v>821.7</v>
      </c>
      <c r="H112" s="133">
        <v>731.35</v>
      </c>
      <c r="I112" s="133">
        <v>682.32</v>
      </c>
      <c r="J112" s="133"/>
      <c r="K112" s="132">
        <f t="shared" si="82"/>
        <v>852.5</v>
      </c>
      <c r="L112" s="133">
        <f t="shared" si="84"/>
        <v>1105.65802877698</v>
      </c>
      <c r="M112" s="133">
        <f t="shared" si="85"/>
        <v>1059.25584242852</v>
      </c>
      <c r="N112" s="133">
        <f t="shared" si="86"/>
        <v>1020.09679886194</v>
      </c>
      <c r="O112" s="133">
        <f t="shared" si="87"/>
        <v>985.339538961105</v>
      </c>
      <c r="P112" s="133">
        <f t="shared" si="88"/>
        <v>943.450505755483</v>
      </c>
      <c r="Q112" s="133">
        <f t="shared" si="89"/>
        <v>906.411641718591</v>
      </c>
      <c r="R112" s="133">
        <f t="shared" si="90"/>
        <v>862.895161917323</v>
      </c>
      <c r="S112" s="133">
        <f t="shared" si="91"/>
        <v>822.697423492144</v>
      </c>
      <c r="T112" s="133">
        <f t="shared" si="92"/>
        <v>776.422578370389</v>
      </c>
      <c r="U112" s="133">
        <f t="shared" si="93"/>
        <v>732.732388780179</v>
      </c>
      <c r="V112" s="133">
        <f t="shared" si="94"/>
        <v>686.972481751825</v>
      </c>
    </row>
    <row r="113" s="91" customFormat="1" spans="1:22">
      <c r="A113" s="132">
        <v>907.5</v>
      </c>
      <c r="B113" s="133">
        <v>1023.25</v>
      </c>
      <c r="C113" s="133">
        <v>1013.34</v>
      </c>
      <c r="D113" s="133">
        <v>983.57</v>
      </c>
      <c r="E113" s="133">
        <v>922.75</v>
      </c>
      <c r="F113" s="133">
        <v>847.81</v>
      </c>
      <c r="G113" s="133">
        <v>767.88</v>
      </c>
      <c r="H113" s="133">
        <v>681.46</v>
      </c>
      <c r="I113" s="133">
        <v>634.51</v>
      </c>
      <c r="J113" s="133"/>
      <c r="K113" s="132">
        <f t="shared" si="82"/>
        <v>907.5</v>
      </c>
      <c r="L113" s="133">
        <f t="shared" si="84"/>
        <v>1035.85494964029</v>
      </c>
      <c r="M113" s="133">
        <f t="shared" si="85"/>
        <v>992.520481290331</v>
      </c>
      <c r="N113" s="133">
        <f t="shared" si="86"/>
        <v>955.756577628435</v>
      </c>
      <c r="O113" s="133">
        <f t="shared" si="87"/>
        <v>923.078628220968</v>
      </c>
      <c r="P113" s="133">
        <f t="shared" si="88"/>
        <v>883.454750079727</v>
      </c>
      <c r="Q113" s="133">
        <f t="shared" si="89"/>
        <v>848.416975894865</v>
      </c>
      <c r="R113" s="133">
        <f t="shared" si="90"/>
        <v>807.046519472482</v>
      </c>
      <c r="S113" s="133">
        <f t="shared" si="91"/>
        <v>768.828305694386</v>
      </c>
      <c r="T113" s="133">
        <f t="shared" si="92"/>
        <v>724.572033456215</v>
      </c>
      <c r="U113" s="133">
        <f t="shared" si="93"/>
        <v>682.782258310825</v>
      </c>
      <c r="V113" s="133">
        <f t="shared" si="94"/>
        <v>638.965109489051</v>
      </c>
    </row>
    <row r="114" s="91" customFormat="1" spans="1:22">
      <c r="A114" s="132">
        <v>962.5</v>
      </c>
      <c r="B114" s="133">
        <v>941.07</v>
      </c>
      <c r="C114" s="133">
        <v>932.1</v>
      </c>
      <c r="D114" s="133">
        <v>905.11</v>
      </c>
      <c r="E114" s="133">
        <v>849.79</v>
      </c>
      <c r="F114" s="133">
        <v>781.32</v>
      </c>
      <c r="G114" s="133">
        <v>707.9</v>
      </c>
      <c r="H114" s="133">
        <v>627.69</v>
      </c>
      <c r="I114" s="133">
        <v>583.9</v>
      </c>
      <c r="J114" s="133"/>
      <c r="K114" s="132">
        <f t="shared" si="82"/>
        <v>962.5</v>
      </c>
      <c r="L114" s="133">
        <f t="shared" si="84"/>
        <v>952.479323741007</v>
      </c>
      <c r="M114" s="133">
        <f t="shared" si="85"/>
        <v>913.22466207679</v>
      </c>
      <c r="N114" s="133">
        <f t="shared" si="86"/>
        <v>879.811767089856</v>
      </c>
      <c r="O114" s="133">
        <f t="shared" si="87"/>
        <v>850.08891011483</v>
      </c>
      <c r="P114" s="133">
        <f t="shared" si="88"/>
        <v>813.887334373617</v>
      </c>
      <c r="Q114" s="133">
        <f t="shared" si="89"/>
        <v>781.8745721847</v>
      </c>
      <c r="R114" s="133">
        <f t="shared" si="90"/>
        <v>743.876552729509</v>
      </c>
      <c r="S114" s="133">
        <f t="shared" si="91"/>
        <v>708.771069737043</v>
      </c>
      <c r="T114" s="133">
        <f t="shared" si="92"/>
        <v>667.704073171985</v>
      </c>
      <c r="U114" s="133">
        <f t="shared" si="93"/>
        <v>628.917242989022</v>
      </c>
      <c r="V114" s="133">
        <f t="shared" si="94"/>
        <v>588.055255474453</v>
      </c>
    </row>
    <row r="115" s="91" customFormat="1" spans="1:22">
      <c r="A115" s="132">
        <v>1017.5</v>
      </c>
      <c r="B115" s="133">
        <v>828.5</v>
      </c>
      <c r="C115" s="133">
        <v>820.96</v>
      </c>
      <c r="D115" s="133">
        <v>798.62</v>
      </c>
      <c r="E115" s="133">
        <v>753.07</v>
      </c>
      <c r="F115" s="133">
        <v>696.63</v>
      </c>
      <c r="G115" s="133">
        <v>635.58</v>
      </c>
      <c r="H115" s="133">
        <v>567.86</v>
      </c>
      <c r="I115" s="133">
        <v>530.5</v>
      </c>
      <c r="J115" s="133"/>
      <c r="K115" s="132">
        <f t="shared" si="82"/>
        <v>1017.5</v>
      </c>
      <c r="L115" s="133">
        <f t="shared" si="84"/>
        <v>838.090446043165</v>
      </c>
      <c r="M115" s="133">
        <f t="shared" si="85"/>
        <v>805.336619147665</v>
      </c>
      <c r="N115" s="133">
        <f t="shared" si="86"/>
        <v>777.789658187688</v>
      </c>
      <c r="O115" s="133">
        <f t="shared" si="87"/>
        <v>753.316119951745</v>
      </c>
      <c r="P115" s="133">
        <f t="shared" si="88"/>
        <v>723.475338864422</v>
      </c>
      <c r="Q115" s="133">
        <f t="shared" si="89"/>
        <v>697.087135301657</v>
      </c>
      <c r="R115" s="133">
        <f t="shared" si="90"/>
        <v>665.495125907608</v>
      </c>
      <c r="S115" s="133">
        <f t="shared" si="91"/>
        <v>636.304309553888</v>
      </c>
      <c r="T115" s="133">
        <f t="shared" si="92"/>
        <v>601.643231956201</v>
      </c>
      <c r="U115" s="133">
        <f t="shared" si="93"/>
        <v>568.896141319244</v>
      </c>
      <c r="V115" s="133">
        <f t="shared" si="94"/>
        <v>534.045109489051</v>
      </c>
    </row>
    <row r="116" s="91" customFormat="1" spans="1:22">
      <c r="A116" s="132">
        <v>1072.5</v>
      </c>
      <c r="B116" s="133">
        <v>633.14</v>
      </c>
      <c r="C116" s="133">
        <v>626.1</v>
      </c>
      <c r="D116" s="133">
        <v>613.14</v>
      </c>
      <c r="E116" s="133">
        <v>589.15</v>
      </c>
      <c r="F116" s="133">
        <v>560.17</v>
      </c>
      <c r="G116" s="133">
        <v>528.9</v>
      </c>
      <c r="H116" s="133">
        <v>493.64</v>
      </c>
      <c r="I116" s="133">
        <v>473.57</v>
      </c>
      <c r="J116" s="133"/>
      <c r="K116" s="132">
        <f t="shared" si="82"/>
        <v>1072.5</v>
      </c>
      <c r="L116" s="133">
        <f t="shared" si="84"/>
        <v>642.094474820144</v>
      </c>
      <c r="M116" s="133">
        <f t="shared" si="85"/>
        <v>617.036480937947</v>
      </c>
      <c r="N116" s="133">
        <f t="shared" si="86"/>
        <v>602.169200876458</v>
      </c>
      <c r="O116" s="133">
        <f t="shared" si="87"/>
        <v>589.279624975683</v>
      </c>
      <c r="P116" s="133">
        <f t="shared" si="88"/>
        <v>573.954158757813</v>
      </c>
      <c r="Q116" s="133">
        <f t="shared" si="89"/>
        <v>560.404723264387</v>
      </c>
      <c r="R116" s="133">
        <f t="shared" si="90"/>
        <v>544.222620591824</v>
      </c>
      <c r="S116" s="133">
        <f t="shared" si="91"/>
        <v>529.2709936077</v>
      </c>
      <c r="T116" s="133">
        <f t="shared" si="92"/>
        <v>511.230028924625</v>
      </c>
      <c r="U116" s="133">
        <f t="shared" si="93"/>
        <v>494.179491183056</v>
      </c>
      <c r="V116" s="133">
        <f t="shared" si="94"/>
        <v>475.474452554745</v>
      </c>
    </row>
    <row r="117" s="91" customFormat="1" spans="1:22">
      <c r="A117" s="129"/>
      <c r="B117" s="129"/>
      <c r="C117" s="129"/>
      <c r="D117" s="129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</row>
    <row r="118" s="91" customFormat="1" spans="1:22">
      <c r="A118" s="129" t="s">
        <v>140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</row>
    <row r="119" s="91" customFormat="1" spans="1:22">
      <c r="A119" s="132" t="s">
        <v>128</v>
      </c>
      <c r="B119" s="133">
        <v>17.68</v>
      </c>
      <c r="C119" s="133">
        <v>31.58</v>
      </c>
      <c r="D119" s="133">
        <v>54.25</v>
      </c>
      <c r="E119" s="133">
        <v>82.31</v>
      </c>
      <c r="F119" s="133">
        <v>106.26</v>
      </c>
      <c r="G119" s="133">
        <v>125.73</v>
      </c>
      <c r="H119" s="133">
        <v>142.56</v>
      </c>
      <c r="I119" s="133">
        <v>150.78</v>
      </c>
      <c r="J119" s="133"/>
      <c r="K119" s="132" t="str">
        <f t="shared" ref="K119:K139" si="95">A119</f>
        <v>R/Z[cm]</v>
      </c>
      <c r="L119" s="141">
        <v>0</v>
      </c>
      <c r="M119" s="141">
        <f t="shared" ref="M119:V119" si="96">SQRT(L119*L119+150*150/10)</f>
        <v>47.4341649025257</v>
      </c>
      <c r="N119" s="141">
        <f t="shared" si="96"/>
        <v>67.0820393249937</v>
      </c>
      <c r="O119" s="141">
        <f t="shared" si="96"/>
        <v>82.1583836257749</v>
      </c>
      <c r="P119" s="141">
        <f t="shared" si="96"/>
        <v>94.8683298050514</v>
      </c>
      <c r="Q119" s="141">
        <f t="shared" si="96"/>
        <v>106.066017177982</v>
      </c>
      <c r="R119" s="141">
        <f t="shared" si="96"/>
        <v>116.189500386223</v>
      </c>
      <c r="S119" s="141">
        <f t="shared" si="96"/>
        <v>125.499003980111</v>
      </c>
      <c r="T119" s="141">
        <f t="shared" si="96"/>
        <v>134.164078649987</v>
      </c>
      <c r="U119" s="141">
        <f t="shared" si="96"/>
        <v>142.302494707577</v>
      </c>
      <c r="V119" s="141">
        <f t="shared" si="96"/>
        <v>150</v>
      </c>
    </row>
    <row r="120" s="91" customFormat="1" spans="1:22">
      <c r="A120" s="132">
        <v>27.5</v>
      </c>
      <c r="B120" s="133"/>
      <c r="C120" s="133"/>
      <c r="D120" s="133"/>
      <c r="E120" s="133"/>
      <c r="F120" s="133"/>
      <c r="G120" s="133"/>
      <c r="H120" s="133"/>
      <c r="I120" s="133"/>
      <c r="J120" s="133"/>
      <c r="K120" s="132">
        <f t="shared" si="95"/>
        <v>27.5</v>
      </c>
      <c r="L120" s="133" t="e">
        <f t="shared" ref="L120:L139" si="97">TREND(B120:C120,B$4:C$4,L$4)</f>
        <v>#VALUE!</v>
      </c>
      <c r="M120" s="133" t="e">
        <f t="shared" ref="M120:M139" si="98">TREND(C120:D120,C$4:D$4,M$4)</f>
        <v>#VALUE!</v>
      </c>
      <c r="N120" s="133" t="e">
        <f t="shared" ref="N120:N139" si="99">TREND(D120:E120,D$4:E$4,N$4)</f>
        <v>#VALUE!</v>
      </c>
      <c r="O120" s="133" t="e">
        <f t="shared" ref="O120:O139" si="100">TREND(D120:E120,D$4:E$4,O$4)</f>
        <v>#VALUE!</v>
      </c>
      <c r="P120" s="133" t="e">
        <f t="shared" ref="P120:P139" si="101">TREND(E120:F120,E$4:F$4,P$4)</f>
        <v>#VALUE!</v>
      </c>
      <c r="Q120" s="133" t="e">
        <f t="shared" ref="Q120:Q139" si="102">TREND(E120:F120,E$4:F$4,Q$4)</f>
        <v>#VALUE!</v>
      </c>
      <c r="R120" s="133" t="e">
        <f t="shared" ref="R120:R139" si="103">TREND(F120:G120,F$4:G$4,R$4)</f>
        <v>#VALUE!</v>
      </c>
      <c r="S120" s="133" t="e">
        <f t="shared" ref="S120:S139" si="104">TREND(F120:G120,F$4:G$4,S$4)</f>
        <v>#VALUE!</v>
      </c>
      <c r="T120" s="133" t="e">
        <f t="shared" ref="T120:T139" si="105">TREND(G120:H120,G$4:H$4,T$4)</f>
        <v>#VALUE!</v>
      </c>
      <c r="U120" s="133" t="e">
        <f t="shared" ref="U120:U139" si="106">TREND(G120:H120,G$4:H$4,U$4)</f>
        <v>#VALUE!</v>
      </c>
      <c r="V120" s="133" t="e">
        <f t="shared" ref="V120:V139" si="107">TREND(H120:I120,H$4:I$4,V$4)</f>
        <v>#VALUE!</v>
      </c>
    </row>
    <row r="121" s="91" customFormat="1" spans="1:22">
      <c r="A121" s="132">
        <v>82.5</v>
      </c>
      <c r="B121" s="133"/>
      <c r="C121" s="133"/>
      <c r="D121" s="133"/>
      <c r="E121" s="133"/>
      <c r="F121" s="133"/>
      <c r="G121" s="133"/>
      <c r="H121" s="133"/>
      <c r="I121" s="133"/>
      <c r="J121" s="133"/>
      <c r="K121" s="132">
        <f t="shared" si="95"/>
        <v>82.5</v>
      </c>
      <c r="L121" s="133" t="e">
        <f t="shared" si="97"/>
        <v>#VALUE!</v>
      </c>
      <c r="M121" s="133" t="e">
        <f t="shared" si="98"/>
        <v>#VALUE!</v>
      </c>
      <c r="N121" s="133" t="e">
        <f t="shared" si="99"/>
        <v>#VALUE!</v>
      </c>
      <c r="O121" s="133" t="e">
        <f t="shared" si="100"/>
        <v>#VALUE!</v>
      </c>
      <c r="P121" s="133" t="e">
        <f t="shared" si="101"/>
        <v>#VALUE!</v>
      </c>
      <c r="Q121" s="133" t="e">
        <f t="shared" si="102"/>
        <v>#VALUE!</v>
      </c>
      <c r="R121" s="133" t="e">
        <f t="shared" si="103"/>
        <v>#VALUE!</v>
      </c>
      <c r="S121" s="133" t="e">
        <f t="shared" si="104"/>
        <v>#VALUE!</v>
      </c>
      <c r="T121" s="133" t="e">
        <f t="shared" si="105"/>
        <v>#VALUE!</v>
      </c>
      <c r="U121" s="133" t="e">
        <f t="shared" si="106"/>
        <v>#VALUE!</v>
      </c>
      <c r="V121" s="133" t="e">
        <f t="shared" si="107"/>
        <v>#VALUE!</v>
      </c>
    </row>
    <row r="122" s="91" customFormat="1" spans="1:22">
      <c r="A122" s="132">
        <v>137.5</v>
      </c>
      <c r="B122" s="133"/>
      <c r="C122" s="133"/>
      <c r="D122" s="133"/>
      <c r="E122" s="133"/>
      <c r="F122" s="133"/>
      <c r="G122" s="133"/>
      <c r="H122" s="133"/>
      <c r="I122" s="133"/>
      <c r="J122" s="133"/>
      <c r="K122" s="132">
        <f t="shared" si="95"/>
        <v>137.5</v>
      </c>
      <c r="L122" s="133" t="e">
        <f t="shared" si="97"/>
        <v>#VALUE!</v>
      </c>
      <c r="M122" s="133" t="e">
        <f t="shared" si="98"/>
        <v>#VALUE!</v>
      </c>
      <c r="N122" s="133" t="e">
        <f t="shared" si="99"/>
        <v>#VALUE!</v>
      </c>
      <c r="O122" s="133" t="e">
        <f t="shared" si="100"/>
        <v>#VALUE!</v>
      </c>
      <c r="P122" s="133" t="e">
        <f t="shared" si="101"/>
        <v>#VALUE!</v>
      </c>
      <c r="Q122" s="133" t="e">
        <f t="shared" si="102"/>
        <v>#VALUE!</v>
      </c>
      <c r="R122" s="133" t="e">
        <f t="shared" si="103"/>
        <v>#VALUE!</v>
      </c>
      <c r="S122" s="133" t="e">
        <f t="shared" si="104"/>
        <v>#VALUE!</v>
      </c>
      <c r="T122" s="133" t="e">
        <f t="shared" si="105"/>
        <v>#VALUE!</v>
      </c>
      <c r="U122" s="133" t="e">
        <f t="shared" si="106"/>
        <v>#VALUE!</v>
      </c>
      <c r="V122" s="133" t="e">
        <f t="shared" si="107"/>
        <v>#VALUE!</v>
      </c>
    </row>
    <row r="123" s="91" customFormat="1" spans="1:22">
      <c r="A123" s="132">
        <v>192.5</v>
      </c>
      <c r="B123" s="133"/>
      <c r="C123" s="133"/>
      <c r="D123" s="133"/>
      <c r="E123" s="133"/>
      <c r="F123" s="133"/>
      <c r="G123" s="133"/>
      <c r="H123" s="133"/>
      <c r="I123" s="133"/>
      <c r="J123" s="133"/>
      <c r="K123" s="132">
        <f t="shared" si="95"/>
        <v>192.5</v>
      </c>
      <c r="L123" s="133" t="e">
        <f t="shared" si="97"/>
        <v>#VALUE!</v>
      </c>
      <c r="M123" s="133" t="e">
        <f t="shared" si="98"/>
        <v>#VALUE!</v>
      </c>
      <c r="N123" s="133" t="e">
        <f t="shared" si="99"/>
        <v>#VALUE!</v>
      </c>
      <c r="O123" s="133" t="e">
        <f t="shared" si="100"/>
        <v>#VALUE!</v>
      </c>
      <c r="P123" s="133" t="e">
        <f t="shared" si="101"/>
        <v>#VALUE!</v>
      </c>
      <c r="Q123" s="133" t="e">
        <f t="shared" si="102"/>
        <v>#VALUE!</v>
      </c>
      <c r="R123" s="133" t="e">
        <f t="shared" si="103"/>
        <v>#VALUE!</v>
      </c>
      <c r="S123" s="133" t="e">
        <f t="shared" si="104"/>
        <v>#VALUE!</v>
      </c>
      <c r="T123" s="133" t="e">
        <f t="shared" si="105"/>
        <v>#VALUE!</v>
      </c>
      <c r="U123" s="133" t="e">
        <f t="shared" si="106"/>
        <v>#VALUE!</v>
      </c>
      <c r="V123" s="133" t="e">
        <f t="shared" si="107"/>
        <v>#VALUE!</v>
      </c>
    </row>
    <row r="124" s="91" customFormat="1" spans="1:22">
      <c r="A124" s="132">
        <v>241.5</v>
      </c>
      <c r="B124" s="133"/>
      <c r="C124" s="133"/>
      <c r="D124" s="133"/>
      <c r="E124" s="133"/>
      <c r="F124" s="133"/>
      <c r="G124" s="133"/>
      <c r="H124" s="133"/>
      <c r="I124" s="133"/>
      <c r="J124" s="133"/>
      <c r="K124" s="132">
        <f t="shared" si="95"/>
        <v>241.5</v>
      </c>
      <c r="L124" s="133" t="e">
        <f t="shared" si="97"/>
        <v>#VALUE!</v>
      </c>
      <c r="M124" s="133" t="e">
        <f t="shared" si="98"/>
        <v>#VALUE!</v>
      </c>
      <c r="N124" s="133" t="e">
        <f t="shared" si="99"/>
        <v>#VALUE!</v>
      </c>
      <c r="O124" s="133" t="e">
        <f t="shared" si="100"/>
        <v>#VALUE!</v>
      </c>
      <c r="P124" s="133" t="e">
        <f t="shared" si="101"/>
        <v>#VALUE!</v>
      </c>
      <c r="Q124" s="133" t="e">
        <f t="shared" si="102"/>
        <v>#VALUE!</v>
      </c>
      <c r="R124" s="133" t="e">
        <f t="shared" si="103"/>
        <v>#VALUE!</v>
      </c>
      <c r="S124" s="133" t="e">
        <f t="shared" si="104"/>
        <v>#VALUE!</v>
      </c>
      <c r="T124" s="133" t="e">
        <f t="shared" si="105"/>
        <v>#VALUE!</v>
      </c>
      <c r="U124" s="133" t="e">
        <f t="shared" si="106"/>
        <v>#VALUE!</v>
      </c>
      <c r="V124" s="133" t="e">
        <f t="shared" si="107"/>
        <v>#VALUE!</v>
      </c>
    </row>
    <row r="125" s="91" customFormat="1" spans="1:22">
      <c r="A125" s="132">
        <v>296.5</v>
      </c>
      <c r="B125" s="133"/>
      <c r="C125" s="133"/>
      <c r="D125" s="133"/>
      <c r="E125" s="133"/>
      <c r="F125" s="133"/>
      <c r="G125" s="133"/>
      <c r="H125" s="133"/>
      <c r="I125" s="133"/>
      <c r="J125" s="133"/>
      <c r="K125" s="132">
        <f t="shared" si="95"/>
        <v>296.5</v>
      </c>
      <c r="L125" s="133" t="e">
        <f t="shared" si="97"/>
        <v>#VALUE!</v>
      </c>
      <c r="M125" s="133" t="e">
        <f t="shared" si="98"/>
        <v>#VALUE!</v>
      </c>
      <c r="N125" s="133" t="e">
        <f t="shared" si="99"/>
        <v>#VALUE!</v>
      </c>
      <c r="O125" s="133" t="e">
        <f t="shared" si="100"/>
        <v>#VALUE!</v>
      </c>
      <c r="P125" s="133" t="e">
        <f t="shared" si="101"/>
        <v>#VALUE!</v>
      </c>
      <c r="Q125" s="133" t="e">
        <f t="shared" si="102"/>
        <v>#VALUE!</v>
      </c>
      <c r="R125" s="133" t="e">
        <f t="shared" si="103"/>
        <v>#VALUE!</v>
      </c>
      <c r="S125" s="133" t="e">
        <f t="shared" si="104"/>
        <v>#VALUE!</v>
      </c>
      <c r="T125" s="133" t="e">
        <f t="shared" si="105"/>
        <v>#VALUE!</v>
      </c>
      <c r="U125" s="133" t="e">
        <f t="shared" si="106"/>
        <v>#VALUE!</v>
      </c>
      <c r="V125" s="133" t="e">
        <f t="shared" si="107"/>
        <v>#VALUE!</v>
      </c>
    </row>
    <row r="126" s="91" customFormat="1" spans="1:22">
      <c r="A126" s="132">
        <v>357.5</v>
      </c>
      <c r="B126" s="133"/>
      <c r="C126" s="133"/>
      <c r="D126" s="133"/>
      <c r="E126" s="133"/>
      <c r="F126" s="133"/>
      <c r="G126" s="133"/>
      <c r="H126" s="133"/>
      <c r="I126" s="133"/>
      <c r="J126" s="133"/>
      <c r="K126" s="132">
        <f t="shared" si="95"/>
        <v>357.5</v>
      </c>
      <c r="L126" s="133" t="e">
        <f t="shared" si="97"/>
        <v>#VALUE!</v>
      </c>
      <c r="M126" s="133" t="e">
        <f t="shared" si="98"/>
        <v>#VALUE!</v>
      </c>
      <c r="N126" s="133" t="e">
        <f t="shared" si="99"/>
        <v>#VALUE!</v>
      </c>
      <c r="O126" s="133" t="e">
        <f t="shared" si="100"/>
        <v>#VALUE!</v>
      </c>
      <c r="P126" s="133" t="e">
        <f t="shared" si="101"/>
        <v>#VALUE!</v>
      </c>
      <c r="Q126" s="133" t="e">
        <f t="shared" si="102"/>
        <v>#VALUE!</v>
      </c>
      <c r="R126" s="133" t="e">
        <f t="shared" si="103"/>
        <v>#VALUE!</v>
      </c>
      <c r="S126" s="133" t="e">
        <f t="shared" si="104"/>
        <v>#VALUE!</v>
      </c>
      <c r="T126" s="133" t="e">
        <f t="shared" si="105"/>
        <v>#VALUE!</v>
      </c>
      <c r="U126" s="133" t="e">
        <f t="shared" si="106"/>
        <v>#VALUE!</v>
      </c>
      <c r="V126" s="133" t="e">
        <f t="shared" si="107"/>
        <v>#VALUE!</v>
      </c>
    </row>
    <row r="127" s="91" customFormat="1" spans="1:22">
      <c r="A127" s="132">
        <v>412.5</v>
      </c>
      <c r="B127" s="133"/>
      <c r="C127" s="133"/>
      <c r="D127" s="133"/>
      <c r="E127" s="133"/>
      <c r="F127" s="133"/>
      <c r="G127" s="133"/>
      <c r="H127" s="133"/>
      <c r="I127" s="133"/>
      <c r="J127" s="133"/>
      <c r="K127" s="132">
        <f t="shared" si="95"/>
        <v>412.5</v>
      </c>
      <c r="L127" s="133" t="e">
        <f t="shared" si="97"/>
        <v>#VALUE!</v>
      </c>
      <c r="M127" s="133" t="e">
        <f t="shared" si="98"/>
        <v>#VALUE!</v>
      </c>
      <c r="N127" s="133" t="e">
        <f t="shared" si="99"/>
        <v>#VALUE!</v>
      </c>
      <c r="O127" s="133" t="e">
        <f t="shared" si="100"/>
        <v>#VALUE!</v>
      </c>
      <c r="P127" s="133" t="e">
        <f t="shared" si="101"/>
        <v>#VALUE!</v>
      </c>
      <c r="Q127" s="133" t="e">
        <f t="shared" si="102"/>
        <v>#VALUE!</v>
      </c>
      <c r="R127" s="133" t="e">
        <f t="shared" si="103"/>
        <v>#VALUE!</v>
      </c>
      <c r="S127" s="133" t="e">
        <f t="shared" si="104"/>
        <v>#VALUE!</v>
      </c>
      <c r="T127" s="133" t="e">
        <f t="shared" si="105"/>
        <v>#VALUE!</v>
      </c>
      <c r="U127" s="133" t="e">
        <f t="shared" si="106"/>
        <v>#VALUE!</v>
      </c>
      <c r="V127" s="133" t="e">
        <f t="shared" si="107"/>
        <v>#VALUE!</v>
      </c>
    </row>
    <row r="128" s="91" customFormat="1" spans="1:22">
      <c r="A128" s="132">
        <v>467.5</v>
      </c>
      <c r="B128" s="133"/>
      <c r="C128" s="133"/>
      <c r="D128" s="133"/>
      <c r="E128" s="133"/>
      <c r="F128" s="133"/>
      <c r="G128" s="133"/>
      <c r="H128" s="133"/>
      <c r="I128" s="133"/>
      <c r="J128" s="133"/>
      <c r="K128" s="132">
        <f t="shared" si="95"/>
        <v>467.5</v>
      </c>
      <c r="L128" s="133" t="e">
        <f t="shared" si="97"/>
        <v>#VALUE!</v>
      </c>
      <c r="M128" s="133" t="e">
        <f t="shared" si="98"/>
        <v>#VALUE!</v>
      </c>
      <c r="N128" s="133" t="e">
        <f t="shared" si="99"/>
        <v>#VALUE!</v>
      </c>
      <c r="O128" s="133" t="e">
        <f t="shared" si="100"/>
        <v>#VALUE!</v>
      </c>
      <c r="P128" s="133" t="e">
        <f t="shared" si="101"/>
        <v>#VALUE!</v>
      </c>
      <c r="Q128" s="133" t="e">
        <f t="shared" si="102"/>
        <v>#VALUE!</v>
      </c>
      <c r="R128" s="133" t="e">
        <f t="shared" si="103"/>
        <v>#VALUE!</v>
      </c>
      <c r="S128" s="133" t="e">
        <f t="shared" si="104"/>
        <v>#VALUE!</v>
      </c>
      <c r="T128" s="133" t="e">
        <f t="shared" si="105"/>
        <v>#VALUE!</v>
      </c>
      <c r="U128" s="133" t="e">
        <f t="shared" si="106"/>
        <v>#VALUE!</v>
      </c>
      <c r="V128" s="133" t="e">
        <f t="shared" si="107"/>
        <v>#VALUE!</v>
      </c>
    </row>
    <row r="129" s="91" customFormat="1" spans="1:22">
      <c r="A129" s="132">
        <v>522.5</v>
      </c>
      <c r="B129" s="133"/>
      <c r="C129" s="133"/>
      <c r="D129" s="133"/>
      <c r="E129" s="133"/>
      <c r="F129" s="133"/>
      <c r="G129" s="133"/>
      <c r="H129" s="133"/>
      <c r="I129" s="133"/>
      <c r="J129" s="133"/>
      <c r="K129" s="132">
        <f t="shared" si="95"/>
        <v>522.5</v>
      </c>
      <c r="L129" s="133" t="e">
        <f t="shared" si="97"/>
        <v>#VALUE!</v>
      </c>
      <c r="M129" s="133" t="e">
        <f t="shared" si="98"/>
        <v>#VALUE!</v>
      </c>
      <c r="N129" s="133" t="e">
        <f t="shared" si="99"/>
        <v>#VALUE!</v>
      </c>
      <c r="O129" s="133" t="e">
        <f t="shared" si="100"/>
        <v>#VALUE!</v>
      </c>
      <c r="P129" s="133" t="e">
        <f t="shared" si="101"/>
        <v>#VALUE!</v>
      </c>
      <c r="Q129" s="133" t="e">
        <f t="shared" si="102"/>
        <v>#VALUE!</v>
      </c>
      <c r="R129" s="133" t="e">
        <f t="shared" si="103"/>
        <v>#VALUE!</v>
      </c>
      <c r="S129" s="133" t="e">
        <f t="shared" si="104"/>
        <v>#VALUE!</v>
      </c>
      <c r="T129" s="133" t="e">
        <f t="shared" si="105"/>
        <v>#VALUE!</v>
      </c>
      <c r="U129" s="133" t="e">
        <f t="shared" si="106"/>
        <v>#VALUE!</v>
      </c>
      <c r="V129" s="133" t="e">
        <f t="shared" si="107"/>
        <v>#VALUE!</v>
      </c>
    </row>
    <row r="130" s="91" customFormat="1" spans="1:22">
      <c r="A130" s="132">
        <v>577.5</v>
      </c>
      <c r="B130" s="133"/>
      <c r="C130" s="133"/>
      <c r="D130" s="133"/>
      <c r="E130" s="133"/>
      <c r="F130" s="133"/>
      <c r="G130" s="133"/>
      <c r="H130" s="133"/>
      <c r="I130" s="133"/>
      <c r="J130" s="133"/>
      <c r="K130" s="132">
        <f t="shared" si="95"/>
        <v>577.5</v>
      </c>
      <c r="L130" s="133" t="e">
        <f t="shared" si="97"/>
        <v>#VALUE!</v>
      </c>
      <c r="M130" s="133" t="e">
        <f t="shared" si="98"/>
        <v>#VALUE!</v>
      </c>
      <c r="N130" s="133" t="e">
        <f t="shared" si="99"/>
        <v>#VALUE!</v>
      </c>
      <c r="O130" s="133" t="e">
        <f t="shared" si="100"/>
        <v>#VALUE!</v>
      </c>
      <c r="P130" s="133" t="e">
        <f t="shared" si="101"/>
        <v>#VALUE!</v>
      </c>
      <c r="Q130" s="133" t="e">
        <f t="shared" si="102"/>
        <v>#VALUE!</v>
      </c>
      <c r="R130" s="133" t="e">
        <f t="shared" si="103"/>
        <v>#VALUE!</v>
      </c>
      <c r="S130" s="133" t="e">
        <f t="shared" si="104"/>
        <v>#VALUE!</v>
      </c>
      <c r="T130" s="133" t="e">
        <f t="shared" si="105"/>
        <v>#VALUE!</v>
      </c>
      <c r="U130" s="133" t="e">
        <f t="shared" si="106"/>
        <v>#VALUE!</v>
      </c>
      <c r="V130" s="133" t="e">
        <f t="shared" si="107"/>
        <v>#VALUE!</v>
      </c>
    </row>
    <row r="131" s="91" customFormat="1" spans="1:22">
      <c r="A131" s="132">
        <v>632.5</v>
      </c>
      <c r="B131" s="133"/>
      <c r="C131" s="133"/>
      <c r="D131" s="133"/>
      <c r="E131" s="133"/>
      <c r="F131" s="133"/>
      <c r="G131" s="133"/>
      <c r="H131" s="133"/>
      <c r="I131" s="133"/>
      <c r="J131" s="133"/>
      <c r="K131" s="132">
        <f t="shared" si="95"/>
        <v>632.5</v>
      </c>
      <c r="L131" s="133" t="e">
        <f t="shared" si="97"/>
        <v>#VALUE!</v>
      </c>
      <c r="M131" s="133" t="e">
        <f t="shared" si="98"/>
        <v>#VALUE!</v>
      </c>
      <c r="N131" s="133" t="e">
        <f t="shared" si="99"/>
        <v>#VALUE!</v>
      </c>
      <c r="O131" s="133" t="e">
        <f t="shared" si="100"/>
        <v>#VALUE!</v>
      </c>
      <c r="P131" s="133" t="e">
        <f t="shared" si="101"/>
        <v>#VALUE!</v>
      </c>
      <c r="Q131" s="133" t="e">
        <f t="shared" si="102"/>
        <v>#VALUE!</v>
      </c>
      <c r="R131" s="133" t="e">
        <f t="shared" si="103"/>
        <v>#VALUE!</v>
      </c>
      <c r="S131" s="133" t="e">
        <f t="shared" si="104"/>
        <v>#VALUE!</v>
      </c>
      <c r="T131" s="133" t="e">
        <f t="shared" si="105"/>
        <v>#VALUE!</v>
      </c>
      <c r="U131" s="133" t="e">
        <f t="shared" si="106"/>
        <v>#VALUE!</v>
      </c>
      <c r="V131" s="133" t="e">
        <f t="shared" si="107"/>
        <v>#VALUE!</v>
      </c>
    </row>
    <row r="132" s="91" customFormat="1" ht="13.5" customHeight="1" spans="1:22">
      <c r="A132" s="132">
        <v>687.5</v>
      </c>
      <c r="B132" s="133"/>
      <c r="C132" s="133"/>
      <c r="D132" s="133"/>
      <c r="E132" s="133"/>
      <c r="F132" s="133"/>
      <c r="G132" s="133"/>
      <c r="H132" s="133"/>
      <c r="I132" s="133"/>
      <c r="J132" s="133"/>
      <c r="K132" s="132">
        <f t="shared" si="95"/>
        <v>687.5</v>
      </c>
      <c r="L132" s="133" t="e">
        <f t="shared" si="97"/>
        <v>#VALUE!</v>
      </c>
      <c r="M132" s="133" t="e">
        <f t="shared" si="98"/>
        <v>#VALUE!</v>
      </c>
      <c r="N132" s="133" t="e">
        <f t="shared" si="99"/>
        <v>#VALUE!</v>
      </c>
      <c r="O132" s="133" t="e">
        <f t="shared" si="100"/>
        <v>#VALUE!</v>
      </c>
      <c r="P132" s="133" t="e">
        <f t="shared" si="101"/>
        <v>#VALUE!</v>
      </c>
      <c r="Q132" s="133" t="e">
        <f t="shared" si="102"/>
        <v>#VALUE!</v>
      </c>
      <c r="R132" s="133" t="e">
        <f t="shared" si="103"/>
        <v>#VALUE!</v>
      </c>
      <c r="S132" s="133" t="e">
        <f t="shared" si="104"/>
        <v>#VALUE!</v>
      </c>
      <c r="T132" s="133" t="e">
        <f t="shared" si="105"/>
        <v>#VALUE!</v>
      </c>
      <c r="U132" s="133" t="e">
        <f t="shared" si="106"/>
        <v>#VALUE!</v>
      </c>
      <c r="V132" s="133" t="e">
        <f t="shared" si="107"/>
        <v>#VALUE!</v>
      </c>
    </row>
    <row r="133" s="91" customFormat="1" ht="13.5" customHeight="1" spans="1:22">
      <c r="A133" s="132">
        <v>742.5</v>
      </c>
      <c r="B133" s="133"/>
      <c r="C133" s="133"/>
      <c r="D133" s="133"/>
      <c r="E133" s="133"/>
      <c r="F133" s="133"/>
      <c r="G133" s="133"/>
      <c r="H133" s="133"/>
      <c r="I133" s="133"/>
      <c r="J133" s="133"/>
      <c r="K133" s="132">
        <f t="shared" si="95"/>
        <v>742.5</v>
      </c>
      <c r="L133" s="133" t="e">
        <f t="shared" si="97"/>
        <v>#VALUE!</v>
      </c>
      <c r="M133" s="133" t="e">
        <f t="shared" si="98"/>
        <v>#VALUE!</v>
      </c>
      <c r="N133" s="133" t="e">
        <f t="shared" si="99"/>
        <v>#VALUE!</v>
      </c>
      <c r="O133" s="133" t="e">
        <f t="shared" si="100"/>
        <v>#VALUE!</v>
      </c>
      <c r="P133" s="133" t="e">
        <f t="shared" si="101"/>
        <v>#VALUE!</v>
      </c>
      <c r="Q133" s="133" t="e">
        <f t="shared" si="102"/>
        <v>#VALUE!</v>
      </c>
      <c r="R133" s="133" t="e">
        <f t="shared" si="103"/>
        <v>#VALUE!</v>
      </c>
      <c r="S133" s="133" t="e">
        <f t="shared" si="104"/>
        <v>#VALUE!</v>
      </c>
      <c r="T133" s="133" t="e">
        <f t="shared" si="105"/>
        <v>#VALUE!</v>
      </c>
      <c r="U133" s="133" t="e">
        <f t="shared" si="106"/>
        <v>#VALUE!</v>
      </c>
      <c r="V133" s="133" t="e">
        <f t="shared" si="107"/>
        <v>#VALUE!</v>
      </c>
    </row>
    <row r="134" s="91" customFormat="1" spans="1:22">
      <c r="A134" s="132">
        <v>797.5</v>
      </c>
      <c r="B134" s="133"/>
      <c r="C134" s="133"/>
      <c r="D134" s="133"/>
      <c r="E134" s="133"/>
      <c r="F134" s="133"/>
      <c r="G134" s="133"/>
      <c r="H134" s="133"/>
      <c r="I134" s="133"/>
      <c r="J134" s="133"/>
      <c r="K134" s="132">
        <f t="shared" si="95"/>
        <v>797.5</v>
      </c>
      <c r="L134" s="133" t="e">
        <f t="shared" si="97"/>
        <v>#VALUE!</v>
      </c>
      <c r="M134" s="133" t="e">
        <f t="shared" si="98"/>
        <v>#VALUE!</v>
      </c>
      <c r="N134" s="133" t="e">
        <f t="shared" si="99"/>
        <v>#VALUE!</v>
      </c>
      <c r="O134" s="133" t="e">
        <f t="shared" si="100"/>
        <v>#VALUE!</v>
      </c>
      <c r="P134" s="133" t="e">
        <f t="shared" si="101"/>
        <v>#VALUE!</v>
      </c>
      <c r="Q134" s="133" t="e">
        <f t="shared" si="102"/>
        <v>#VALUE!</v>
      </c>
      <c r="R134" s="133" t="e">
        <f t="shared" si="103"/>
        <v>#VALUE!</v>
      </c>
      <c r="S134" s="133" t="e">
        <f t="shared" si="104"/>
        <v>#VALUE!</v>
      </c>
      <c r="T134" s="133" t="e">
        <f t="shared" si="105"/>
        <v>#VALUE!</v>
      </c>
      <c r="U134" s="133" t="e">
        <f t="shared" si="106"/>
        <v>#VALUE!</v>
      </c>
      <c r="V134" s="133" t="e">
        <f t="shared" si="107"/>
        <v>#VALUE!</v>
      </c>
    </row>
    <row r="135" s="91" customFormat="1" spans="1:22">
      <c r="A135" s="132">
        <v>852.5</v>
      </c>
      <c r="B135" s="133"/>
      <c r="C135" s="133"/>
      <c r="D135" s="133"/>
      <c r="E135" s="133"/>
      <c r="F135" s="133"/>
      <c r="G135" s="133"/>
      <c r="H135" s="133"/>
      <c r="I135" s="133"/>
      <c r="J135" s="133"/>
      <c r="K135" s="132">
        <f t="shared" si="95"/>
        <v>852.5</v>
      </c>
      <c r="L135" s="133" t="e">
        <f t="shared" si="97"/>
        <v>#VALUE!</v>
      </c>
      <c r="M135" s="133" t="e">
        <f t="shared" si="98"/>
        <v>#VALUE!</v>
      </c>
      <c r="N135" s="133" t="e">
        <f t="shared" si="99"/>
        <v>#VALUE!</v>
      </c>
      <c r="O135" s="133" t="e">
        <f t="shared" si="100"/>
        <v>#VALUE!</v>
      </c>
      <c r="P135" s="133" t="e">
        <f t="shared" si="101"/>
        <v>#VALUE!</v>
      </c>
      <c r="Q135" s="133" t="e">
        <f t="shared" si="102"/>
        <v>#VALUE!</v>
      </c>
      <c r="R135" s="133" t="e">
        <f t="shared" si="103"/>
        <v>#VALUE!</v>
      </c>
      <c r="S135" s="133" t="e">
        <f t="shared" si="104"/>
        <v>#VALUE!</v>
      </c>
      <c r="T135" s="133" t="e">
        <f t="shared" si="105"/>
        <v>#VALUE!</v>
      </c>
      <c r="U135" s="133" t="e">
        <f t="shared" si="106"/>
        <v>#VALUE!</v>
      </c>
      <c r="V135" s="133" t="e">
        <f t="shared" si="107"/>
        <v>#VALUE!</v>
      </c>
    </row>
    <row r="136" s="91" customFormat="1" spans="1:22">
      <c r="A136" s="132">
        <v>907.5</v>
      </c>
      <c r="B136" s="133"/>
      <c r="C136" s="133"/>
      <c r="D136" s="133"/>
      <c r="E136" s="133"/>
      <c r="F136" s="133"/>
      <c r="G136" s="133"/>
      <c r="H136" s="133"/>
      <c r="I136" s="133"/>
      <c r="J136" s="133"/>
      <c r="K136" s="132">
        <f t="shared" si="95"/>
        <v>907.5</v>
      </c>
      <c r="L136" s="133" t="e">
        <f t="shared" si="97"/>
        <v>#VALUE!</v>
      </c>
      <c r="M136" s="133" t="e">
        <f t="shared" si="98"/>
        <v>#VALUE!</v>
      </c>
      <c r="N136" s="133" t="e">
        <f t="shared" si="99"/>
        <v>#VALUE!</v>
      </c>
      <c r="O136" s="133" t="e">
        <f t="shared" si="100"/>
        <v>#VALUE!</v>
      </c>
      <c r="P136" s="133" t="e">
        <f t="shared" si="101"/>
        <v>#VALUE!</v>
      </c>
      <c r="Q136" s="133" t="e">
        <f t="shared" si="102"/>
        <v>#VALUE!</v>
      </c>
      <c r="R136" s="133" t="e">
        <f t="shared" si="103"/>
        <v>#VALUE!</v>
      </c>
      <c r="S136" s="133" t="e">
        <f t="shared" si="104"/>
        <v>#VALUE!</v>
      </c>
      <c r="T136" s="133" t="e">
        <f t="shared" si="105"/>
        <v>#VALUE!</v>
      </c>
      <c r="U136" s="133" t="e">
        <f t="shared" si="106"/>
        <v>#VALUE!</v>
      </c>
      <c r="V136" s="133" t="e">
        <f t="shared" si="107"/>
        <v>#VALUE!</v>
      </c>
    </row>
    <row r="137" s="91" customFormat="1" spans="1:22">
      <c r="A137" s="132">
        <v>962.5</v>
      </c>
      <c r="B137" s="133"/>
      <c r="C137" s="133"/>
      <c r="D137" s="133"/>
      <c r="E137" s="133"/>
      <c r="F137" s="133"/>
      <c r="G137" s="133"/>
      <c r="H137" s="133"/>
      <c r="I137" s="133"/>
      <c r="J137" s="133"/>
      <c r="K137" s="132">
        <f t="shared" si="95"/>
        <v>962.5</v>
      </c>
      <c r="L137" s="133" t="e">
        <f t="shared" si="97"/>
        <v>#VALUE!</v>
      </c>
      <c r="M137" s="133" t="e">
        <f t="shared" si="98"/>
        <v>#VALUE!</v>
      </c>
      <c r="N137" s="133" t="e">
        <f t="shared" si="99"/>
        <v>#VALUE!</v>
      </c>
      <c r="O137" s="133" t="e">
        <f t="shared" si="100"/>
        <v>#VALUE!</v>
      </c>
      <c r="P137" s="133" t="e">
        <f t="shared" si="101"/>
        <v>#VALUE!</v>
      </c>
      <c r="Q137" s="133" t="e">
        <f t="shared" si="102"/>
        <v>#VALUE!</v>
      </c>
      <c r="R137" s="133" t="e">
        <f t="shared" si="103"/>
        <v>#VALUE!</v>
      </c>
      <c r="S137" s="133" t="e">
        <f t="shared" si="104"/>
        <v>#VALUE!</v>
      </c>
      <c r="T137" s="133" t="e">
        <f t="shared" si="105"/>
        <v>#VALUE!</v>
      </c>
      <c r="U137" s="133" t="e">
        <f t="shared" si="106"/>
        <v>#VALUE!</v>
      </c>
      <c r="V137" s="133" t="e">
        <f t="shared" si="107"/>
        <v>#VALUE!</v>
      </c>
    </row>
    <row r="138" s="91" customFormat="1" spans="1:22">
      <c r="A138" s="132">
        <v>1017.5</v>
      </c>
      <c r="B138" s="133"/>
      <c r="C138" s="133"/>
      <c r="D138" s="133"/>
      <c r="E138" s="133"/>
      <c r="F138" s="133"/>
      <c r="G138" s="133"/>
      <c r="H138" s="133"/>
      <c r="I138" s="133"/>
      <c r="J138" s="133"/>
      <c r="K138" s="132">
        <f t="shared" si="95"/>
        <v>1017.5</v>
      </c>
      <c r="L138" s="133" t="e">
        <f t="shared" si="97"/>
        <v>#VALUE!</v>
      </c>
      <c r="M138" s="133" t="e">
        <f t="shared" si="98"/>
        <v>#VALUE!</v>
      </c>
      <c r="N138" s="133" t="e">
        <f t="shared" si="99"/>
        <v>#VALUE!</v>
      </c>
      <c r="O138" s="133" t="e">
        <f t="shared" si="100"/>
        <v>#VALUE!</v>
      </c>
      <c r="P138" s="133" t="e">
        <f t="shared" si="101"/>
        <v>#VALUE!</v>
      </c>
      <c r="Q138" s="133" t="e">
        <f t="shared" si="102"/>
        <v>#VALUE!</v>
      </c>
      <c r="R138" s="133" t="e">
        <f t="shared" si="103"/>
        <v>#VALUE!</v>
      </c>
      <c r="S138" s="133" t="e">
        <f t="shared" si="104"/>
        <v>#VALUE!</v>
      </c>
      <c r="T138" s="133" t="e">
        <f t="shared" si="105"/>
        <v>#VALUE!</v>
      </c>
      <c r="U138" s="133" t="e">
        <f t="shared" si="106"/>
        <v>#VALUE!</v>
      </c>
      <c r="V138" s="133" t="e">
        <f t="shared" si="107"/>
        <v>#VALUE!</v>
      </c>
    </row>
    <row r="139" s="91" customFormat="1" spans="1:22">
      <c r="A139" s="132">
        <v>1072.5</v>
      </c>
      <c r="B139" s="133"/>
      <c r="C139" s="133"/>
      <c r="D139" s="133"/>
      <c r="E139" s="133"/>
      <c r="F139" s="133"/>
      <c r="G139" s="133"/>
      <c r="H139" s="133"/>
      <c r="I139" s="133"/>
      <c r="J139" s="133"/>
      <c r="K139" s="132">
        <f t="shared" si="95"/>
        <v>1072.5</v>
      </c>
      <c r="L139" s="133" t="e">
        <f t="shared" si="97"/>
        <v>#VALUE!</v>
      </c>
      <c r="M139" s="133" t="e">
        <f t="shared" si="98"/>
        <v>#VALUE!</v>
      </c>
      <c r="N139" s="133" t="e">
        <f t="shared" si="99"/>
        <v>#VALUE!</v>
      </c>
      <c r="O139" s="133" t="e">
        <f t="shared" si="100"/>
        <v>#VALUE!</v>
      </c>
      <c r="P139" s="133" t="e">
        <f t="shared" si="101"/>
        <v>#VALUE!</v>
      </c>
      <c r="Q139" s="133" t="e">
        <f t="shared" si="102"/>
        <v>#VALUE!</v>
      </c>
      <c r="R139" s="133" t="e">
        <f t="shared" si="103"/>
        <v>#VALUE!</v>
      </c>
      <c r="S139" s="133" t="e">
        <f t="shared" si="104"/>
        <v>#VALUE!</v>
      </c>
      <c r="T139" s="133" t="e">
        <f t="shared" si="105"/>
        <v>#VALUE!</v>
      </c>
      <c r="U139" s="133" t="e">
        <f t="shared" si="106"/>
        <v>#VALUE!</v>
      </c>
      <c r="V139" s="133" t="e">
        <f t="shared" si="107"/>
        <v>#VALUE!</v>
      </c>
    </row>
    <row r="159" s="91" customFormat="1" ht="13.5" customHeight="1"/>
  </sheetData>
  <conditionalFormatting sqref="J5:J24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8:J47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:I2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U2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I4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8:U4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1:J70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1:U7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4:J93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74:U9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7:J11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97:U1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0:J139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0:U13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59"/>
  <sheetViews>
    <sheetView workbookViewId="0">
      <selection activeCell="L21" sqref="L21"/>
    </sheetView>
  </sheetViews>
  <sheetFormatPr defaultColWidth="9" defaultRowHeight="15"/>
  <cols>
    <col min="1" max="1" width="6.75" style="91" customWidth="1"/>
    <col min="2" max="7" width="6.625" style="91" customWidth="1"/>
    <col min="8" max="9" width="5.875" style="91" customWidth="1"/>
    <col min="10" max="10" width="3" style="91" customWidth="1"/>
    <col min="11" max="11" width="6.75" style="91" customWidth="1"/>
    <col min="12" max="20" width="6.625" style="91" customWidth="1"/>
    <col min="21" max="22" width="5.875" style="91" customWidth="1"/>
    <col min="23" max="23" width="9" style="91"/>
    <col min="24" max="24" width="16" style="91" customWidth="1"/>
    <col min="25" max="30" width="9.375" style="91" customWidth="1"/>
    <col min="31" max="31" width="9" style="91"/>
    <col min="32" max="35" width="12.625" style="91"/>
    <col min="36" max="38" width="11.125" style="91"/>
    <col min="39" max="39" width="10.125" style="91"/>
    <col min="40" max="42" width="9" style="91"/>
    <col min="43" max="43" width="11.125" style="91"/>
    <col min="44" max="16384" width="9" style="91"/>
  </cols>
  <sheetData>
    <row r="1" s="91" customFormat="1" ht="13.5" customHeight="1" spans="1:30">
      <c r="A1" s="128" t="s">
        <v>114</v>
      </c>
      <c r="B1" s="129"/>
      <c r="C1" s="129"/>
      <c r="D1" s="129"/>
      <c r="E1" s="129"/>
      <c r="F1" s="129"/>
      <c r="G1" s="129"/>
      <c r="H1" s="129"/>
      <c r="I1" s="129"/>
      <c r="J1" s="136"/>
      <c r="K1" s="128" t="s">
        <v>115</v>
      </c>
      <c r="L1" s="129"/>
      <c r="M1" s="129"/>
      <c r="N1" s="137" t="s">
        <v>116</v>
      </c>
      <c r="O1" s="138">
        <v>20</v>
      </c>
      <c r="P1" s="106"/>
      <c r="Q1" s="106"/>
      <c r="R1" s="129"/>
      <c r="S1" s="129"/>
      <c r="T1" s="129"/>
      <c r="U1" s="129"/>
      <c r="V1" s="129"/>
      <c r="X1" s="142" t="s">
        <v>117</v>
      </c>
      <c r="Y1" s="148"/>
      <c r="Z1" s="92"/>
      <c r="AA1" s="148"/>
      <c r="AB1" s="92"/>
      <c r="AC1" s="148"/>
      <c r="AD1" s="92"/>
    </row>
    <row r="2" s="91" customFormat="1" ht="13.5" customHeight="1" spans="1:32">
      <c r="A2" s="128" t="s">
        <v>541</v>
      </c>
      <c r="B2" s="130"/>
      <c r="C2" s="130"/>
      <c r="D2" s="130"/>
      <c r="E2" s="130"/>
      <c r="F2" s="130"/>
      <c r="G2" s="130"/>
      <c r="H2" s="130"/>
      <c r="I2" s="130"/>
      <c r="J2" s="136"/>
      <c r="K2" s="128"/>
      <c r="L2" s="130"/>
      <c r="M2" s="130"/>
      <c r="N2" s="137" t="s">
        <v>119</v>
      </c>
      <c r="O2" s="138">
        <v>10</v>
      </c>
      <c r="P2" s="139"/>
      <c r="Q2" s="143"/>
      <c r="R2" s="144"/>
      <c r="S2" s="145"/>
      <c r="T2" s="130"/>
      <c r="U2" s="130"/>
      <c r="V2" s="130"/>
      <c r="W2" s="130"/>
      <c r="X2" s="130"/>
      <c r="Z2" s="142"/>
      <c r="AA2" s="148"/>
      <c r="AB2" s="92"/>
      <c r="AC2" s="148"/>
      <c r="AD2" s="92"/>
      <c r="AE2" s="149"/>
      <c r="AF2" s="30"/>
    </row>
    <row r="3" s="91" customFormat="1" ht="13.5" customHeight="1" spans="1:37">
      <c r="A3" s="129" t="s">
        <v>121</v>
      </c>
      <c r="B3" s="131"/>
      <c r="C3" s="131"/>
      <c r="D3" s="131"/>
      <c r="E3" s="131"/>
      <c r="F3" s="131"/>
      <c r="G3" s="131"/>
      <c r="H3" s="131"/>
      <c r="I3" s="131"/>
      <c r="J3" s="140"/>
      <c r="K3" s="129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X3" s="142" t="s">
        <v>122</v>
      </c>
      <c r="Y3" s="150" t="str">
        <f>A3</f>
        <v>0h</v>
      </c>
      <c r="Z3" s="150" t="str">
        <f>A26</f>
        <v>8h</v>
      </c>
      <c r="AA3" s="150" t="str">
        <f>A49</f>
        <v>24h</v>
      </c>
      <c r="AB3" s="150" t="str">
        <f>A72</f>
        <v>72h</v>
      </c>
      <c r="AC3" s="150" t="str">
        <f>A95</f>
        <v>96h</v>
      </c>
      <c r="AD3" s="150" t="str">
        <f>A118</f>
        <v>72h</v>
      </c>
      <c r="AF3" s="106"/>
      <c r="AG3" s="157"/>
      <c r="AH3" s="157"/>
      <c r="AI3" s="157"/>
      <c r="AJ3" s="157"/>
      <c r="AK3" s="157"/>
    </row>
    <row r="4" s="91" customFormat="1" spans="1:40">
      <c r="A4" s="132" t="s">
        <v>128</v>
      </c>
      <c r="B4" s="133">
        <v>17.68</v>
      </c>
      <c r="C4" s="133">
        <v>31.58</v>
      </c>
      <c r="D4" s="133">
        <v>54.25</v>
      </c>
      <c r="E4" s="133">
        <v>82.31</v>
      </c>
      <c r="F4" s="133">
        <v>106.26</v>
      </c>
      <c r="G4" s="133">
        <v>125.73</v>
      </c>
      <c r="H4" s="133">
        <v>142.56</v>
      </c>
      <c r="I4" s="133">
        <v>150.78</v>
      </c>
      <c r="J4" s="133"/>
      <c r="K4" s="132" t="str">
        <f t="shared" ref="K4:K24" si="0">A4</f>
        <v>R/Z[cm]</v>
      </c>
      <c r="L4" s="141">
        <v>0</v>
      </c>
      <c r="M4" s="141">
        <f t="shared" ref="M4:V4" si="1">SQRT(L4*L4+150*150/10)</f>
        <v>47.4341649025257</v>
      </c>
      <c r="N4" s="141">
        <f t="shared" si="1"/>
        <v>67.0820393249937</v>
      </c>
      <c r="O4" s="141">
        <f t="shared" si="1"/>
        <v>82.1583836257749</v>
      </c>
      <c r="P4" s="141">
        <f t="shared" si="1"/>
        <v>94.8683298050514</v>
      </c>
      <c r="Q4" s="141">
        <f t="shared" si="1"/>
        <v>106.066017177982</v>
      </c>
      <c r="R4" s="141">
        <f t="shared" si="1"/>
        <v>116.189500386223</v>
      </c>
      <c r="S4" s="141">
        <f t="shared" si="1"/>
        <v>125.499003980111</v>
      </c>
      <c r="T4" s="141">
        <f t="shared" si="1"/>
        <v>134.164078649987</v>
      </c>
      <c r="U4" s="141">
        <f t="shared" si="1"/>
        <v>142.302494707577</v>
      </c>
      <c r="V4" s="141">
        <f t="shared" si="1"/>
        <v>150</v>
      </c>
      <c r="X4" s="142">
        <v>0</v>
      </c>
      <c r="Y4" s="92"/>
      <c r="Z4" s="92"/>
      <c r="AA4" s="92"/>
      <c r="AB4" s="92"/>
      <c r="AC4" s="92"/>
      <c r="AD4" s="92"/>
      <c r="AF4" s="106"/>
      <c r="AG4" s="106"/>
      <c r="AH4" s="106"/>
      <c r="AI4" s="106"/>
      <c r="AJ4" s="106"/>
      <c r="AK4" s="106"/>
      <c r="AL4" s="158"/>
      <c r="AM4" s="158"/>
      <c r="AN4" s="158"/>
    </row>
    <row r="5" s="91" customFormat="1" spans="1:41">
      <c r="A5" s="132">
        <v>27.5</v>
      </c>
      <c r="B5" s="133">
        <v>277.43</v>
      </c>
      <c r="C5" s="133">
        <v>277.14</v>
      </c>
      <c r="D5" s="133">
        <v>276.33</v>
      </c>
      <c r="E5" s="133">
        <v>274.9</v>
      </c>
      <c r="F5" s="133">
        <v>273.34</v>
      </c>
      <c r="G5" s="133">
        <v>272.11</v>
      </c>
      <c r="H5" s="133">
        <v>271.83</v>
      </c>
      <c r="I5" s="133">
        <v>267.8</v>
      </c>
      <c r="J5" s="133"/>
      <c r="K5" s="132">
        <f t="shared" si="0"/>
        <v>27.5</v>
      </c>
      <c r="L5" s="133">
        <f t="shared" ref="L5:L24" si="2">TREND(B5:C5,B$4:C$4,L$4)</f>
        <v>277.798863309353</v>
      </c>
      <c r="M5" s="133">
        <f t="shared" ref="M5:M24" si="3">TREND(C5:D5,C$4:D$4,M$4)</f>
        <v>276.573530058622</v>
      </c>
      <c r="N5" s="133">
        <f t="shared" ref="N5:N24" si="4">TREND(D5:E5,D$4:E$4,N$4)</f>
        <v>275.676050740031</v>
      </c>
      <c r="O5" s="133">
        <f t="shared" ref="O5:O24" si="5">TREND(D5:E5,D$4:E$4,O$4)</f>
        <v>274.907726707596</v>
      </c>
      <c r="P5" s="133">
        <f t="shared" ref="P5:P24" si="6">TREND(E5:F5,E$4:F$4,P$4)</f>
        <v>274.082004405182</v>
      </c>
      <c r="Q5" s="133">
        <f t="shared" ref="Q5:Q24" si="7">TREND(E5:F5,E$4:F$4,Q$4)</f>
        <v>273.352635206779</v>
      </c>
      <c r="R5" s="133">
        <f t="shared" ref="R5:R24" si="8">TREND(F5:G5,F$4:G$4,R$4)</f>
        <v>272.712712610424</v>
      </c>
      <c r="S5" s="133">
        <f t="shared" ref="S5:S24" si="9">TREND(F5:G5,F$4:G$4,S$4)</f>
        <v>272.124592968899</v>
      </c>
      <c r="T5" s="133">
        <f t="shared" ref="T5:T24" si="10">TREND(G5:H5,G$4:H$4,T$4)</f>
        <v>271.969682589305</v>
      </c>
      <c r="U5" s="133">
        <f t="shared" ref="U5:U24" si="11">TREND(G5:H5,G$4:H$4,U$4)</f>
        <v>271.834284104687</v>
      </c>
      <c r="V5" s="133">
        <f t="shared" ref="V5:V24" si="12">TREND(H5:I5,H$4:I$4,V$4)</f>
        <v>268.182408759124</v>
      </c>
      <c r="X5" s="142">
        <v>400</v>
      </c>
      <c r="Y5" s="151">
        <f ca="1" t="shared" ref="Y5:Y18" si="13">COUNTIFS(OFFSET($L$5,0,0,$O$1,$O$2),"&lt;="&amp;($X5),OFFSET($L$5,0,0,$O$1,$O$2),"&gt;"&amp;($X4))/$O$1/$O$2</f>
        <v>0.235</v>
      </c>
      <c r="Z5" s="151">
        <f ca="1" t="shared" ref="Z5:Z18" si="14">COUNTIFS(OFFSET($L$28,0,0,$O$1,$O$2),"&lt;="&amp;($X5),OFFSET($L$28,0,0,$O$1,$O$2),"&gt;"&amp;($X4))/$O$1/$O$2</f>
        <v>0</v>
      </c>
      <c r="AA5" s="151">
        <f ca="1" t="shared" ref="AA5:AA18" si="15">COUNTIFS(OFFSET($L$51,0,0,$O$1,$O$2),"&lt;="&amp;($X5),OFFSET($L$51,0,0,$O$1,$O$2),"&gt;"&amp;($X4))/$O$1/$O$2</f>
        <v>0</v>
      </c>
      <c r="AB5" s="151">
        <f ca="1" t="shared" ref="AB5:AB18" si="16">COUNTIFS(OFFSET($L$74,0,0,$O$1,$O$2),"&lt;="&amp;($X5),OFFSET($L$74,0,0,$O$1,$O$2),"&gt;"&amp;($X4))/$O$1/$O$2</f>
        <v>0</v>
      </c>
      <c r="AC5" s="151">
        <f ca="1" t="shared" ref="AC5:AC18" si="17">COUNTIFS(OFFSET($L$97,0,0,$O$1,$O$2),"&lt;="&amp;($X5),OFFSET($L$97,0,0,$O$1,$O$2),"&gt;"&amp;($X4))/$O$1/$O$2</f>
        <v>0</v>
      </c>
      <c r="AD5" s="151">
        <f ca="1" t="shared" ref="AD5:AD18" si="18">COUNTIFS(OFFSET($L$120,0,0,$O$1,$O$2),"&lt;="&amp;($X5),OFFSET($L$120,0,0,$O$1,$O$2),"&gt;"&amp;($X4))/$O$1/$O$2</f>
        <v>0</v>
      </c>
      <c r="AF5" s="106"/>
      <c r="AG5" s="106"/>
      <c r="AH5" s="106"/>
      <c r="AI5" s="106"/>
      <c r="AJ5" s="106"/>
      <c r="AK5" s="106"/>
      <c r="AL5" s="158"/>
      <c r="AM5" s="158"/>
      <c r="AN5" s="158"/>
      <c r="AO5" s="158"/>
    </row>
    <row r="6" s="91" customFormat="1" spans="1:43">
      <c r="A6" s="132">
        <v>82.5</v>
      </c>
      <c r="B6" s="133">
        <v>303.79</v>
      </c>
      <c r="C6" s="133">
        <v>302.96</v>
      </c>
      <c r="D6" s="133">
        <v>300.76</v>
      </c>
      <c r="E6" s="133">
        <v>296.71</v>
      </c>
      <c r="F6" s="133">
        <v>292.33</v>
      </c>
      <c r="G6" s="133">
        <v>288.9</v>
      </c>
      <c r="H6" s="133">
        <v>287.63</v>
      </c>
      <c r="I6" s="133">
        <v>279.49</v>
      </c>
      <c r="J6" s="133"/>
      <c r="K6" s="132">
        <f t="shared" si="0"/>
        <v>82.5</v>
      </c>
      <c r="L6" s="133">
        <f t="shared" si="2"/>
        <v>304.845712230216</v>
      </c>
      <c r="M6" s="133">
        <f t="shared" si="3"/>
        <v>301.421439665392</v>
      </c>
      <c r="N6" s="133">
        <f t="shared" si="4"/>
        <v>298.907905942045</v>
      </c>
      <c r="O6" s="133">
        <f t="shared" si="5"/>
        <v>296.731883332702</v>
      </c>
      <c r="P6" s="133">
        <f t="shared" si="6"/>
        <v>294.413320060705</v>
      </c>
      <c r="Q6" s="133">
        <f t="shared" si="7"/>
        <v>292.365475772878</v>
      </c>
      <c r="R6" s="133">
        <f t="shared" si="8"/>
        <v>290.580735165653</v>
      </c>
      <c r="S6" s="133">
        <f t="shared" si="9"/>
        <v>288.940694214084</v>
      </c>
      <c r="T6" s="133">
        <f t="shared" si="10"/>
        <v>288.263560315776</v>
      </c>
      <c r="U6" s="133">
        <f t="shared" si="11"/>
        <v>287.649431474829</v>
      </c>
      <c r="V6" s="133">
        <f t="shared" si="12"/>
        <v>280.262408759124</v>
      </c>
      <c r="X6" s="142">
        <v>500</v>
      </c>
      <c r="Y6" s="151">
        <f ca="1" t="shared" si="13"/>
        <v>0.115</v>
      </c>
      <c r="Z6" s="151">
        <f ca="1" t="shared" si="14"/>
        <v>0.05</v>
      </c>
      <c r="AA6" s="151">
        <f ca="1" t="shared" si="15"/>
        <v>0.1</v>
      </c>
      <c r="AB6" s="151">
        <f ca="1" t="shared" si="16"/>
        <v>0</v>
      </c>
      <c r="AC6" s="151">
        <f ca="1" t="shared" si="17"/>
        <v>0</v>
      </c>
      <c r="AD6" s="151">
        <f ca="1" t="shared" si="18"/>
        <v>0</v>
      </c>
      <c r="AF6" s="106"/>
      <c r="AG6" s="106"/>
      <c r="AH6" s="106"/>
      <c r="AI6" s="106"/>
      <c r="AJ6" s="106"/>
      <c r="AK6" s="106"/>
      <c r="AL6" s="158"/>
      <c r="AM6" s="158"/>
      <c r="AN6" s="158"/>
      <c r="AO6" s="158"/>
      <c r="AP6" s="158"/>
      <c r="AQ6" s="158"/>
    </row>
    <row r="7" s="91" customFormat="1" spans="1:37">
      <c r="A7" s="132">
        <v>137.5</v>
      </c>
      <c r="B7" s="133">
        <v>338.04</v>
      </c>
      <c r="C7" s="133">
        <v>336.49</v>
      </c>
      <c r="D7" s="133">
        <v>332.5</v>
      </c>
      <c r="E7" s="133">
        <v>325.21</v>
      </c>
      <c r="F7" s="133">
        <v>317.38</v>
      </c>
      <c r="G7" s="133">
        <v>311.31</v>
      </c>
      <c r="H7" s="133">
        <v>308.78</v>
      </c>
      <c r="I7" s="133">
        <v>297.61</v>
      </c>
      <c r="J7" s="133"/>
      <c r="K7" s="132">
        <f t="shared" si="0"/>
        <v>137.5</v>
      </c>
      <c r="L7" s="133">
        <f t="shared" si="2"/>
        <v>340.011510791367</v>
      </c>
      <c r="M7" s="133">
        <f t="shared" si="3"/>
        <v>333.699611029507</v>
      </c>
      <c r="N7" s="133">
        <f t="shared" si="4"/>
        <v>329.16623069568</v>
      </c>
      <c r="O7" s="133">
        <f t="shared" si="5"/>
        <v>325.249389998863</v>
      </c>
      <c r="P7" s="133">
        <f t="shared" si="6"/>
        <v>321.104291341397</v>
      </c>
      <c r="Q7" s="133">
        <f t="shared" si="7"/>
        <v>317.443419018639</v>
      </c>
      <c r="R7" s="133">
        <f t="shared" si="8"/>
        <v>314.284362231928</v>
      </c>
      <c r="S7" s="133">
        <f t="shared" si="9"/>
        <v>311.382015708306</v>
      </c>
      <c r="T7" s="133">
        <f t="shared" si="10"/>
        <v>310.042131967649</v>
      </c>
      <c r="U7" s="133">
        <f t="shared" si="11"/>
        <v>308.81870994592</v>
      </c>
      <c r="V7" s="133">
        <f t="shared" si="12"/>
        <v>298.669927007299</v>
      </c>
      <c r="X7" s="142">
        <v>600</v>
      </c>
      <c r="Y7" s="151">
        <f ca="1" t="shared" si="13"/>
        <v>0.125</v>
      </c>
      <c r="Z7" s="151">
        <f ca="1" t="shared" si="14"/>
        <v>0.175</v>
      </c>
      <c r="AA7" s="151">
        <f ca="1" t="shared" si="15"/>
        <v>0.11</v>
      </c>
      <c r="AB7" s="151">
        <f ca="1" t="shared" si="16"/>
        <v>0.045</v>
      </c>
      <c r="AC7" s="151">
        <f ca="1" t="shared" si="17"/>
        <v>0.045</v>
      </c>
      <c r="AD7" s="151">
        <f ca="1" t="shared" si="18"/>
        <v>0</v>
      </c>
      <c r="AF7" s="106"/>
      <c r="AG7" s="159"/>
      <c r="AH7" s="159"/>
      <c r="AI7" s="159"/>
      <c r="AJ7" s="159"/>
      <c r="AK7" s="159"/>
    </row>
    <row r="8" s="91" customFormat="1" spans="1:37">
      <c r="A8" s="132">
        <v>192.5</v>
      </c>
      <c r="B8" s="133">
        <v>378.75</v>
      </c>
      <c r="C8" s="133">
        <v>376.33</v>
      </c>
      <c r="D8" s="133">
        <v>370.31</v>
      </c>
      <c r="E8" s="133">
        <v>359.45</v>
      </c>
      <c r="F8" s="133">
        <v>347.82</v>
      </c>
      <c r="G8" s="133">
        <v>338.86</v>
      </c>
      <c r="H8" s="133">
        <v>334.93</v>
      </c>
      <c r="I8" s="133">
        <v>320.3</v>
      </c>
      <c r="J8" s="133"/>
      <c r="K8" s="132">
        <f t="shared" si="0"/>
        <v>192.5</v>
      </c>
      <c r="L8" s="133">
        <f t="shared" si="2"/>
        <v>381.828100719424</v>
      </c>
      <c r="M8" s="133">
        <f t="shared" si="3"/>
        <v>372.119939448028</v>
      </c>
      <c r="N8" s="133">
        <f t="shared" si="4"/>
        <v>365.343644081631</v>
      </c>
      <c r="O8" s="133">
        <f t="shared" si="5"/>
        <v>359.508679751393</v>
      </c>
      <c r="P8" s="133">
        <f t="shared" si="6"/>
        <v>353.351737969405</v>
      </c>
      <c r="Q8" s="133">
        <f t="shared" si="7"/>
        <v>347.914197086433</v>
      </c>
      <c r="R8" s="133">
        <f t="shared" si="8"/>
        <v>343.250491861297</v>
      </c>
      <c r="S8" s="133">
        <f t="shared" si="9"/>
        <v>338.966303253118</v>
      </c>
      <c r="T8" s="133">
        <f t="shared" si="10"/>
        <v>336.890544914174</v>
      </c>
      <c r="U8" s="133">
        <f t="shared" si="11"/>
        <v>334.990130469354</v>
      </c>
      <c r="V8" s="133">
        <f t="shared" si="12"/>
        <v>321.688248175183</v>
      </c>
      <c r="X8" s="142">
        <v>700</v>
      </c>
      <c r="Y8" s="151">
        <f ca="1" t="shared" si="13"/>
        <v>0.165</v>
      </c>
      <c r="Z8" s="151">
        <f ca="1" t="shared" si="14"/>
        <v>0.18</v>
      </c>
      <c r="AA8" s="151">
        <f ca="1" t="shared" si="15"/>
        <v>0.155</v>
      </c>
      <c r="AB8" s="151">
        <f ca="1" t="shared" si="16"/>
        <v>0.055</v>
      </c>
      <c r="AC8" s="151">
        <f ca="1" t="shared" si="17"/>
        <v>0.055</v>
      </c>
      <c r="AD8" s="151">
        <f ca="1" t="shared" si="18"/>
        <v>0</v>
      </c>
      <c r="AF8" s="106"/>
      <c r="AG8" s="159"/>
      <c r="AH8" s="159"/>
      <c r="AI8" s="159"/>
      <c r="AJ8" s="159"/>
      <c r="AK8" s="159"/>
    </row>
    <row r="9" s="91" customFormat="1" spans="1:37">
      <c r="A9" s="132">
        <v>241.5</v>
      </c>
      <c r="B9" s="133">
        <v>419</v>
      </c>
      <c r="C9" s="133">
        <v>415.75</v>
      </c>
      <c r="D9" s="133">
        <v>407.85</v>
      </c>
      <c r="E9" s="133">
        <v>393.84</v>
      </c>
      <c r="F9" s="133">
        <v>378.99</v>
      </c>
      <c r="G9" s="133">
        <v>367.71</v>
      </c>
      <c r="H9" s="133">
        <v>362.88</v>
      </c>
      <c r="I9" s="133">
        <v>344.86</v>
      </c>
      <c r="J9" s="133"/>
      <c r="K9" s="132">
        <f t="shared" si="0"/>
        <v>241.5</v>
      </c>
      <c r="L9" s="133">
        <f t="shared" si="2"/>
        <v>423.13381294964</v>
      </c>
      <c r="M9" s="133">
        <f t="shared" si="3"/>
        <v>410.225169707545</v>
      </c>
      <c r="N9" s="133">
        <f t="shared" si="4"/>
        <v>401.443126480999</v>
      </c>
      <c r="O9" s="133">
        <f t="shared" si="5"/>
        <v>393.915700121272</v>
      </c>
      <c r="P9" s="133">
        <f t="shared" si="6"/>
        <v>386.053311164718</v>
      </c>
      <c r="Q9" s="133">
        <f t="shared" si="7"/>
        <v>379.110277449143</v>
      </c>
      <c r="R9" s="133">
        <f t="shared" si="8"/>
        <v>373.237315646811</v>
      </c>
      <c r="S9" s="133">
        <f t="shared" si="9"/>
        <v>367.843828202586</v>
      </c>
      <c r="T9" s="133">
        <f t="shared" si="10"/>
        <v>365.289524665512</v>
      </c>
      <c r="U9" s="133">
        <f t="shared" si="11"/>
        <v>362.953900805847</v>
      </c>
      <c r="V9" s="133">
        <f t="shared" si="12"/>
        <v>346.569927007299</v>
      </c>
      <c r="X9" s="142">
        <v>800</v>
      </c>
      <c r="Y9" s="151">
        <f ca="1" t="shared" si="13"/>
        <v>0.245</v>
      </c>
      <c r="Z9" s="151">
        <f ca="1" t="shared" si="14"/>
        <v>0.19</v>
      </c>
      <c r="AA9" s="151">
        <f ca="1" t="shared" si="15"/>
        <v>0.215</v>
      </c>
      <c r="AB9" s="151">
        <f ca="1" t="shared" si="16"/>
        <v>0.05</v>
      </c>
      <c r="AC9" s="151">
        <f ca="1" t="shared" si="17"/>
        <v>0.05</v>
      </c>
      <c r="AD9" s="151">
        <f ca="1" t="shared" si="18"/>
        <v>0</v>
      </c>
      <c r="AF9" s="106"/>
      <c r="AG9" s="159"/>
      <c r="AH9" s="159"/>
      <c r="AI9" s="159"/>
      <c r="AJ9" s="159"/>
      <c r="AK9" s="159"/>
    </row>
    <row r="10" s="91" customFormat="1" spans="1:37">
      <c r="A10" s="132">
        <v>296.5</v>
      </c>
      <c r="B10" s="133">
        <v>472.08</v>
      </c>
      <c r="C10" s="133">
        <v>467.78</v>
      </c>
      <c r="D10" s="133">
        <v>457.62</v>
      </c>
      <c r="E10" s="133">
        <v>439.89</v>
      </c>
      <c r="F10" s="133">
        <v>421.5</v>
      </c>
      <c r="G10" s="133">
        <v>408.33</v>
      </c>
      <c r="H10" s="133">
        <v>403.7</v>
      </c>
      <c r="I10" s="133">
        <v>379.32</v>
      </c>
      <c r="J10" s="133"/>
      <c r="K10" s="132">
        <f t="shared" si="0"/>
        <v>296.5</v>
      </c>
      <c r="L10" s="133">
        <f t="shared" si="2"/>
        <v>477.549352517986</v>
      </c>
      <c r="M10" s="133">
        <f t="shared" si="3"/>
        <v>460.674648636539</v>
      </c>
      <c r="N10" s="133">
        <f t="shared" si="4"/>
        <v>449.511943790729</v>
      </c>
      <c r="O10" s="133">
        <f t="shared" si="5"/>
        <v>439.985800367605</v>
      </c>
      <c r="P10" s="133">
        <f t="shared" si="6"/>
        <v>430.247090391862</v>
      </c>
      <c r="Q10" s="133">
        <f t="shared" si="7"/>
        <v>421.64894964914</v>
      </c>
      <c r="R10" s="133">
        <f t="shared" si="8"/>
        <v>414.783435023803</v>
      </c>
      <c r="S10" s="133">
        <f t="shared" si="9"/>
        <v>408.48625154504</v>
      </c>
      <c r="T10" s="133">
        <f t="shared" si="10"/>
        <v>406.009751387437</v>
      </c>
      <c r="U10" s="133">
        <f t="shared" si="11"/>
        <v>403.770840731071</v>
      </c>
      <c r="V10" s="133">
        <f t="shared" si="12"/>
        <v>381.633430656934</v>
      </c>
      <c r="X10" s="142">
        <v>900</v>
      </c>
      <c r="Y10" s="151">
        <f ca="1" t="shared" si="13"/>
        <v>0.105</v>
      </c>
      <c r="Z10" s="151">
        <f ca="1" t="shared" si="14"/>
        <v>0.205</v>
      </c>
      <c r="AA10" s="151">
        <f ca="1" t="shared" si="15"/>
        <v>0.285</v>
      </c>
      <c r="AB10" s="151">
        <f ca="1" t="shared" si="16"/>
        <v>0.06</v>
      </c>
      <c r="AC10" s="151">
        <f ca="1" t="shared" si="17"/>
        <v>0.055</v>
      </c>
      <c r="AD10" s="151">
        <f ca="1" t="shared" si="18"/>
        <v>0</v>
      </c>
      <c r="AF10" s="106"/>
      <c r="AG10" s="159"/>
      <c r="AH10" s="159"/>
      <c r="AI10" s="159"/>
      <c r="AJ10" s="159"/>
      <c r="AK10" s="159"/>
    </row>
    <row r="11" s="91" customFormat="1" spans="1:37">
      <c r="A11" s="132">
        <v>357.5</v>
      </c>
      <c r="B11" s="133">
        <v>527.9</v>
      </c>
      <c r="C11" s="133">
        <v>522.52</v>
      </c>
      <c r="D11" s="133">
        <v>510.1</v>
      </c>
      <c r="E11" s="133">
        <v>488.79</v>
      </c>
      <c r="F11" s="133">
        <v>467.09</v>
      </c>
      <c r="G11" s="133">
        <v>452.07</v>
      </c>
      <c r="H11" s="133">
        <v>446.92</v>
      </c>
      <c r="I11" s="133">
        <v>419</v>
      </c>
      <c r="J11" s="133"/>
      <c r="K11" s="132">
        <f t="shared" si="0"/>
        <v>357.5</v>
      </c>
      <c r="L11" s="133">
        <f t="shared" si="2"/>
        <v>534.743050359712</v>
      </c>
      <c r="M11" s="133">
        <f t="shared" si="3"/>
        <v>513.834127565533</v>
      </c>
      <c r="N11" s="133">
        <f t="shared" si="4"/>
        <v>500.354784104932</v>
      </c>
      <c r="O11" s="133">
        <f t="shared" si="5"/>
        <v>488.905144153056</v>
      </c>
      <c r="P11" s="133">
        <f t="shared" si="6"/>
        <v>477.411471533628</v>
      </c>
      <c r="Q11" s="133">
        <f t="shared" si="7"/>
        <v>467.265758966087</v>
      </c>
      <c r="R11" s="133">
        <f t="shared" si="8"/>
        <v>459.4299539907</v>
      </c>
      <c r="S11" s="133">
        <f t="shared" si="9"/>
        <v>452.248200319401</v>
      </c>
      <c r="T11" s="133">
        <f t="shared" si="10"/>
        <v>449.489161910432</v>
      </c>
      <c r="U11" s="133">
        <f t="shared" si="11"/>
        <v>446.998796925489</v>
      </c>
      <c r="V11" s="133">
        <f t="shared" si="12"/>
        <v>421.649343065693</v>
      </c>
      <c r="X11" s="142">
        <v>1000</v>
      </c>
      <c r="Y11" s="151">
        <f ca="1" t="shared" si="13"/>
        <v>0.01</v>
      </c>
      <c r="Z11" s="151">
        <f ca="1" t="shared" si="14"/>
        <v>0.16</v>
      </c>
      <c r="AA11" s="151">
        <f ca="1" t="shared" si="15"/>
        <v>0.135</v>
      </c>
      <c r="AB11" s="151">
        <f ca="1" t="shared" si="16"/>
        <v>0.11</v>
      </c>
      <c r="AC11" s="151">
        <f ca="1" t="shared" si="17"/>
        <v>0.095</v>
      </c>
      <c r="AD11" s="151">
        <f ca="1" t="shared" si="18"/>
        <v>0</v>
      </c>
      <c r="AF11" s="106"/>
      <c r="AG11" s="159"/>
      <c r="AH11" s="159"/>
      <c r="AI11" s="159"/>
      <c r="AJ11" s="159"/>
      <c r="AK11" s="159"/>
    </row>
    <row r="12" s="91" customFormat="1" spans="1:37">
      <c r="A12" s="132">
        <v>412.5</v>
      </c>
      <c r="B12" s="133">
        <v>579.29</v>
      </c>
      <c r="C12" s="133">
        <v>572.87</v>
      </c>
      <c r="D12" s="133">
        <v>558.32</v>
      </c>
      <c r="E12" s="133">
        <v>533.83</v>
      </c>
      <c r="F12" s="133">
        <v>509.29</v>
      </c>
      <c r="G12" s="133">
        <v>492.53</v>
      </c>
      <c r="H12" s="133">
        <v>486.34</v>
      </c>
      <c r="I12" s="133">
        <v>456.76</v>
      </c>
      <c r="J12" s="133"/>
      <c r="K12" s="132">
        <f t="shared" si="0"/>
        <v>412.5</v>
      </c>
      <c r="L12" s="133">
        <f t="shared" si="2"/>
        <v>587.455870503597</v>
      </c>
      <c r="M12" s="133">
        <f t="shared" si="3"/>
        <v>562.69452142339</v>
      </c>
      <c r="N12" s="133">
        <f t="shared" si="4"/>
        <v>547.120547289056</v>
      </c>
      <c r="O12" s="133">
        <f t="shared" si="5"/>
        <v>533.962326621695</v>
      </c>
      <c r="P12" s="133">
        <f t="shared" si="6"/>
        <v>520.96230006614</v>
      </c>
      <c r="Q12" s="133">
        <f t="shared" si="7"/>
        <v>509.488761522018</v>
      </c>
      <c r="R12" s="133">
        <f t="shared" si="8"/>
        <v>500.742571829836</v>
      </c>
      <c r="S12" s="133">
        <f t="shared" si="9"/>
        <v>492.728844031502</v>
      </c>
      <c r="T12" s="133">
        <f t="shared" si="10"/>
        <v>489.427982956422</v>
      </c>
      <c r="U12" s="133">
        <f t="shared" si="11"/>
        <v>486.434709314325</v>
      </c>
      <c r="V12" s="133">
        <f t="shared" si="12"/>
        <v>459.566861313869</v>
      </c>
      <c r="X12" s="142">
        <v>1100</v>
      </c>
      <c r="Y12" s="151">
        <f ca="1" t="shared" si="13"/>
        <v>0</v>
      </c>
      <c r="Z12" s="151">
        <f ca="1" t="shared" si="14"/>
        <v>0.04</v>
      </c>
      <c r="AA12" s="151">
        <f ca="1" t="shared" si="15"/>
        <v>0</v>
      </c>
      <c r="AB12" s="151">
        <f ca="1" t="shared" si="16"/>
        <v>0.27</v>
      </c>
      <c r="AC12" s="151">
        <f ca="1" t="shared" si="17"/>
        <v>0.24</v>
      </c>
      <c r="AD12" s="151">
        <f ca="1" t="shared" si="18"/>
        <v>0</v>
      </c>
      <c r="AF12" s="106"/>
      <c r="AG12" s="159"/>
      <c r="AH12" s="159"/>
      <c r="AI12" s="159"/>
      <c r="AJ12" s="159"/>
      <c r="AK12" s="159"/>
    </row>
    <row r="13" s="91" customFormat="1" spans="1:37">
      <c r="A13" s="132">
        <v>467.5</v>
      </c>
      <c r="B13" s="133">
        <v>628.59</v>
      </c>
      <c r="C13" s="133">
        <v>621.13</v>
      </c>
      <c r="D13" s="133">
        <v>604.54</v>
      </c>
      <c r="E13" s="133">
        <v>577.12</v>
      </c>
      <c r="F13" s="133">
        <v>550.02</v>
      </c>
      <c r="G13" s="133">
        <v>531.59</v>
      </c>
      <c r="H13" s="133">
        <v>524.12</v>
      </c>
      <c r="I13" s="133">
        <v>493.77</v>
      </c>
      <c r="J13" s="133"/>
      <c r="K13" s="132">
        <f t="shared" si="0"/>
        <v>467.5</v>
      </c>
      <c r="L13" s="133">
        <f t="shared" si="2"/>
        <v>638.078690647482</v>
      </c>
      <c r="M13" s="133">
        <f t="shared" si="3"/>
        <v>609.527856385845</v>
      </c>
      <c r="N13" s="133">
        <f t="shared" si="4"/>
        <v>592.000637266881</v>
      </c>
      <c r="O13" s="133">
        <f t="shared" si="5"/>
        <v>577.268158267329</v>
      </c>
      <c r="P13" s="133">
        <f t="shared" si="6"/>
        <v>562.909948320798</v>
      </c>
      <c r="Q13" s="133">
        <f t="shared" si="7"/>
        <v>550.239496220321</v>
      </c>
      <c r="R13" s="133">
        <f t="shared" si="8"/>
        <v>540.620888951306</v>
      </c>
      <c r="S13" s="133">
        <f t="shared" si="9"/>
        <v>531.808657249438</v>
      </c>
      <c r="T13" s="133">
        <f t="shared" si="10"/>
        <v>527.846531936102</v>
      </c>
      <c r="U13" s="133">
        <f t="shared" si="11"/>
        <v>524.234293792894</v>
      </c>
      <c r="V13" s="133">
        <f t="shared" si="12"/>
        <v>496.649927007299</v>
      </c>
      <c r="X13" s="142">
        <v>1200</v>
      </c>
      <c r="Y13" s="151">
        <f ca="1" t="shared" si="13"/>
        <v>0</v>
      </c>
      <c r="Z13" s="151">
        <f ca="1" t="shared" si="14"/>
        <v>0</v>
      </c>
      <c r="AA13" s="151">
        <f ca="1" t="shared" si="15"/>
        <v>0</v>
      </c>
      <c r="AB13" s="151">
        <f ca="1" t="shared" si="16"/>
        <v>0.21</v>
      </c>
      <c r="AC13" s="151">
        <f ca="1" t="shared" si="17"/>
        <v>0.25</v>
      </c>
      <c r="AD13" s="151">
        <f ca="1" t="shared" si="18"/>
        <v>0</v>
      </c>
      <c r="AF13" s="106"/>
      <c r="AG13" s="159"/>
      <c r="AH13" s="159"/>
      <c r="AI13" s="159"/>
      <c r="AJ13" s="159"/>
      <c r="AK13" s="159"/>
    </row>
    <row r="14" s="91" customFormat="1" spans="1:37">
      <c r="A14" s="132">
        <v>522.5</v>
      </c>
      <c r="B14" s="133">
        <v>674.5</v>
      </c>
      <c r="C14" s="133">
        <v>666.04</v>
      </c>
      <c r="D14" s="133">
        <v>647.57</v>
      </c>
      <c r="E14" s="133">
        <v>617.56</v>
      </c>
      <c r="F14" s="133">
        <v>588.28</v>
      </c>
      <c r="G14" s="133">
        <v>568.29</v>
      </c>
      <c r="H14" s="133">
        <v>559.43</v>
      </c>
      <c r="I14" s="133">
        <v>528.94</v>
      </c>
      <c r="J14" s="133"/>
      <c r="K14" s="132">
        <f t="shared" si="0"/>
        <v>522.5</v>
      </c>
      <c r="L14" s="133">
        <f t="shared" si="2"/>
        <v>685.260633093525</v>
      </c>
      <c r="M14" s="133">
        <f t="shared" si="3"/>
        <v>653.123086645362</v>
      </c>
      <c r="N14" s="133">
        <f t="shared" si="4"/>
        <v>633.846211684139</v>
      </c>
      <c r="O14" s="133">
        <f t="shared" si="5"/>
        <v>617.722152793674</v>
      </c>
      <c r="P14" s="133">
        <f t="shared" si="6"/>
        <v>602.206851912655</v>
      </c>
      <c r="Q14" s="133">
        <f t="shared" si="7"/>
        <v>588.517153111845</v>
      </c>
      <c r="R14" s="133">
        <f t="shared" si="8"/>
        <v>578.085304945013</v>
      </c>
      <c r="S14" s="133">
        <f t="shared" si="9"/>
        <v>568.527165405114</v>
      </c>
      <c r="T14" s="133">
        <f t="shared" si="10"/>
        <v>563.849956218723</v>
      </c>
      <c r="U14" s="133">
        <f t="shared" si="11"/>
        <v>559.565561312589</v>
      </c>
      <c r="V14" s="133">
        <f t="shared" si="12"/>
        <v>531.833211678832</v>
      </c>
      <c r="X14" s="142">
        <v>1300</v>
      </c>
      <c r="Y14" s="151">
        <f ca="1" t="shared" si="13"/>
        <v>0</v>
      </c>
      <c r="Z14" s="151">
        <f ca="1" t="shared" si="14"/>
        <v>0</v>
      </c>
      <c r="AA14" s="151">
        <f ca="1" t="shared" si="15"/>
        <v>0</v>
      </c>
      <c r="AB14" s="151">
        <f ca="1" t="shared" si="16"/>
        <v>0.17</v>
      </c>
      <c r="AC14" s="151">
        <f ca="1" t="shared" si="17"/>
        <v>0.185</v>
      </c>
      <c r="AD14" s="151">
        <f ca="1" t="shared" si="18"/>
        <v>0</v>
      </c>
      <c r="AF14" s="106"/>
      <c r="AG14" s="159"/>
      <c r="AH14" s="159"/>
      <c r="AI14" s="159"/>
      <c r="AJ14" s="159"/>
      <c r="AK14" s="159"/>
    </row>
    <row r="15" s="91" customFormat="1" spans="1:37">
      <c r="A15" s="132">
        <v>577.5</v>
      </c>
      <c r="B15" s="133">
        <v>716.22</v>
      </c>
      <c r="C15" s="133">
        <v>706.85</v>
      </c>
      <c r="D15" s="133">
        <v>686.75</v>
      </c>
      <c r="E15" s="133">
        <v>654.59</v>
      </c>
      <c r="F15" s="133">
        <v>623.48</v>
      </c>
      <c r="G15" s="133">
        <v>602.09</v>
      </c>
      <c r="H15" s="133">
        <v>591.3</v>
      </c>
      <c r="I15" s="133">
        <v>555.43</v>
      </c>
      <c r="J15" s="133"/>
      <c r="K15" s="132">
        <f t="shared" si="0"/>
        <v>577.5</v>
      </c>
      <c r="L15" s="133">
        <f t="shared" si="2"/>
        <v>728.138100719425</v>
      </c>
      <c r="M15" s="133">
        <f t="shared" si="3"/>
        <v>692.793153306539</v>
      </c>
      <c r="N15" s="133">
        <f t="shared" si="4"/>
        <v>672.043001258311</v>
      </c>
      <c r="O15" s="133">
        <f t="shared" si="5"/>
        <v>654.763769871528</v>
      </c>
      <c r="P15" s="133">
        <f t="shared" si="6"/>
        <v>638.277280157196</v>
      </c>
      <c r="Q15" s="133">
        <f t="shared" si="7"/>
        <v>623.731975181335</v>
      </c>
      <c r="R15" s="133">
        <f t="shared" si="8"/>
        <v>612.571319298341</v>
      </c>
      <c r="S15" s="133">
        <f t="shared" si="9"/>
        <v>602.343775288414</v>
      </c>
      <c r="T15" s="133">
        <f t="shared" si="10"/>
        <v>596.682768352147</v>
      </c>
      <c r="U15" s="133">
        <f t="shared" si="11"/>
        <v>591.46509103418</v>
      </c>
      <c r="V15" s="133">
        <f t="shared" si="12"/>
        <v>558.833722627737</v>
      </c>
      <c r="X15" s="142">
        <v>1400</v>
      </c>
      <c r="Y15" s="151">
        <f ca="1" t="shared" si="13"/>
        <v>0</v>
      </c>
      <c r="Z15" s="151">
        <f ca="1" t="shared" si="14"/>
        <v>0</v>
      </c>
      <c r="AA15" s="151">
        <f ca="1" t="shared" si="15"/>
        <v>0</v>
      </c>
      <c r="AB15" s="151">
        <f ca="1" t="shared" si="16"/>
        <v>0.03</v>
      </c>
      <c r="AC15" s="151">
        <f ca="1" t="shared" si="17"/>
        <v>0.025</v>
      </c>
      <c r="AD15" s="151">
        <f ca="1" t="shared" si="18"/>
        <v>0</v>
      </c>
      <c r="AF15" s="106"/>
      <c r="AG15" s="159"/>
      <c r="AH15" s="159"/>
      <c r="AI15" s="159"/>
      <c r="AJ15" s="159"/>
      <c r="AK15" s="159"/>
    </row>
    <row r="16" s="91" customFormat="1" spans="1:37">
      <c r="A16" s="132">
        <v>632.5</v>
      </c>
      <c r="B16" s="133">
        <v>753.32</v>
      </c>
      <c r="C16" s="133">
        <v>743.17</v>
      </c>
      <c r="D16" s="133">
        <v>721.69</v>
      </c>
      <c r="E16" s="133">
        <v>687.84</v>
      </c>
      <c r="F16" s="133">
        <v>655.33</v>
      </c>
      <c r="G16" s="133">
        <v>632.59</v>
      </c>
      <c r="H16" s="133">
        <v>619.91</v>
      </c>
      <c r="I16" s="133">
        <v>584.16</v>
      </c>
      <c r="J16" s="133"/>
      <c r="K16" s="132">
        <f t="shared" si="0"/>
        <v>632.5</v>
      </c>
      <c r="L16" s="133">
        <f t="shared" si="2"/>
        <v>766.230215827338</v>
      </c>
      <c r="M16" s="133">
        <f t="shared" si="3"/>
        <v>728.148056369376</v>
      </c>
      <c r="N16" s="133">
        <f t="shared" si="4"/>
        <v>706.210152132893</v>
      </c>
      <c r="O16" s="133">
        <f t="shared" si="5"/>
        <v>688.022901435051</v>
      </c>
      <c r="P16" s="133">
        <f t="shared" si="6"/>
        <v>670.793181546463</v>
      </c>
      <c r="Q16" s="133">
        <f t="shared" si="7"/>
        <v>655.59331446947</v>
      </c>
      <c r="R16" s="133">
        <f t="shared" si="8"/>
        <v>643.73283313905</v>
      </c>
      <c r="S16" s="133">
        <f t="shared" si="9"/>
        <v>632.859791961596</v>
      </c>
      <c r="T16" s="133">
        <f t="shared" si="10"/>
        <v>626.235625829956</v>
      </c>
      <c r="U16" s="133">
        <f t="shared" si="11"/>
        <v>620.104008740815</v>
      </c>
      <c r="V16" s="133">
        <f t="shared" si="12"/>
        <v>587.552335766423</v>
      </c>
      <c r="X16" s="142">
        <v>1500</v>
      </c>
      <c r="Y16" s="151">
        <f ca="1" t="shared" si="13"/>
        <v>0</v>
      </c>
      <c r="Z16" s="151">
        <f ca="1" t="shared" si="14"/>
        <v>0</v>
      </c>
      <c r="AA16" s="151">
        <f ca="1" t="shared" si="15"/>
        <v>0</v>
      </c>
      <c r="AB16" s="151">
        <f ca="1" t="shared" si="16"/>
        <v>0</v>
      </c>
      <c r="AC16" s="151">
        <f ca="1" t="shared" si="17"/>
        <v>0</v>
      </c>
      <c r="AD16" s="151">
        <f ca="1" t="shared" si="18"/>
        <v>0</v>
      </c>
      <c r="AF16" s="106"/>
      <c r="AG16" s="159"/>
      <c r="AH16" s="159"/>
      <c r="AI16" s="159"/>
      <c r="AJ16" s="159"/>
      <c r="AK16" s="159"/>
    </row>
    <row r="17" s="91" customFormat="1" spans="1:37">
      <c r="A17" s="132">
        <v>687.5</v>
      </c>
      <c r="B17" s="133">
        <v>785.72</v>
      </c>
      <c r="C17" s="133">
        <v>774.89</v>
      </c>
      <c r="D17" s="133">
        <v>752.29</v>
      </c>
      <c r="E17" s="133">
        <v>717.2</v>
      </c>
      <c r="F17" s="133">
        <v>683.66</v>
      </c>
      <c r="G17" s="133">
        <v>659.72</v>
      </c>
      <c r="H17" s="133">
        <v>645.47</v>
      </c>
      <c r="I17" s="133">
        <v>610.22</v>
      </c>
      <c r="J17" s="133"/>
      <c r="K17" s="132">
        <f t="shared" si="0"/>
        <v>687.5</v>
      </c>
      <c r="L17" s="133">
        <f t="shared" si="2"/>
        <v>799.495136690648</v>
      </c>
      <c r="M17" s="133">
        <f t="shared" si="3"/>
        <v>759.084789289939</v>
      </c>
      <c r="N17" s="133">
        <f t="shared" si="4"/>
        <v>736.243091236136</v>
      </c>
      <c r="O17" s="133">
        <f t="shared" si="5"/>
        <v>717.389601517162</v>
      </c>
      <c r="P17" s="133">
        <f t="shared" si="6"/>
        <v>699.613094711423</v>
      </c>
      <c r="Q17" s="133">
        <f t="shared" si="7"/>
        <v>683.93165694574</v>
      </c>
      <c r="R17" s="133">
        <f t="shared" si="8"/>
        <v>671.450845441902</v>
      </c>
      <c r="S17" s="133">
        <f t="shared" si="9"/>
        <v>660.004029004424</v>
      </c>
      <c r="T17" s="133">
        <f t="shared" si="10"/>
        <v>652.578846062845</v>
      </c>
      <c r="U17" s="133">
        <f t="shared" si="11"/>
        <v>645.688030327809</v>
      </c>
      <c r="V17" s="133">
        <f t="shared" si="12"/>
        <v>613.564890510949</v>
      </c>
      <c r="X17" s="142">
        <v>1600</v>
      </c>
      <c r="Y17" s="151">
        <f ca="1" t="shared" si="13"/>
        <v>0</v>
      </c>
      <c r="Z17" s="151">
        <f ca="1" t="shared" si="14"/>
        <v>0</v>
      </c>
      <c r="AA17" s="151">
        <f ca="1" t="shared" si="15"/>
        <v>0</v>
      </c>
      <c r="AB17" s="151">
        <f ca="1" t="shared" si="16"/>
        <v>0</v>
      </c>
      <c r="AC17" s="151">
        <f ca="1" t="shared" si="17"/>
        <v>0</v>
      </c>
      <c r="AD17" s="151">
        <f ca="1" t="shared" si="18"/>
        <v>0</v>
      </c>
      <c r="AF17" s="106"/>
      <c r="AG17" s="159"/>
      <c r="AH17" s="159"/>
      <c r="AI17" s="159"/>
      <c r="AJ17" s="159"/>
      <c r="AK17" s="106"/>
    </row>
    <row r="18" s="91" customFormat="1" spans="1:37">
      <c r="A18" s="132">
        <v>742.5</v>
      </c>
      <c r="B18" s="133">
        <v>813.49</v>
      </c>
      <c r="C18" s="133">
        <v>802.1</v>
      </c>
      <c r="D18" s="133">
        <v>778.63</v>
      </c>
      <c r="E18" s="133">
        <v>742.69</v>
      </c>
      <c r="F18" s="133">
        <v>708.46</v>
      </c>
      <c r="G18" s="133">
        <v>683.53</v>
      </c>
      <c r="H18" s="133">
        <v>667.99</v>
      </c>
      <c r="I18" s="133">
        <v>633.43</v>
      </c>
      <c r="J18" s="133"/>
      <c r="K18" s="132">
        <f t="shared" si="0"/>
        <v>742.5</v>
      </c>
      <c r="L18" s="133">
        <f t="shared" si="2"/>
        <v>827.977424460432</v>
      </c>
      <c r="M18" s="133">
        <f t="shared" si="3"/>
        <v>785.686358612163</v>
      </c>
      <c r="N18" s="133">
        <f t="shared" si="4"/>
        <v>762.194380137553</v>
      </c>
      <c r="O18" s="133">
        <f t="shared" si="5"/>
        <v>742.884194315383</v>
      </c>
      <c r="P18" s="133">
        <f t="shared" si="6"/>
        <v>724.741288967561</v>
      </c>
      <c r="Q18" s="133">
        <f t="shared" si="7"/>
        <v>708.737245594892</v>
      </c>
      <c r="R18" s="133">
        <f t="shared" si="8"/>
        <v>695.745955591755</v>
      </c>
      <c r="S18" s="133">
        <f t="shared" si="9"/>
        <v>683.825774564757</v>
      </c>
      <c r="T18" s="133">
        <f t="shared" si="10"/>
        <v>675.742383706429</v>
      </c>
      <c r="U18" s="133">
        <f t="shared" si="11"/>
        <v>668.227767810116</v>
      </c>
      <c r="V18" s="133">
        <f t="shared" si="12"/>
        <v>636.709416058394</v>
      </c>
      <c r="X18" s="142">
        <v>1620</v>
      </c>
      <c r="Y18" s="151">
        <f ca="1" t="shared" si="13"/>
        <v>0</v>
      </c>
      <c r="Z18" s="151">
        <f ca="1" t="shared" si="14"/>
        <v>0</v>
      </c>
      <c r="AA18" s="151">
        <f ca="1" t="shared" si="15"/>
        <v>0</v>
      </c>
      <c r="AB18" s="151">
        <f ca="1" t="shared" si="16"/>
        <v>0</v>
      </c>
      <c r="AC18" s="151">
        <f ca="1" t="shared" si="17"/>
        <v>0</v>
      </c>
      <c r="AD18" s="151">
        <f ca="1" t="shared" si="18"/>
        <v>0</v>
      </c>
      <c r="AF18" s="106"/>
      <c r="AG18" s="106"/>
      <c r="AH18" s="106"/>
      <c r="AI18" s="106"/>
      <c r="AJ18" s="106"/>
      <c r="AK18" s="106"/>
    </row>
    <row r="19" s="91" customFormat="1" spans="1:30">
      <c r="A19" s="132">
        <v>797.5</v>
      </c>
      <c r="B19" s="133">
        <v>836.82</v>
      </c>
      <c r="C19" s="133">
        <v>824.99</v>
      </c>
      <c r="D19" s="133">
        <v>800.91</v>
      </c>
      <c r="E19" s="133">
        <v>764.45</v>
      </c>
      <c r="F19" s="133">
        <v>729.8</v>
      </c>
      <c r="G19" s="133">
        <v>704.15</v>
      </c>
      <c r="H19" s="133">
        <v>687.57</v>
      </c>
      <c r="I19" s="133">
        <v>653.84</v>
      </c>
      <c r="J19" s="133"/>
      <c r="K19" s="132">
        <f t="shared" si="0"/>
        <v>797.5</v>
      </c>
      <c r="L19" s="133">
        <f t="shared" si="2"/>
        <v>851.867079136691</v>
      </c>
      <c r="M19" s="133">
        <f t="shared" si="3"/>
        <v>808.149757792112</v>
      </c>
      <c r="N19" s="133">
        <f t="shared" si="4"/>
        <v>784.236580406655</v>
      </c>
      <c r="O19" s="133">
        <f t="shared" si="5"/>
        <v>764.647004027236</v>
      </c>
      <c r="P19" s="133">
        <f t="shared" si="6"/>
        <v>746.281059384341</v>
      </c>
      <c r="Q19" s="133">
        <f t="shared" si="7"/>
        <v>730.080647381333</v>
      </c>
      <c r="R19" s="133">
        <f t="shared" si="8"/>
        <v>716.718762973466</v>
      </c>
      <c r="S19" s="133">
        <f t="shared" si="9"/>
        <v>704.454316790454</v>
      </c>
      <c r="T19" s="133">
        <f t="shared" si="10"/>
        <v>695.841204752419</v>
      </c>
      <c r="U19" s="133">
        <f t="shared" si="11"/>
        <v>687.823680198953</v>
      </c>
      <c r="V19" s="133">
        <f t="shared" si="12"/>
        <v>657.040656934307</v>
      </c>
      <c r="X19" s="142"/>
      <c r="Y19" s="151"/>
      <c r="Z19" s="151"/>
      <c r="AA19" s="151"/>
      <c r="AB19" s="151"/>
      <c r="AC19" s="151"/>
      <c r="AD19" s="151"/>
    </row>
    <row r="20" s="91" customFormat="1" spans="1:30">
      <c r="A20" s="132">
        <v>852.5</v>
      </c>
      <c r="B20" s="133">
        <v>855.97</v>
      </c>
      <c r="C20" s="133">
        <v>843.81</v>
      </c>
      <c r="D20" s="133">
        <v>819.34</v>
      </c>
      <c r="E20" s="133">
        <v>782.7</v>
      </c>
      <c r="F20" s="133">
        <v>747.9</v>
      </c>
      <c r="G20" s="133">
        <v>721.75</v>
      </c>
      <c r="H20" s="133">
        <v>704.37</v>
      </c>
      <c r="I20" s="133">
        <v>671.55</v>
      </c>
      <c r="J20" s="133"/>
      <c r="K20" s="132">
        <f t="shared" si="0"/>
        <v>852.5</v>
      </c>
      <c r="L20" s="133">
        <f t="shared" si="2"/>
        <v>871.436820143885</v>
      </c>
      <c r="M20" s="133">
        <f t="shared" si="3"/>
        <v>826.697013005523</v>
      </c>
      <c r="N20" s="133">
        <f t="shared" si="4"/>
        <v>802.58426511519</v>
      </c>
      <c r="O20" s="133">
        <f t="shared" si="5"/>
        <v>782.897976619801</v>
      </c>
      <c r="P20" s="133">
        <f t="shared" si="6"/>
        <v>764.452405961763</v>
      </c>
      <c r="Q20" s="133">
        <f t="shared" si="7"/>
        <v>748.181862305061</v>
      </c>
      <c r="R20" s="133">
        <f t="shared" si="8"/>
        <v>734.563768099655</v>
      </c>
      <c r="S20" s="133">
        <f t="shared" si="9"/>
        <v>722.060248891633</v>
      </c>
      <c r="T20" s="133">
        <f t="shared" si="10"/>
        <v>713.040297864719</v>
      </c>
      <c r="U20" s="133">
        <f t="shared" si="11"/>
        <v>704.635920498058</v>
      </c>
      <c r="V20" s="133">
        <f t="shared" si="12"/>
        <v>674.664306569343</v>
      </c>
      <c r="X20" s="142" t="s">
        <v>129</v>
      </c>
      <c r="Y20" s="152">
        <f ca="1">MAX(OFFSET($L$5,0,0,$O$1,$O$2))</f>
        <v>914.921338129496</v>
      </c>
      <c r="Z20" s="152">
        <f ca="1">MAX(OFFSET($L$28,0,0,$O$1,$O$2))</f>
        <v>1050.75735251799</v>
      </c>
      <c r="AA20" s="152">
        <f ca="1">MAX(OFFSET($L$51,0,0,$O$1,$O$2))</f>
        <v>970.894345323741</v>
      </c>
      <c r="AB20" s="152">
        <f ca="1">MAX(OFFSET($L$74,0,0,$O$1,$O$2))</f>
        <v>1331.32142446043</v>
      </c>
      <c r="AC20" s="152">
        <f ca="1">MAX(OFFSET($L$97,0,0,$O$1,$O$2))</f>
        <v>1327.92992805755</v>
      </c>
      <c r="AD20" s="152" t="e">
        <f ca="1">MAX(OFFSET($L$120,0,0,$O$1,$O$2))</f>
        <v>#VALUE!</v>
      </c>
    </row>
    <row r="21" s="91" customFormat="1" spans="1:30">
      <c r="A21" s="132">
        <v>907.5</v>
      </c>
      <c r="B21" s="133">
        <v>871.9</v>
      </c>
      <c r="C21" s="133">
        <v>859.53</v>
      </c>
      <c r="D21" s="133">
        <v>834.88</v>
      </c>
      <c r="E21" s="133">
        <v>798.35</v>
      </c>
      <c r="F21" s="133">
        <v>763.62</v>
      </c>
      <c r="G21" s="133">
        <v>737.18</v>
      </c>
      <c r="H21" s="133">
        <v>719.18</v>
      </c>
      <c r="I21" s="133">
        <v>687.33</v>
      </c>
      <c r="J21" s="133"/>
      <c r="K21" s="132">
        <f t="shared" si="0"/>
        <v>907.5</v>
      </c>
      <c r="L21" s="133">
        <f t="shared" si="2"/>
        <v>887.633928057554</v>
      </c>
      <c r="M21" s="133">
        <f t="shared" si="3"/>
        <v>842.291130796327</v>
      </c>
      <c r="N21" s="133">
        <f t="shared" si="4"/>
        <v>818.174568904418</v>
      </c>
      <c r="O21" s="133">
        <f t="shared" si="5"/>
        <v>798.547382257678</v>
      </c>
      <c r="P21" s="133">
        <f t="shared" si="6"/>
        <v>780.139110892299</v>
      </c>
      <c r="Q21" s="133">
        <f t="shared" si="7"/>
        <v>763.901295340655</v>
      </c>
      <c r="R21" s="133">
        <f t="shared" si="8"/>
        <v>750.135871072844</v>
      </c>
      <c r="S21" s="133">
        <f t="shared" si="9"/>
        <v>737.493689510316</v>
      </c>
      <c r="T21" s="133">
        <f t="shared" si="10"/>
        <v>728.159595026751</v>
      </c>
      <c r="U21" s="133">
        <f t="shared" si="11"/>
        <v>719.455406729864</v>
      </c>
      <c r="V21" s="133">
        <f t="shared" si="12"/>
        <v>690.352262773723</v>
      </c>
      <c r="X21" s="142" t="s">
        <v>130</v>
      </c>
      <c r="Y21" s="152">
        <f ca="1">AVERAGE(OFFSET($L$5,0,0,$O$1,$O$2))</f>
        <v>584.36754950419</v>
      </c>
      <c r="Z21" s="152">
        <f ca="1">AVERAGE(OFFSET($L$28,0,0,$O$1,$O$2))</f>
        <v>745.693684433558</v>
      </c>
      <c r="AA21" s="152">
        <f ca="1">AVERAGE(OFFSET($L$51,0,0,$O$1,$O$2))</f>
        <v>738.195301262802</v>
      </c>
      <c r="AB21" s="152">
        <f ca="1">AVERAGE(OFFSET($L$74,0,0,$O$1,$O$2))</f>
        <v>1035.94386937369</v>
      </c>
      <c r="AC21" s="152">
        <f ca="1">AVERAGE(OFFSET($L$97,0,0,$O$1,$O$2))</f>
        <v>1043.36297259735</v>
      </c>
      <c r="AD21" s="152" t="e">
        <f ca="1">AVERAGE(OFFSET($L$120,0,0,$O$1,$O$2))</f>
        <v>#VALUE!</v>
      </c>
    </row>
    <row r="22" s="91" customFormat="1" spans="1:30">
      <c r="A22" s="132">
        <v>962.5</v>
      </c>
      <c r="B22" s="133">
        <v>883.22</v>
      </c>
      <c r="C22" s="133">
        <v>870.77</v>
      </c>
      <c r="D22" s="133">
        <v>846.14</v>
      </c>
      <c r="E22" s="133">
        <v>809.96</v>
      </c>
      <c r="F22" s="133">
        <v>775.56</v>
      </c>
      <c r="G22" s="133">
        <v>749.04</v>
      </c>
      <c r="H22" s="133">
        <v>730.61</v>
      </c>
      <c r="I22" s="133">
        <v>699.71</v>
      </c>
      <c r="J22" s="133"/>
      <c r="K22" s="132">
        <f t="shared" si="0"/>
        <v>962.5</v>
      </c>
      <c r="L22" s="133">
        <f t="shared" si="2"/>
        <v>899.055683453238</v>
      </c>
      <c r="M22" s="133">
        <f t="shared" si="3"/>
        <v>853.54511770846</v>
      </c>
      <c r="N22" s="133">
        <f t="shared" si="4"/>
        <v>829.5946264156</v>
      </c>
      <c r="O22" s="133">
        <f t="shared" si="5"/>
        <v>810.155491105469</v>
      </c>
      <c r="P22" s="133">
        <f t="shared" si="6"/>
        <v>791.922148421972</v>
      </c>
      <c r="Q22" s="133">
        <f t="shared" si="7"/>
        <v>775.838622508452</v>
      </c>
      <c r="R22" s="133">
        <f t="shared" si="8"/>
        <v>762.035071893034</v>
      </c>
      <c r="S22" s="133">
        <f t="shared" si="9"/>
        <v>749.354638646505</v>
      </c>
      <c r="T22" s="133">
        <f t="shared" si="10"/>
        <v>739.804107574613</v>
      </c>
      <c r="U22" s="133">
        <f t="shared" si="11"/>
        <v>730.891985890633</v>
      </c>
      <c r="V22" s="133">
        <f t="shared" si="12"/>
        <v>702.642116788321</v>
      </c>
      <c r="X22" s="142" t="s">
        <v>131</v>
      </c>
      <c r="Y22" s="153">
        <f ca="1" t="shared" ref="Y22:AD22" si="19">Y21+273.15</f>
        <v>857.51754950419</v>
      </c>
      <c r="Z22" s="153">
        <f ca="1" t="shared" si="19"/>
        <v>1018.84368443356</v>
      </c>
      <c r="AA22" s="153">
        <f ca="1" t="shared" si="19"/>
        <v>1011.3453012628</v>
      </c>
      <c r="AB22" s="153">
        <f ca="1" t="shared" si="19"/>
        <v>1309.09386937369</v>
      </c>
      <c r="AC22" s="153">
        <f ca="1" t="shared" si="19"/>
        <v>1316.51297259735</v>
      </c>
      <c r="AD22" s="153" t="e">
        <f ca="1" t="shared" si="19"/>
        <v>#VALUE!</v>
      </c>
    </row>
    <row r="23" s="91" customFormat="1" spans="1:30">
      <c r="A23" s="132">
        <v>1017.5</v>
      </c>
      <c r="B23" s="133">
        <v>891.01</v>
      </c>
      <c r="C23" s="133">
        <v>878.36</v>
      </c>
      <c r="D23" s="133">
        <v>854.62</v>
      </c>
      <c r="E23" s="133">
        <v>819.27</v>
      </c>
      <c r="F23" s="133">
        <v>785.2</v>
      </c>
      <c r="G23" s="133">
        <v>758.49</v>
      </c>
      <c r="H23" s="133">
        <v>739.65</v>
      </c>
      <c r="I23" s="133">
        <v>710.77</v>
      </c>
      <c r="J23" s="133"/>
      <c r="K23" s="132">
        <f t="shared" si="0"/>
        <v>1017.5</v>
      </c>
      <c r="L23" s="133">
        <f t="shared" si="2"/>
        <v>907.100071942446</v>
      </c>
      <c r="M23" s="133">
        <f t="shared" si="3"/>
        <v>861.75753529837</v>
      </c>
      <c r="N23" s="133">
        <f t="shared" si="4"/>
        <v>838.454191370687</v>
      </c>
      <c r="O23" s="133">
        <f t="shared" si="5"/>
        <v>819.461006373088</v>
      </c>
      <c r="P23" s="133">
        <f t="shared" si="6"/>
        <v>801.405185951645</v>
      </c>
      <c r="Q23" s="133">
        <f t="shared" si="7"/>
        <v>785.475949676249</v>
      </c>
      <c r="R23" s="133">
        <f t="shared" si="8"/>
        <v>771.578173840986</v>
      </c>
      <c r="S23" s="133">
        <f t="shared" si="9"/>
        <v>758.806892844953</v>
      </c>
      <c r="T23" s="133">
        <f t="shared" si="10"/>
        <v>749.048642794667</v>
      </c>
      <c r="U23" s="133">
        <f t="shared" si="11"/>
        <v>739.938259043924</v>
      </c>
      <c r="V23" s="133">
        <f t="shared" si="12"/>
        <v>713.510437956204</v>
      </c>
      <c r="X23" s="142" t="s">
        <v>132</v>
      </c>
      <c r="Y23" s="106"/>
      <c r="Z23" s="151">
        <f ca="1" t="shared" ref="Z23:AD23" si="20">Z22/Y22-1</f>
        <v>0.188131584038887</v>
      </c>
      <c r="AA23" s="151">
        <f ca="1" t="shared" si="20"/>
        <v>-0.00735969931925828</v>
      </c>
      <c r="AB23" s="151">
        <f ca="1" t="shared" si="20"/>
        <v>0.294408415937768</v>
      </c>
      <c r="AC23" s="151">
        <f ca="1" t="shared" si="20"/>
        <v>0.00566735770232385</v>
      </c>
      <c r="AD23" s="151" t="e">
        <f ca="1" t="shared" si="20"/>
        <v>#VALUE!</v>
      </c>
    </row>
    <row r="24" s="91" customFormat="1" spans="1:27">
      <c r="A24" s="132">
        <v>1072.5</v>
      </c>
      <c r="B24" s="133">
        <v>903.83</v>
      </c>
      <c r="C24" s="133">
        <v>895.11</v>
      </c>
      <c r="D24" s="133">
        <v>868.11</v>
      </c>
      <c r="E24" s="133">
        <v>829.91</v>
      </c>
      <c r="F24" s="133">
        <v>794.04</v>
      </c>
      <c r="G24" s="133">
        <v>766.14</v>
      </c>
      <c r="H24" s="133">
        <v>746.28</v>
      </c>
      <c r="I24" s="133">
        <v>711.83</v>
      </c>
      <c r="J24" s="133"/>
      <c r="K24" s="132">
        <f t="shared" si="0"/>
        <v>1072.5</v>
      </c>
      <c r="L24" s="133">
        <f t="shared" si="2"/>
        <v>914.921338129496</v>
      </c>
      <c r="M24" s="133">
        <f t="shared" si="3"/>
        <v>876.227668620724</v>
      </c>
      <c r="N24" s="133">
        <f t="shared" si="4"/>
        <v>850.640865922496</v>
      </c>
      <c r="O24" s="133">
        <f t="shared" si="5"/>
        <v>830.11640575536</v>
      </c>
      <c r="P24" s="133">
        <f t="shared" si="6"/>
        <v>811.101344880702</v>
      </c>
      <c r="Q24" s="133">
        <f t="shared" si="7"/>
        <v>794.330528760993</v>
      </c>
      <c r="R24" s="133">
        <f t="shared" si="8"/>
        <v>779.811286041314</v>
      </c>
      <c r="S24" s="133">
        <f t="shared" si="9"/>
        <v>766.471011245757</v>
      </c>
      <c r="T24" s="133">
        <f t="shared" si="10"/>
        <v>756.187486512849</v>
      </c>
      <c r="U24" s="133">
        <f t="shared" si="11"/>
        <v>746.583865425283</v>
      </c>
      <c r="V24" s="133">
        <f t="shared" si="12"/>
        <v>715.09897810219</v>
      </c>
      <c r="AA24" s="154">
        <f ca="1">AA22/Y22-1</f>
        <v>0.179387292828646</v>
      </c>
    </row>
    <row r="25" s="91" customFormat="1" spans="1:22">
      <c r="A25" s="129"/>
      <c r="B25" s="129"/>
      <c r="C25" s="134">
        <f t="shared" ref="C25:I25" si="21">PI()*(C4*C4-B4*B4)</f>
        <v>2151.09247221008</v>
      </c>
      <c r="D25" s="134">
        <f t="shared" si="21"/>
        <v>6112.80448536406</v>
      </c>
      <c r="E25" s="134">
        <f t="shared" si="21"/>
        <v>12038.1859512447</v>
      </c>
      <c r="F25" s="134">
        <f t="shared" si="21"/>
        <v>14188.2225341639</v>
      </c>
      <c r="G25" s="134">
        <f t="shared" si="21"/>
        <v>14190.0880118816</v>
      </c>
      <c r="H25" s="134">
        <f t="shared" si="21"/>
        <v>14185.2983397219</v>
      </c>
      <c r="I25" s="134">
        <f t="shared" si="21"/>
        <v>7575.18036561312</v>
      </c>
      <c r="J25" s="134"/>
      <c r="K25" s="129"/>
      <c r="L25" s="129"/>
      <c r="M25" s="134">
        <f t="shared" ref="M25:V25" si="22">PI()*(M4*M4-L4*L4)</f>
        <v>7068.58347057703</v>
      </c>
      <c r="N25" s="134">
        <f t="shared" si="22"/>
        <v>7068.58347057703</v>
      </c>
      <c r="O25" s="134">
        <f t="shared" si="22"/>
        <v>7068.58347057704</v>
      </c>
      <c r="P25" s="134">
        <f t="shared" si="22"/>
        <v>7068.58347057703</v>
      </c>
      <c r="Q25" s="134">
        <f t="shared" si="22"/>
        <v>7068.58347057703</v>
      </c>
      <c r="R25" s="134">
        <f t="shared" si="22"/>
        <v>7068.58347057704</v>
      </c>
      <c r="S25" s="134">
        <f t="shared" si="22"/>
        <v>7068.58347057703</v>
      </c>
      <c r="T25" s="134">
        <f t="shared" si="22"/>
        <v>7068.58347057703</v>
      </c>
      <c r="U25" s="134">
        <f t="shared" si="22"/>
        <v>7068.58347057705</v>
      </c>
      <c r="V25" s="134">
        <f t="shared" si="22"/>
        <v>7068.58347057703</v>
      </c>
    </row>
    <row r="26" s="91" customFormat="1" spans="1:30">
      <c r="A26" s="129" t="s">
        <v>136</v>
      </c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X26" s="146" t="s">
        <v>135</v>
      </c>
      <c r="Y26" s="155" t="str">
        <f t="shared" ref="Y26:AD26" si="23">Y3</f>
        <v>0h</v>
      </c>
      <c r="Z26" s="155" t="str">
        <f t="shared" si="23"/>
        <v>8h</v>
      </c>
      <c r="AA26" s="155" t="str">
        <f t="shared" si="23"/>
        <v>24h</v>
      </c>
      <c r="AB26" s="155" t="str">
        <f t="shared" si="23"/>
        <v>72h</v>
      </c>
      <c r="AC26" s="155" t="str">
        <f t="shared" si="23"/>
        <v>96h</v>
      </c>
      <c r="AD26" s="155" t="str">
        <f t="shared" si="23"/>
        <v>72h</v>
      </c>
    </row>
    <row r="27" s="91" customFormat="1" spans="1:37">
      <c r="A27" s="132" t="s">
        <v>128</v>
      </c>
      <c r="B27" s="133">
        <v>17.68</v>
      </c>
      <c r="C27" s="133">
        <v>31.58</v>
      </c>
      <c r="D27" s="133">
        <v>54.25</v>
      </c>
      <c r="E27" s="133">
        <v>82.31</v>
      </c>
      <c r="F27" s="133">
        <v>106.26</v>
      </c>
      <c r="G27" s="133">
        <v>125.73</v>
      </c>
      <c r="H27" s="133">
        <v>142.56</v>
      </c>
      <c r="I27" s="133">
        <v>150.78</v>
      </c>
      <c r="J27" s="133"/>
      <c r="K27" s="132" t="str">
        <f t="shared" ref="K27:K47" si="24">A27</f>
        <v>R/Z[cm]</v>
      </c>
      <c r="L27" s="141">
        <v>0</v>
      </c>
      <c r="M27" s="141">
        <f t="shared" ref="M27:V27" si="25">SQRT(L27*L27+150*150/10)</f>
        <v>47.4341649025257</v>
      </c>
      <c r="N27" s="141">
        <f t="shared" si="25"/>
        <v>67.0820393249937</v>
      </c>
      <c r="O27" s="141">
        <f t="shared" si="25"/>
        <v>82.1583836257749</v>
      </c>
      <c r="P27" s="141">
        <f t="shared" si="25"/>
        <v>94.8683298050514</v>
      </c>
      <c r="Q27" s="141">
        <f t="shared" si="25"/>
        <v>106.066017177982</v>
      </c>
      <c r="R27" s="141">
        <f t="shared" si="25"/>
        <v>116.189500386223</v>
      </c>
      <c r="S27" s="141">
        <f t="shared" si="25"/>
        <v>125.499003980111</v>
      </c>
      <c r="T27" s="141">
        <f t="shared" si="25"/>
        <v>134.164078649987</v>
      </c>
      <c r="U27" s="141">
        <f t="shared" si="25"/>
        <v>142.302494707577</v>
      </c>
      <c r="V27" s="141">
        <f t="shared" si="25"/>
        <v>150</v>
      </c>
      <c r="X27" s="106" t="str">
        <f>事故释放率!A4</f>
        <v>Kr-83m</v>
      </c>
      <c r="Y27" s="156">
        <f ca="1" t="array" ref="Y27">SUMPRODUCT(Y$5:Y$18,TRANSPOSE(事故释放率!$B4:$O4))</f>
        <v>5.17144111060829e-11</v>
      </c>
      <c r="Z27" s="156">
        <f ca="1" t="array" ref="Z27">SUMPRODUCT(Z$5:Z$18,TRANSPOSE(事故释放率!$B4:$O4))</f>
        <v>7.46652619407848e-11</v>
      </c>
      <c r="AA27" s="156">
        <f ca="1" t="array" ref="AA27">SUMPRODUCT(AA$5:AA$18,TRANSPOSE(事故释放率!$B4:$O4))</f>
        <v>7.33390750652092e-11</v>
      </c>
      <c r="AB27" s="156">
        <f ca="1" t="array" ref="AB27">SUMPRODUCT(AB$5:AB$18,TRANSPOSE(事故释放率!$B4:$O4))</f>
        <v>2.28359392866144e-10</v>
      </c>
      <c r="AC27" s="156">
        <f ca="1" t="array" ref="AC27">SUMPRODUCT(AC$5:AC$18,TRANSPOSE(事故释放率!$B4:$O4))</f>
        <v>2.31477591434059e-10</v>
      </c>
      <c r="AD27" s="156">
        <f ca="1" t="array" ref="AD27">SUMPRODUCT(AD$5:AD$18,TRANSPOSE(事故释放率!$B4:$O4))</f>
        <v>0</v>
      </c>
      <c r="AF27" s="156">
        <f ca="1">MMULT(事故释放率!$B4:$O4,Y$5:Y$18)</f>
        <v>5.17144111060829e-11</v>
      </c>
      <c r="AG27" s="156">
        <f ca="1">MMULT(事故释放率!$B4:$O4,Z$5:Z$18)</f>
        <v>7.46652619407848e-11</v>
      </c>
      <c r="AH27" s="156">
        <f ca="1">MMULT(事故释放率!$B4:$O4,AA$5:AA$18)</f>
        <v>7.33390750652092e-11</v>
      </c>
      <c r="AI27" s="156">
        <f ca="1">MMULT(事故释放率!$B4:$O4,AB$5:AB$18)</f>
        <v>2.28359392866144e-10</v>
      </c>
      <c r="AJ27" s="156">
        <f ca="1">MMULT(事故释放率!$B4:$O4,AC$5:AC$18)</f>
        <v>2.31477591434059e-10</v>
      </c>
      <c r="AK27" s="156">
        <f ca="1">MMULT(事故释放率!$B4:$O4,AD$5:AD$18)</f>
        <v>0</v>
      </c>
    </row>
    <row r="28" s="91" customFormat="1" spans="1:37">
      <c r="A28" s="132">
        <v>27.5</v>
      </c>
      <c r="B28" s="135">
        <v>1038.55</v>
      </c>
      <c r="C28" s="135">
        <v>1030.01</v>
      </c>
      <c r="D28" s="135">
        <v>1007.41</v>
      </c>
      <c r="E28" s="135">
        <v>960.28</v>
      </c>
      <c r="F28" s="135">
        <v>910.05</v>
      </c>
      <c r="G28" s="135">
        <v>869.47</v>
      </c>
      <c r="H28" s="135">
        <v>812.75</v>
      </c>
      <c r="I28" s="135">
        <v>759.6</v>
      </c>
      <c r="J28" s="133"/>
      <c r="K28" s="132">
        <f t="shared" si="24"/>
        <v>27.5</v>
      </c>
      <c r="L28" s="133">
        <f t="shared" ref="L28:L47" si="26">TREND(B28:C28,B$4:C$4,L$4)</f>
        <v>1049.41238848921</v>
      </c>
      <c r="M28" s="133">
        <f t="shared" ref="M28:M47" si="27">TREND(C28:D28,C$4:D$4,M$4)</f>
        <v>1014.20478928994</v>
      </c>
      <c r="N28" s="133">
        <f t="shared" ref="N28:N47" si="28">TREND(D28:E28,D$4:E$4,N$4)</f>
        <v>985.857112851498</v>
      </c>
      <c r="O28" s="133">
        <f t="shared" ref="O28:O47" si="29">TREND(D28:E28,D$4:E$4,O$4)</f>
        <v>960.534657153144</v>
      </c>
      <c r="P28" s="133">
        <f t="shared" ref="P28:P47" si="30">TREND(E28:F28,E$4:F$4,P$4)</f>
        <v>933.941590559176</v>
      </c>
      <c r="Q28" s="133">
        <f t="shared" ref="Q28:Q47" si="31">TREND(E28:F28,E$4:F$4,Q$4)</f>
        <v>910.456837459288</v>
      </c>
      <c r="R28" s="133">
        <f t="shared" ref="R28:R47" si="32">TREND(F28:G28,F$4:G$4,R$4)</f>
        <v>889.354616041453</v>
      </c>
      <c r="S28" s="133">
        <f t="shared" ref="S28:S47" si="33">TREND(F28:G28,F$4:G$4,S$4)</f>
        <v>869.951449331643</v>
      </c>
      <c r="T28" s="133">
        <f t="shared" ref="T28:T47" si="34">TREND(G28:H28,G$4:H$4,T$4)</f>
        <v>841.045701662075</v>
      </c>
      <c r="U28" s="133">
        <f t="shared" ref="U28:U47" si="35">TREND(G28:H28,G$4:H$4,U$4)</f>
        <v>813.61783720655</v>
      </c>
      <c r="V28" s="133">
        <f t="shared" ref="V28:V47" si="36">TREND(H28:I28,H$4:I$4,V$4)</f>
        <v>764.643430656934</v>
      </c>
      <c r="X28" s="106" t="str">
        <f>事故释放率!A5</f>
        <v>Kr-85</v>
      </c>
      <c r="Y28" s="156">
        <f ca="1" t="array" ref="Y28">SUMPRODUCT(Y$5:Y$18,TRANSPOSE(事故释放率!$B5:$O5))</f>
        <v>1.413685e-13</v>
      </c>
      <c r="Z28" s="156">
        <f ca="1" t="array" ref="Z28">SUMPRODUCT(Z$5:Z$18,TRANSPOSE(事故释放率!$B5:$O5))</f>
        <v>3.89236e-13</v>
      </c>
      <c r="AA28" s="156">
        <f ca="1" t="array" ref="AA28">SUMPRODUCT(AA$5:AA$18,TRANSPOSE(事故释放率!$B5:$O5))</f>
        <v>3.142141e-13</v>
      </c>
      <c r="AB28" s="156">
        <f ca="1" t="array" ref="AB28">SUMPRODUCT(AB$5:AB$18,TRANSPOSE(事故释放率!$B5:$O5))</f>
        <v>9.8974952e-12</v>
      </c>
      <c r="AC28" s="156">
        <f ca="1" t="array" ref="AC28">SUMPRODUCT(AC$5:AC$18,TRANSPOSE(事故释放率!$B5:$O5))</f>
        <v>1.04462152e-11</v>
      </c>
      <c r="AD28" s="156">
        <f ca="1" t="array" ref="AD28">SUMPRODUCT(AD$5:AD$18,TRANSPOSE(事故释放率!$B5:$O5))</f>
        <v>0</v>
      </c>
      <c r="AF28" s="156">
        <f ca="1">MMULT(事故释放率!$B5:$O5,Y$5:Y$18)</f>
        <v>1.413685e-13</v>
      </c>
      <c r="AG28" s="156">
        <f ca="1">MMULT(事故释放率!$B5:$O5,Z$5:Z$18)</f>
        <v>3.89236e-13</v>
      </c>
      <c r="AH28" s="156">
        <f ca="1">MMULT(事故释放率!$B5:$O5,AA$5:AA$18)</f>
        <v>3.142141e-13</v>
      </c>
      <c r="AI28" s="156">
        <f ca="1">MMULT(事故释放率!$B5:$O5,AB$5:AB$18)</f>
        <v>9.8974952e-12</v>
      </c>
      <c r="AJ28" s="156">
        <f ca="1">MMULT(事故释放率!$B5:$O5,AC$5:AC$18)</f>
        <v>1.04462152e-11</v>
      </c>
      <c r="AK28" s="156">
        <f ca="1">MMULT(事故释放率!$B5:$O5,AD$5:AD$18)</f>
        <v>0</v>
      </c>
    </row>
    <row r="29" s="91" customFormat="1" spans="1:37">
      <c r="A29" s="132">
        <v>82.5</v>
      </c>
      <c r="B29" s="135">
        <v>1043.52</v>
      </c>
      <c r="C29" s="135">
        <v>1037.83</v>
      </c>
      <c r="D29" s="135">
        <v>1022.91</v>
      </c>
      <c r="E29" s="135">
        <v>991.39</v>
      </c>
      <c r="F29" s="135">
        <v>944.48</v>
      </c>
      <c r="G29" s="135">
        <v>880.06</v>
      </c>
      <c r="H29" s="135">
        <v>799.68</v>
      </c>
      <c r="I29" s="135">
        <v>745.96</v>
      </c>
      <c r="J29" s="133"/>
      <c r="K29" s="132">
        <f t="shared" si="24"/>
        <v>82.5</v>
      </c>
      <c r="L29" s="133">
        <f t="shared" si="26"/>
        <v>1050.75735251799</v>
      </c>
      <c r="M29" s="133">
        <f t="shared" si="27"/>
        <v>1027.39576354893</v>
      </c>
      <c r="N29" s="133">
        <f t="shared" si="28"/>
        <v>1008.49567785019</v>
      </c>
      <c r="O29" s="133">
        <f t="shared" si="29"/>
        <v>991.560311764632</v>
      </c>
      <c r="P29" s="133">
        <f t="shared" si="30"/>
        <v>966.792452978916</v>
      </c>
      <c r="Q29" s="133">
        <f t="shared" si="31"/>
        <v>944.859947147426</v>
      </c>
      <c r="R29" s="133">
        <f t="shared" si="32"/>
        <v>911.626460458117</v>
      </c>
      <c r="S29" s="133">
        <f t="shared" si="33"/>
        <v>880.824291915831</v>
      </c>
      <c r="T29" s="133">
        <f t="shared" si="34"/>
        <v>839.778880458349</v>
      </c>
      <c r="U29" s="133">
        <f t="shared" si="35"/>
        <v>800.909844052582</v>
      </c>
      <c r="V29" s="133">
        <f t="shared" si="36"/>
        <v>751.057518248175</v>
      </c>
      <c r="X29" s="106" t="str">
        <f>事故释放率!A6</f>
        <v>Kr-85m</v>
      </c>
      <c r="Y29" s="156">
        <f ca="1" t="array" ref="Y29">SUMPRODUCT(Y$5:Y$18,TRANSPOSE(事故释放率!$B6:$O6))</f>
        <v>3.32247048591873e-11</v>
      </c>
      <c r="Z29" s="156">
        <f ca="1" t="array" ref="Z29">SUMPRODUCT(Z$5:Z$18,TRANSPOSE(事故释放率!$B6:$O6))</f>
        <v>4.79592104343485e-11</v>
      </c>
      <c r="AA29" s="156">
        <f ca="1" t="array" ref="AA29">SUMPRODUCT(AA$5:AA$18,TRANSPOSE(事故释放率!$B6:$O6))</f>
        <v>4.71086153302383e-11</v>
      </c>
      <c r="AB29" s="156">
        <f ca="1" t="array" ref="AB29">SUMPRODUCT(AB$5:AB$18,TRANSPOSE(事故释放率!$B6:$O6))</f>
        <v>1.46365230325052e-10</v>
      </c>
      <c r="AC29" s="156">
        <f ca="1" t="array" ref="AC29">SUMPRODUCT(AC$5:AC$18,TRANSPOSE(事故释放率!$B6:$O6))</f>
        <v>1.48374551901561e-10</v>
      </c>
      <c r="AD29" s="156">
        <f ca="1" t="array" ref="AD29">SUMPRODUCT(AD$5:AD$18,TRANSPOSE(事故释放率!$B6:$O6))</f>
        <v>0</v>
      </c>
      <c r="AF29" s="156">
        <f ca="1">MMULT(事故释放率!$B6:$O6,Y$5:Y$18)</f>
        <v>3.32247048591873e-11</v>
      </c>
      <c r="AG29" s="156">
        <f ca="1">MMULT(事故释放率!$B6:$O6,Z$5:Z$18)</f>
        <v>4.79592104343485e-11</v>
      </c>
      <c r="AH29" s="156">
        <f ca="1">MMULT(事故释放率!$B6:$O6,AA$5:AA$18)</f>
        <v>4.71086153302383e-11</v>
      </c>
      <c r="AI29" s="156">
        <f ca="1">MMULT(事故释放率!$B6:$O6,AB$5:AB$18)</f>
        <v>1.46365230325052e-10</v>
      </c>
      <c r="AJ29" s="156">
        <f ca="1">MMULT(事故释放率!$B6:$O6,AC$5:AC$18)</f>
        <v>1.48374551901561e-10</v>
      </c>
      <c r="AK29" s="156">
        <f ca="1">MMULT(事故释放率!$B6:$O6,AD$5:AD$18)</f>
        <v>0</v>
      </c>
    </row>
    <row r="30" s="91" customFormat="1" spans="1:37">
      <c r="A30" s="132">
        <v>137.5</v>
      </c>
      <c r="B30" s="135">
        <v>1027.51</v>
      </c>
      <c r="C30" s="135">
        <v>1022.71</v>
      </c>
      <c r="D30" s="135">
        <v>1009.75</v>
      </c>
      <c r="E30" s="135">
        <v>981.27</v>
      </c>
      <c r="F30" s="135">
        <v>937.14</v>
      </c>
      <c r="G30" s="135">
        <v>871.21</v>
      </c>
      <c r="H30" s="135">
        <v>783.91</v>
      </c>
      <c r="I30" s="135">
        <v>728.98</v>
      </c>
      <c r="J30" s="133"/>
      <c r="K30" s="132">
        <f t="shared" si="24"/>
        <v>137.5</v>
      </c>
      <c r="L30" s="133">
        <f t="shared" si="26"/>
        <v>1033.61532374101</v>
      </c>
      <c r="M30" s="133">
        <f t="shared" si="27"/>
        <v>1013.64648093795</v>
      </c>
      <c r="N30" s="133">
        <f t="shared" si="28"/>
        <v>996.725891661589</v>
      </c>
      <c r="O30" s="133">
        <f t="shared" si="29"/>
        <v>981.423885756876</v>
      </c>
      <c r="P30" s="133">
        <f t="shared" si="30"/>
        <v>958.130163077373</v>
      </c>
      <c r="Q30" s="133">
        <f t="shared" si="31"/>
        <v>937.497430560987</v>
      </c>
      <c r="R30" s="133">
        <f t="shared" si="32"/>
        <v>903.516375939206</v>
      </c>
      <c r="S30" s="133">
        <f t="shared" si="33"/>
        <v>871.99220686139</v>
      </c>
      <c r="T30" s="133">
        <f t="shared" si="34"/>
        <v>827.461035879745</v>
      </c>
      <c r="U30" s="133">
        <f t="shared" si="35"/>
        <v>785.245722639841</v>
      </c>
      <c r="V30" s="133">
        <f t="shared" si="36"/>
        <v>734.192335766423</v>
      </c>
      <c r="X30" s="106" t="str">
        <f>事故释放率!A7</f>
        <v>Kr-87</v>
      </c>
      <c r="Y30" s="156">
        <f ca="1" t="array" ref="Y30">SUMPRODUCT(Y$5:Y$18,TRANSPOSE(事故释放率!$B7:$O7))</f>
        <v>6.17798114499848e-11</v>
      </c>
      <c r="Z30" s="156">
        <f ca="1" t="array" ref="Z30">SUMPRODUCT(Z$5:Z$18,TRANSPOSE(事故释放率!$B7:$O7))</f>
        <v>8.92034973436452e-11</v>
      </c>
      <c r="AA30" s="156">
        <f ca="1" t="array" ref="AA30">SUMPRODUCT(AA$5:AA$18,TRANSPOSE(事故释放率!$B7:$O7))</f>
        <v>8.76184040900049e-11</v>
      </c>
      <c r="AB30" s="156">
        <f ca="1" t="array" ref="AB30">SUMPRODUCT(AB$5:AB$18,TRANSPOSE(事故释放率!$B7:$O7))</f>
        <v>2.7299632637968e-10</v>
      </c>
      <c r="AC30" s="156">
        <f ca="1" t="array" ref="AC30">SUMPRODUCT(AC$5:AC$18,TRANSPOSE(事故释放率!$B7:$O7))</f>
        <v>2.76718155485129e-10</v>
      </c>
      <c r="AD30" s="156">
        <f ca="1" t="array" ref="AD30">SUMPRODUCT(AD$5:AD$18,TRANSPOSE(事故释放率!$B7:$O7))</f>
        <v>0</v>
      </c>
      <c r="AF30" s="156">
        <f ca="1">MMULT(事故释放率!$B7:$O7,Y$5:Y$18)</f>
        <v>6.17798114499848e-11</v>
      </c>
      <c r="AG30" s="156">
        <f ca="1">MMULT(事故释放率!$B7:$O7,Z$5:Z$18)</f>
        <v>8.92034973436452e-11</v>
      </c>
      <c r="AH30" s="156">
        <f ca="1">MMULT(事故释放率!$B7:$O7,AA$5:AA$18)</f>
        <v>8.76184040900049e-11</v>
      </c>
      <c r="AI30" s="156">
        <f ca="1">MMULT(事故释放率!$B7:$O7,AB$5:AB$18)</f>
        <v>2.7299632637968e-10</v>
      </c>
      <c r="AJ30" s="156">
        <f ca="1">MMULT(事故释放率!$B7:$O7,AC$5:AC$18)</f>
        <v>2.76718155485129e-10</v>
      </c>
      <c r="AK30" s="156">
        <f ca="1">MMULT(事故释放率!$B7:$O7,AD$5:AD$18)</f>
        <v>0</v>
      </c>
    </row>
    <row r="31" s="91" customFormat="1" spans="1:37">
      <c r="A31" s="132">
        <v>192.5</v>
      </c>
      <c r="B31" s="135">
        <v>1006.94</v>
      </c>
      <c r="C31" s="135">
        <v>1002.79</v>
      </c>
      <c r="D31" s="135">
        <v>991.39</v>
      </c>
      <c r="E31" s="135">
        <v>965.56</v>
      </c>
      <c r="F31" s="135">
        <v>924.21</v>
      </c>
      <c r="G31" s="135">
        <v>858.6</v>
      </c>
      <c r="H31" s="135">
        <v>769.43</v>
      </c>
      <c r="I31" s="135">
        <v>714.64</v>
      </c>
      <c r="J31" s="133"/>
      <c r="K31" s="132">
        <f t="shared" si="24"/>
        <v>192.5</v>
      </c>
      <c r="L31" s="133">
        <f t="shared" si="26"/>
        <v>1012.21856115108</v>
      </c>
      <c r="M31" s="133">
        <f t="shared" si="27"/>
        <v>994.817460084306</v>
      </c>
      <c r="N31" s="133">
        <f t="shared" si="28"/>
        <v>979.577755674819</v>
      </c>
      <c r="O31" s="133">
        <f t="shared" si="29"/>
        <v>965.699567033009</v>
      </c>
      <c r="P31" s="133">
        <f t="shared" si="30"/>
        <v>943.87787317583</v>
      </c>
      <c r="Q31" s="133">
        <f t="shared" si="31"/>
        <v>924.544913974549</v>
      </c>
      <c r="R31" s="133">
        <f t="shared" si="32"/>
        <v>890.749572658446</v>
      </c>
      <c r="S31" s="133">
        <f t="shared" si="33"/>
        <v>859.378410316636</v>
      </c>
      <c r="T31" s="133">
        <f t="shared" si="34"/>
        <v>813.913916029746</v>
      </c>
      <c r="U31" s="133">
        <f t="shared" si="35"/>
        <v>770.794334338999</v>
      </c>
      <c r="V31" s="133">
        <f t="shared" si="36"/>
        <v>719.839051094891</v>
      </c>
      <c r="X31" s="106" t="str">
        <f>事故释放率!A8</f>
        <v>Kr-88</v>
      </c>
      <c r="Y31" s="156">
        <f ca="1" t="array" ref="Y31">SUMPRODUCT(Y$5:Y$18,TRANSPOSE(事故释放率!$B8:$O8))</f>
        <v>4.164740616655e-11</v>
      </c>
      <c r="Z31" s="156">
        <f ca="1" t="array" ref="Z31">SUMPRODUCT(Z$5:Z$18,TRANSPOSE(事故释放率!$B8:$O8))</f>
        <v>6.01247319308897e-11</v>
      </c>
      <c r="AA31" s="156">
        <f ca="1" t="array" ref="AA31">SUMPRODUCT(AA$5:AA$18,TRANSPOSE(事故释放率!$B8:$O8))</f>
        <v>5.90574895964546e-11</v>
      </c>
      <c r="AB31" s="156">
        <f ca="1" t="array" ref="AB31">SUMPRODUCT(AB$5:AB$18,TRANSPOSE(事故释放率!$B8:$O8))</f>
        <v>1.837160979743e-10</v>
      </c>
      <c r="AC31" s="156">
        <f ca="1" t="array" ref="AC31">SUMPRODUCT(AC$5:AC$18,TRANSPOSE(事故释放率!$B8:$O8))</f>
        <v>1.86230556782734e-10</v>
      </c>
      <c r="AD31" s="156">
        <f ca="1" t="array" ref="AD31">SUMPRODUCT(AD$5:AD$18,TRANSPOSE(事故释放率!$B8:$O8))</f>
        <v>0</v>
      </c>
      <c r="AF31" s="156">
        <f ca="1">MMULT(事故释放率!$B8:$O8,Y$5:Y$18)</f>
        <v>4.164740616655e-11</v>
      </c>
      <c r="AG31" s="156">
        <f ca="1">MMULT(事故释放率!$B8:$O8,Z$5:Z$18)</f>
        <v>6.01247319308897e-11</v>
      </c>
      <c r="AH31" s="156">
        <f ca="1">MMULT(事故释放率!$B8:$O8,AA$5:AA$18)</f>
        <v>5.90574895964546e-11</v>
      </c>
      <c r="AI31" s="156">
        <f ca="1">MMULT(事故释放率!$B8:$O8,AB$5:AB$18)</f>
        <v>1.837160979743e-10</v>
      </c>
      <c r="AJ31" s="156">
        <f ca="1">MMULT(事故释放率!$B8:$O8,AC$5:AC$18)</f>
        <v>1.86230556782734e-10</v>
      </c>
      <c r="AK31" s="156">
        <f ca="1">MMULT(事故释放率!$B8:$O8,AD$5:AD$18)</f>
        <v>0</v>
      </c>
    </row>
    <row r="32" s="91" customFormat="1" spans="1:37">
      <c r="A32" s="132">
        <v>241.5</v>
      </c>
      <c r="B32" s="135">
        <v>985.72</v>
      </c>
      <c r="C32" s="135">
        <v>982.14</v>
      </c>
      <c r="D32" s="135">
        <v>972.14</v>
      </c>
      <c r="E32" s="135">
        <v>948.91</v>
      </c>
      <c r="F32" s="135">
        <v>910.7</v>
      </c>
      <c r="G32" s="135">
        <v>846.41</v>
      </c>
      <c r="H32" s="135">
        <v>757.65</v>
      </c>
      <c r="I32" s="135">
        <v>704.2</v>
      </c>
      <c r="J32" s="133"/>
      <c r="K32" s="132">
        <f t="shared" si="24"/>
        <v>241.5</v>
      </c>
      <c r="L32" s="133">
        <f t="shared" si="26"/>
        <v>990.273553956835</v>
      </c>
      <c r="M32" s="133">
        <f t="shared" si="27"/>
        <v>975.146543933601</v>
      </c>
      <c r="N32" s="133">
        <f t="shared" si="28"/>
        <v>961.516754329308</v>
      </c>
      <c r="O32" s="133">
        <f t="shared" si="29"/>
        <v>949.035518473744</v>
      </c>
      <c r="P32" s="133">
        <f t="shared" si="30"/>
        <v>928.874351488475</v>
      </c>
      <c r="Q32" s="133">
        <f t="shared" si="31"/>
        <v>911.009481571161</v>
      </c>
      <c r="R32" s="133">
        <f t="shared" si="32"/>
        <v>877.912759125309</v>
      </c>
      <c r="S32" s="133">
        <f t="shared" si="33"/>
        <v>847.172749569525</v>
      </c>
      <c r="T32" s="133">
        <f t="shared" si="34"/>
        <v>801.929380809692</v>
      </c>
      <c r="U32" s="133">
        <f t="shared" si="35"/>
        <v>759.008061185708</v>
      </c>
      <c r="V32" s="133">
        <f t="shared" si="36"/>
        <v>709.271897810219</v>
      </c>
      <c r="X32" s="106" t="str">
        <f>事故释放率!A9</f>
        <v>Xe-131m</v>
      </c>
      <c r="Y32" s="156">
        <f ca="1" t="array" ref="Y32">SUMPRODUCT(Y$5:Y$18,TRANSPOSE(事故释放率!$B9:$O9))</f>
        <v>4.12163033367916e-12</v>
      </c>
      <c r="Z32" s="156">
        <f ca="1" t="array" ref="Z32">SUMPRODUCT(Z$5:Z$18,TRANSPOSE(事故释放率!$B9:$O9))</f>
        <v>5.91597499290042e-12</v>
      </c>
      <c r="AA32" s="156">
        <f ca="1" t="array" ref="AA32">SUMPRODUCT(AA$5:AA$18,TRANSPOSE(事故释放率!$B9:$O9))</f>
        <v>5.81464402789395e-12</v>
      </c>
      <c r="AB32" s="156">
        <f ca="1" t="array" ref="AB32">SUMPRODUCT(AB$5:AB$18,TRANSPOSE(事故释放率!$B9:$O9))</f>
        <v>1.72929392181849e-11</v>
      </c>
      <c r="AC32" s="156">
        <f ca="1" t="array" ref="AC32">SUMPRODUCT(AC$5:AC$18,TRANSPOSE(事故释放率!$B9:$O9))</f>
        <v>1.75561870511961e-11</v>
      </c>
      <c r="AD32" s="156">
        <f ca="1" t="array" ref="AD32">SUMPRODUCT(AD$5:AD$18,TRANSPOSE(事故释放率!$B9:$O9))</f>
        <v>0</v>
      </c>
      <c r="AF32" s="156">
        <f ca="1">MMULT(事故释放率!$B9:$O9,Y$5:Y$18)</f>
        <v>4.12163033367916e-12</v>
      </c>
      <c r="AG32" s="156">
        <f ca="1">MMULT(事故释放率!$B9:$O9,Z$5:Z$18)</f>
        <v>5.91597499290042e-12</v>
      </c>
      <c r="AH32" s="156">
        <f ca="1">MMULT(事故释放率!$B9:$O9,AA$5:AA$18)</f>
        <v>5.81464402789395e-12</v>
      </c>
      <c r="AI32" s="156">
        <f ca="1">MMULT(事故释放率!$B9:$O9,AB$5:AB$18)</f>
        <v>1.72929392181849e-11</v>
      </c>
      <c r="AJ32" s="156">
        <f ca="1">MMULT(事故释放率!$B9:$O9,AC$5:AC$18)</f>
        <v>1.75561870511961e-11</v>
      </c>
      <c r="AK32" s="156">
        <f ca="1">MMULT(事故释放率!$B9:$O9,AD$5:AD$18)</f>
        <v>0</v>
      </c>
    </row>
    <row r="33" s="91" customFormat="1" spans="1:37">
      <c r="A33" s="132">
        <v>296.5</v>
      </c>
      <c r="B33" s="135">
        <v>958.93</v>
      </c>
      <c r="C33" s="135">
        <v>956</v>
      </c>
      <c r="D33" s="135">
        <v>947.49</v>
      </c>
      <c r="E33" s="135">
        <v>927.03</v>
      </c>
      <c r="F33" s="135">
        <v>892.66</v>
      </c>
      <c r="G33" s="135">
        <v>832.54</v>
      </c>
      <c r="H33" s="135">
        <v>742.16</v>
      </c>
      <c r="I33" s="135">
        <v>684.21</v>
      </c>
      <c r="J33" s="133"/>
      <c r="K33" s="132">
        <f t="shared" si="24"/>
        <v>296.5</v>
      </c>
      <c r="L33" s="133">
        <f t="shared" si="26"/>
        <v>962.656791366906</v>
      </c>
      <c r="M33" s="133">
        <f t="shared" si="27"/>
        <v>950.048568887495</v>
      </c>
      <c r="N33" s="133">
        <f t="shared" si="28"/>
        <v>938.133495203515</v>
      </c>
      <c r="O33" s="133">
        <f t="shared" si="29"/>
        <v>927.140551354834</v>
      </c>
      <c r="P33" s="133">
        <f t="shared" si="30"/>
        <v>909.007879106488</v>
      </c>
      <c r="Q33" s="133">
        <f t="shared" si="31"/>
        <v>892.938379523706</v>
      </c>
      <c r="R33" s="133">
        <f t="shared" si="32"/>
        <v>861.999416372897</v>
      </c>
      <c r="S33" s="133">
        <f t="shared" si="33"/>
        <v>833.253275845696</v>
      </c>
      <c r="T33" s="133">
        <f t="shared" si="34"/>
        <v>787.2475443621</v>
      </c>
      <c r="U33" s="133">
        <f t="shared" si="35"/>
        <v>743.542847791395</v>
      </c>
      <c r="V33" s="133">
        <f t="shared" si="36"/>
        <v>689.708905109489</v>
      </c>
      <c r="X33" s="106" t="str">
        <f>事故释放率!A10</f>
        <v>Xe-133</v>
      </c>
      <c r="Y33" s="156">
        <f ca="1" t="array" ref="Y33">SUMPRODUCT(Y$5:Y$18,TRANSPOSE(事故释放率!$B10:$O10))</f>
        <v>6.22678742756518e-12</v>
      </c>
      <c r="Z33" s="156">
        <f ca="1" t="array" ref="Z33">SUMPRODUCT(Z$5:Z$18,TRANSPOSE(事故释放率!$B10:$O10))</f>
        <v>8.95214638977214e-12</v>
      </c>
      <c r="AA33" s="156">
        <f ca="1" t="array" ref="AA33">SUMPRODUCT(AA$5:AA$18,TRANSPOSE(事故释放率!$B10:$O10))</f>
        <v>8.79714286450453e-12</v>
      </c>
      <c r="AB33" s="156">
        <f ca="1" t="array" ref="AB33">SUMPRODUCT(AB$5:AB$18,TRANSPOSE(事故释放率!$B10:$O10))</f>
        <v>2.6615330343426e-11</v>
      </c>
      <c r="AC33" s="156">
        <f ca="1" t="array" ref="AC33">SUMPRODUCT(AC$5:AC$18,TRANSPOSE(事故释放率!$B10:$O10))</f>
        <v>2.70043750837369e-11</v>
      </c>
      <c r="AD33" s="156">
        <f ca="1" t="array" ref="AD33">SUMPRODUCT(AD$5:AD$18,TRANSPOSE(事故释放率!$B10:$O10))</f>
        <v>0</v>
      </c>
      <c r="AF33" s="156">
        <f ca="1">MMULT(事故释放率!$B10:$O10,Y$5:Y$18)</f>
        <v>6.22678742756518e-12</v>
      </c>
      <c r="AG33" s="156">
        <f ca="1">MMULT(事故释放率!$B10:$O10,Z$5:Z$18)</f>
        <v>8.95214638977214e-12</v>
      </c>
      <c r="AH33" s="156">
        <f ca="1">MMULT(事故释放率!$B10:$O10,AA$5:AA$18)</f>
        <v>8.79714286450453e-12</v>
      </c>
      <c r="AI33" s="156">
        <f ca="1">MMULT(事故释放率!$B10:$O10,AB$5:AB$18)</f>
        <v>2.6615330343426e-11</v>
      </c>
      <c r="AJ33" s="156">
        <f ca="1">MMULT(事故释放率!$B10:$O10,AC$5:AC$18)</f>
        <v>2.70043750837369e-11</v>
      </c>
      <c r="AK33" s="156">
        <f ca="1">MMULT(事故释放率!$B10:$O10,AD$5:AD$18)</f>
        <v>0</v>
      </c>
    </row>
    <row r="34" s="91" customFormat="1" spans="1:37">
      <c r="A34" s="132">
        <v>357.5</v>
      </c>
      <c r="B34" s="135">
        <v>925.19</v>
      </c>
      <c r="C34" s="135">
        <v>922.85</v>
      </c>
      <c r="D34" s="135">
        <v>915.96</v>
      </c>
      <c r="E34" s="135">
        <v>898.85</v>
      </c>
      <c r="F34" s="135">
        <v>869.18</v>
      </c>
      <c r="G34" s="135">
        <v>813.24</v>
      </c>
      <c r="H34" s="135">
        <v>726.85</v>
      </c>
      <c r="I34" s="135">
        <v>672.92</v>
      </c>
      <c r="J34" s="133"/>
      <c r="K34" s="132">
        <f t="shared" si="24"/>
        <v>357.5</v>
      </c>
      <c r="L34" s="133">
        <f t="shared" si="26"/>
        <v>928.166345323741</v>
      </c>
      <c r="M34" s="133">
        <f t="shared" si="27"/>
        <v>918.031508770251</v>
      </c>
      <c r="N34" s="133">
        <f t="shared" si="28"/>
        <v>908.135474239108</v>
      </c>
      <c r="O34" s="133">
        <f t="shared" si="29"/>
        <v>898.94245032655</v>
      </c>
      <c r="P34" s="133">
        <f t="shared" si="30"/>
        <v>883.292353013951</v>
      </c>
      <c r="Q34" s="133">
        <f t="shared" si="31"/>
        <v>869.420311913539</v>
      </c>
      <c r="R34" s="133">
        <f t="shared" si="32"/>
        <v>840.651173517962</v>
      </c>
      <c r="S34" s="133">
        <f t="shared" si="33"/>
        <v>813.903683479844</v>
      </c>
      <c r="T34" s="133">
        <f t="shared" si="34"/>
        <v>769.947067464503</v>
      </c>
      <c r="U34" s="133">
        <f t="shared" si="35"/>
        <v>728.171799299609</v>
      </c>
      <c r="V34" s="133">
        <f t="shared" si="36"/>
        <v>678.037445255474</v>
      </c>
      <c r="X34" s="106" t="str">
        <f>事故释放率!A11</f>
        <v>Xe-133m</v>
      </c>
      <c r="Y34" s="156">
        <f ca="1" t="array" ref="Y34">SUMPRODUCT(Y$5:Y$18,TRANSPOSE(事故释放率!$B11:$O11))</f>
        <v>9.6687199394571e-12</v>
      </c>
      <c r="Z34" s="156">
        <f ca="1" t="array" ref="Z34">SUMPRODUCT(Z$5:Z$18,TRANSPOSE(事故释放率!$B11:$O11))</f>
        <v>1.3916290100162e-11</v>
      </c>
      <c r="AA34" s="156">
        <f ca="1" t="array" ref="AA34">SUMPRODUCT(AA$5:AA$18,TRANSPOSE(事故释放率!$B11:$O11))</f>
        <v>1.36735315897073e-11</v>
      </c>
      <c r="AB34" s="156">
        <f ca="1" t="array" ref="AB34">SUMPRODUCT(AB$5:AB$18,TRANSPOSE(事故释放率!$B11:$O11))</f>
        <v>4.18575330033888e-11</v>
      </c>
      <c r="AC34" s="156">
        <f ca="1" t="array" ref="AC34">SUMPRODUCT(AC$5:AC$18,TRANSPOSE(事故释放率!$B11:$O11))</f>
        <v>4.24522533383814e-11</v>
      </c>
      <c r="AD34" s="156">
        <f ca="1" t="array" ref="AD34">SUMPRODUCT(AD$5:AD$18,TRANSPOSE(事故释放率!$B11:$O11))</f>
        <v>0</v>
      </c>
      <c r="AF34" s="156">
        <f ca="1">MMULT(事故释放率!$B11:$O11,Y$5:Y$18)</f>
        <v>9.6687199394571e-12</v>
      </c>
      <c r="AG34" s="156">
        <f ca="1">MMULT(事故释放率!$B11:$O11,Z$5:Z$18)</f>
        <v>1.3916290100162e-11</v>
      </c>
      <c r="AH34" s="156">
        <f ca="1">MMULT(事故释放率!$B11:$O11,AA$5:AA$18)</f>
        <v>1.36735315897073e-11</v>
      </c>
      <c r="AI34" s="156">
        <f ca="1">MMULT(事故释放率!$B11:$O11,AB$5:AB$18)</f>
        <v>4.18575330033888e-11</v>
      </c>
      <c r="AJ34" s="156">
        <f ca="1">MMULT(事故释放率!$B11:$O11,AC$5:AC$18)</f>
        <v>4.24522533383814e-11</v>
      </c>
      <c r="AK34" s="156">
        <f ca="1">MMULT(事故释放率!$B11:$O11,AD$5:AD$18)</f>
        <v>0</v>
      </c>
    </row>
    <row r="35" s="91" customFormat="1" spans="1:37">
      <c r="A35" s="132">
        <v>412.5</v>
      </c>
      <c r="B35" s="135">
        <v>892.3</v>
      </c>
      <c r="C35" s="135">
        <v>890.47</v>
      </c>
      <c r="D35" s="135">
        <v>884.92</v>
      </c>
      <c r="E35" s="135">
        <v>870.65</v>
      </c>
      <c r="F35" s="135">
        <v>845.09</v>
      </c>
      <c r="G35" s="135">
        <v>794.53</v>
      </c>
      <c r="H35" s="135">
        <v>713.54</v>
      </c>
      <c r="I35" s="135">
        <v>662.44</v>
      </c>
      <c r="J35" s="133"/>
      <c r="K35" s="132">
        <f t="shared" si="24"/>
        <v>412.5</v>
      </c>
      <c r="L35" s="133">
        <f t="shared" si="26"/>
        <v>894.627654676259</v>
      </c>
      <c r="M35" s="133">
        <f t="shared" si="27"/>
        <v>886.588631883149</v>
      </c>
      <c r="N35" s="133">
        <f t="shared" si="28"/>
        <v>878.39422661555</v>
      </c>
      <c r="O35" s="133">
        <f t="shared" si="29"/>
        <v>870.727104977199</v>
      </c>
      <c r="P35" s="133">
        <f t="shared" si="30"/>
        <v>857.247456792605</v>
      </c>
      <c r="Q35" s="133">
        <f t="shared" si="31"/>
        <v>845.297023003373</v>
      </c>
      <c r="R35" s="133">
        <f t="shared" si="32"/>
        <v>819.304918360174</v>
      </c>
      <c r="S35" s="133">
        <f t="shared" si="33"/>
        <v>795.129854071164</v>
      </c>
      <c r="T35" s="133">
        <f t="shared" si="34"/>
        <v>753.943188956478</v>
      </c>
      <c r="U35" s="133">
        <f t="shared" si="35"/>
        <v>714.77917728065</v>
      </c>
      <c r="V35" s="133">
        <f t="shared" si="36"/>
        <v>667.288905109489</v>
      </c>
      <c r="X35" s="106" t="str">
        <f>事故释放率!A12</f>
        <v>Xe-135</v>
      </c>
      <c r="Y35" s="156">
        <f ca="1" t="array" ref="Y35">SUMPRODUCT(Y$5:Y$18,TRANSPOSE(事故释放率!$B12:$O12))</f>
        <v>2.32310048121819e-11</v>
      </c>
      <c r="Z35" s="156">
        <f ca="1" t="array" ref="Z35">SUMPRODUCT(Z$5:Z$18,TRANSPOSE(事故释放率!$B12:$O12))</f>
        <v>3.34765911527758e-11</v>
      </c>
      <c r="AA35" s="156">
        <f ca="1" t="array" ref="AA35">SUMPRODUCT(AA$5:AA$18,TRANSPOSE(事故释放率!$B12:$O12))</f>
        <v>3.28880466784092e-11</v>
      </c>
      <c r="AB35" s="156">
        <f ca="1" t="array" ref="AB35">SUMPRODUCT(AB$5:AB$18,TRANSPOSE(事故释放率!$B12:$O12))</f>
        <v>1.01917581137832e-10</v>
      </c>
      <c r="AC35" s="156">
        <f ca="1" t="array" ref="AC35">SUMPRODUCT(AC$5:AC$18,TRANSPOSE(事故释放率!$B12:$O12))</f>
        <v>1.03322709129234e-10</v>
      </c>
      <c r="AD35" s="156">
        <f ca="1" t="array" ref="AD35">SUMPRODUCT(AD$5:AD$18,TRANSPOSE(事故释放率!$B12:$O12))</f>
        <v>0</v>
      </c>
      <c r="AF35" s="156">
        <f ca="1">MMULT(事故释放率!$B12:$O12,Y$5:Y$18)</f>
        <v>2.32310048121819e-11</v>
      </c>
      <c r="AG35" s="156">
        <f ca="1">MMULT(事故释放率!$B12:$O12,Z$5:Z$18)</f>
        <v>3.34765911527758e-11</v>
      </c>
      <c r="AH35" s="156">
        <f ca="1">MMULT(事故释放率!$B12:$O12,AA$5:AA$18)</f>
        <v>3.28880466784092e-11</v>
      </c>
      <c r="AI35" s="156">
        <f ca="1">MMULT(事故释放率!$B12:$O12,AB$5:AB$18)</f>
        <v>1.01917581137832e-10</v>
      </c>
      <c r="AJ35" s="156">
        <f ca="1">MMULT(事故释放率!$B12:$O12,AC$5:AC$18)</f>
        <v>1.03322709129234e-10</v>
      </c>
      <c r="AK35" s="156">
        <f ca="1">MMULT(事故释放率!$B12:$O12,AD$5:AD$18)</f>
        <v>0</v>
      </c>
    </row>
    <row r="36" s="91" customFormat="1" spans="1:37">
      <c r="A36" s="132">
        <v>467.5</v>
      </c>
      <c r="B36" s="135">
        <v>857.45</v>
      </c>
      <c r="C36" s="135">
        <v>856.1</v>
      </c>
      <c r="D36" s="135">
        <v>851.86</v>
      </c>
      <c r="E36" s="135">
        <v>840.51</v>
      </c>
      <c r="F36" s="135">
        <v>819.23</v>
      </c>
      <c r="G36" s="135">
        <v>774.82</v>
      </c>
      <c r="H36" s="135">
        <v>700.06</v>
      </c>
      <c r="I36" s="135">
        <v>651.75</v>
      </c>
      <c r="J36" s="133"/>
      <c r="K36" s="132">
        <f t="shared" si="24"/>
        <v>467.5</v>
      </c>
      <c r="L36" s="133">
        <f t="shared" si="26"/>
        <v>859.167122302158</v>
      </c>
      <c r="M36" s="133">
        <f t="shared" si="27"/>
        <v>853.134774627847</v>
      </c>
      <c r="N36" s="133">
        <f t="shared" si="28"/>
        <v>846.669563565977</v>
      </c>
      <c r="O36" s="133">
        <f t="shared" si="29"/>
        <v>840.571327364485</v>
      </c>
      <c r="P36" s="133">
        <f t="shared" si="30"/>
        <v>829.351701116848</v>
      </c>
      <c r="Q36" s="133">
        <f t="shared" si="31"/>
        <v>819.402357179647</v>
      </c>
      <c r="R36" s="133">
        <f t="shared" si="32"/>
        <v>796.581355308056</v>
      </c>
      <c r="S36" s="133">
        <f t="shared" si="33"/>
        <v>775.34688922667</v>
      </c>
      <c r="T36" s="133">
        <f t="shared" si="34"/>
        <v>737.355251344441</v>
      </c>
      <c r="U36" s="133">
        <f t="shared" si="35"/>
        <v>701.203855951369</v>
      </c>
      <c r="V36" s="133">
        <f t="shared" si="36"/>
        <v>656.334160583942</v>
      </c>
      <c r="X36" s="106" t="str">
        <f>事故释放率!A13</f>
        <v>I-131</v>
      </c>
      <c r="Y36" s="156">
        <f ca="1" t="array" ref="Y36">SUMPRODUCT(Y$5:Y$18,TRANSPOSE(事故释放率!$B13:$O13))</f>
        <v>1.09415105791873e-12</v>
      </c>
      <c r="Z36" s="156">
        <f ca="1" t="array" ref="Z36">SUMPRODUCT(Z$5:Z$18,TRANSPOSE(事故释放率!$B13:$O13))</f>
        <v>2.53880405474369e-12</v>
      </c>
      <c r="AA36" s="156">
        <f ca="1" t="array" ref="AA36">SUMPRODUCT(AA$5:AA$18,TRANSPOSE(事故释放率!$B13:$O13))</f>
        <v>2.33229244099872e-12</v>
      </c>
      <c r="AB36" s="156">
        <f ca="1" t="array" ref="AB36">SUMPRODUCT(AB$5:AB$18,TRANSPOSE(事故释放率!$B13:$O13))</f>
        <v>1.87974283374652e-11</v>
      </c>
      <c r="AC36" s="156">
        <f ca="1" t="array" ref="AC36">SUMPRODUCT(AC$5:AC$18,TRANSPOSE(事故释放率!$B13:$O13))</f>
        <v>1.93062549993403e-11</v>
      </c>
      <c r="AD36" s="156">
        <f ca="1" t="array" ref="AD36">SUMPRODUCT(AD$5:AD$18,TRANSPOSE(事故释放率!$B13:$O13))</f>
        <v>0</v>
      </c>
      <c r="AF36" s="156">
        <f ca="1">MMULT(事故释放率!$B13:$O13,Y$5:Y$18)</f>
        <v>1.09415105791873e-12</v>
      </c>
      <c r="AG36" s="156">
        <f ca="1">MMULT(事故释放率!$B13:$O13,Z$5:Z$18)</f>
        <v>2.53880405474369e-12</v>
      </c>
      <c r="AH36" s="156">
        <f ca="1">MMULT(事故释放率!$B13:$O13,AA$5:AA$18)</f>
        <v>2.33229244099872e-12</v>
      </c>
      <c r="AI36" s="156">
        <f ca="1">MMULT(事故释放率!$B13:$O13,AB$5:AB$18)</f>
        <v>1.87974283374652e-11</v>
      </c>
      <c r="AJ36" s="156">
        <f ca="1">MMULT(事故释放率!$B13:$O13,AC$5:AC$18)</f>
        <v>1.93062549993403e-11</v>
      </c>
      <c r="AK36" s="156">
        <f ca="1">MMULT(事故释放率!$B13:$O13,AD$5:AD$18)</f>
        <v>0</v>
      </c>
    </row>
    <row r="37" s="91" customFormat="1" spans="1:37">
      <c r="A37" s="132">
        <v>522.5</v>
      </c>
      <c r="B37" s="135">
        <v>820.73</v>
      </c>
      <c r="C37" s="135">
        <v>819.79</v>
      </c>
      <c r="D37" s="135">
        <v>816.79</v>
      </c>
      <c r="E37" s="135">
        <v>808.55</v>
      </c>
      <c r="F37" s="135">
        <v>792.27</v>
      </c>
      <c r="G37" s="135">
        <v>754.59</v>
      </c>
      <c r="H37" s="135">
        <v>685.75</v>
      </c>
      <c r="I37" s="135">
        <v>639.95</v>
      </c>
      <c r="J37" s="133"/>
      <c r="K37" s="132">
        <f t="shared" si="24"/>
        <v>522.5</v>
      </c>
      <c r="L37" s="133">
        <f t="shared" si="26"/>
        <v>821.925625899281</v>
      </c>
      <c r="M37" s="133">
        <f t="shared" si="27"/>
        <v>817.69196318008</v>
      </c>
      <c r="N37" s="133">
        <f t="shared" si="28"/>
        <v>813.021788879617</v>
      </c>
      <c r="O37" s="133">
        <f t="shared" si="29"/>
        <v>808.594523126287</v>
      </c>
      <c r="P37" s="133">
        <f t="shared" si="30"/>
        <v>800.013481869468</v>
      </c>
      <c r="Q37" s="133">
        <f t="shared" si="31"/>
        <v>792.401859722023</v>
      </c>
      <c r="R37" s="133">
        <f t="shared" si="32"/>
        <v>773.05358630956</v>
      </c>
      <c r="S37" s="133">
        <f t="shared" si="33"/>
        <v>755.037043144808</v>
      </c>
      <c r="T37" s="133">
        <f t="shared" si="34"/>
        <v>720.091962313421</v>
      </c>
      <c r="U37" s="133">
        <f t="shared" si="35"/>
        <v>686.803277737991</v>
      </c>
      <c r="V37" s="133">
        <f t="shared" si="36"/>
        <v>644.29598540146</v>
      </c>
      <c r="X37" s="106" t="str">
        <f>事故释放率!A14</f>
        <v>I-132</v>
      </c>
      <c r="Y37" s="156">
        <f ca="1" t="array" ref="Y37">SUMPRODUCT(Y$5:Y$18,TRANSPOSE(事故释放率!$B14:$O14))</f>
        <v>9.74899510660259e-12</v>
      </c>
      <c r="Z37" s="156">
        <f ca="1" t="array" ref="Z37">SUMPRODUCT(Z$5:Z$18,TRANSPOSE(事故释放率!$B14:$O14))</f>
        <v>2.27118297656637e-11</v>
      </c>
      <c r="AA37" s="156">
        <f ca="1" t="array" ref="AA37">SUMPRODUCT(AA$5:AA$18,TRANSPOSE(事故释放率!$B14:$O14))</f>
        <v>2.08323848908299e-11</v>
      </c>
      <c r="AB37" s="156">
        <f ca="1" t="array" ref="AB37">SUMPRODUCT(AB$5:AB$18,TRANSPOSE(事故释放率!$B14:$O14))</f>
        <v>1.76035328438357e-10</v>
      </c>
      <c r="AC37" s="156">
        <f ca="1" t="array" ref="AC37">SUMPRODUCT(AC$5:AC$18,TRANSPOSE(事故释放率!$B14:$O14))</f>
        <v>1.80505579744984e-10</v>
      </c>
      <c r="AD37" s="156">
        <f ca="1" t="array" ref="AD37">SUMPRODUCT(AD$5:AD$18,TRANSPOSE(事故释放率!$B14:$O14))</f>
        <v>0</v>
      </c>
      <c r="AF37" s="156">
        <f ca="1">MMULT(事故释放率!$B14:$O14,Y$5:Y$18)</f>
        <v>9.74899510660259e-12</v>
      </c>
      <c r="AG37" s="156">
        <f ca="1">MMULT(事故释放率!$B14:$O14,Z$5:Z$18)</f>
        <v>2.27118297656637e-11</v>
      </c>
      <c r="AH37" s="156">
        <f ca="1">MMULT(事故释放率!$B14:$O14,AA$5:AA$18)</f>
        <v>2.08323848908299e-11</v>
      </c>
      <c r="AI37" s="156">
        <f ca="1">MMULT(事故释放率!$B14:$O14,AB$5:AB$18)</f>
        <v>1.76035328438357e-10</v>
      </c>
      <c r="AJ37" s="156">
        <f ca="1">MMULT(事故释放率!$B14:$O14,AC$5:AC$18)</f>
        <v>1.80505579744984e-10</v>
      </c>
      <c r="AK37" s="156">
        <f ca="1">MMULT(事故释放率!$B14:$O14,AD$5:AD$18)</f>
        <v>0</v>
      </c>
    </row>
    <row r="38" s="91" customFormat="1" spans="1:37">
      <c r="A38" s="132">
        <v>577.5</v>
      </c>
      <c r="B38" s="135">
        <v>782.39</v>
      </c>
      <c r="C38" s="135">
        <v>781.64</v>
      </c>
      <c r="D38" s="135">
        <v>779.3</v>
      </c>
      <c r="E38" s="135">
        <v>773.19</v>
      </c>
      <c r="F38" s="135">
        <v>762.36</v>
      </c>
      <c r="G38" s="135">
        <v>732.15</v>
      </c>
      <c r="H38" s="135">
        <v>663.01</v>
      </c>
      <c r="I38" s="135">
        <v>610.8</v>
      </c>
      <c r="J38" s="133"/>
      <c r="K38" s="132">
        <f t="shared" si="24"/>
        <v>577.5</v>
      </c>
      <c r="L38" s="133">
        <f t="shared" si="26"/>
        <v>783.343956834532</v>
      </c>
      <c r="M38" s="133">
        <f t="shared" si="27"/>
        <v>780.003531280463</v>
      </c>
      <c r="N38" s="133">
        <f t="shared" si="28"/>
        <v>776.505853161949</v>
      </c>
      <c r="O38" s="133">
        <f t="shared" si="29"/>
        <v>773.223014114274</v>
      </c>
      <c r="P38" s="133">
        <f t="shared" si="30"/>
        <v>767.511222889824</v>
      </c>
      <c r="Q38" s="133">
        <f t="shared" si="31"/>
        <v>762.447717493213</v>
      </c>
      <c r="R38" s="133">
        <f t="shared" si="32"/>
        <v>746.953209724305</v>
      </c>
      <c r="S38" s="133">
        <f t="shared" si="33"/>
        <v>732.508417553202</v>
      </c>
      <c r="T38" s="133">
        <f t="shared" si="34"/>
        <v>697.501622230533</v>
      </c>
      <c r="U38" s="133">
        <f t="shared" si="35"/>
        <v>664.067867850156</v>
      </c>
      <c r="V38" s="133">
        <f t="shared" si="36"/>
        <v>615.754233576642</v>
      </c>
      <c r="X38" s="106" t="str">
        <f>事故释放率!A15</f>
        <v>I-133</v>
      </c>
      <c r="Y38" s="156">
        <f ca="1" t="array" ref="Y38">SUMPRODUCT(Y$5:Y$18,TRANSPOSE(事故释放率!$B15:$O15))</f>
        <v>3.32954905035366e-12</v>
      </c>
      <c r="Z38" s="156">
        <f ca="1" t="array" ref="Z38">SUMPRODUCT(Z$5:Z$18,TRANSPOSE(事故释放率!$B15:$O15))</f>
        <v>7.74909521193671e-12</v>
      </c>
      <c r="AA38" s="156">
        <f ca="1" t="array" ref="AA38">SUMPRODUCT(AA$5:AA$18,TRANSPOSE(事故释放率!$B15:$O15))</f>
        <v>7.11051783688615e-12</v>
      </c>
      <c r="AB38" s="156">
        <f ca="1" t="array" ref="AB38">SUMPRODUCT(AB$5:AB$18,TRANSPOSE(事故释放率!$B15:$O15))</f>
        <v>5.94040245456752e-11</v>
      </c>
      <c r="AC38" s="156">
        <f ca="1" t="array" ref="AC38">SUMPRODUCT(AC$5:AC$18,TRANSPOSE(事故释放率!$B15:$O15))</f>
        <v>6.09360584123677e-11</v>
      </c>
      <c r="AD38" s="156">
        <f ca="1" t="array" ref="AD38">SUMPRODUCT(AD$5:AD$18,TRANSPOSE(事故释放率!$B15:$O15))</f>
        <v>0</v>
      </c>
      <c r="AF38" s="156">
        <f ca="1">MMULT(事故释放率!$B15:$O15,Y$5:Y$18)</f>
        <v>3.32954905035366e-12</v>
      </c>
      <c r="AG38" s="156">
        <f ca="1">MMULT(事故释放率!$B15:$O15,Z$5:Z$18)</f>
        <v>7.74909521193671e-12</v>
      </c>
      <c r="AH38" s="156">
        <f ca="1">MMULT(事故释放率!$B15:$O15,AA$5:AA$18)</f>
        <v>7.11051783688615e-12</v>
      </c>
      <c r="AI38" s="156">
        <f ca="1">MMULT(事故释放率!$B15:$O15,AB$5:AB$18)</f>
        <v>5.94040245456752e-11</v>
      </c>
      <c r="AJ38" s="156">
        <f ca="1">MMULT(事故释放率!$B15:$O15,AC$5:AC$18)</f>
        <v>6.09360584123677e-11</v>
      </c>
      <c r="AK38" s="156">
        <f ca="1">MMULT(事故释放率!$B15:$O15,AD$5:AD$18)</f>
        <v>0</v>
      </c>
    </row>
    <row r="39" s="91" customFormat="1" spans="1:37">
      <c r="A39" s="132">
        <v>632.5</v>
      </c>
      <c r="B39" s="135">
        <v>744.85</v>
      </c>
      <c r="C39" s="135">
        <v>744.25</v>
      </c>
      <c r="D39" s="135">
        <v>742.37</v>
      </c>
      <c r="E39" s="135">
        <v>737.42</v>
      </c>
      <c r="F39" s="135">
        <v>728.57</v>
      </c>
      <c r="G39" s="135">
        <v>702.03</v>
      </c>
      <c r="H39" s="135">
        <v>640.84</v>
      </c>
      <c r="I39" s="135">
        <v>594.85</v>
      </c>
      <c r="J39" s="133"/>
      <c r="K39" s="132">
        <f t="shared" si="24"/>
        <v>632.5</v>
      </c>
      <c r="L39" s="133">
        <f t="shared" si="26"/>
        <v>745.613165467626</v>
      </c>
      <c r="M39" s="133">
        <f t="shared" si="27"/>
        <v>742.935230259517</v>
      </c>
      <c r="N39" s="133">
        <f t="shared" si="28"/>
        <v>740.106329484721</v>
      </c>
      <c r="O39" s="133">
        <f t="shared" si="29"/>
        <v>737.446746295524</v>
      </c>
      <c r="P39" s="133">
        <f t="shared" si="30"/>
        <v>732.779448067862</v>
      </c>
      <c r="Q39" s="133">
        <f t="shared" si="31"/>
        <v>728.641680499994</v>
      </c>
      <c r="R39" s="133">
        <f t="shared" si="32"/>
        <v>715.034872098082</v>
      </c>
      <c r="S39" s="133">
        <f t="shared" si="33"/>
        <v>702.344875930552</v>
      </c>
      <c r="T39" s="133">
        <f t="shared" si="34"/>
        <v>671.365634427051</v>
      </c>
      <c r="U39" s="133">
        <f t="shared" si="35"/>
        <v>641.776229877799</v>
      </c>
      <c r="V39" s="133">
        <f t="shared" si="36"/>
        <v>599.21401459854</v>
      </c>
      <c r="X39" s="106" t="str">
        <f>事故释放率!A16</f>
        <v>I-134</v>
      </c>
      <c r="Y39" s="156">
        <f ca="1" t="array" ref="Y39">SUMPRODUCT(Y$5:Y$18,TRANSPOSE(事故释放率!$B16:$O16))</f>
        <v>1.50380108028672e-11</v>
      </c>
      <c r="Z39" s="156">
        <f ca="1" t="array" ref="Z39">SUMPRODUCT(Z$5:Z$18,TRANSPOSE(事故释放率!$B16:$O16))</f>
        <v>3.50399678048423e-11</v>
      </c>
      <c r="AA39" s="156">
        <f ca="1" t="array" ref="AA39">SUMPRODUCT(AA$5:AA$18,TRANSPOSE(事故释放率!$B16:$O16))</f>
        <v>3.21380521257373e-11</v>
      </c>
      <c r="AB39" s="156">
        <f ca="1" t="array" ref="AB39">SUMPRODUCT(AB$5:AB$18,TRANSPOSE(事故释放率!$B16:$O16))</f>
        <v>2.72153096843703e-10</v>
      </c>
      <c r="AC39" s="156">
        <f ca="1" t="array" ref="AC39">SUMPRODUCT(AC$5:AC$18,TRANSPOSE(事故释放率!$B16:$O16))</f>
        <v>2.79043978391551e-10</v>
      </c>
      <c r="AD39" s="156">
        <f ca="1" t="array" ref="AD39">SUMPRODUCT(AD$5:AD$18,TRANSPOSE(事故释放率!$B16:$O16))</f>
        <v>0</v>
      </c>
      <c r="AF39" s="156">
        <f ca="1">MMULT(事故释放率!$B16:$O16,Y$5:Y$18)</f>
        <v>1.50380108028672e-11</v>
      </c>
      <c r="AG39" s="156">
        <f ca="1">MMULT(事故释放率!$B16:$O16,Z$5:Z$18)</f>
        <v>3.50399678048423e-11</v>
      </c>
      <c r="AH39" s="156">
        <f ca="1">MMULT(事故释放率!$B16:$O16,AA$5:AA$18)</f>
        <v>3.21380521257373e-11</v>
      </c>
      <c r="AI39" s="156">
        <f ca="1">MMULT(事故释放率!$B16:$O16,AB$5:AB$18)</f>
        <v>2.72153096843703e-10</v>
      </c>
      <c r="AJ39" s="156">
        <f ca="1">MMULT(事故释放率!$B16:$O16,AC$5:AC$18)</f>
        <v>2.79043978391551e-10</v>
      </c>
      <c r="AK39" s="156">
        <f ca="1">MMULT(事故释放率!$B16:$O16,AD$5:AD$18)</f>
        <v>0</v>
      </c>
    </row>
    <row r="40" s="91" customFormat="1" ht="13.5" customHeight="1" spans="1:37">
      <c r="A40" s="132">
        <v>687.5</v>
      </c>
      <c r="B40" s="135">
        <v>709.04</v>
      </c>
      <c r="C40" s="135">
        <v>708.57</v>
      </c>
      <c r="D40" s="135">
        <v>707.05</v>
      </c>
      <c r="E40" s="135">
        <v>703.02</v>
      </c>
      <c r="F40" s="135">
        <v>696</v>
      </c>
      <c r="G40" s="135">
        <v>673.96</v>
      </c>
      <c r="H40" s="135">
        <v>620.55</v>
      </c>
      <c r="I40" s="135">
        <v>579.4</v>
      </c>
      <c r="J40" s="133"/>
      <c r="K40" s="132">
        <f t="shared" si="24"/>
        <v>687.5</v>
      </c>
      <c r="L40" s="133">
        <f t="shared" si="26"/>
        <v>709.63781294964</v>
      </c>
      <c r="M40" s="133">
        <f t="shared" si="27"/>
        <v>707.506994677907</v>
      </c>
      <c r="N40" s="133">
        <f t="shared" si="28"/>
        <v>705.207052085541</v>
      </c>
      <c r="O40" s="133">
        <f t="shared" si="29"/>
        <v>703.041775266861</v>
      </c>
      <c r="P40" s="133">
        <f t="shared" si="30"/>
        <v>699.339019823321</v>
      </c>
      <c r="Q40" s="133">
        <f t="shared" si="31"/>
        <v>696.056858430504</v>
      </c>
      <c r="R40" s="133">
        <f t="shared" si="32"/>
        <v>684.759825962386</v>
      </c>
      <c r="S40" s="133">
        <f t="shared" si="33"/>
        <v>674.221487019946</v>
      </c>
      <c r="T40" s="133">
        <f t="shared" si="34"/>
        <v>647.194453909933</v>
      </c>
      <c r="U40" s="133">
        <f t="shared" si="35"/>
        <v>621.367192969002</v>
      </c>
      <c r="V40" s="133">
        <f t="shared" si="36"/>
        <v>583.304744525547</v>
      </c>
      <c r="X40" s="106" t="str">
        <f>事故释放率!A17</f>
        <v>I-135</v>
      </c>
      <c r="Y40" s="156">
        <f ca="1" t="array" ref="Y40">SUMPRODUCT(Y$5:Y$18,TRANSPOSE(事故释放率!$B17:$O17))</f>
        <v>5.88176586292123e-12</v>
      </c>
      <c r="Z40" s="156">
        <f ca="1" t="array" ref="Z40">SUMPRODUCT(Z$5:Z$18,TRANSPOSE(事故释放率!$B17:$O17))</f>
        <v>1.36978781725198e-11</v>
      </c>
      <c r="AA40" s="156">
        <f ca="1" t="array" ref="AA40">SUMPRODUCT(AA$5:AA$18,TRANSPOSE(事故释放率!$B17:$O17))</f>
        <v>1.25659788170898e-11</v>
      </c>
      <c r="AB40" s="156">
        <f ca="1" t="array" ref="AB40">SUMPRODUCT(AB$5:AB$18,TRANSPOSE(事故释放率!$B17:$O17))</f>
        <v>1.05770130724367e-10</v>
      </c>
      <c r="AC40" s="156">
        <f ca="1" t="array" ref="AC40">SUMPRODUCT(AC$5:AC$18,TRANSPOSE(事故释放率!$B17:$O17))</f>
        <v>1.08470356280089e-10</v>
      </c>
      <c r="AD40" s="156">
        <f ca="1" t="array" ref="AD40">SUMPRODUCT(AD$5:AD$18,TRANSPOSE(事故释放率!$B17:$O17))</f>
        <v>0</v>
      </c>
      <c r="AF40" s="156">
        <f ca="1">MMULT(事故释放率!$B17:$O17,Y$5:Y$18)</f>
        <v>5.88176586292123e-12</v>
      </c>
      <c r="AG40" s="156">
        <f ca="1">MMULT(事故释放率!$B17:$O17,Z$5:Z$18)</f>
        <v>1.36978781725198e-11</v>
      </c>
      <c r="AH40" s="156">
        <f ca="1">MMULT(事故释放率!$B17:$O17,AA$5:AA$18)</f>
        <v>1.25659788170898e-11</v>
      </c>
      <c r="AI40" s="156">
        <f ca="1">MMULT(事故释放率!$B17:$O17,AB$5:AB$18)</f>
        <v>1.05770130724367e-10</v>
      </c>
      <c r="AJ40" s="156">
        <f ca="1">MMULT(事故释放率!$B17:$O17,AC$5:AC$18)</f>
        <v>1.08470356280089e-10</v>
      </c>
      <c r="AK40" s="156">
        <f ca="1">MMULT(事故释放率!$B17:$O17,AD$5:AD$18)</f>
        <v>0</v>
      </c>
    </row>
    <row r="41" s="91" customFormat="1" ht="13.5" customHeight="1" spans="1:37">
      <c r="A41" s="132">
        <v>742.5</v>
      </c>
      <c r="B41" s="135">
        <v>675.13</v>
      </c>
      <c r="C41" s="135">
        <v>674.78</v>
      </c>
      <c r="D41" s="135">
        <v>673.61</v>
      </c>
      <c r="E41" s="135">
        <v>670.41</v>
      </c>
      <c r="F41" s="135">
        <v>664.72</v>
      </c>
      <c r="G41" s="135">
        <v>647.07</v>
      </c>
      <c r="H41" s="135">
        <v>601.26</v>
      </c>
      <c r="I41" s="135">
        <v>563.87</v>
      </c>
      <c r="J41" s="133"/>
      <c r="K41" s="132">
        <f t="shared" si="24"/>
        <v>742.5</v>
      </c>
      <c r="L41" s="133">
        <f t="shared" si="26"/>
        <v>675.575179856115</v>
      </c>
      <c r="M41" s="133">
        <f t="shared" si="27"/>
        <v>673.961765640231</v>
      </c>
      <c r="N41" s="133">
        <f t="shared" si="28"/>
        <v>672.146617040628</v>
      </c>
      <c r="O41" s="133">
        <f t="shared" si="29"/>
        <v>670.42729053448</v>
      </c>
      <c r="P41" s="133">
        <f t="shared" si="30"/>
        <v>667.426413503518</v>
      </c>
      <c r="Q41" s="133">
        <f t="shared" si="31"/>
        <v>664.766086106776</v>
      </c>
      <c r="R41" s="133">
        <f t="shared" si="32"/>
        <v>655.718680954452</v>
      </c>
      <c r="S41" s="133">
        <f t="shared" si="33"/>
        <v>647.279403171599</v>
      </c>
      <c r="T41" s="133">
        <f t="shared" si="34"/>
        <v>624.113069343083</v>
      </c>
      <c r="U41" s="133">
        <f t="shared" si="35"/>
        <v>601.960910127504</v>
      </c>
      <c r="V41" s="133">
        <f t="shared" si="36"/>
        <v>567.417956204379</v>
      </c>
      <c r="X41" s="106" t="str">
        <f>事故释放率!A18</f>
        <v>Sr-89</v>
      </c>
      <c r="Y41" s="156">
        <f ca="1" t="array" ref="Y41">SUMPRODUCT(Y$5:Y$18,TRANSPOSE(事故释放率!$B18:$O18))</f>
        <v>1.7472115825e-17</v>
      </c>
      <c r="Z41" s="156">
        <f ca="1" t="array" ref="Z41">SUMPRODUCT(Z$5:Z$18,TRANSPOSE(事故释放率!$B18:$O18))</f>
        <v>2.27230695575e-16</v>
      </c>
      <c r="AA41" s="156">
        <f ca="1" t="array" ref="AA41">SUMPRODUCT(AA$5:AA$18,TRANSPOSE(事故释放率!$B18:$O18))</f>
        <v>9.755573057e-17</v>
      </c>
      <c r="AB41" s="156">
        <f ca="1" t="array" ref="AB41">SUMPRODUCT(AB$5:AB$18,TRANSPOSE(事故释放率!$B18:$O18))</f>
        <v>2.6130352313015e-14</v>
      </c>
      <c r="AC41" s="156">
        <f ca="1" t="array" ref="AC41">SUMPRODUCT(AC$5:AC$18,TRANSPOSE(事故释放率!$B18:$O18))</f>
        <v>2.6796674813015e-14</v>
      </c>
      <c r="AD41" s="156">
        <f ca="1" t="array" ref="AD41">SUMPRODUCT(AD$5:AD$18,TRANSPOSE(事故释放率!$B18:$O18))</f>
        <v>0</v>
      </c>
      <c r="AF41" s="156">
        <f ca="1">MMULT(事故释放率!$B18:$O18,Y$5:Y$18)</f>
        <v>1.7472115825e-17</v>
      </c>
      <c r="AG41" s="156">
        <f ca="1">MMULT(事故释放率!$B18:$O18,Z$5:Z$18)</f>
        <v>2.27230695575e-16</v>
      </c>
      <c r="AH41" s="156">
        <f ca="1">MMULT(事故释放率!$B18:$O18,AA$5:AA$18)</f>
        <v>9.755573057e-17</v>
      </c>
      <c r="AI41" s="156">
        <f ca="1">MMULT(事故释放率!$B18:$O18,AB$5:AB$18)</f>
        <v>2.6130352313015e-14</v>
      </c>
      <c r="AJ41" s="156">
        <f ca="1">MMULT(事故释放率!$B18:$O18,AC$5:AC$18)</f>
        <v>2.6796674813015e-14</v>
      </c>
      <c r="AK41" s="156">
        <f ca="1">MMULT(事故释放率!$B18:$O18,AD$5:AD$18)</f>
        <v>0</v>
      </c>
    </row>
    <row r="42" s="91" customFormat="1" spans="1:37">
      <c r="A42" s="132">
        <v>797.5</v>
      </c>
      <c r="B42" s="135">
        <v>642.62</v>
      </c>
      <c r="C42" s="135">
        <v>642.36</v>
      </c>
      <c r="D42" s="135">
        <v>641.49</v>
      </c>
      <c r="E42" s="135">
        <v>639.04</v>
      </c>
      <c r="F42" s="135">
        <v>634.66</v>
      </c>
      <c r="G42" s="135">
        <v>620.66</v>
      </c>
      <c r="H42" s="135">
        <v>582.05</v>
      </c>
      <c r="I42" s="135">
        <v>548.05</v>
      </c>
      <c r="J42" s="133"/>
      <c r="K42" s="132">
        <f t="shared" si="24"/>
        <v>797.5</v>
      </c>
      <c r="L42" s="133">
        <f t="shared" si="26"/>
        <v>642.950705035971</v>
      </c>
      <c r="M42" s="133">
        <f t="shared" si="27"/>
        <v>641.751569322223</v>
      </c>
      <c r="N42" s="133">
        <f t="shared" si="28"/>
        <v>640.369597421731</v>
      </c>
      <c r="O42" s="133">
        <f t="shared" si="29"/>
        <v>639.053238065462</v>
      </c>
      <c r="P42" s="133">
        <f t="shared" si="30"/>
        <v>636.743320060704</v>
      </c>
      <c r="Q42" s="133">
        <f t="shared" si="31"/>
        <v>634.695475772878</v>
      </c>
      <c r="R42" s="133">
        <f t="shared" si="32"/>
        <v>627.520143533276</v>
      </c>
      <c r="S42" s="133">
        <f t="shared" si="33"/>
        <v>620.826098832996</v>
      </c>
      <c r="T42" s="133">
        <f t="shared" si="34"/>
        <v>601.311231332382</v>
      </c>
      <c r="U42" s="133">
        <f t="shared" si="35"/>
        <v>582.640747435558</v>
      </c>
      <c r="V42" s="133">
        <f t="shared" si="36"/>
        <v>551.276277372263</v>
      </c>
      <c r="X42" s="106" t="str">
        <f>事故释放率!A19</f>
        <v>Sr-90</v>
      </c>
      <c r="Y42" s="156">
        <f ca="1" t="array" ref="Y42">SUMPRODUCT(Y$5:Y$18,TRANSPOSE(事故释放率!$B19:$O19))</f>
        <v>1.6751609825e-17</v>
      </c>
      <c r="Z42" s="156">
        <f ca="1" t="array" ref="Z42">SUMPRODUCT(Z$5:Z$18,TRANSPOSE(事故释放率!$B19:$O19))</f>
        <v>2.18192843575e-16</v>
      </c>
      <c r="AA42" s="156">
        <f ca="1" t="array" ref="AA42">SUMPRODUCT(AA$5:AA$18,TRANSPOSE(事故释放率!$B19:$O19))</f>
        <v>9.352058857e-17</v>
      </c>
      <c r="AB42" s="156">
        <f ca="1" t="array" ref="AB42">SUMPRODUCT(AB$5:AB$18,TRANSPOSE(事故释放率!$B19:$O19))</f>
        <v>2.5326387691015e-14</v>
      </c>
      <c r="AC42" s="156">
        <f ca="1" t="array" ref="AC42">SUMPRODUCT(AC$5:AC$18,TRANSPOSE(事故释放率!$B19:$O19))</f>
        <v>2.5954144691015e-14</v>
      </c>
      <c r="AD42" s="156">
        <f ca="1" t="array" ref="AD42">SUMPRODUCT(AD$5:AD$18,TRANSPOSE(事故释放率!$B19:$O19))</f>
        <v>0</v>
      </c>
      <c r="AF42" s="156">
        <f ca="1">MMULT(事故释放率!$B19:$O19,Y$5:Y$18)</f>
        <v>1.6751609825e-17</v>
      </c>
      <c r="AG42" s="156">
        <f ca="1">MMULT(事故释放率!$B19:$O19,Z$5:Z$18)</f>
        <v>2.18192843575e-16</v>
      </c>
      <c r="AH42" s="156">
        <f ca="1">MMULT(事故释放率!$B19:$O19,AA$5:AA$18)</f>
        <v>9.352058857e-17</v>
      </c>
      <c r="AI42" s="156">
        <f ca="1">MMULT(事故释放率!$B19:$O19,AB$5:AB$18)</f>
        <v>2.5326387691015e-14</v>
      </c>
      <c r="AJ42" s="156">
        <f ca="1">MMULT(事故释放率!$B19:$O19,AC$5:AC$18)</f>
        <v>2.5954144691015e-14</v>
      </c>
      <c r="AK42" s="156">
        <f ca="1">MMULT(事故释放率!$B19:$O19,AD$5:AD$18)</f>
        <v>0</v>
      </c>
    </row>
    <row r="43" s="91" customFormat="1" spans="1:37">
      <c r="A43" s="132">
        <v>852.5</v>
      </c>
      <c r="B43" s="135">
        <v>611.12</v>
      </c>
      <c r="C43" s="135">
        <v>610.93</v>
      </c>
      <c r="D43" s="135">
        <v>610.26</v>
      </c>
      <c r="E43" s="135">
        <v>608.4</v>
      </c>
      <c r="F43" s="135">
        <v>605.28</v>
      </c>
      <c r="G43" s="135">
        <v>594.6</v>
      </c>
      <c r="H43" s="135">
        <v>562.31</v>
      </c>
      <c r="I43" s="135">
        <v>531.5</v>
      </c>
      <c r="J43" s="133"/>
      <c r="K43" s="132">
        <f t="shared" si="24"/>
        <v>852.5</v>
      </c>
      <c r="L43" s="133">
        <f t="shared" si="26"/>
        <v>611.361669064748</v>
      </c>
      <c r="M43" s="133">
        <f t="shared" si="27"/>
        <v>610.461438443551</v>
      </c>
      <c r="N43" s="133">
        <f t="shared" si="28"/>
        <v>609.409408654865</v>
      </c>
      <c r="O43" s="133">
        <f t="shared" si="29"/>
        <v>608.410050123167</v>
      </c>
      <c r="P43" s="133">
        <f t="shared" si="30"/>
        <v>606.764008810365</v>
      </c>
      <c r="Q43" s="133">
        <f t="shared" si="31"/>
        <v>605.305270413557</v>
      </c>
      <c r="R43" s="133">
        <f t="shared" si="32"/>
        <v>599.833309495385</v>
      </c>
      <c r="S43" s="133">
        <f t="shared" si="33"/>
        <v>594.726709681172</v>
      </c>
      <c r="T43" s="133">
        <f t="shared" si="34"/>
        <v>578.418395745211</v>
      </c>
      <c r="U43" s="133">
        <f t="shared" si="35"/>
        <v>562.804049072628</v>
      </c>
      <c r="V43" s="133">
        <f t="shared" si="36"/>
        <v>534.423576642336</v>
      </c>
      <c r="X43" s="106" t="str">
        <f>事故释放率!A20</f>
        <v>Cs-134</v>
      </c>
      <c r="Y43" s="156">
        <f ca="1" t="array" ref="Y43">SUMPRODUCT(Y$5:Y$18,TRANSPOSE(事故释放率!$B20:$O20))</f>
        <v>2.87423225e-14</v>
      </c>
      <c r="Z43" s="156">
        <f ca="1" t="array" ref="Z43">SUMPRODUCT(Z$5:Z$18,TRANSPOSE(事故释放率!$B20:$O20))</f>
        <v>1.473806225e-13</v>
      </c>
      <c r="AA43" s="156">
        <f ca="1" t="array" ref="AA43">SUMPRODUCT(AA$5:AA$18,TRANSPOSE(事故释放率!$B20:$O20))</f>
        <v>1.04611766e-13</v>
      </c>
      <c r="AB43" s="156">
        <f ca="1" t="array" ref="AB43">SUMPRODUCT(AB$5:AB$18,TRANSPOSE(事故释放率!$B20:$O20))</f>
        <v>3.5303599695e-12</v>
      </c>
      <c r="AC43" s="156">
        <f ca="1" t="array" ref="AC43">SUMPRODUCT(AC$5:AC$18,TRANSPOSE(事故释放率!$B20:$O20))</f>
        <v>3.5981599695e-12</v>
      </c>
      <c r="AD43" s="156">
        <f ca="1" t="array" ref="AD43">SUMPRODUCT(AD$5:AD$18,TRANSPOSE(事故释放率!$B20:$O20))</f>
        <v>0</v>
      </c>
      <c r="AF43" s="156">
        <f ca="1">MMULT(事故释放率!$B20:$O20,Y$5:Y$18)</f>
        <v>2.87423225e-14</v>
      </c>
      <c r="AG43" s="156">
        <f ca="1">MMULT(事故释放率!$B20:$O20,Z$5:Z$18)</f>
        <v>1.473806225e-13</v>
      </c>
      <c r="AH43" s="156">
        <f ca="1">MMULT(事故释放率!$B20:$O20,AA$5:AA$18)</f>
        <v>1.04611766e-13</v>
      </c>
      <c r="AI43" s="156">
        <f ca="1">MMULT(事故释放率!$B20:$O20,AB$5:AB$18)</f>
        <v>3.5303599695e-12</v>
      </c>
      <c r="AJ43" s="156">
        <f ca="1">MMULT(事故释放率!$B20:$O20,AC$5:AC$18)</f>
        <v>3.5981599695e-12</v>
      </c>
      <c r="AK43" s="156">
        <f ca="1">MMULT(事故释放率!$B20:$O20,AD$5:AD$18)</f>
        <v>0</v>
      </c>
    </row>
    <row r="44" s="91" customFormat="1" spans="1:37">
      <c r="A44" s="132">
        <v>907.5</v>
      </c>
      <c r="B44" s="135">
        <v>580.95</v>
      </c>
      <c r="C44" s="135">
        <v>580.85</v>
      </c>
      <c r="D44" s="135">
        <v>580.5</v>
      </c>
      <c r="E44" s="135">
        <v>579.28</v>
      </c>
      <c r="F44" s="135">
        <v>576.9</v>
      </c>
      <c r="G44" s="135">
        <v>568.7</v>
      </c>
      <c r="H44" s="135">
        <v>541.64</v>
      </c>
      <c r="I44" s="135">
        <v>513.89</v>
      </c>
      <c r="J44" s="133"/>
      <c r="K44" s="132">
        <f t="shared" si="24"/>
        <v>907.5</v>
      </c>
      <c r="L44" s="133">
        <f t="shared" si="26"/>
        <v>581.077194244604</v>
      </c>
      <c r="M44" s="133">
        <f t="shared" si="27"/>
        <v>580.605229037676</v>
      </c>
      <c r="N44" s="133">
        <f t="shared" si="28"/>
        <v>579.942085246739</v>
      </c>
      <c r="O44" s="133">
        <f t="shared" si="29"/>
        <v>579.286592016271</v>
      </c>
      <c r="P44" s="133">
        <f t="shared" si="30"/>
        <v>578.032032361753</v>
      </c>
      <c r="Q44" s="133">
        <f t="shared" si="31"/>
        <v>576.919276789829</v>
      </c>
      <c r="R44" s="133">
        <f t="shared" si="32"/>
        <v>572.71808406949</v>
      </c>
      <c r="S44" s="133">
        <f t="shared" si="33"/>
        <v>568.797286459327</v>
      </c>
      <c r="T44" s="133">
        <f t="shared" si="34"/>
        <v>555.13932452355</v>
      </c>
      <c r="U44" s="133">
        <f t="shared" si="35"/>
        <v>542.054028117229</v>
      </c>
      <c r="V44" s="133">
        <f t="shared" si="36"/>
        <v>516.523211678832</v>
      </c>
      <c r="X44" s="106" t="str">
        <f>事故释放率!A21</f>
        <v>Cs-137</v>
      </c>
      <c r="Y44" s="156">
        <f ca="1" t="array" ref="Y44">SUMPRODUCT(Y$5:Y$18,TRANSPOSE(事故释放率!$B21:$O21))</f>
        <v>3.2230275e-14</v>
      </c>
      <c r="Z44" s="156">
        <f ca="1" t="array" ref="Z44">SUMPRODUCT(Z$5:Z$18,TRANSPOSE(事故释放率!$B21:$O21))</f>
        <v>1.6015287e-13</v>
      </c>
      <c r="AA44" s="156">
        <f ca="1" t="array" ref="AA44">SUMPRODUCT(AA$5:AA$18,TRANSPOSE(事故释放率!$B21:$O21))</f>
        <v>1.11535623e-13</v>
      </c>
      <c r="AB44" s="156">
        <f ca="1" t="array" ref="AB44">SUMPRODUCT(AB$5:AB$18,TRANSPOSE(事故释放率!$B21:$O21))</f>
        <v>4.049041281e-12</v>
      </c>
      <c r="AC44" s="156">
        <f ca="1" t="array" ref="AC44">SUMPRODUCT(AC$5:AC$18,TRANSPOSE(事故释放率!$B21:$O21))</f>
        <v>4.135691281e-12</v>
      </c>
      <c r="AD44" s="156">
        <f ca="1" t="array" ref="AD44">SUMPRODUCT(AD$5:AD$18,TRANSPOSE(事故释放率!$B21:$O21))</f>
        <v>0</v>
      </c>
      <c r="AF44" s="156">
        <f ca="1">MMULT(事故释放率!$B21:$O21,Y$5:Y$18)</f>
        <v>3.2230275e-14</v>
      </c>
      <c r="AG44" s="156">
        <f ca="1">MMULT(事故释放率!$B21:$O21,Z$5:Z$18)</f>
        <v>1.6015287e-13</v>
      </c>
      <c r="AH44" s="156">
        <f ca="1">MMULT(事故释放率!$B21:$O21,AA$5:AA$18)</f>
        <v>1.11535623e-13</v>
      </c>
      <c r="AI44" s="156">
        <f ca="1">MMULT(事故释放率!$B21:$O21,AB$5:AB$18)</f>
        <v>4.049041281e-12</v>
      </c>
      <c r="AJ44" s="156">
        <f ca="1">MMULT(事故释放率!$B21:$O21,AC$5:AC$18)</f>
        <v>4.135691281e-12</v>
      </c>
      <c r="AK44" s="156">
        <f ca="1">MMULT(事故释放率!$B21:$O21,AD$5:AD$18)</f>
        <v>0</v>
      </c>
    </row>
    <row r="45" s="91" customFormat="1" spans="1:37">
      <c r="A45" s="132">
        <v>962.5</v>
      </c>
      <c r="B45" s="135">
        <v>549.09</v>
      </c>
      <c r="C45" s="135">
        <v>549.47</v>
      </c>
      <c r="D45" s="135">
        <v>549.64</v>
      </c>
      <c r="E45" s="135">
        <v>548.96</v>
      </c>
      <c r="F45" s="135">
        <v>548.58</v>
      </c>
      <c r="G45" s="135">
        <v>544.2</v>
      </c>
      <c r="H45" s="135">
        <v>520.45</v>
      </c>
      <c r="I45" s="135">
        <v>495.85</v>
      </c>
      <c r="J45" s="133"/>
      <c r="K45" s="132">
        <f t="shared" si="24"/>
        <v>962.5</v>
      </c>
      <c r="L45" s="133">
        <f t="shared" si="26"/>
        <v>548.606661870504</v>
      </c>
      <c r="M45" s="133">
        <f t="shared" si="27"/>
        <v>549.588888753129</v>
      </c>
      <c r="N45" s="133">
        <f t="shared" si="28"/>
        <v>549.329031121133</v>
      </c>
      <c r="O45" s="133">
        <f t="shared" si="29"/>
        <v>548.963674238577</v>
      </c>
      <c r="P45" s="133">
        <f t="shared" si="30"/>
        <v>548.760744662801</v>
      </c>
      <c r="Q45" s="133">
        <f t="shared" si="31"/>
        <v>548.583077806779</v>
      </c>
      <c r="R45" s="133">
        <f t="shared" si="32"/>
        <v>546.346244905411</v>
      </c>
      <c r="S45" s="133">
        <f t="shared" si="33"/>
        <v>544.251965206323</v>
      </c>
      <c r="T45" s="133">
        <f t="shared" si="34"/>
        <v>532.298076771408</v>
      </c>
      <c r="U45" s="133">
        <f t="shared" si="35"/>
        <v>520.813383879682</v>
      </c>
      <c r="V45" s="133">
        <f t="shared" si="36"/>
        <v>498.184306569343</v>
      </c>
      <c r="X45" s="106" t="str">
        <f>事故释放率!A22</f>
        <v>Ag-110m</v>
      </c>
      <c r="Y45" s="156">
        <f ca="1" t="array" ref="Y45">SUMPRODUCT(Y$5:Y$18,TRANSPOSE(事故释放率!$B22:$O22))</f>
        <v>2.37048625e-12</v>
      </c>
      <c r="Z45" s="156">
        <f ca="1" t="array" ref="Z45">SUMPRODUCT(Z$5:Z$18,TRANSPOSE(事故释放率!$B22:$O22))</f>
        <v>2.081775475e-11</v>
      </c>
      <c r="AA45" s="156">
        <f ca="1" t="array" ref="AA45">SUMPRODUCT(AA$5:AA$18,TRANSPOSE(事故释放率!$B22:$O22))</f>
        <v>1.11961739e-11</v>
      </c>
      <c r="AB45" s="156">
        <f ca="1" t="array" ref="AB45">SUMPRODUCT(AB$5:AB$18,TRANSPOSE(事故释放率!$B22:$O22))</f>
        <v>1.18825860955e-9</v>
      </c>
      <c r="AC45" s="156">
        <f ca="1" t="array" ref="AC45">SUMPRODUCT(AC$5:AC$18,TRANSPOSE(事故释放率!$B22:$O22))</f>
        <v>1.25928310955e-9</v>
      </c>
      <c r="AD45" s="156">
        <f ca="1" t="array" ref="AD45">SUMPRODUCT(AD$5:AD$18,TRANSPOSE(事故释放率!$B22:$O22))</f>
        <v>0</v>
      </c>
      <c r="AF45" s="156">
        <f ca="1">MMULT(事故释放率!$B22:$O22,Y$5:Y$18)</f>
        <v>2.37048625e-12</v>
      </c>
      <c r="AG45" s="156">
        <f ca="1">MMULT(事故释放率!$B22:$O22,Z$5:Z$18)</f>
        <v>2.081775475e-11</v>
      </c>
      <c r="AH45" s="156">
        <f ca="1">MMULT(事故释放率!$B22:$O22,AA$5:AA$18)</f>
        <v>1.11961739e-11</v>
      </c>
      <c r="AI45" s="156">
        <f ca="1">MMULT(事故释放率!$B22:$O22,AB$5:AB$18)</f>
        <v>1.18825860955e-9</v>
      </c>
      <c r="AJ45" s="156">
        <f ca="1">MMULT(事故释放率!$B22:$O22,AC$5:AC$18)</f>
        <v>1.25928310955e-9</v>
      </c>
      <c r="AK45" s="156">
        <f ca="1">MMULT(事故释放率!$B22:$O22,AD$5:AD$18)</f>
        <v>0</v>
      </c>
    </row>
    <row r="46" s="91" customFormat="1" spans="1:37">
      <c r="A46" s="132">
        <v>1017.5</v>
      </c>
      <c r="B46" s="135">
        <v>522.54</v>
      </c>
      <c r="C46" s="135">
        <v>520.68</v>
      </c>
      <c r="D46" s="135">
        <v>518.74</v>
      </c>
      <c r="E46" s="135">
        <v>521.29</v>
      </c>
      <c r="F46" s="135">
        <v>521.62</v>
      </c>
      <c r="G46" s="135">
        <v>513.96</v>
      </c>
      <c r="H46" s="135">
        <v>495.22</v>
      </c>
      <c r="I46" s="135">
        <v>475.54</v>
      </c>
      <c r="J46" s="133"/>
      <c r="K46" s="132">
        <f t="shared" si="24"/>
        <v>1017.5</v>
      </c>
      <c r="L46" s="133">
        <f t="shared" si="26"/>
        <v>524.90581294964</v>
      </c>
      <c r="M46" s="133">
        <f t="shared" si="27"/>
        <v>519.323269523119</v>
      </c>
      <c r="N46" s="133">
        <f t="shared" si="28"/>
        <v>519.90613329575</v>
      </c>
      <c r="O46" s="133">
        <f t="shared" si="29"/>
        <v>521.276221605336</v>
      </c>
      <c r="P46" s="133">
        <f t="shared" si="30"/>
        <v>521.463037529673</v>
      </c>
      <c r="Q46" s="133">
        <f t="shared" si="31"/>
        <v>521.617327167797</v>
      </c>
      <c r="R46" s="133">
        <f t="shared" si="32"/>
        <v>517.713478533207</v>
      </c>
      <c r="S46" s="133">
        <f t="shared" si="33"/>
        <v>514.050879790054</v>
      </c>
      <c r="T46" s="133">
        <f t="shared" si="34"/>
        <v>504.568756155629</v>
      </c>
      <c r="U46" s="133">
        <f t="shared" si="35"/>
        <v>495.506729006536</v>
      </c>
      <c r="V46" s="133">
        <f t="shared" si="36"/>
        <v>477.407445255474</v>
      </c>
      <c r="X46" s="106" t="str">
        <f>事故释放率!A23</f>
        <v>H-3</v>
      </c>
      <c r="Y46" s="156">
        <f ca="1" t="array" ref="Y46">SUMPRODUCT(Y$5:Y$18,TRANSPOSE(事故释放率!$B23:$O23))</f>
        <v>0</v>
      </c>
      <c r="Z46" s="156">
        <f ca="1" t="array" ref="Z46">SUMPRODUCT(Z$5:Z$18,TRANSPOSE(事故释放率!$B23:$O23))</f>
        <v>0</v>
      </c>
      <c r="AA46" s="156">
        <f ca="1" t="array" ref="AA46">SUMPRODUCT(AA$5:AA$18,TRANSPOSE(事故释放率!$B23:$O23))</f>
        <v>0</v>
      </c>
      <c r="AB46" s="156">
        <f ca="1" t="array" ref="AB46">SUMPRODUCT(AB$5:AB$18,TRANSPOSE(事故释放率!$B23:$O23))</f>
        <v>0</v>
      </c>
      <c r="AC46" s="156">
        <f ca="1" t="array" ref="AC46">SUMPRODUCT(AC$5:AC$18,TRANSPOSE(事故释放率!$B23:$O23))</f>
        <v>0</v>
      </c>
      <c r="AD46" s="156">
        <f ca="1" t="array" ref="AD46">SUMPRODUCT(AD$5:AD$18,TRANSPOSE(事故释放率!$B23:$O23))</f>
        <v>0</v>
      </c>
      <c r="AF46" s="156">
        <f ca="1">MMULT(事故释放率!$B23:$O23,Y$5:Y$18)</f>
        <v>0</v>
      </c>
      <c r="AG46" s="156">
        <f ca="1">MMULT(事故释放率!$B23:$O23,Z$5:Z$18)</f>
        <v>0</v>
      </c>
      <c r="AH46" s="156">
        <f ca="1">MMULT(事故释放率!$B23:$O23,AA$5:AA$18)</f>
        <v>0</v>
      </c>
      <c r="AI46" s="156">
        <f ca="1">MMULT(事故释放率!$B23:$O23,AB$5:AB$18)</f>
        <v>0</v>
      </c>
      <c r="AJ46" s="156">
        <f ca="1">MMULT(事故释放率!$B23:$O23,AC$5:AC$18)</f>
        <v>0</v>
      </c>
      <c r="AK46" s="156">
        <f ca="1">MMULT(事故释放率!$B23:$O23,AD$5:AD$18)</f>
        <v>0</v>
      </c>
    </row>
    <row r="47" s="91" customFormat="1" spans="1:37">
      <c r="A47" s="132">
        <v>1072.5</v>
      </c>
      <c r="B47" s="135">
        <v>509.72</v>
      </c>
      <c r="C47" s="135">
        <v>505.7</v>
      </c>
      <c r="D47" s="135">
        <v>497.24</v>
      </c>
      <c r="E47" s="135">
        <v>486.6</v>
      </c>
      <c r="F47" s="135">
        <v>478.54</v>
      </c>
      <c r="G47" s="135">
        <v>474.76</v>
      </c>
      <c r="H47" s="135">
        <v>464.92</v>
      </c>
      <c r="I47" s="135">
        <v>453.87</v>
      </c>
      <c r="J47" s="133"/>
      <c r="K47" s="132">
        <f t="shared" si="24"/>
        <v>1072.5</v>
      </c>
      <c r="L47" s="133">
        <f t="shared" si="26"/>
        <v>514.833208633094</v>
      </c>
      <c r="M47" s="133">
        <f t="shared" si="27"/>
        <v>499.783536167827</v>
      </c>
      <c r="N47" s="133">
        <f t="shared" si="28"/>
        <v>492.374251660088</v>
      </c>
      <c r="O47" s="133">
        <f t="shared" si="29"/>
        <v>486.657491027147</v>
      </c>
      <c r="P47" s="133">
        <f t="shared" si="30"/>
        <v>482.373689426776</v>
      </c>
      <c r="Q47" s="133">
        <f t="shared" si="31"/>
        <v>478.60528190169</v>
      </c>
      <c r="R47" s="133">
        <f t="shared" si="32"/>
        <v>476.612238753985</v>
      </c>
      <c r="S47" s="133">
        <f t="shared" si="33"/>
        <v>474.804846684909</v>
      </c>
      <c r="T47" s="133">
        <f t="shared" si="34"/>
        <v>469.828845281291</v>
      </c>
      <c r="U47" s="133">
        <f t="shared" si="35"/>
        <v>465.070555678992</v>
      </c>
      <c r="V47" s="133">
        <f t="shared" si="36"/>
        <v>454.918540145985</v>
      </c>
      <c r="X47" s="106" t="str">
        <f>事故释放率!A24</f>
        <v>C-14</v>
      </c>
      <c r="Y47" s="156">
        <f ca="1" t="array" ref="Y47">SUMPRODUCT(Y$5:Y$18,TRANSPOSE(事故释放率!$B24:$O24))</f>
        <v>0</v>
      </c>
      <c r="Z47" s="156">
        <f ca="1" t="array" ref="Z47">SUMPRODUCT(Z$5:Z$18,TRANSPOSE(事故释放率!$B24:$O24))</f>
        <v>0</v>
      </c>
      <c r="AA47" s="156">
        <f ca="1" t="array" ref="AA47">SUMPRODUCT(AA$5:AA$18,TRANSPOSE(事故释放率!$B24:$O24))</f>
        <v>0</v>
      </c>
      <c r="AB47" s="156">
        <f ca="1" t="array" ref="AB47">SUMPRODUCT(AB$5:AB$18,TRANSPOSE(事故释放率!$B24:$O24))</f>
        <v>0</v>
      </c>
      <c r="AC47" s="156">
        <f ca="1" t="array" ref="AC47">SUMPRODUCT(AC$5:AC$18,TRANSPOSE(事故释放率!$B24:$O24))</f>
        <v>0</v>
      </c>
      <c r="AD47" s="156">
        <f ca="1" t="array" ref="AD47">SUMPRODUCT(AD$5:AD$18,TRANSPOSE(事故释放率!$B24:$O24))</f>
        <v>0</v>
      </c>
      <c r="AF47" s="156">
        <f ca="1">MMULT(事故释放率!$B24:$O24,Y$5:Y$18)</f>
        <v>0</v>
      </c>
      <c r="AG47" s="156">
        <f ca="1">MMULT(事故释放率!$B24:$O24,Z$5:Z$18)</f>
        <v>0</v>
      </c>
      <c r="AH47" s="156">
        <f ca="1">MMULT(事故释放率!$B24:$O24,AA$5:AA$18)</f>
        <v>0</v>
      </c>
      <c r="AI47" s="156">
        <f ca="1">MMULT(事故释放率!$B24:$O24,AB$5:AB$18)</f>
        <v>0</v>
      </c>
      <c r="AJ47" s="156">
        <f ca="1">MMULT(事故释放率!$B24:$O24,AC$5:AC$18)</f>
        <v>0</v>
      </c>
      <c r="AK47" s="156">
        <f ca="1">MMULT(事故释放率!$B24:$O24,AD$5:AD$18)</f>
        <v>0</v>
      </c>
    </row>
    <row r="48" s="91" customFormat="1" spans="1:37">
      <c r="A48" s="129"/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X48" s="106" t="str">
        <f>事故释放率!A25</f>
        <v>Co-60</v>
      </c>
      <c r="Y48" s="156">
        <f ca="1" t="array" ref="Y48">SUMPRODUCT(Y$5:Y$18,TRANSPOSE(事故释放率!$B25:$O25))</f>
        <v>0</v>
      </c>
      <c r="Z48" s="156">
        <f ca="1" t="array" ref="Z48">SUMPRODUCT(Z$5:Z$18,TRANSPOSE(事故释放率!$B25:$O25))</f>
        <v>0</v>
      </c>
      <c r="AA48" s="156">
        <f ca="1" t="array" ref="AA48">SUMPRODUCT(AA$5:AA$18,TRANSPOSE(事故释放率!$B25:$O25))</f>
        <v>0</v>
      </c>
      <c r="AB48" s="156">
        <f ca="1" t="array" ref="AB48">SUMPRODUCT(AB$5:AB$18,TRANSPOSE(事故释放率!$B25:$O25))</f>
        <v>0</v>
      </c>
      <c r="AC48" s="156">
        <f ca="1" t="array" ref="AC48">SUMPRODUCT(AC$5:AC$18,TRANSPOSE(事故释放率!$B25:$O25))</f>
        <v>0</v>
      </c>
      <c r="AD48" s="156">
        <f ca="1" t="array" ref="AD48">SUMPRODUCT(AD$5:AD$18,TRANSPOSE(事故释放率!$B25:$O25))</f>
        <v>0</v>
      </c>
      <c r="AF48" s="156">
        <f ca="1">MMULT(事故释放率!$B25:$O25,Y$5:Y$18)</f>
        <v>0</v>
      </c>
      <c r="AG48" s="156">
        <f ca="1">MMULT(事故释放率!$B25:$O25,Z$5:Z$18)</f>
        <v>0</v>
      </c>
      <c r="AH48" s="156">
        <f ca="1">MMULT(事故释放率!$B25:$O25,AA$5:AA$18)</f>
        <v>0</v>
      </c>
      <c r="AI48" s="156">
        <f ca="1">MMULT(事故释放率!$B25:$O25,AB$5:AB$18)</f>
        <v>0</v>
      </c>
      <c r="AJ48" s="156">
        <f ca="1">MMULT(事故释放率!$B25:$O25,AC$5:AC$18)</f>
        <v>0</v>
      </c>
      <c r="AK48" s="156">
        <f ca="1">MMULT(事故释放率!$B25:$O25,AD$5:AD$18)</f>
        <v>0</v>
      </c>
    </row>
    <row r="49" s="91" customFormat="1" spans="1:37">
      <c r="A49" s="129" t="s">
        <v>138</v>
      </c>
      <c r="B49" s="129"/>
      <c r="C49" s="129"/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X49" s="106" t="str">
        <f>事故释放率!A26</f>
        <v>Ar-41</v>
      </c>
      <c r="Y49" s="156">
        <f ca="1" t="array" ref="Y49">SUMPRODUCT(Y$5:Y$18,TRANSPOSE(事故释放率!$B26:$O26))</f>
        <v>0</v>
      </c>
      <c r="Z49" s="156">
        <f ca="1" t="array" ref="Z49">SUMPRODUCT(Z$5:Z$18,TRANSPOSE(事故释放率!$B26:$O26))</f>
        <v>0</v>
      </c>
      <c r="AA49" s="156">
        <f ca="1" t="array" ref="AA49">SUMPRODUCT(AA$5:AA$18,TRANSPOSE(事故释放率!$B26:$O26))</f>
        <v>0</v>
      </c>
      <c r="AB49" s="156">
        <f ca="1" t="array" ref="AB49">SUMPRODUCT(AB$5:AB$18,TRANSPOSE(事故释放率!$B26:$O26))</f>
        <v>0</v>
      </c>
      <c r="AC49" s="156">
        <f ca="1" t="array" ref="AC49">SUMPRODUCT(AC$5:AC$18,TRANSPOSE(事故释放率!$B26:$O26))</f>
        <v>0</v>
      </c>
      <c r="AD49" s="156">
        <f ca="1" t="array" ref="AD49">SUMPRODUCT(AD$5:AD$18,TRANSPOSE(事故释放率!$B26:$O26))</f>
        <v>0</v>
      </c>
      <c r="AF49" s="156">
        <f ca="1">MMULT(事故释放率!$B26:$O26,Y$5:Y$18)</f>
        <v>0</v>
      </c>
      <c r="AG49" s="156">
        <f ca="1">MMULT(事故释放率!$B26:$O26,Z$5:Z$18)</f>
        <v>0</v>
      </c>
      <c r="AH49" s="156">
        <f ca="1">MMULT(事故释放率!$B26:$O26,AA$5:AA$18)</f>
        <v>0</v>
      </c>
      <c r="AI49" s="156">
        <f ca="1">MMULT(事故释放率!$B26:$O26,AB$5:AB$18)</f>
        <v>0</v>
      </c>
      <c r="AJ49" s="156">
        <f ca="1">MMULT(事故释放率!$B26:$O26,AC$5:AC$18)</f>
        <v>0</v>
      </c>
      <c r="AK49" s="156">
        <f ca="1">MMULT(事故释放率!$B26:$O26,AD$5:AD$18)</f>
        <v>0</v>
      </c>
    </row>
    <row r="50" s="91" customFormat="1" spans="1:22">
      <c r="A50" s="132" t="s">
        <v>128</v>
      </c>
      <c r="B50" s="133">
        <v>17.68</v>
      </c>
      <c r="C50" s="133">
        <v>31.58</v>
      </c>
      <c r="D50" s="133">
        <v>54.25</v>
      </c>
      <c r="E50" s="133">
        <v>82.31</v>
      </c>
      <c r="F50" s="133">
        <v>106.26</v>
      </c>
      <c r="G50" s="133">
        <v>125.73</v>
      </c>
      <c r="H50" s="133">
        <v>142.56</v>
      </c>
      <c r="I50" s="133">
        <v>150.78</v>
      </c>
      <c r="J50" s="133"/>
      <c r="K50" s="132" t="str">
        <f t="shared" ref="K50:K70" si="37">A50</f>
        <v>R/Z[cm]</v>
      </c>
      <c r="L50" s="141">
        <v>0</v>
      </c>
      <c r="M50" s="141">
        <f t="shared" ref="M50:V50" si="38">SQRT(L50*L50+150*150/10)</f>
        <v>47.4341649025257</v>
      </c>
      <c r="N50" s="141">
        <f t="shared" si="38"/>
        <v>67.0820393249937</v>
      </c>
      <c r="O50" s="141">
        <f t="shared" si="38"/>
        <v>82.1583836257749</v>
      </c>
      <c r="P50" s="141">
        <f t="shared" si="38"/>
        <v>94.8683298050514</v>
      </c>
      <c r="Q50" s="141">
        <f t="shared" si="38"/>
        <v>106.066017177982</v>
      </c>
      <c r="R50" s="141">
        <f t="shared" si="38"/>
        <v>116.189500386223</v>
      </c>
      <c r="S50" s="141">
        <f t="shared" si="38"/>
        <v>125.499003980111</v>
      </c>
      <c r="T50" s="141">
        <f t="shared" si="38"/>
        <v>134.164078649987</v>
      </c>
      <c r="U50" s="141">
        <f t="shared" si="38"/>
        <v>142.302494707577</v>
      </c>
      <c r="V50" s="141">
        <f t="shared" si="38"/>
        <v>150</v>
      </c>
    </row>
    <row r="51" s="91" customFormat="1" spans="1:30">
      <c r="A51" s="132">
        <v>27.5</v>
      </c>
      <c r="B51" s="133">
        <v>958.67</v>
      </c>
      <c r="C51" s="133">
        <v>953.39</v>
      </c>
      <c r="D51" s="133">
        <v>939.03</v>
      </c>
      <c r="E51" s="133">
        <v>908.35</v>
      </c>
      <c r="F51" s="133">
        <v>872.56</v>
      </c>
      <c r="G51" s="133">
        <v>842.54</v>
      </c>
      <c r="H51" s="133">
        <v>806.62</v>
      </c>
      <c r="I51" s="133">
        <v>773.37</v>
      </c>
      <c r="J51" s="133"/>
      <c r="K51" s="132">
        <f t="shared" si="37"/>
        <v>27.5</v>
      </c>
      <c r="L51" s="133">
        <f t="shared" ref="L51:L70" si="39">TREND(B51:C51,B$4:C$4,L$4)</f>
        <v>965.385856115108</v>
      </c>
      <c r="M51" s="133">
        <f t="shared" ref="M51:M70" si="40">TREND(C51:D51,C$4:D$4,M$4)</f>
        <v>943.347397088652</v>
      </c>
      <c r="N51" s="133">
        <f t="shared" ref="N51:N70" si="41">TREND(D51:E51,D$4:E$4,N$4)</f>
        <v>924.99981587702</v>
      </c>
      <c r="O51" s="133">
        <f t="shared" ref="O51:O70" si="42">TREND(D51:E51,D$4:E$4,O$4)</f>
        <v>908.515772999331</v>
      </c>
      <c r="P51" s="133">
        <f t="shared" ref="P51:P70" si="43">TREND(E51:F51,E$4:F$4,P$4)</f>
        <v>889.583293372744</v>
      </c>
      <c r="Q51" s="133">
        <f t="shared" ref="Q51:Q70" si="44">TREND(E51:F51,E$4:F$4,Q$4)</f>
        <v>872.849880801671</v>
      </c>
      <c r="R51" s="133">
        <f t="shared" ref="R51:R70" si="45">TREND(F51:G51,F$4:G$4,R$4)</f>
        <v>857.250107776353</v>
      </c>
      <c r="S51" s="133">
        <f t="shared" ref="S51:S70" si="46">TREND(F51:G51,F$4:G$4,S$4)</f>
        <v>842.896163354754</v>
      </c>
      <c r="T51" s="133">
        <f t="shared" ref="T51:T70" si="47">TREND(G51:H51,G$4:H$4,T$4)</f>
        <v>824.539280742273</v>
      </c>
      <c r="U51" s="133">
        <f t="shared" ref="U51:U70" si="48">TREND(G51:H51,G$4:H$4,U$4)</f>
        <v>807.169589429818</v>
      </c>
      <c r="V51" s="133">
        <f t="shared" ref="V51:V70" si="49">TREND(H51:I51,H$4:I$4,V$4)</f>
        <v>776.525109489051</v>
      </c>
      <c r="X51" s="147" t="s">
        <v>137</v>
      </c>
      <c r="Y51" s="106"/>
      <c r="Z51" s="106" t="s">
        <v>134</v>
      </c>
      <c r="AA51" s="106" t="s">
        <v>136</v>
      </c>
      <c r="AB51" s="106" t="s">
        <v>138</v>
      </c>
      <c r="AC51" s="106" t="s">
        <v>139</v>
      </c>
      <c r="AD51" s="106" t="s">
        <v>140</v>
      </c>
    </row>
    <row r="52" s="91" customFormat="1" spans="1:30">
      <c r="A52" s="132">
        <v>82.5</v>
      </c>
      <c r="B52" s="133">
        <v>966.15</v>
      </c>
      <c r="C52" s="133">
        <v>962.42</v>
      </c>
      <c r="D52" s="133">
        <v>952.09</v>
      </c>
      <c r="E52" s="133">
        <v>928.86</v>
      </c>
      <c r="F52" s="133">
        <v>892.64</v>
      </c>
      <c r="G52" s="133">
        <v>847.34</v>
      </c>
      <c r="H52" s="133">
        <v>796.84</v>
      </c>
      <c r="I52" s="133">
        <v>764.02</v>
      </c>
      <c r="J52" s="133"/>
      <c r="K52" s="132">
        <f t="shared" si="37"/>
        <v>82.5</v>
      </c>
      <c r="L52" s="133">
        <f t="shared" si="39"/>
        <v>970.894345323741</v>
      </c>
      <c r="M52" s="133">
        <f t="shared" si="40"/>
        <v>955.19575988341</v>
      </c>
      <c r="N52" s="133">
        <f t="shared" si="41"/>
        <v>941.466754329309</v>
      </c>
      <c r="O52" s="133">
        <f t="shared" si="42"/>
        <v>928.985518473744</v>
      </c>
      <c r="P52" s="133">
        <f t="shared" si="43"/>
        <v>909.867820228018</v>
      </c>
      <c r="Q52" s="133">
        <f t="shared" si="44"/>
        <v>892.933363583027</v>
      </c>
      <c r="R52" s="133">
        <f t="shared" si="45"/>
        <v>869.537464432672</v>
      </c>
      <c r="S52" s="133">
        <f t="shared" si="46"/>
        <v>847.877448366767</v>
      </c>
      <c r="T52" s="133">
        <f t="shared" si="47"/>
        <v>822.032752713942</v>
      </c>
      <c r="U52" s="133">
        <f t="shared" si="48"/>
        <v>797.612668881008</v>
      </c>
      <c r="V52" s="133">
        <f t="shared" si="49"/>
        <v>767.134306569343</v>
      </c>
      <c r="X52" s="106" t="s">
        <v>46</v>
      </c>
      <c r="Y52" s="106"/>
      <c r="Z52" s="106"/>
      <c r="AA52" s="106"/>
      <c r="AB52" s="106"/>
      <c r="AC52" s="106"/>
      <c r="AD52" s="106"/>
    </row>
    <row r="53" s="91" customFormat="1" spans="1:30">
      <c r="A53" s="132">
        <v>137.5</v>
      </c>
      <c r="B53" s="133">
        <v>960.16</v>
      </c>
      <c r="C53" s="133">
        <v>956.94</v>
      </c>
      <c r="D53" s="133">
        <v>947.78</v>
      </c>
      <c r="E53" s="133">
        <v>926.27</v>
      </c>
      <c r="F53" s="133">
        <v>891.17</v>
      </c>
      <c r="G53" s="133">
        <v>843.9</v>
      </c>
      <c r="H53" s="133">
        <v>789.44</v>
      </c>
      <c r="I53" s="133">
        <v>756.69</v>
      </c>
      <c r="J53" s="133"/>
      <c r="K53" s="132">
        <f t="shared" si="37"/>
        <v>137.5</v>
      </c>
      <c r="L53" s="133">
        <f t="shared" si="39"/>
        <v>964.255654676259</v>
      </c>
      <c r="M53" s="133">
        <f t="shared" si="40"/>
        <v>950.533994243179</v>
      </c>
      <c r="N53" s="133">
        <f t="shared" si="41"/>
        <v>937.943322669971</v>
      </c>
      <c r="O53" s="133">
        <f t="shared" si="42"/>
        <v>926.38622481146</v>
      </c>
      <c r="P53" s="133">
        <f t="shared" si="43"/>
        <v>907.865099116605</v>
      </c>
      <c r="Q53" s="133">
        <f t="shared" si="44"/>
        <v>891.454292152519</v>
      </c>
      <c r="R53" s="133">
        <f t="shared" si="45"/>
        <v>867.062784629854</v>
      </c>
      <c r="S53" s="133">
        <f t="shared" si="46"/>
        <v>844.46082084541</v>
      </c>
      <c r="T53" s="133">
        <f t="shared" si="47"/>
        <v>816.608263619827</v>
      </c>
      <c r="U53" s="133">
        <f t="shared" si="48"/>
        <v>790.273258361578</v>
      </c>
      <c r="V53" s="133">
        <f t="shared" si="49"/>
        <v>759.797664233577</v>
      </c>
      <c r="X53" s="106" t="s">
        <v>113</v>
      </c>
      <c r="Y53" s="106"/>
      <c r="Z53" s="106"/>
      <c r="AA53" s="106"/>
      <c r="AB53" s="106"/>
      <c r="AC53" s="106"/>
      <c r="AD53" s="106"/>
    </row>
    <row r="54" s="91" customFormat="1" spans="1:30">
      <c r="A54" s="132">
        <v>192.5</v>
      </c>
      <c r="B54" s="133">
        <v>950.36</v>
      </c>
      <c r="C54" s="133">
        <v>947.59</v>
      </c>
      <c r="D54" s="133">
        <v>939.49</v>
      </c>
      <c r="E54" s="133">
        <v>919.78</v>
      </c>
      <c r="F54" s="133">
        <v>886.42</v>
      </c>
      <c r="G54" s="133">
        <v>839.35</v>
      </c>
      <c r="H54" s="133">
        <v>783.9</v>
      </c>
      <c r="I54" s="133">
        <v>751.32</v>
      </c>
      <c r="J54" s="133"/>
      <c r="K54" s="132">
        <f t="shared" si="37"/>
        <v>192.5</v>
      </c>
      <c r="L54" s="133">
        <f t="shared" si="39"/>
        <v>953.88328057554</v>
      </c>
      <c r="M54" s="133">
        <f t="shared" si="40"/>
        <v>941.925300586217</v>
      </c>
      <c r="N54" s="133">
        <f t="shared" si="41"/>
        <v>930.476475584618</v>
      </c>
      <c r="O54" s="133">
        <f t="shared" si="42"/>
        <v>919.886498885815</v>
      </c>
      <c r="P54" s="133">
        <f t="shared" si="43"/>
        <v>902.287478818517</v>
      </c>
      <c r="Q54" s="133">
        <f t="shared" si="44"/>
        <v>886.690199037266</v>
      </c>
      <c r="R54" s="133">
        <f t="shared" si="45"/>
        <v>862.414782579379</v>
      </c>
      <c r="S54" s="133">
        <f t="shared" si="46"/>
        <v>839.908448004939</v>
      </c>
      <c r="T54" s="133">
        <f t="shared" si="47"/>
        <v>811.562141346298</v>
      </c>
      <c r="U54" s="133">
        <f t="shared" si="48"/>
        <v>784.74840573172</v>
      </c>
      <c r="V54" s="133">
        <f t="shared" si="49"/>
        <v>754.411532846715</v>
      </c>
      <c r="X54" s="106" t="s">
        <v>48</v>
      </c>
      <c r="Y54" s="106"/>
      <c r="Z54" s="106"/>
      <c r="AA54" s="106"/>
      <c r="AB54" s="106"/>
      <c r="AC54" s="106"/>
      <c r="AD54" s="106"/>
    </row>
    <row r="55" s="91" customFormat="1" spans="1:30">
      <c r="A55" s="132">
        <v>241.5</v>
      </c>
      <c r="B55" s="133">
        <v>938.82</v>
      </c>
      <c r="C55" s="133">
        <v>936.46</v>
      </c>
      <c r="D55" s="133">
        <v>929.42</v>
      </c>
      <c r="E55" s="133">
        <v>911.75</v>
      </c>
      <c r="F55" s="133">
        <v>880.89</v>
      </c>
      <c r="G55" s="133">
        <v>835.1</v>
      </c>
      <c r="H55" s="133">
        <v>779.96</v>
      </c>
      <c r="I55" s="133">
        <v>747.9</v>
      </c>
      <c r="J55" s="133"/>
      <c r="K55" s="132">
        <f t="shared" si="37"/>
        <v>241.5</v>
      </c>
      <c r="L55" s="133">
        <f t="shared" si="39"/>
        <v>941.821784172662</v>
      </c>
      <c r="M55" s="133">
        <f t="shared" si="40"/>
        <v>931.536606929255</v>
      </c>
      <c r="N55" s="133">
        <f t="shared" si="41"/>
        <v>921.339382221217</v>
      </c>
      <c r="O55" s="133">
        <f t="shared" si="42"/>
        <v>911.845476170084</v>
      </c>
      <c r="P55" s="133">
        <f t="shared" si="43"/>
        <v>895.568369194827</v>
      </c>
      <c r="Q55" s="133">
        <f t="shared" si="44"/>
        <v>881.139950308454</v>
      </c>
      <c r="R55" s="133">
        <f t="shared" si="45"/>
        <v>857.537569456337</v>
      </c>
      <c r="S55" s="133">
        <f t="shared" si="46"/>
        <v>835.643261825922</v>
      </c>
      <c r="T55" s="133">
        <f t="shared" si="47"/>
        <v>807.467492765282</v>
      </c>
      <c r="U55" s="133">
        <f t="shared" si="48"/>
        <v>780.803662615817</v>
      </c>
      <c r="V55" s="133">
        <f t="shared" si="49"/>
        <v>750.942189781022</v>
      </c>
      <c r="X55" s="106" t="s">
        <v>49</v>
      </c>
      <c r="Y55" s="106"/>
      <c r="Z55" s="106"/>
      <c r="AA55" s="106"/>
      <c r="AB55" s="106"/>
      <c r="AC55" s="106"/>
      <c r="AD55" s="106"/>
    </row>
    <row r="56" s="91" customFormat="1" spans="1:30">
      <c r="A56" s="132">
        <v>296.5</v>
      </c>
      <c r="B56" s="133">
        <v>922.61</v>
      </c>
      <c r="C56" s="133">
        <v>920.76</v>
      </c>
      <c r="D56" s="133">
        <v>914.92</v>
      </c>
      <c r="E56" s="133">
        <v>899.63</v>
      </c>
      <c r="F56" s="133">
        <v>872.29</v>
      </c>
      <c r="G56" s="133">
        <v>829.82</v>
      </c>
      <c r="H56" s="133">
        <v>773.54</v>
      </c>
      <c r="I56" s="133">
        <v>738.49</v>
      </c>
      <c r="J56" s="133"/>
      <c r="K56" s="132">
        <f t="shared" si="37"/>
        <v>296.5</v>
      </c>
      <c r="L56" s="133">
        <f t="shared" si="39"/>
        <v>924.96309352518</v>
      </c>
      <c r="M56" s="133">
        <f t="shared" si="40"/>
        <v>916.675821657223</v>
      </c>
      <c r="N56" s="133">
        <f t="shared" si="41"/>
        <v>907.92777329725</v>
      </c>
      <c r="O56" s="133">
        <f t="shared" si="42"/>
        <v>899.712616335064</v>
      </c>
      <c r="P56" s="133">
        <f t="shared" si="43"/>
        <v>885.294102844672</v>
      </c>
      <c r="Q56" s="133">
        <f t="shared" si="44"/>
        <v>872.511440098287</v>
      </c>
      <c r="R56" s="133">
        <f t="shared" si="45"/>
        <v>850.630735418445</v>
      </c>
      <c r="S56" s="133">
        <f t="shared" si="46"/>
        <v>830.323872674097</v>
      </c>
      <c r="T56" s="133">
        <f t="shared" si="47"/>
        <v>801.61620045031</v>
      </c>
      <c r="U56" s="133">
        <f t="shared" si="48"/>
        <v>774.401105042042</v>
      </c>
      <c r="V56" s="133">
        <f t="shared" si="49"/>
        <v>741.815912408759</v>
      </c>
      <c r="X56" s="106" t="s">
        <v>50</v>
      </c>
      <c r="Y56" s="106"/>
      <c r="Z56" s="106"/>
      <c r="AA56" s="106"/>
      <c r="AB56" s="106"/>
      <c r="AC56" s="106"/>
      <c r="AD56" s="106"/>
    </row>
    <row r="57" s="91" customFormat="1" spans="1:30">
      <c r="A57" s="132">
        <v>357.5</v>
      </c>
      <c r="B57" s="133">
        <v>900.32</v>
      </c>
      <c r="C57" s="133">
        <v>898.92</v>
      </c>
      <c r="D57" s="133">
        <v>894.41</v>
      </c>
      <c r="E57" s="133">
        <v>882.15</v>
      </c>
      <c r="F57" s="133">
        <v>859.33</v>
      </c>
      <c r="G57" s="133">
        <v>820.87</v>
      </c>
      <c r="H57" s="133">
        <v>766.73</v>
      </c>
      <c r="I57" s="133">
        <v>733.12</v>
      </c>
      <c r="J57" s="133"/>
      <c r="K57" s="132">
        <f t="shared" si="37"/>
        <v>357.5</v>
      </c>
      <c r="L57" s="133">
        <f t="shared" si="39"/>
        <v>902.100719424461</v>
      </c>
      <c r="M57" s="133">
        <f t="shared" si="40"/>
        <v>895.765951314054</v>
      </c>
      <c r="N57" s="133">
        <f t="shared" si="41"/>
        <v>888.803414036906</v>
      </c>
      <c r="O57" s="133">
        <f t="shared" si="42"/>
        <v>882.216244360228</v>
      </c>
      <c r="P57" s="133">
        <f t="shared" si="43"/>
        <v>870.184192645041</v>
      </c>
      <c r="Q57" s="133">
        <f t="shared" si="44"/>
        <v>859.514830396595</v>
      </c>
      <c r="R57" s="133">
        <f t="shared" si="45"/>
        <v>839.715794306414</v>
      </c>
      <c r="S57" s="133">
        <f t="shared" si="46"/>
        <v>821.326297222646</v>
      </c>
      <c r="T57" s="133">
        <f t="shared" si="47"/>
        <v>793.738626374907</v>
      </c>
      <c r="U57" s="133">
        <f t="shared" si="48"/>
        <v>767.558362241936</v>
      </c>
      <c r="V57" s="133">
        <f t="shared" si="49"/>
        <v>736.309270072993</v>
      </c>
      <c r="X57" s="106" t="s">
        <v>51</v>
      </c>
      <c r="Y57" s="106"/>
      <c r="Z57" s="106"/>
      <c r="AA57" s="106"/>
      <c r="AB57" s="106"/>
      <c r="AC57" s="106"/>
      <c r="AD57" s="106"/>
    </row>
    <row r="58" s="91" customFormat="1" spans="1:30">
      <c r="A58" s="132">
        <v>412.5</v>
      </c>
      <c r="B58" s="133">
        <v>876.89</v>
      </c>
      <c r="C58" s="133">
        <v>875.87</v>
      </c>
      <c r="D58" s="133">
        <v>872.46</v>
      </c>
      <c r="E58" s="133">
        <v>862.78</v>
      </c>
      <c r="F58" s="133">
        <v>844.11</v>
      </c>
      <c r="G58" s="133">
        <v>810.6</v>
      </c>
      <c r="H58" s="133">
        <v>759.63</v>
      </c>
      <c r="I58" s="133">
        <v>726.82</v>
      </c>
      <c r="J58" s="133"/>
      <c r="K58" s="132">
        <f t="shared" si="37"/>
        <v>412.5</v>
      </c>
      <c r="L58" s="133">
        <f t="shared" si="39"/>
        <v>878.187381294964</v>
      </c>
      <c r="M58" s="133">
        <f t="shared" si="40"/>
        <v>873.485231481358</v>
      </c>
      <c r="N58" s="133">
        <f t="shared" si="41"/>
        <v>868.0332665479</v>
      </c>
      <c r="O58" s="133">
        <f t="shared" si="42"/>
        <v>862.832303866803</v>
      </c>
      <c r="P58" s="133">
        <f t="shared" si="43"/>
        <v>852.990270669716</v>
      </c>
      <c r="Q58" s="133">
        <f t="shared" si="44"/>
        <v>844.261217506767</v>
      </c>
      <c r="R58" s="133">
        <f t="shared" si="45"/>
        <v>827.020243557149</v>
      </c>
      <c r="S58" s="133">
        <f t="shared" si="46"/>
        <v>810.997569420979</v>
      </c>
      <c r="T58" s="133">
        <f t="shared" si="47"/>
        <v>785.057219917418</v>
      </c>
      <c r="U58" s="133">
        <f t="shared" si="48"/>
        <v>760.409860056732</v>
      </c>
      <c r="V58" s="133">
        <f t="shared" si="49"/>
        <v>729.933357664234</v>
      </c>
      <c r="X58" s="106" t="s">
        <v>52</v>
      </c>
      <c r="Y58" s="106"/>
      <c r="Z58" s="106"/>
      <c r="AA58" s="106"/>
      <c r="AB58" s="106"/>
      <c r="AC58" s="106"/>
      <c r="AD58" s="106"/>
    </row>
    <row r="59" s="91" customFormat="1" spans="1:30">
      <c r="A59" s="132">
        <v>467.5</v>
      </c>
      <c r="B59" s="133">
        <v>850.3</v>
      </c>
      <c r="C59" s="133">
        <v>849.63</v>
      </c>
      <c r="D59" s="133">
        <v>847.25</v>
      </c>
      <c r="E59" s="133">
        <v>840.13</v>
      </c>
      <c r="F59" s="133">
        <v>825.7</v>
      </c>
      <c r="G59" s="133">
        <v>797.66</v>
      </c>
      <c r="H59" s="133">
        <v>750.53</v>
      </c>
      <c r="I59" s="133">
        <v>718.61</v>
      </c>
      <c r="J59" s="133"/>
      <c r="K59" s="132">
        <f t="shared" si="37"/>
        <v>467.5</v>
      </c>
      <c r="L59" s="133">
        <f t="shared" si="39"/>
        <v>851.152201438849</v>
      </c>
      <c r="M59" s="133">
        <f t="shared" si="40"/>
        <v>847.965557456197</v>
      </c>
      <c r="N59" s="133">
        <f t="shared" si="41"/>
        <v>843.993972915397</v>
      </c>
      <c r="O59" s="133">
        <f t="shared" si="42"/>
        <v>840.168471439219</v>
      </c>
      <c r="P59" s="133">
        <f t="shared" si="43"/>
        <v>832.563540747938</v>
      </c>
      <c r="Q59" s="133">
        <f t="shared" si="44"/>
        <v>825.816875662702</v>
      </c>
      <c r="R59" s="133">
        <f t="shared" si="45"/>
        <v>811.399887476647</v>
      </c>
      <c r="S59" s="133">
        <f t="shared" si="46"/>
        <v>797.992672234087</v>
      </c>
      <c r="T59" s="133">
        <f t="shared" si="47"/>
        <v>774.041572978378</v>
      </c>
      <c r="U59" s="133">
        <f t="shared" si="48"/>
        <v>751.251106621027</v>
      </c>
      <c r="V59" s="133">
        <f t="shared" si="49"/>
        <v>721.638905109489</v>
      </c>
      <c r="X59" s="106" t="s">
        <v>53</v>
      </c>
      <c r="Y59" s="106"/>
      <c r="Z59" s="106"/>
      <c r="AA59" s="106"/>
      <c r="AB59" s="106"/>
      <c r="AC59" s="106"/>
      <c r="AD59" s="106"/>
    </row>
    <row r="60" s="91" customFormat="1" spans="1:30">
      <c r="A60" s="132">
        <v>522.5</v>
      </c>
      <c r="B60" s="133">
        <v>820.25</v>
      </c>
      <c r="C60" s="133">
        <v>819.85</v>
      </c>
      <c r="D60" s="133">
        <v>818.36</v>
      </c>
      <c r="E60" s="133">
        <v>813.71</v>
      </c>
      <c r="F60" s="133">
        <v>803.68</v>
      </c>
      <c r="G60" s="133">
        <v>781.12</v>
      </c>
      <c r="H60" s="133">
        <v>738.1</v>
      </c>
      <c r="I60" s="133">
        <v>707.17</v>
      </c>
      <c r="J60" s="133"/>
      <c r="K60" s="132">
        <f t="shared" si="37"/>
        <v>522.5</v>
      </c>
      <c r="L60" s="133">
        <f t="shared" si="39"/>
        <v>820.758776978417</v>
      </c>
      <c r="M60" s="133">
        <f t="shared" si="40"/>
        <v>818.807975046107</v>
      </c>
      <c r="N60" s="133">
        <f t="shared" si="41"/>
        <v>816.233521637163</v>
      </c>
      <c r="O60" s="133">
        <f t="shared" si="42"/>
        <v>813.735125307917</v>
      </c>
      <c r="P60" s="133">
        <f t="shared" si="43"/>
        <v>808.450707810244</v>
      </c>
      <c r="Q60" s="133">
        <f t="shared" si="44"/>
        <v>803.761237899993</v>
      </c>
      <c r="R60" s="133">
        <f t="shared" si="45"/>
        <v>792.174631293622</v>
      </c>
      <c r="S60" s="133">
        <f t="shared" si="46"/>
        <v>781.387656405171</v>
      </c>
      <c r="T60" s="133">
        <f t="shared" si="47"/>
        <v>759.561232113936</v>
      </c>
      <c r="U60" s="133">
        <f t="shared" si="48"/>
        <v>738.758222084375</v>
      </c>
      <c r="V60" s="133">
        <f t="shared" si="49"/>
        <v>710.10496350365</v>
      </c>
      <c r="X60" s="106" t="s">
        <v>54</v>
      </c>
      <c r="Y60" s="106"/>
      <c r="Z60" s="106"/>
      <c r="AA60" s="106"/>
      <c r="AB60" s="106"/>
      <c r="AC60" s="106"/>
      <c r="AD60" s="106"/>
    </row>
    <row r="61" s="91" customFormat="1" spans="1:30">
      <c r="A61" s="132">
        <v>577.5</v>
      </c>
      <c r="B61" s="133">
        <v>786.88</v>
      </c>
      <c r="C61" s="133">
        <v>786.56</v>
      </c>
      <c r="D61" s="133">
        <v>785.45</v>
      </c>
      <c r="E61" s="133">
        <v>782.31</v>
      </c>
      <c r="F61" s="133">
        <v>776.18</v>
      </c>
      <c r="G61" s="133">
        <v>758.73</v>
      </c>
      <c r="H61" s="133">
        <v>716.15</v>
      </c>
      <c r="I61" s="133">
        <v>680.64</v>
      </c>
      <c r="J61" s="133"/>
      <c r="K61" s="132">
        <f t="shared" si="37"/>
        <v>577.5</v>
      </c>
      <c r="L61" s="133">
        <f t="shared" si="39"/>
        <v>787.287021582734</v>
      </c>
      <c r="M61" s="133">
        <f t="shared" si="40"/>
        <v>785.78372637663</v>
      </c>
      <c r="N61" s="133">
        <f t="shared" si="41"/>
        <v>784.014055471116</v>
      </c>
      <c r="O61" s="133">
        <f t="shared" si="42"/>
        <v>782.326966336959</v>
      </c>
      <c r="P61" s="133">
        <f t="shared" si="43"/>
        <v>779.095696797287</v>
      </c>
      <c r="Q61" s="133">
        <f t="shared" si="44"/>
        <v>776.229649883047</v>
      </c>
      <c r="R61" s="133">
        <f t="shared" si="45"/>
        <v>767.280678903976</v>
      </c>
      <c r="S61" s="133">
        <f t="shared" si="46"/>
        <v>758.937030331128</v>
      </c>
      <c r="T61" s="133">
        <f t="shared" si="47"/>
        <v>737.391730902171</v>
      </c>
      <c r="U61" s="133">
        <f t="shared" si="48"/>
        <v>716.801489919867</v>
      </c>
      <c r="V61" s="133">
        <f t="shared" si="49"/>
        <v>684.009562043796</v>
      </c>
      <c r="X61" s="106" t="s">
        <v>55</v>
      </c>
      <c r="Y61" s="106"/>
      <c r="Z61" s="106"/>
      <c r="AA61" s="106"/>
      <c r="AB61" s="106"/>
      <c r="AC61" s="106"/>
      <c r="AD61" s="106"/>
    </row>
    <row r="62" s="91" customFormat="1" spans="1:30">
      <c r="A62" s="132">
        <v>632.5</v>
      </c>
      <c r="B62" s="133">
        <v>752.75</v>
      </c>
      <c r="C62" s="133">
        <v>752.48</v>
      </c>
      <c r="D62" s="133">
        <v>751.57</v>
      </c>
      <c r="E62" s="133">
        <v>749.11</v>
      </c>
      <c r="F62" s="133">
        <v>744.7</v>
      </c>
      <c r="G62" s="133">
        <v>730.5</v>
      </c>
      <c r="H62" s="133">
        <v>692.88</v>
      </c>
      <c r="I62" s="133">
        <v>660.92</v>
      </c>
      <c r="J62" s="133"/>
      <c r="K62" s="132">
        <f t="shared" si="37"/>
        <v>632.5</v>
      </c>
      <c r="L62" s="133">
        <f t="shared" si="39"/>
        <v>753.093424460432</v>
      </c>
      <c r="M62" s="133">
        <f t="shared" si="40"/>
        <v>751.843595497958</v>
      </c>
      <c r="N62" s="133">
        <f t="shared" si="41"/>
        <v>750.445024349983</v>
      </c>
      <c r="O62" s="133">
        <f t="shared" si="42"/>
        <v>749.123292098382</v>
      </c>
      <c r="P62" s="133">
        <f t="shared" si="43"/>
        <v>746.797589376189</v>
      </c>
      <c r="Q62" s="133">
        <f t="shared" si="44"/>
        <v>744.735718757624</v>
      </c>
      <c r="R62" s="133">
        <f t="shared" si="45"/>
        <v>737.458145583751</v>
      </c>
      <c r="S62" s="133">
        <f t="shared" si="46"/>
        <v>730.668471673468</v>
      </c>
      <c r="T62" s="133">
        <f t="shared" si="47"/>
        <v>711.647353605911</v>
      </c>
      <c r="U62" s="133">
        <f t="shared" si="48"/>
        <v>693.455600065416</v>
      </c>
      <c r="V62" s="133">
        <f t="shared" si="49"/>
        <v>663.952700729927</v>
      </c>
      <c r="X62" s="106" t="s">
        <v>56</v>
      </c>
      <c r="Y62" s="106"/>
      <c r="Z62" s="106"/>
      <c r="AA62" s="106"/>
      <c r="AB62" s="106"/>
      <c r="AC62" s="106"/>
      <c r="AD62" s="106"/>
    </row>
    <row r="63" s="91" customFormat="1" ht="13.5" customHeight="1" spans="1:30">
      <c r="A63" s="132">
        <v>687.5</v>
      </c>
      <c r="B63" s="133">
        <v>718.81</v>
      </c>
      <c r="C63" s="133">
        <v>718.61</v>
      </c>
      <c r="D63" s="133">
        <v>717.94</v>
      </c>
      <c r="E63" s="133">
        <v>716.06</v>
      </c>
      <c r="F63" s="133">
        <v>712.74</v>
      </c>
      <c r="G63" s="133">
        <v>701.86</v>
      </c>
      <c r="H63" s="133">
        <v>669.39</v>
      </c>
      <c r="I63" s="133">
        <v>639.89</v>
      </c>
      <c r="J63" s="133"/>
      <c r="K63" s="132">
        <f t="shared" si="37"/>
        <v>687.5</v>
      </c>
      <c r="L63" s="133">
        <f t="shared" si="39"/>
        <v>719.064388489208</v>
      </c>
      <c r="M63" s="133">
        <f t="shared" si="40"/>
        <v>718.141438443551</v>
      </c>
      <c r="N63" s="133">
        <f t="shared" si="41"/>
        <v>717.080262511369</v>
      </c>
      <c r="O63" s="133">
        <f t="shared" si="42"/>
        <v>716.070158189007</v>
      </c>
      <c r="P63" s="133">
        <f t="shared" si="43"/>
        <v>714.31913758026</v>
      </c>
      <c r="Q63" s="133">
        <f t="shared" si="44"/>
        <v>712.766890311862</v>
      </c>
      <c r="R63" s="133">
        <f t="shared" si="45"/>
        <v>707.19131154586</v>
      </c>
      <c r="S63" s="133">
        <f t="shared" si="46"/>
        <v>701.989082521643</v>
      </c>
      <c r="T63" s="133">
        <f t="shared" si="47"/>
        <v>685.588191695479</v>
      </c>
      <c r="U63" s="133">
        <f t="shared" si="48"/>
        <v>669.886803139927</v>
      </c>
      <c r="V63" s="133">
        <f t="shared" si="49"/>
        <v>642.689270072993</v>
      </c>
      <c r="X63" s="106" t="s">
        <v>57</v>
      </c>
      <c r="Y63" s="106"/>
      <c r="Z63" s="106"/>
      <c r="AA63" s="106"/>
      <c r="AB63" s="106"/>
      <c r="AC63" s="106"/>
      <c r="AD63" s="106"/>
    </row>
    <row r="64" s="91" customFormat="1" ht="13.5" customHeight="1" spans="1:30">
      <c r="A64" s="132">
        <v>742.5</v>
      </c>
      <c r="B64" s="133">
        <v>684.49</v>
      </c>
      <c r="C64" s="133">
        <v>684.36</v>
      </c>
      <c r="D64" s="133">
        <v>683.89</v>
      </c>
      <c r="E64" s="133">
        <v>682.5</v>
      </c>
      <c r="F64" s="133">
        <v>680.07</v>
      </c>
      <c r="G64" s="133">
        <v>671.81</v>
      </c>
      <c r="H64" s="133">
        <v>644.28</v>
      </c>
      <c r="I64" s="133">
        <v>617.01</v>
      </c>
      <c r="J64" s="133"/>
      <c r="K64" s="132">
        <f t="shared" si="37"/>
        <v>742.5</v>
      </c>
      <c r="L64" s="133">
        <f t="shared" si="39"/>
        <v>684.655352517986</v>
      </c>
      <c r="M64" s="133">
        <f t="shared" si="40"/>
        <v>684.031307564879</v>
      </c>
      <c r="N64" s="133">
        <f t="shared" si="41"/>
        <v>683.254343027023</v>
      </c>
      <c r="O64" s="133">
        <f t="shared" si="42"/>
        <v>682.507510575915</v>
      </c>
      <c r="P64" s="133">
        <f t="shared" si="43"/>
        <v>681.225814554227</v>
      </c>
      <c r="Q64" s="133">
        <f t="shared" si="44"/>
        <v>680.089681764405</v>
      </c>
      <c r="R64" s="133">
        <f t="shared" si="45"/>
        <v>675.857484684633</v>
      </c>
      <c r="S64" s="133">
        <f t="shared" si="46"/>
        <v>671.907998311468</v>
      </c>
      <c r="T64" s="133">
        <f t="shared" si="47"/>
        <v>658.013791727026</v>
      </c>
      <c r="U64" s="133">
        <f t="shared" si="48"/>
        <v>644.701219292953</v>
      </c>
      <c r="V64" s="133">
        <f t="shared" si="49"/>
        <v>619.597664233577</v>
      </c>
      <c r="X64" s="106" t="s">
        <v>58</v>
      </c>
      <c r="Y64" s="106"/>
      <c r="Z64" s="106"/>
      <c r="AA64" s="106"/>
      <c r="AB64" s="106"/>
      <c r="AC64" s="106"/>
      <c r="AD64" s="106"/>
    </row>
    <row r="65" s="91" customFormat="1" spans="1:30">
      <c r="A65" s="132">
        <v>797.5</v>
      </c>
      <c r="B65" s="133">
        <v>649.28</v>
      </c>
      <c r="C65" s="133">
        <v>649.23</v>
      </c>
      <c r="D65" s="133">
        <v>648.93</v>
      </c>
      <c r="E65" s="133">
        <v>647.88</v>
      </c>
      <c r="F65" s="133">
        <v>646.24</v>
      </c>
      <c r="G65" s="133">
        <v>640.43</v>
      </c>
      <c r="H65" s="133">
        <v>616.99</v>
      </c>
      <c r="I65" s="133">
        <v>591.97</v>
      </c>
      <c r="J65" s="133"/>
      <c r="K65" s="132">
        <f t="shared" si="37"/>
        <v>797.5</v>
      </c>
      <c r="L65" s="133">
        <f t="shared" si="39"/>
        <v>649.343597122302</v>
      </c>
      <c r="M65" s="133">
        <f t="shared" si="40"/>
        <v>649.020196318008</v>
      </c>
      <c r="N65" s="133">
        <f t="shared" si="41"/>
        <v>648.449827466456</v>
      </c>
      <c r="O65" s="133">
        <f t="shared" si="42"/>
        <v>647.885673456626</v>
      </c>
      <c r="P65" s="133">
        <f t="shared" si="43"/>
        <v>647.02005591314</v>
      </c>
      <c r="Q65" s="133">
        <f t="shared" si="44"/>
        <v>646.253283166101</v>
      </c>
      <c r="R65" s="133">
        <f t="shared" si="45"/>
        <v>643.27695956631</v>
      </c>
      <c r="S65" s="133">
        <f t="shared" si="46"/>
        <v>640.498931015694</v>
      </c>
      <c r="T65" s="133">
        <f t="shared" si="47"/>
        <v>628.683428190392</v>
      </c>
      <c r="U65" s="133">
        <f t="shared" si="48"/>
        <v>617.348640763779</v>
      </c>
      <c r="V65" s="133">
        <f t="shared" si="49"/>
        <v>594.344160583942</v>
      </c>
      <c r="X65" s="106" t="s">
        <v>59</v>
      </c>
      <c r="Y65" s="106"/>
      <c r="Z65" s="106"/>
      <c r="AA65" s="106"/>
      <c r="AB65" s="106"/>
      <c r="AC65" s="106"/>
      <c r="AD65" s="106"/>
    </row>
    <row r="66" s="91" customFormat="1" spans="1:30">
      <c r="A66" s="132">
        <v>852.5</v>
      </c>
      <c r="B66" s="133">
        <v>613.59</v>
      </c>
      <c r="C66" s="133">
        <v>613.24</v>
      </c>
      <c r="D66" s="133">
        <v>612.7</v>
      </c>
      <c r="E66" s="133">
        <v>611.92</v>
      </c>
      <c r="F66" s="133">
        <v>611.55</v>
      </c>
      <c r="G66" s="133">
        <v>607.98</v>
      </c>
      <c r="H66" s="133">
        <v>586.99</v>
      </c>
      <c r="I66" s="133">
        <v>564.6</v>
      </c>
      <c r="J66" s="133"/>
      <c r="K66" s="132">
        <f t="shared" si="37"/>
        <v>852.5</v>
      </c>
      <c r="L66" s="133">
        <f t="shared" si="39"/>
        <v>614.035179856115</v>
      </c>
      <c r="M66" s="133">
        <f t="shared" si="40"/>
        <v>612.862353372415</v>
      </c>
      <c r="N66" s="133">
        <f t="shared" si="41"/>
        <v>612.343300403653</v>
      </c>
      <c r="O66" s="133">
        <f t="shared" si="42"/>
        <v>611.924214567779</v>
      </c>
      <c r="P66" s="133">
        <f t="shared" si="43"/>
        <v>611.725988224306</v>
      </c>
      <c r="Q66" s="133">
        <f t="shared" si="44"/>
        <v>611.552996811864</v>
      </c>
      <c r="R66" s="133">
        <f t="shared" si="45"/>
        <v>609.729336600985</v>
      </c>
      <c r="S66" s="133">
        <f t="shared" si="46"/>
        <v>608.022355202414</v>
      </c>
      <c r="T66" s="133">
        <f t="shared" si="47"/>
        <v>597.461205533973</v>
      </c>
      <c r="U66" s="133">
        <f t="shared" si="48"/>
        <v>587.311154847769</v>
      </c>
      <c r="V66" s="133">
        <f t="shared" si="49"/>
        <v>566.724598540146</v>
      </c>
      <c r="X66" s="106" t="s">
        <v>60</v>
      </c>
      <c r="Y66" s="106"/>
      <c r="Z66" s="106"/>
      <c r="AA66" s="106"/>
      <c r="AB66" s="106"/>
      <c r="AC66" s="106"/>
      <c r="AD66" s="106"/>
    </row>
    <row r="67" s="91" customFormat="1" spans="1:30">
      <c r="A67" s="132">
        <v>907.5</v>
      </c>
      <c r="B67" s="133">
        <v>575.64</v>
      </c>
      <c r="C67" s="133">
        <v>576.61</v>
      </c>
      <c r="D67" s="133">
        <v>577.2</v>
      </c>
      <c r="E67" s="133">
        <v>576.6</v>
      </c>
      <c r="F67" s="133">
        <v>575.58</v>
      </c>
      <c r="G67" s="133">
        <v>571.34</v>
      </c>
      <c r="H67" s="133">
        <v>552.78</v>
      </c>
      <c r="I67" s="133">
        <v>534.09</v>
      </c>
      <c r="J67" s="133"/>
      <c r="K67" s="132">
        <f t="shared" si="37"/>
        <v>907.5</v>
      </c>
      <c r="L67" s="133">
        <f t="shared" si="39"/>
        <v>574.406215827338</v>
      </c>
      <c r="M67" s="133">
        <f t="shared" si="40"/>
        <v>577.022613907918</v>
      </c>
      <c r="N67" s="133">
        <f t="shared" si="41"/>
        <v>576.925615695118</v>
      </c>
      <c r="O67" s="133">
        <f t="shared" si="42"/>
        <v>576.603241975215</v>
      </c>
      <c r="P67" s="133">
        <f t="shared" si="43"/>
        <v>576.065156726465</v>
      </c>
      <c r="Q67" s="133">
        <f t="shared" si="44"/>
        <v>575.588261481355</v>
      </c>
      <c r="R67" s="133">
        <f t="shared" si="45"/>
        <v>573.417643470078</v>
      </c>
      <c r="S67" s="133">
        <f t="shared" si="46"/>
        <v>571.390304217993</v>
      </c>
      <c r="T67" s="133">
        <f t="shared" si="47"/>
        <v>562.038960205361</v>
      </c>
      <c r="U67" s="133">
        <f t="shared" si="48"/>
        <v>553.063974939238</v>
      </c>
      <c r="V67" s="133">
        <f t="shared" si="49"/>
        <v>535.863503649635</v>
      </c>
      <c r="X67" s="106" t="s">
        <v>61</v>
      </c>
      <c r="Y67" s="106"/>
      <c r="Z67" s="106"/>
      <c r="AA67" s="106"/>
      <c r="AB67" s="106"/>
      <c r="AC67" s="106"/>
      <c r="AD67" s="106"/>
    </row>
    <row r="68" s="91" customFormat="1" spans="1:30">
      <c r="A68" s="132">
        <v>962.5</v>
      </c>
      <c r="B68" s="133">
        <v>537.77</v>
      </c>
      <c r="C68" s="133">
        <v>535.34</v>
      </c>
      <c r="D68" s="133">
        <v>532.75</v>
      </c>
      <c r="E68" s="133">
        <v>534.35</v>
      </c>
      <c r="F68" s="133">
        <v>534.79</v>
      </c>
      <c r="G68" s="133">
        <v>530.73</v>
      </c>
      <c r="H68" s="133">
        <v>516.03</v>
      </c>
      <c r="I68" s="133">
        <v>501.85</v>
      </c>
      <c r="J68" s="133"/>
      <c r="K68" s="132">
        <f t="shared" si="37"/>
        <v>962.5</v>
      </c>
      <c r="L68" s="133">
        <f t="shared" si="39"/>
        <v>540.860820143885</v>
      </c>
      <c r="M68" s="133">
        <f t="shared" si="40"/>
        <v>533.528694878803</v>
      </c>
      <c r="N68" s="133">
        <f t="shared" si="41"/>
        <v>533.481691479686</v>
      </c>
      <c r="O68" s="133">
        <f t="shared" si="42"/>
        <v>534.34135473276</v>
      </c>
      <c r="P68" s="133">
        <f t="shared" si="43"/>
        <v>534.580716706231</v>
      </c>
      <c r="Q68" s="133">
        <f t="shared" si="44"/>
        <v>534.786436223729</v>
      </c>
      <c r="R68" s="133">
        <f t="shared" si="45"/>
        <v>532.71944162465</v>
      </c>
      <c r="S68" s="133">
        <f t="shared" si="46"/>
        <v>530.778168661569</v>
      </c>
      <c r="T68" s="133">
        <f t="shared" si="47"/>
        <v>523.363335938514</v>
      </c>
      <c r="U68" s="133">
        <f t="shared" si="48"/>
        <v>516.254915496056</v>
      </c>
      <c r="V68" s="133">
        <f t="shared" si="49"/>
        <v>503.195547445255</v>
      </c>
      <c r="X68" s="106" t="s">
        <v>62</v>
      </c>
      <c r="Y68" s="106"/>
      <c r="Z68" s="106"/>
      <c r="AA68" s="106"/>
      <c r="AB68" s="106"/>
      <c r="AC68" s="106"/>
      <c r="AD68" s="106"/>
    </row>
    <row r="69" s="91" customFormat="1" spans="1:30">
      <c r="A69" s="132">
        <v>1017.5</v>
      </c>
      <c r="B69" s="133">
        <v>485.16</v>
      </c>
      <c r="C69" s="133">
        <v>487.72</v>
      </c>
      <c r="D69" s="133">
        <v>490.01</v>
      </c>
      <c r="E69" s="133">
        <v>490.43</v>
      </c>
      <c r="F69" s="133">
        <v>488.28</v>
      </c>
      <c r="G69" s="133">
        <v>485.4</v>
      </c>
      <c r="H69" s="133">
        <v>478.69</v>
      </c>
      <c r="I69" s="133">
        <v>470.65</v>
      </c>
      <c r="J69" s="133"/>
      <c r="K69" s="132">
        <f t="shared" si="37"/>
        <v>1017.5</v>
      </c>
      <c r="L69" s="133">
        <f t="shared" si="39"/>
        <v>481.90382733813</v>
      </c>
      <c r="M69" s="133">
        <f t="shared" si="40"/>
        <v>489.321501439205</v>
      </c>
      <c r="N69" s="133">
        <f t="shared" si="41"/>
        <v>490.202069013418</v>
      </c>
      <c r="O69" s="133">
        <f t="shared" si="42"/>
        <v>490.427730617349</v>
      </c>
      <c r="P69" s="133">
        <f t="shared" si="43"/>
        <v>489.302634276373</v>
      </c>
      <c r="Q69" s="133">
        <f t="shared" si="44"/>
        <v>488.297413906778</v>
      </c>
      <c r="R69" s="133">
        <f t="shared" si="45"/>
        <v>486.811229526845</v>
      </c>
      <c r="S69" s="133">
        <f t="shared" si="46"/>
        <v>485.434168902788</v>
      </c>
      <c r="T69" s="133">
        <f t="shared" si="47"/>
        <v>482.037393479417</v>
      </c>
      <c r="U69" s="133">
        <f t="shared" si="48"/>
        <v>478.792665508744</v>
      </c>
      <c r="V69" s="133">
        <f t="shared" si="49"/>
        <v>471.412919708029</v>
      </c>
      <c r="X69" s="106" t="s">
        <v>63</v>
      </c>
      <c r="Y69" s="106"/>
      <c r="Z69" s="106"/>
      <c r="AA69" s="106"/>
      <c r="AB69" s="106"/>
      <c r="AC69" s="106"/>
      <c r="AD69" s="106"/>
    </row>
    <row r="70" s="91" customFormat="1" spans="1:30">
      <c r="A70" s="132">
        <v>1072.5</v>
      </c>
      <c r="B70" s="133">
        <v>459.18</v>
      </c>
      <c r="C70" s="133">
        <v>455.64</v>
      </c>
      <c r="D70" s="133">
        <v>448.2</v>
      </c>
      <c r="E70" s="133">
        <v>445.5</v>
      </c>
      <c r="F70" s="133">
        <v>442.26</v>
      </c>
      <c r="G70" s="133">
        <v>439.14</v>
      </c>
      <c r="H70" s="133">
        <v>439.47</v>
      </c>
      <c r="I70" s="133">
        <v>439.93</v>
      </c>
      <c r="J70" s="133"/>
      <c r="K70" s="132">
        <f t="shared" si="37"/>
        <v>1072.5</v>
      </c>
      <c r="L70" s="133">
        <f t="shared" si="39"/>
        <v>463.682676258993</v>
      </c>
      <c r="M70" s="133">
        <f t="shared" si="40"/>
        <v>450.436868686599</v>
      </c>
      <c r="N70" s="133">
        <f t="shared" si="41"/>
        <v>446.96527062803</v>
      </c>
      <c r="O70" s="133">
        <f t="shared" si="42"/>
        <v>445.514588888468</v>
      </c>
      <c r="P70" s="133">
        <f t="shared" si="43"/>
        <v>443.801086072302</v>
      </c>
      <c r="Q70" s="133">
        <f t="shared" si="44"/>
        <v>442.28624235254</v>
      </c>
      <c r="R70" s="133">
        <f t="shared" si="45"/>
        <v>440.668831987416</v>
      </c>
      <c r="S70" s="133">
        <f t="shared" si="46"/>
        <v>439.177016311353</v>
      </c>
      <c r="T70" s="133">
        <f t="shared" si="47"/>
        <v>439.305374091176</v>
      </c>
      <c r="U70" s="133">
        <f t="shared" si="48"/>
        <v>439.464950876619</v>
      </c>
      <c r="V70" s="133">
        <f t="shared" si="49"/>
        <v>439.886350364964</v>
      </c>
      <c r="X70" s="106" t="s">
        <v>64</v>
      </c>
      <c r="Y70" s="106"/>
      <c r="Z70" s="106"/>
      <c r="AA70" s="106"/>
      <c r="AB70" s="106"/>
      <c r="AC70" s="106"/>
      <c r="AD70" s="106"/>
    </row>
    <row r="71" s="91" customFormat="1" spans="1:22">
      <c r="A71" s="129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</row>
    <row r="72" s="91" customFormat="1" spans="1:22">
      <c r="A72" s="129" t="s">
        <v>140</v>
      </c>
      <c r="B72" s="129"/>
      <c r="C72" s="129"/>
      <c r="D72" s="129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</row>
    <row r="73" s="91" customFormat="1" spans="1:30">
      <c r="A73" s="132" t="s">
        <v>128</v>
      </c>
      <c r="B73" s="133">
        <v>17.68</v>
      </c>
      <c r="C73" s="133">
        <v>31.58</v>
      </c>
      <c r="D73" s="133">
        <v>54.25</v>
      </c>
      <c r="E73" s="133">
        <v>82.31</v>
      </c>
      <c r="F73" s="133">
        <v>106.26</v>
      </c>
      <c r="G73" s="133">
        <v>125.73</v>
      </c>
      <c r="H73" s="133">
        <v>142.56</v>
      </c>
      <c r="I73" s="133">
        <v>150.78</v>
      </c>
      <c r="J73" s="133"/>
      <c r="K73" s="132" t="str">
        <f t="shared" ref="K73:K93" si="50">A73</f>
        <v>R/Z[cm]</v>
      </c>
      <c r="L73" s="141">
        <v>0</v>
      </c>
      <c r="M73" s="141">
        <f t="shared" ref="M73:V73" si="51">SQRT(L73*L73+150*150/10)</f>
        <v>47.4341649025257</v>
      </c>
      <c r="N73" s="141">
        <f t="shared" si="51"/>
        <v>67.0820393249937</v>
      </c>
      <c r="O73" s="141">
        <f t="shared" si="51"/>
        <v>82.1583836257749</v>
      </c>
      <c r="P73" s="141">
        <f t="shared" si="51"/>
        <v>94.8683298050514</v>
      </c>
      <c r="Q73" s="141">
        <f t="shared" si="51"/>
        <v>106.066017177982</v>
      </c>
      <c r="R73" s="141">
        <f t="shared" si="51"/>
        <v>116.189500386223</v>
      </c>
      <c r="S73" s="141">
        <f t="shared" si="51"/>
        <v>125.499003980111</v>
      </c>
      <c r="T73" s="141">
        <f t="shared" si="51"/>
        <v>134.164078649987</v>
      </c>
      <c r="U73" s="141">
        <f t="shared" si="51"/>
        <v>142.302494707577</v>
      </c>
      <c r="V73" s="141">
        <f t="shared" si="51"/>
        <v>150</v>
      </c>
      <c r="X73" s="147" t="s">
        <v>141</v>
      </c>
      <c r="Y73" s="106"/>
      <c r="Z73" s="106" t="s">
        <v>134</v>
      </c>
      <c r="AA73" s="106" t="s">
        <v>136</v>
      </c>
      <c r="AB73" s="106" t="s">
        <v>138</v>
      </c>
      <c r="AC73" s="106" t="s">
        <v>139</v>
      </c>
      <c r="AD73" s="106" t="s">
        <v>140</v>
      </c>
    </row>
    <row r="74" s="91" customFormat="1" spans="1:30">
      <c r="A74" s="132">
        <v>27.5</v>
      </c>
      <c r="B74" s="133">
        <v>1285.97</v>
      </c>
      <c r="C74" s="133">
        <v>1274.73</v>
      </c>
      <c r="D74" s="133">
        <v>1245.79</v>
      </c>
      <c r="E74" s="133">
        <v>1189.85</v>
      </c>
      <c r="F74" s="133">
        <v>1130.35</v>
      </c>
      <c r="G74" s="133">
        <v>1086.57</v>
      </c>
      <c r="H74" s="133">
        <v>1040.43</v>
      </c>
      <c r="I74" s="133">
        <v>1003.1</v>
      </c>
      <c r="J74" s="133"/>
      <c r="K74" s="132">
        <f t="shared" si="50"/>
        <v>27.5</v>
      </c>
      <c r="L74" s="133">
        <f t="shared" ref="L74:L93" si="52">TREND(B74:C74,B$4:C$4,L$4)</f>
        <v>1300.26663309353</v>
      </c>
      <c r="M74" s="133">
        <f t="shared" ref="M74:M93" si="53">TREND(C74:D74,C$4:D$4,M$4)</f>
        <v>1254.49093814384</v>
      </c>
      <c r="N74" s="133">
        <f t="shared" ref="N74:N93" si="54">TREND(D74:E74,D$4:E$4,N$4)</f>
        <v>1220.20823664148</v>
      </c>
      <c r="O74" s="133">
        <f t="shared" ref="O74:O93" si="55">TREND(D74:E74,D$4:E$4,O$4)</f>
        <v>1190.15226015589</v>
      </c>
      <c r="P74" s="133">
        <f t="shared" ref="P74:P93" si="56">TREND(E74:F74,E$4:F$4,P$4)</f>
        <v>1158.65080904382</v>
      </c>
      <c r="Q74" s="133">
        <f t="shared" ref="Q74:Q93" si="57">TREND(E74:F74,E$4:F$4,Q$4)</f>
        <v>1130.83191974572</v>
      </c>
      <c r="R74" s="133">
        <f t="shared" ref="R74:R93" si="58">TREND(F74:G74,F$4:G$4,R$4)</f>
        <v>1108.02264884906</v>
      </c>
      <c r="S74" s="133">
        <f t="shared" ref="S74:S93" si="59">TREND(F74:G74,F$4:G$4,S$4)</f>
        <v>1087.08941477918</v>
      </c>
      <c r="T74" s="133">
        <f t="shared" ref="T74:T93" si="60">TREND(G74:H74,G$4:H$4,T$4)</f>
        <v>1063.44769525191</v>
      </c>
      <c r="U74" s="133">
        <f t="shared" ref="U74:U93" si="61">TREND(G74:H74,G$4:H$4,U$4)</f>
        <v>1041.13595925089</v>
      </c>
      <c r="V74" s="133">
        <f t="shared" ref="V74:V93" si="62">TREND(H74:I74,H$4:I$4,V$4)</f>
        <v>1006.64226277372</v>
      </c>
      <c r="X74" s="106" t="s">
        <v>46</v>
      </c>
      <c r="Y74" s="106"/>
      <c r="Z74" s="160" t="e">
        <f ca="1" t="shared" ref="Z74:AD74" si="63">Z27/Z52</f>
        <v>#DIV/0!</v>
      </c>
      <c r="AA74" s="160" t="e">
        <f ca="1" t="shared" si="63"/>
        <v>#DIV/0!</v>
      </c>
      <c r="AB74" s="160" t="e">
        <f ca="1" t="shared" si="63"/>
        <v>#DIV/0!</v>
      </c>
      <c r="AC74" s="160" t="e">
        <f ca="1" t="shared" si="63"/>
        <v>#DIV/0!</v>
      </c>
      <c r="AD74" s="160" t="e">
        <f ca="1" t="shared" si="63"/>
        <v>#DIV/0!</v>
      </c>
    </row>
    <row r="75" s="91" customFormat="1" spans="1:30">
      <c r="A75" s="132">
        <v>82.5</v>
      </c>
      <c r="B75" s="133">
        <v>1316.78</v>
      </c>
      <c r="C75" s="133">
        <v>1307.52</v>
      </c>
      <c r="D75" s="133">
        <v>1282.81</v>
      </c>
      <c r="E75" s="133">
        <v>1232.51</v>
      </c>
      <c r="F75" s="133">
        <v>1165.61</v>
      </c>
      <c r="G75" s="133">
        <v>1096.06</v>
      </c>
      <c r="H75" s="133">
        <v>1029.9</v>
      </c>
      <c r="I75" s="133">
        <v>991.21</v>
      </c>
      <c r="J75" s="133"/>
      <c r="K75" s="132">
        <f t="shared" si="50"/>
        <v>82.5</v>
      </c>
      <c r="L75" s="133">
        <f t="shared" si="52"/>
        <v>1328.55818705036</v>
      </c>
      <c r="M75" s="133">
        <f t="shared" si="53"/>
        <v>1290.23917005993</v>
      </c>
      <c r="N75" s="133">
        <f t="shared" si="54"/>
        <v>1259.80744910737</v>
      </c>
      <c r="O75" s="133">
        <f t="shared" si="55"/>
        <v>1232.78178558886</v>
      </c>
      <c r="P75" s="133">
        <f t="shared" si="56"/>
        <v>1197.43057352994</v>
      </c>
      <c r="Q75" s="133">
        <f t="shared" si="57"/>
        <v>1166.15185598301</v>
      </c>
      <c r="R75" s="133">
        <f t="shared" si="58"/>
        <v>1130.14021305281</v>
      </c>
      <c r="S75" s="133">
        <f t="shared" si="59"/>
        <v>1096.88515527392</v>
      </c>
      <c r="T75" s="133">
        <f t="shared" si="60"/>
        <v>1062.90500038722</v>
      </c>
      <c r="U75" s="133">
        <f t="shared" si="61"/>
        <v>1030.91227273599</v>
      </c>
      <c r="V75" s="133">
        <f t="shared" si="62"/>
        <v>994.881313868613</v>
      </c>
      <c r="X75" s="106" t="s">
        <v>113</v>
      </c>
      <c r="Y75" s="106"/>
      <c r="Z75" s="160" t="e">
        <f ca="1" t="shared" ref="Z75:AD75" si="64">Z28/Z53</f>
        <v>#DIV/0!</v>
      </c>
      <c r="AA75" s="160" t="e">
        <f ca="1" t="shared" si="64"/>
        <v>#DIV/0!</v>
      </c>
      <c r="AB75" s="160" t="e">
        <f ca="1" t="shared" si="64"/>
        <v>#DIV/0!</v>
      </c>
      <c r="AC75" s="160" t="e">
        <f ca="1" t="shared" si="64"/>
        <v>#DIV/0!</v>
      </c>
      <c r="AD75" s="160" t="e">
        <f ca="1" t="shared" si="64"/>
        <v>#DIV/0!</v>
      </c>
    </row>
    <row r="76" s="91" customFormat="1" spans="1:30">
      <c r="A76" s="132">
        <v>137.5</v>
      </c>
      <c r="B76" s="133">
        <v>1320.37</v>
      </c>
      <c r="C76" s="133">
        <v>1311.76</v>
      </c>
      <c r="D76" s="133">
        <v>1288.33</v>
      </c>
      <c r="E76" s="133">
        <v>1239.22</v>
      </c>
      <c r="F76" s="133">
        <v>1170.95</v>
      </c>
      <c r="G76" s="133">
        <v>1095.98</v>
      </c>
      <c r="H76" s="133">
        <v>1023.92</v>
      </c>
      <c r="I76" s="133">
        <v>984.51</v>
      </c>
      <c r="J76" s="133"/>
      <c r="K76" s="132">
        <f t="shared" si="50"/>
        <v>137.5</v>
      </c>
      <c r="L76" s="133">
        <f t="shared" si="52"/>
        <v>1331.32142446043</v>
      </c>
      <c r="M76" s="133">
        <f t="shared" si="53"/>
        <v>1295.37433243643</v>
      </c>
      <c r="N76" s="133">
        <f t="shared" si="54"/>
        <v>1265.87164464539</v>
      </c>
      <c r="O76" s="133">
        <f t="shared" si="55"/>
        <v>1239.48535567135</v>
      </c>
      <c r="P76" s="133">
        <f t="shared" si="56"/>
        <v>1203.42220560372</v>
      </c>
      <c r="Q76" s="133">
        <f t="shared" si="57"/>
        <v>1171.50295228639</v>
      </c>
      <c r="R76" s="133">
        <f t="shared" si="58"/>
        <v>1132.71606862069</v>
      </c>
      <c r="S76" s="133">
        <f t="shared" si="59"/>
        <v>1096.8694592507</v>
      </c>
      <c r="T76" s="133">
        <f t="shared" si="60"/>
        <v>1059.86831209043</v>
      </c>
      <c r="U76" s="133">
        <f t="shared" si="61"/>
        <v>1025.02254494189</v>
      </c>
      <c r="V76" s="133">
        <f t="shared" si="62"/>
        <v>988.249635036496</v>
      </c>
      <c r="X76" s="106" t="s">
        <v>48</v>
      </c>
      <c r="Y76" s="106"/>
      <c r="Z76" s="160" t="e">
        <f ca="1" t="shared" ref="Z76:AD76" si="65">Z29/Z54</f>
        <v>#DIV/0!</v>
      </c>
      <c r="AA76" s="160" t="e">
        <f ca="1" t="shared" si="65"/>
        <v>#DIV/0!</v>
      </c>
      <c r="AB76" s="160" t="e">
        <f ca="1" t="shared" si="65"/>
        <v>#DIV/0!</v>
      </c>
      <c r="AC76" s="160" t="e">
        <f ca="1" t="shared" si="65"/>
        <v>#DIV/0!</v>
      </c>
      <c r="AD76" s="160" t="e">
        <f ca="1" t="shared" si="65"/>
        <v>#DIV/0!</v>
      </c>
    </row>
    <row r="77" s="91" customFormat="1" spans="1:30">
      <c r="A77" s="132">
        <v>192.5</v>
      </c>
      <c r="B77" s="133">
        <v>1318.71</v>
      </c>
      <c r="C77" s="133">
        <v>1310.63</v>
      </c>
      <c r="D77" s="133">
        <v>1288.41</v>
      </c>
      <c r="E77" s="133">
        <v>1240.75</v>
      </c>
      <c r="F77" s="133">
        <v>1172.44</v>
      </c>
      <c r="G77" s="133">
        <v>1095.35</v>
      </c>
      <c r="H77" s="133">
        <v>1021.13</v>
      </c>
      <c r="I77" s="133">
        <v>981.44</v>
      </c>
      <c r="J77" s="133"/>
      <c r="K77" s="132">
        <f t="shared" si="50"/>
        <v>192.5</v>
      </c>
      <c r="L77" s="133">
        <f t="shared" si="52"/>
        <v>1328.98729496403</v>
      </c>
      <c r="M77" s="133">
        <f t="shared" si="53"/>
        <v>1295.09054062046</v>
      </c>
      <c r="N77" s="133">
        <f t="shared" si="54"/>
        <v>1266.61474004885</v>
      </c>
      <c r="O77" s="133">
        <f t="shared" si="55"/>
        <v>1241.00752089792</v>
      </c>
      <c r="P77" s="133">
        <f t="shared" si="56"/>
        <v>1204.9312313577</v>
      </c>
      <c r="Q77" s="133">
        <f t="shared" si="57"/>
        <v>1172.99327626606</v>
      </c>
      <c r="R77" s="133">
        <f t="shared" si="58"/>
        <v>1133.12489035573</v>
      </c>
      <c r="S77" s="133">
        <f t="shared" si="59"/>
        <v>1096.26461135969</v>
      </c>
      <c r="T77" s="133">
        <f t="shared" si="60"/>
        <v>1058.15586349364</v>
      </c>
      <c r="U77" s="133">
        <f t="shared" si="61"/>
        <v>1022.26559374947</v>
      </c>
      <c r="V77" s="133">
        <f t="shared" si="62"/>
        <v>985.206204379562</v>
      </c>
      <c r="X77" s="106" t="s">
        <v>49</v>
      </c>
      <c r="Y77" s="106"/>
      <c r="Z77" s="160" t="e">
        <f ca="1" t="shared" ref="Z77:AD77" si="66">Z30/Z55</f>
        <v>#DIV/0!</v>
      </c>
      <c r="AA77" s="160" t="e">
        <f ca="1" t="shared" si="66"/>
        <v>#DIV/0!</v>
      </c>
      <c r="AB77" s="160" t="e">
        <f ca="1" t="shared" si="66"/>
        <v>#DIV/0!</v>
      </c>
      <c r="AC77" s="160" t="e">
        <f ca="1" t="shared" si="66"/>
        <v>#DIV/0!</v>
      </c>
      <c r="AD77" s="160" t="e">
        <f ca="1" t="shared" si="66"/>
        <v>#DIV/0!</v>
      </c>
    </row>
    <row r="78" s="91" customFormat="1" spans="1:30">
      <c r="A78" s="132">
        <v>241.5</v>
      </c>
      <c r="B78" s="133">
        <v>1313.69</v>
      </c>
      <c r="C78" s="133">
        <v>1306.2</v>
      </c>
      <c r="D78" s="133">
        <v>1285.38</v>
      </c>
      <c r="E78" s="133">
        <v>1239.86</v>
      </c>
      <c r="F78" s="133">
        <v>1173.07</v>
      </c>
      <c r="G78" s="133">
        <v>1095.64</v>
      </c>
      <c r="H78" s="133">
        <v>1020.76</v>
      </c>
      <c r="I78" s="133">
        <v>981.29</v>
      </c>
      <c r="J78" s="133"/>
      <c r="K78" s="132">
        <f t="shared" si="50"/>
        <v>241.5</v>
      </c>
      <c r="L78" s="133">
        <f t="shared" si="52"/>
        <v>1323.21684892086</v>
      </c>
      <c r="M78" s="133">
        <f t="shared" si="53"/>
        <v>1291.63962446976</v>
      </c>
      <c r="N78" s="133">
        <f t="shared" si="54"/>
        <v>1264.56337740293</v>
      </c>
      <c r="O78" s="133">
        <f t="shared" si="55"/>
        <v>1240.10595785298</v>
      </c>
      <c r="P78" s="133">
        <f t="shared" si="56"/>
        <v>1204.8382527065</v>
      </c>
      <c r="Q78" s="133">
        <f t="shared" si="57"/>
        <v>1173.61096503894</v>
      </c>
      <c r="R78" s="133">
        <f t="shared" si="58"/>
        <v>1133.58149384154</v>
      </c>
      <c r="S78" s="133">
        <f t="shared" si="59"/>
        <v>1096.55864518849</v>
      </c>
      <c r="T78" s="133">
        <f t="shared" si="60"/>
        <v>1058.11511531129</v>
      </c>
      <c r="U78" s="133">
        <f t="shared" si="61"/>
        <v>1021.90569199623</v>
      </c>
      <c r="V78" s="133">
        <f t="shared" si="62"/>
        <v>985.035328467153</v>
      </c>
      <c r="X78" s="106" t="s">
        <v>50</v>
      </c>
      <c r="Y78" s="106"/>
      <c r="Z78" s="160" t="e">
        <f ca="1" t="shared" ref="Z78:AD78" si="67">Z31/Z56</f>
        <v>#DIV/0!</v>
      </c>
      <c r="AA78" s="160" t="e">
        <f ca="1" t="shared" si="67"/>
        <v>#DIV/0!</v>
      </c>
      <c r="AB78" s="160" t="e">
        <f ca="1" t="shared" si="67"/>
        <v>#DIV/0!</v>
      </c>
      <c r="AC78" s="160" t="e">
        <f ca="1" t="shared" si="67"/>
        <v>#DIV/0!</v>
      </c>
      <c r="AD78" s="160" t="e">
        <f ca="1" t="shared" si="67"/>
        <v>#DIV/0!</v>
      </c>
    </row>
    <row r="79" s="91" customFormat="1" spans="1:30">
      <c r="A79" s="132">
        <v>296.5</v>
      </c>
      <c r="B79" s="133">
        <v>1303.19</v>
      </c>
      <c r="C79" s="133">
        <v>1296.68</v>
      </c>
      <c r="D79" s="133">
        <v>1277.82</v>
      </c>
      <c r="E79" s="133">
        <v>1235.31</v>
      </c>
      <c r="F79" s="133">
        <v>1171.81</v>
      </c>
      <c r="G79" s="133">
        <v>1096.23</v>
      </c>
      <c r="H79" s="133">
        <v>1018.82</v>
      </c>
      <c r="I79" s="133">
        <v>975.82</v>
      </c>
      <c r="J79" s="133"/>
      <c r="K79" s="132">
        <f t="shared" si="50"/>
        <v>296.5</v>
      </c>
      <c r="L79" s="133">
        <f t="shared" si="52"/>
        <v>1311.47034532374</v>
      </c>
      <c r="M79" s="133">
        <f t="shared" si="53"/>
        <v>1283.49034185877</v>
      </c>
      <c r="N79" s="133">
        <f t="shared" si="54"/>
        <v>1258.37987199909</v>
      </c>
      <c r="O79" s="133">
        <f t="shared" si="55"/>
        <v>1235.53969394399</v>
      </c>
      <c r="P79" s="133">
        <f t="shared" si="56"/>
        <v>1202.01338444172</v>
      </c>
      <c r="Q79" s="133">
        <f t="shared" si="57"/>
        <v>1172.32431771182</v>
      </c>
      <c r="R79" s="133">
        <f t="shared" si="58"/>
        <v>1133.26497487464</v>
      </c>
      <c r="S79" s="133">
        <f t="shared" si="59"/>
        <v>1097.12669641413</v>
      </c>
      <c r="T79" s="133">
        <f t="shared" si="60"/>
        <v>1057.43724727894</v>
      </c>
      <c r="U79" s="133">
        <f t="shared" si="61"/>
        <v>1020.00440194215</v>
      </c>
      <c r="V79" s="133">
        <f t="shared" si="62"/>
        <v>979.900291970803</v>
      </c>
      <c r="X79" s="106" t="s">
        <v>51</v>
      </c>
      <c r="Y79" s="106"/>
      <c r="Z79" s="160" t="e">
        <f ca="1" t="shared" ref="Z79:AD79" si="68">Z32/Z57</f>
        <v>#DIV/0!</v>
      </c>
      <c r="AA79" s="160" t="e">
        <f ca="1" t="shared" si="68"/>
        <v>#DIV/0!</v>
      </c>
      <c r="AB79" s="160" t="e">
        <f ca="1" t="shared" si="68"/>
        <v>#DIV/0!</v>
      </c>
      <c r="AC79" s="160" t="e">
        <f ca="1" t="shared" si="68"/>
        <v>#DIV/0!</v>
      </c>
      <c r="AD79" s="160" t="e">
        <f ca="1" t="shared" si="68"/>
        <v>#DIV/0!</v>
      </c>
    </row>
    <row r="80" s="91" customFormat="1" spans="1:30">
      <c r="A80" s="132">
        <v>357.5</v>
      </c>
      <c r="B80" s="133">
        <v>1286.28</v>
      </c>
      <c r="C80" s="133">
        <v>1280.67</v>
      </c>
      <c r="D80" s="133">
        <v>1264.22</v>
      </c>
      <c r="E80" s="133">
        <v>1226.2</v>
      </c>
      <c r="F80" s="133">
        <v>1167.54</v>
      </c>
      <c r="G80" s="133">
        <v>1095</v>
      </c>
      <c r="H80" s="133">
        <v>1018.74</v>
      </c>
      <c r="I80" s="133">
        <v>976.7</v>
      </c>
      <c r="J80" s="133"/>
      <c r="K80" s="132">
        <f t="shared" si="50"/>
        <v>357.5</v>
      </c>
      <c r="L80" s="133">
        <f t="shared" si="52"/>
        <v>1293.4155971223</v>
      </c>
      <c r="M80" s="133">
        <f t="shared" si="53"/>
        <v>1269.16576477077</v>
      </c>
      <c r="N80" s="133">
        <f t="shared" si="54"/>
        <v>1246.83318121396</v>
      </c>
      <c r="O80" s="133">
        <f t="shared" si="55"/>
        <v>1226.4054331628</v>
      </c>
      <c r="P80" s="133">
        <f t="shared" si="56"/>
        <v>1195.44126821026</v>
      </c>
      <c r="Q80" s="133">
        <f t="shared" si="57"/>
        <v>1168.01511617284</v>
      </c>
      <c r="R80" s="133">
        <f t="shared" si="58"/>
        <v>1130.54534370742</v>
      </c>
      <c r="S80" s="133">
        <f t="shared" si="59"/>
        <v>1095.86062923897</v>
      </c>
      <c r="T80" s="133">
        <f t="shared" si="60"/>
        <v>1056.78355093</v>
      </c>
      <c r="U80" s="133">
        <f t="shared" si="61"/>
        <v>1019.90680651219</v>
      </c>
      <c r="V80" s="133">
        <f t="shared" si="62"/>
        <v>980.689197080292</v>
      </c>
      <c r="X80" s="106" t="s">
        <v>52</v>
      </c>
      <c r="Y80" s="106"/>
      <c r="Z80" s="160" t="e">
        <f ca="1" t="shared" ref="Z80:AD80" si="69">Z33/Z58</f>
        <v>#DIV/0!</v>
      </c>
      <c r="AA80" s="160" t="e">
        <f ca="1" t="shared" si="69"/>
        <v>#DIV/0!</v>
      </c>
      <c r="AB80" s="160" t="e">
        <f ca="1" t="shared" si="69"/>
        <v>#DIV/0!</v>
      </c>
      <c r="AC80" s="160" t="e">
        <f ca="1" t="shared" si="69"/>
        <v>#DIV/0!</v>
      </c>
      <c r="AD80" s="160" t="e">
        <f ca="1" t="shared" si="69"/>
        <v>#DIV/0!</v>
      </c>
    </row>
    <row r="81" s="91" customFormat="1" spans="1:30">
      <c r="A81" s="132">
        <v>412.5</v>
      </c>
      <c r="B81" s="133">
        <v>1266.24</v>
      </c>
      <c r="C81" s="133">
        <v>1261.52</v>
      </c>
      <c r="D81" s="133">
        <v>1247.44</v>
      </c>
      <c r="E81" s="133">
        <v>1213.96</v>
      </c>
      <c r="F81" s="133">
        <v>1160.9</v>
      </c>
      <c r="G81" s="133">
        <v>1093</v>
      </c>
      <c r="H81" s="133">
        <v>1018.85</v>
      </c>
      <c r="I81" s="133">
        <v>977.16</v>
      </c>
      <c r="J81" s="133"/>
      <c r="K81" s="132">
        <f t="shared" si="50"/>
        <v>412.5</v>
      </c>
      <c r="L81" s="133">
        <f t="shared" si="52"/>
        <v>1272.24356834532</v>
      </c>
      <c r="M81" s="133">
        <f t="shared" si="53"/>
        <v>1251.67321385851</v>
      </c>
      <c r="N81" s="133">
        <f t="shared" si="54"/>
        <v>1232.12935578757</v>
      </c>
      <c r="O81" s="133">
        <f t="shared" si="55"/>
        <v>1214.140902217</v>
      </c>
      <c r="P81" s="133">
        <f t="shared" si="56"/>
        <v>1186.13766265319</v>
      </c>
      <c r="Q81" s="133">
        <f t="shared" si="57"/>
        <v>1161.3297590203</v>
      </c>
      <c r="R81" s="133">
        <f t="shared" si="58"/>
        <v>1126.27169613639</v>
      </c>
      <c r="S81" s="133">
        <f t="shared" si="59"/>
        <v>1093.80557934003</v>
      </c>
      <c r="T81" s="133">
        <f t="shared" si="60"/>
        <v>1055.84094284631</v>
      </c>
      <c r="U81" s="133">
        <f t="shared" si="61"/>
        <v>1019.9845227233</v>
      </c>
      <c r="V81" s="133">
        <f t="shared" si="62"/>
        <v>981.11598540146</v>
      </c>
      <c r="X81" s="106" t="s">
        <v>53</v>
      </c>
      <c r="Y81" s="106"/>
      <c r="Z81" s="160" t="e">
        <f ca="1" t="shared" ref="Z81:AD81" si="70">Z34/Z59</f>
        <v>#DIV/0!</v>
      </c>
      <c r="AA81" s="160" t="e">
        <f ca="1" t="shared" si="70"/>
        <v>#DIV/0!</v>
      </c>
      <c r="AB81" s="160" t="e">
        <f ca="1" t="shared" si="70"/>
        <v>#DIV/0!</v>
      </c>
      <c r="AC81" s="160" t="e">
        <f ca="1" t="shared" si="70"/>
        <v>#DIV/0!</v>
      </c>
      <c r="AD81" s="160" t="e">
        <f ca="1" t="shared" si="70"/>
        <v>#DIV/0!</v>
      </c>
    </row>
    <row r="82" s="91" customFormat="1" spans="1:30">
      <c r="A82" s="132">
        <v>467.5</v>
      </c>
      <c r="B82" s="133">
        <v>1241.77</v>
      </c>
      <c r="C82" s="133">
        <v>1237.97</v>
      </c>
      <c r="D82" s="133">
        <v>1226.35</v>
      </c>
      <c r="E82" s="133">
        <v>1197.9</v>
      </c>
      <c r="F82" s="133">
        <v>1151.44</v>
      </c>
      <c r="G82" s="133">
        <v>1089.26</v>
      </c>
      <c r="H82" s="133">
        <v>1017.78</v>
      </c>
      <c r="I82" s="133">
        <v>976.54</v>
      </c>
      <c r="J82" s="133"/>
      <c r="K82" s="132">
        <f t="shared" si="50"/>
        <v>467.5</v>
      </c>
      <c r="L82" s="133">
        <f t="shared" si="52"/>
        <v>1246.60338129496</v>
      </c>
      <c r="M82" s="133">
        <f t="shared" si="53"/>
        <v>1229.84360405084</v>
      </c>
      <c r="N82" s="133">
        <f t="shared" si="54"/>
        <v>1213.33961087683</v>
      </c>
      <c r="O82" s="133">
        <f t="shared" si="55"/>
        <v>1198.05372365811</v>
      </c>
      <c r="P82" s="133">
        <f t="shared" si="56"/>
        <v>1173.53841324665</v>
      </c>
      <c r="Q82" s="133">
        <f t="shared" si="57"/>
        <v>1151.81630237624</v>
      </c>
      <c r="R82" s="133">
        <f t="shared" si="58"/>
        <v>1119.72883749279</v>
      </c>
      <c r="S82" s="133">
        <f t="shared" si="59"/>
        <v>1089.99771610255</v>
      </c>
      <c r="T82" s="133">
        <f t="shared" si="60"/>
        <v>1053.43896958401</v>
      </c>
      <c r="U82" s="133">
        <f t="shared" si="61"/>
        <v>1018.87367072504</v>
      </c>
      <c r="V82" s="133">
        <f t="shared" si="62"/>
        <v>980.453284671533</v>
      </c>
      <c r="X82" s="106" t="s">
        <v>54</v>
      </c>
      <c r="Y82" s="106"/>
      <c r="Z82" s="160" t="e">
        <f ca="1" t="shared" ref="Z82:AD82" si="71">Z35/Z60</f>
        <v>#DIV/0!</v>
      </c>
      <c r="AA82" s="160" t="e">
        <f ca="1" t="shared" si="71"/>
        <v>#DIV/0!</v>
      </c>
      <c r="AB82" s="160" t="e">
        <f ca="1" t="shared" si="71"/>
        <v>#DIV/0!</v>
      </c>
      <c r="AC82" s="160" t="e">
        <f ca="1" t="shared" si="71"/>
        <v>#DIV/0!</v>
      </c>
      <c r="AD82" s="160" t="e">
        <f ca="1" t="shared" si="71"/>
        <v>#DIV/0!</v>
      </c>
    </row>
    <row r="83" s="91" customFormat="1" spans="1:30">
      <c r="A83" s="132">
        <v>522.5</v>
      </c>
      <c r="B83" s="133">
        <v>1212.91</v>
      </c>
      <c r="C83" s="133">
        <v>1209.95</v>
      </c>
      <c r="D83" s="133">
        <v>1200.72</v>
      </c>
      <c r="E83" s="133">
        <v>1177.54</v>
      </c>
      <c r="F83" s="133">
        <v>1138.41</v>
      </c>
      <c r="G83" s="133">
        <v>1082.83</v>
      </c>
      <c r="H83" s="133">
        <v>1014.4</v>
      </c>
      <c r="I83" s="133">
        <v>973.67</v>
      </c>
      <c r="J83" s="133"/>
      <c r="K83" s="132">
        <f t="shared" si="50"/>
        <v>522.5</v>
      </c>
      <c r="L83" s="133">
        <f t="shared" si="52"/>
        <v>1216.67494964029</v>
      </c>
      <c r="M83" s="133">
        <f t="shared" si="53"/>
        <v>1203.49504005071</v>
      </c>
      <c r="N83" s="133">
        <f t="shared" si="54"/>
        <v>1190.11961968805</v>
      </c>
      <c r="O83" s="133">
        <f t="shared" si="55"/>
        <v>1177.66524830914</v>
      </c>
      <c r="P83" s="133">
        <f t="shared" si="56"/>
        <v>1157.02194382999</v>
      </c>
      <c r="Q83" s="133">
        <f t="shared" si="57"/>
        <v>1138.72693310336</v>
      </c>
      <c r="R83" s="133">
        <f t="shared" si="58"/>
        <v>1110.06476982711</v>
      </c>
      <c r="S83" s="133">
        <f t="shared" si="59"/>
        <v>1083.489412367</v>
      </c>
      <c r="T83" s="133">
        <f t="shared" si="60"/>
        <v>1048.53742709337</v>
      </c>
      <c r="U83" s="133">
        <f t="shared" si="61"/>
        <v>1015.4470045847</v>
      </c>
      <c r="V83" s="133">
        <f t="shared" si="62"/>
        <v>977.534890510949</v>
      </c>
      <c r="X83" s="106" t="s">
        <v>55</v>
      </c>
      <c r="Y83" s="106"/>
      <c r="Z83" s="160" t="e">
        <f ca="1" t="shared" ref="Z83:AD83" si="72">Z36/Z61</f>
        <v>#DIV/0!</v>
      </c>
      <c r="AA83" s="160" t="e">
        <f ca="1" t="shared" si="72"/>
        <v>#DIV/0!</v>
      </c>
      <c r="AB83" s="160" t="e">
        <f ca="1" t="shared" si="72"/>
        <v>#DIV/0!</v>
      </c>
      <c r="AC83" s="160" t="e">
        <f ca="1" t="shared" si="72"/>
        <v>#DIV/0!</v>
      </c>
      <c r="AD83" s="160" t="e">
        <f ca="1" t="shared" si="72"/>
        <v>#DIV/0!</v>
      </c>
    </row>
    <row r="84" s="91" customFormat="1" spans="1:30">
      <c r="A84" s="132">
        <v>577.5</v>
      </c>
      <c r="B84" s="133">
        <v>1179.7</v>
      </c>
      <c r="C84" s="133">
        <v>1177.4</v>
      </c>
      <c r="D84" s="133">
        <v>1170.15</v>
      </c>
      <c r="E84" s="133">
        <v>1151.68</v>
      </c>
      <c r="F84" s="133">
        <v>1119.67</v>
      </c>
      <c r="G84" s="133">
        <v>1070.46</v>
      </c>
      <c r="H84" s="133">
        <v>1000.39</v>
      </c>
      <c r="I84" s="133">
        <v>953.6</v>
      </c>
      <c r="J84" s="133"/>
      <c r="K84" s="132">
        <f t="shared" si="50"/>
        <v>577.5</v>
      </c>
      <c r="L84" s="133">
        <f t="shared" si="52"/>
        <v>1182.6254676259</v>
      </c>
      <c r="M84" s="133">
        <f t="shared" si="53"/>
        <v>1172.32974435186</v>
      </c>
      <c r="N84" s="133">
        <f t="shared" si="54"/>
        <v>1161.70353648137</v>
      </c>
      <c r="O84" s="133">
        <f t="shared" si="55"/>
        <v>1151.7797988037</v>
      </c>
      <c r="P84" s="133">
        <f t="shared" si="56"/>
        <v>1134.89535962172</v>
      </c>
      <c r="Q84" s="133">
        <f t="shared" si="57"/>
        <v>1119.92926472371</v>
      </c>
      <c r="R84" s="133">
        <f t="shared" si="58"/>
        <v>1094.57340451947</v>
      </c>
      <c r="S84" s="133">
        <f t="shared" si="59"/>
        <v>1071.04383739798</v>
      </c>
      <c r="T84" s="133">
        <f t="shared" si="60"/>
        <v>1035.34556797358</v>
      </c>
      <c r="U84" s="133">
        <f t="shared" si="61"/>
        <v>1001.46209719787</v>
      </c>
      <c r="V84" s="133">
        <f t="shared" si="62"/>
        <v>958.039927007299</v>
      </c>
      <c r="X84" s="106" t="s">
        <v>56</v>
      </c>
      <c r="Y84" s="106"/>
      <c r="Z84" s="160" t="e">
        <f ca="1" t="shared" ref="Z84:AD84" si="73">Z37/Z62</f>
        <v>#DIV/0!</v>
      </c>
      <c r="AA84" s="160" t="e">
        <f ca="1" t="shared" si="73"/>
        <v>#DIV/0!</v>
      </c>
      <c r="AB84" s="160" t="e">
        <f ca="1" t="shared" si="73"/>
        <v>#DIV/0!</v>
      </c>
      <c r="AC84" s="160" t="e">
        <f ca="1" t="shared" si="73"/>
        <v>#DIV/0!</v>
      </c>
      <c r="AD84" s="160" t="e">
        <f ca="1" t="shared" si="73"/>
        <v>#DIV/0!</v>
      </c>
    </row>
    <row r="85" s="91" customFormat="1" spans="1:30">
      <c r="A85" s="132">
        <v>632.5</v>
      </c>
      <c r="B85" s="133">
        <v>1142.59</v>
      </c>
      <c r="C85" s="133">
        <v>1140.84</v>
      </c>
      <c r="D85" s="133">
        <v>1135.21</v>
      </c>
      <c r="E85" s="133">
        <v>1120.52</v>
      </c>
      <c r="F85" s="133">
        <v>1094.13</v>
      </c>
      <c r="G85" s="133">
        <v>1050.31</v>
      </c>
      <c r="H85" s="133">
        <v>984.55</v>
      </c>
      <c r="I85" s="133">
        <v>940.62</v>
      </c>
      <c r="J85" s="133"/>
      <c r="K85" s="132">
        <f t="shared" si="50"/>
        <v>632.5</v>
      </c>
      <c r="L85" s="133">
        <f t="shared" si="52"/>
        <v>1144.81589928058</v>
      </c>
      <c r="M85" s="133">
        <f t="shared" si="53"/>
        <v>1136.90268423462</v>
      </c>
      <c r="N85" s="133">
        <f t="shared" si="54"/>
        <v>1128.49215760213</v>
      </c>
      <c r="O85" s="133">
        <f t="shared" si="55"/>
        <v>1120.59937435985</v>
      </c>
      <c r="P85" s="133">
        <f t="shared" si="56"/>
        <v>1106.68224118767</v>
      </c>
      <c r="Q85" s="133">
        <f t="shared" si="57"/>
        <v>1094.34374558134</v>
      </c>
      <c r="R85" s="133">
        <f t="shared" si="58"/>
        <v>1071.78224925915</v>
      </c>
      <c r="S85" s="133">
        <f t="shared" si="59"/>
        <v>1050.82988934728</v>
      </c>
      <c r="T85" s="133">
        <f t="shared" si="60"/>
        <v>1017.35545383107</v>
      </c>
      <c r="U85" s="133">
        <f t="shared" si="61"/>
        <v>985.556152586437</v>
      </c>
      <c r="V85" s="133">
        <f t="shared" si="62"/>
        <v>944.788540145986</v>
      </c>
      <c r="X85" s="106" t="s">
        <v>57</v>
      </c>
      <c r="Y85" s="106"/>
      <c r="Z85" s="160" t="e">
        <f ca="1" t="shared" ref="Z85:AD85" si="74">Z38/Z63</f>
        <v>#DIV/0!</v>
      </c>
      <c r="AA85" s="160" t="e">
        <f ca="1" t="shared" si="74"/>
        <v>#DIV/0!</v>
      </c>
      <c r="AB85" s="160" t="e">
        <f ca="1" t="shared" si="74"/>
        <v>#DIV/0!</v>
      </c>
      <c r="AC85" s="160" t="e">
        <f ca="1" t="shared" si="74"/>
        <v>#DIV/0!</v>
      </c>
      <c r="AD85" s="160" t="e">
        <f ca="1" t="shared" si="74"/>
        <v>#DIV/0!</v>
      </c>
    </row>
    <row r="86" s="91" customFormat="1" ht="13.5" customHeight="1" spans="1:30">
      <c r="A86" s="132">
        <v>687.5</v>
      </c>
      <c r="B86" s="133">
        <v>1101.45</v>
      </c>
      <c r="C86" s="133">
        <v>1100.21</v>
      </c>
      <c r="D86" s="133">
        <v>1096.11</v>
      </c>
      <c r="E86" s="133">
        <v>1084.96</v>
      </c>
      <c r="F86" s="133">
        <v>1063.89</v>
      </c>
      <c r="G86" s="133">
        <v>1026.59</v>
      </c>
      <c r="H86" s="133">
        <v>966.5</v>
      </c>
      <c r="I86" s="133">
        <v>924.58</v>
      </c>
      <c r="J86" s="133"/>
      <c r="K86" s="132">
        <f t="shared" si="50"/>
        <v>687.5</v>
      </c>
      <c r="L86" s="133">
        <f t="shared" si="52"/>
        <v>1103.02720863309</v>
      </c>
      <c r="M86" s="133">
        <f t="shared" si="53"/>
        <v>1097.34268301278</v>
      </c>
      <c r="N86" s="133">
        <f t="shared" si="54"/>
        <v>1091.01102500094</v>
      </c>
      <c r="O86" s="133">
        <f t="shared" si="55"/>
        <v>1085.02024670608</v>
      </c>
      <c r="P86" s="133">
        <f t="shared" si="56"/>
        <v>1073.91181590846</v>
      </c>
      <c r="Q86" s="133">
        <f t="shared" si="57"/>
        <v>1064.06065628643</v>
      </c>
      <c r="R86" s="133">
        <f t="shared" si="58"/>
        <v>1044.86738241366</v>
      </c>
      <c r="S86" s="133">
        <f t="shared" si="59"/>
        <v>1027.03253474791</v>
      </c>
      <c r="T86" s="133">
        <f t="shared" si="60"/>
        <v>996.476881397639</v>
      </c>
      <c r="U86" s="133">
        <f t="shared" si="61"/>
        <v>967.41939946653</v>
      </c>
      <c r="V86" s="133">
        <f t="shared" si="62"/>
        <v>928.557810218978</v>
      </c>
      <c r="X86" s="106" t="s">
        <v>58</v>
      </c>
      <c r="Y86" s="106"/>
      <c r="Z86" s="160" t="e">
        <f ca="1" t="shared" ref="Z86:AD86" si="75">Z39/Z64</f>
        <v>#DIV/0!</v>
      </c>
      <c r="AA86" s="160" t="e">
        <f ca="1" t="shared" si="75"/>
        <v>#DIV/0!</v>
      </c>
      <c r="AB86" s="160" t="e">
        <f ca="1" t="shared" si="75"/>
        <v>#DIV/0!</v>
      </c>
      <c r="AC86" s="160" t="e">
        <f ca="1" t="shared" si="75"/>
        <v>#DIV/0!</v>
      </c>
      <c r="AD86" s="160" t="e">
        <f ca="1" t="shared" si="75"/>
        <v>#DIV/0!</v>
      </c>
    </row>
    <row r="87" s="91" customFormat="1" ht="13.5" customHeight="1" spans="1:30">
      <c r="A87" s="132">
        <v>742.5</v>
      </c>
      <c r="B87" s="133">
        <v>1055.17</v>
      </c>
      <c r="C87" s="133">
        <v>1054.36</v>
      </c>
      <c r="D87" s="133">
        <v>1051.61</v>
      </c>
      <c r="E87" s="133">
        <v>1043.88</v>
      </c>
      <c r="F87" s="133">
        <v>1028.35</v>
      </c>
      <c r="G87" s="133">
        <v>997.81</v>
      </c>
      <c r="H87" s="133">
        <v>943.8</v>
      </c>
      <c r="I87" s="133">
        <v>903.69</v>
      </c>
      <c r="J87" s="133"/>
      <c r="K87" s="132">
        <f t="shared" si="50"/>
        <v>742.5</v>
      </c>
      <c r="L87" s="133">
        <f t="shared" si="52"/>
        <v>1056.2002733813</v>
      </c>
      <c r="M87" s="133">
        <f t="shared" si="53"/>
        <v>1052.43679958174</v>
      </c>
      <c r="N87" s="133">
        <f t="shared" si="54"/>
        <v>1048.07501553877</v>
      </c>
      <c r="O87" s="133">
        <f t="shared" si="55"/>
        <v>1043.92176744735</v>
      </c>
      <c r="P87" s="133">
        <f t="shared" si="56"/>
        <v>1035.73674898236</v>
      </c>
      <c r="Q87" s="133">
        <f t="shared" si="57"/>
        <v>1028.47578510338</v>
      </c>
      <c r="R87" s="133">
        <f t="shared" si="58"/>
        <v>1012.77491310759</v>
      </c>
      <c r="S87" s="133">
        <f t="shared" si="59"/>
        <v>998.172332739979</v>
      </c>
      <c r="T87" s="133">
        <f t="shared" si="60"/>
        <v>970.743773744158</v>
      </c>
      <c r="U87" s="133">
        <f t="shared" si="61"/>
        <v>944.626373193331</v>
      </c>
      <c r="V87" s="133">
        <f t="shared" si="62"/>
        <v>907.496058394161</v>
      </c>
      <c r="X87" s="106" t="s">
        <v>59</v>
      </c>
      <c r="Y87" s="106"/>
      <c r="Z87" s="160" t="e">
        <f ca="1" t="shared" ref="Z87:AD87" si="76">Z40/Z65</f>
        <v>#DIV/0!</v>
      </c>
      <c r="AA87" s="160" t="e">
        <f ca="1" t="shared" si="76"/>
        <v>#DIV/0!</v>
      </c>
      <c r="AB87" s="160" t="e">
        <f ca="1" t="shared" si="76"/>
        <v>#DIV/0!</v>
      </c>
      <c r="AC87" s="160" t="e">
        <f ca="1" t="shared" si="76"/>
        <v>#DIV/0!</v>
      </c>
      <c r="AD87" s="160" t="e">
        <f ca="1" t="shared" si="76"/>
        <v>#DIV/0!</v>
      </c>
    </row>
    <row r="88" s="91" customFormat="1" spans="1:30">
      <c r="A88" s="132">
        <v>797.5</v>
      </c>
      <c r="B88" s="133">
        <v>1002.58</v>
      </c>
      <c r="C88" s="133">
        <v>1002.04</v>
      </c>
      <c r="D88" s="133">
        <v>1000.24</v>
      </c>
      <c r="E88" s="133">
        <v>995.26</v>
      </c>
      <c r="F88" s="133">
        <v>984.88</v>
      </c>
      <c r="G88" s="133">
        <v>961.34</v>
      </c>
      <c r="H88" s="133">
        <v>914.08</v>
      </c>
      <c r="I88" s="133">
        <v>875.81</v>
      </c>
      <c r="J88" s="133"/>
      <c r="K88" s="132">
        <f t="shared" si="50"/>
        <v>797.5</v>
      </c>
      <c r="L88" s="133">
        <f t="shared" si="52"/>
        <v>1003.26684892086</v>
      </c>
      <c r="M88" s="133">
        <f t="shared" si="53"/>
        <v>1000.78117790805</v>
      </c>
      <c r="N88" s="133">
        <f t="shared" si="54"/>
        <v>997.962610269477</v>
      </c>
      <c r="O88" s="133">
        <f t="shared" si="55"/>
        <v>995.286908394285</v>
      </c>
      <c r="P88" s="133">
        <f t="shared" si="56"/>
        <v>989.81718315756</v>
      </c>
      <c r="Q88" s="133">
        <f t="shared" si="57"/>
        <v>984.964072722027</v>
      </c>
      <c r="R88" s="133">
        <f t="shared" si="58"/>
        <v>972.874841340951</v>
      </c>
      <c r="S88" s="133">
        <f t="shared" si="59"/>
        <v>961.619283323481</v>
      </c>
      <c r="T88" s="133">
        <f t="shared" si="60"/>
        <v>937.656425609126</v>
      </c>
      <c r="U88" s="133">
        <f t="shared" si="61"/>
        <v>914.803095669632</v>
      </c>
      <c r="V88" s="133">
        <f t="shared" si="62"/>
        <v>879.441459854015</v>
      </c>
      <c r="X88" s="106" t="s">
        <v>60</v>
      </c>
      <c r="Y88" s="106"/>
      <c r="Z88" s="160" t="e">
        <f ca="1" t="shared" ref="Z88:AD88" si="77">Z41/Z66</f>
        <v>#DIV/0!</v>
      </c>
      <c r="AA88" s="160" t="e">
        <f ca="1" t="shared" si="77"/>
        <v>#DIV/0!</v>
      </c>
      <c r="AB88" s="160" t="e">
        <f ca="1" t="shared" si="77"/>
        <v>#DIV/0!</v>
      </c>
      <c r="AC88" s="160" t="e">
        <f ca="1" t="shared" si="77"/>
        <v>#DIV/0!</v>
      </c>
      <c r="AD88" s="160" t="e">
        <f ca="1" t="shared" si="77"/>
        <v>#DIV/0!</v>
      </c>
    </row>
    <row r="89" s="91" customFormat="1" spans="1:30">
      <c r="A89" s="132">
        <v>852.5</v>
      </c>
      <c r="B89" s="133">
        <v>943.09</v>
      </c>
      <c r="C89" s="133">
        <v>942.7</v>
      </c>
      <c r="D89" s="133">
        <v>941.51</v>
      </c>
      <c r="E89" s="133">
        <v>938.44</v>
      </c>
      <c r="F89" s="133">
        <v>932</v>
      </c>
      <c r="G89" s="133">
        <v>914.74</v>
      </c>
      <c r="H89" s="133">
        <v>874.55</v>
      </c>
      <c r="I89" s="133">
        <v>838.3</v>
      </c>
      <c r="J89" s="133"/>
      <c r="K89" s="132">
        <f t="shared" si="50"/>
        <v>852.5</v>
      </c>
      <c r="L89" s="133">
        <f t="shared" si="52"/>
        <v>943.586057553957</v>
      </c>
      <c r="M89" s="133">
        <f t="shared" si="53"/>
        <v>941.867778728099</v>
      </c>
      <c r="N89" s="133">
        <f t="shared" si="54"/>
        <v>940.106066973352</v>
      </c>
      <c r="O89" s="133">
        <f t="shared" si="55"/>
        <v>938.456588106517</v>
      </c>
      <c r="P89" s="133">
        <f t="shared" si="56"/>
        <v>935.063146390625</v>
      </c>
      <c r="Q89" s="133">
        <f t="shared" si="57"/>
        <v>932.052160725419</v>
      </c>
      <c r="R89" s="133">
        <f t="shared" si="58"/>
        <v>923.197576956025</v>
      </c>
      <c r="S89" s="133">
        <f t="shared" si="59"/>
        <v>914.94477613268</v>
      </c>
      <c r="T89" s="133">
        <f t="shared" si="60"/>
        <v>894.599440229175</v>
      </c>
      <c r="U89" s="133">
        <f t="shared" si="61"/>
        <v>875.164922026291</v>
      </c>
      <c r="V89" s="133">
        <f t="shared" si="62"/>
        <v>841.739781021898</v>
      </c>
      <c r="X89" s="106" t="s">
        <v>61</v>
      </c>
      <c r="Y89" s="106"/>
      <c r="Z89" s="160" t="e">
        <f ca="1" t="shared" ref="Z89:AD89" si="78">Z42/Z67</f>
        <v>#DIV/0!</v>
      </c>
      <c r="AA89" s="160" t="e">
        <f ca="1" t="shared" si="78"/>
        <v>#DIV/0!</v>
      </c>
      <c r="AB89" s="160" t="e">
        <f ca="1" t="shared" si="78"/>
        <v>#DIV/0!</v>
      </c>
      <c r="AC89" s="160" t="e">
        <f ca="1" t="shared" si="78"/>
        <v>#DIV/0!</v>
      </c>
      <c r="AD89" s="160" t="e">
        <f ca="1" t="shared" si="78"/>
        <v>#DIV/0!</v>
      </c>
    </row>
    <row r="90" s="91" customFormat="1" spans="1:30">
      <c r="A90" s="132">
        <v>907.5</v>
      </c>
      <c r="B90" s="133">
        <v>875.61</v>
      </c>
      <c r="C90" s="133">
        <v>875.3</v>
      </c>
      <c r="D90" s="133">
        <v>874.46</v>
      </c>
      <c r="E90" s="133">
        <v>872.6</v>
      </c>
      <c r="F90" s="133">
        <v>867.93</v>
      </c>
      <c r="G90" s="133">
        <v>852.66</v>
      </c>
      <c r="H90" s="133">
        <v>818.95</v>
      </c>
      <c r="I90" s="133">
        <v>786.75</v>
      </c>
      <c r="J90" s="133"/>
      <c r="K90" s="132">
        <f t="shared" si="50"/>
        <v>907.5</v>
      </c>
      <c r="L90" s="133">
        <f t="shared" si="52"/>
        <v>876.004302158274</v>
      </c>
      <c r="M90" s="133">
        <f t="shared" si="53"/>
        <v>874.712549690423</v>
      </c>
      <c r="N90" s="133">
        <f t="shared" si="54"/>
        <v>873.609408654865</v>
      </c>
      <c r="O90" s="133">
        <f t="shared" si="55"/>
        <v>872.610050123167</v>
      </c>
      <c r="P90" s="133">
        <f t="shared" si="56"/>
        <v>870.151256777053</v>
      </c>
      <c r="Q90" s="133">
        <f t="shared" si="57"/>
        <v>867.96782462542</v>
      </c>
      <c r="R90" s="133">
        <f t="shared" si="58"/>
        <v>860.142456553795</v>
      </c>
      <c r="S90" s="133">
        <f t="shared" si="59"/>
        <v>852.84116636999</v>
      </c>
      <c r="T90" s="133">
        <f t="shared" si="60"/>
        <v>835.766786019544</v>
      </c>
      <c r="U90" s="133">
        <f t="shared" si="61"/>
        <v>819.46577560354</v>
      </c>
      <c r="V90" s="133">
        <f t="shared" si="62"/>
        <v>789.805474452555</v>
      </c>
      <c r="X90" s="106" t="s">
        <v>62</v>
      </c>
      <c r="Y90" s="106"/>
      <c r="Z90" s="160" t="e">
        <f ca="1" t="shared" ref="Z90:AD90" si="79">Z43/Z68</f>
        <v>#DIV/0!</v>
      </c>
      <c r="AA90" s="160" t="e">
        <f ca="1" t="shared" si="79"/>
        <v>#DIV/0!</v>
      </c>
      <c r="AB90" s="160" t="e">
        <f ca="1" t="shared" si="79"/>
        <v>#DIV/0!</v>
      </c>
      <c r="AC90" s="160" t="e">
        <f ca="1" t="shared" si="79"/>
        <v>#DIV/0!</v>
      </c>
      <c r="AD90" s="160" t="e">
        <f ca="1" t="shared" si="79"/>
        <v>#DIV/0!</v>
      </c>
    </row>
    <row r="91" s="91" customFormat="1" spans="1:30">
      <c r="A91" s="132">
        <v>962.5</v>
      </c>
      <c r="B91" s="133">
        <v>786.53</v>
      </c>
      <c r="C91" s="133">
        <v>786.94</v>
      </c>
      <c r="D91" s="133">
        <v>786.59</v>
      </c>
      <c r="E91" s="133">
        <v>786.19</v>
      </c>
      <c r="F91" s="133">
        <v>782.67</v>
      </c>
      <c r="G91" s="133">
        <v>769.98</v>
      </c>
      <c r="H91" s="133">
        <v>743.81</v>
      </c>
      <c r="I91" s="133">
        <v>717.9</v>
      </c>
      <c r="J91" s="133"/>
      <c r="K91" s="132">
        <f t="shared" si="50"/>
        <v>962.5</v>
      </c>
      <c r="L91" s="133">
        <f t="shared" si="52"/>
        <v>786.008503597122</v>
      </c>
      <c r="M91" s="133">
        <f t="shared" si="53"/>
        <v>786.695229037676</v>
      </c>
      <c r="N91" s="133">
        <f t="shared" si="54"/>
        <v>786.407077130079</v>
      </c>
      <c r="O91" s="133">
        <f t="shared" si="55"/>
        <v>786.19216131681</v>
      </c>
      <c r="P91" s="133">
        <f t="shared" si="56"/>
        <v>784.344266350155</v>
      </c>
      <c r="Q91" s="133">
        <f t="shared" si="57"/>
        <v>782.698510210167</v>
      </c>
      <c r="R91" s="133">
        <f t="shared" si="58"/>
        <v>776.198230102662</v>
      </c>
      <c r="S91" s="133">
        <f t="shared" si="59"/>
        <v>770.130556727909</v>
      </c>
      <c r="T91" s="133">
        <f t="shared" si="60"/>
        <v>756.865333436116</v>
      </c>
      <c r="U91" s="133">
        <f t="shared" si="61"/>
        <v>744.210410784475</v>
      </c>
      <c r="V91" s="133">
        <f t="shared" si="62"/>
        <v>720.358613138686</v>
      </c>
      <c r="X91" s="106" t="s">
        <v>63</v>
      </c>
      <c r="Y91" s="106"/>
      <c r="Z91" s="160" t="e">
        <f ca="1" t="shared" ref="Z91:AD91" si="80">Z44/Z69</f>
        <v>#DIV/0!</v>
      </c>
      <c r="AA91" s="160" t="e">
        <f ca="1" t="shared" si="80"/>
        <v>#DIV/0!</v>
      </c>
      <c r="AB91" s="160" t="e">
        <f ca="1" t="shared" si="80"/>
        <v>#DIV/0!</v>
      </c>
      <c r="AC91" s="160" t="e">
        <f ca="1" t="shared" si="80"/>
        <v>#DIV/0!</v>
      </c>
      <c r="AD91" s="160" t="e">
        <f ca="1" t="shared" si="80"/>
        <v>#DIV/0!</v>
      </c>
    </row>
    <row r="92" s="91" customFormat="1" spans="1:30">
      <c r="A92" s="132">
        <v>1017.5</v>
      </c>
      <c r="B92" s="133">
        <v>675.32</v>
      </c>
      <c r="C92" s="133">
        <v>675.12</v>
      </c>
      <c r="D92" s="133">
        <v>676.12</v>
      </c>
      <c r="E92" s="133">
        <v>675.82</v>
      </c>
      <c r="F92" s="133">
        <v>674.12</v>
      </c>
      <c r="G92" s="133">
        <v>668.12</v>
      </c>
      <c r="H92" s="133">
        <v>654.05</v>
      </c>
      <c r="I92" s="133">
        <v>639.58</v>
      </c>
      <c r="J92" s="133"/>
      <c r="K92" s="132">
        <f t="shared" si="50"/>
        <v>1017.5</v>
      </c>
      <c r="L92" s="133">
        <f t="shared" si="52"/>
        <v>675.574388489209</v>
      </c>
      <c r="M92" s="133">
        <f t="shared" si="53"/>
        <v>675.81934560664</v>
      </c>
      <c r="N92" s="133">
        <f t="shared" si="54"/>
        <v>675.982807847559</v>
      </c>
      <c r="O92" s="133">
        <f t="shared" si="55"/>
        <v>675.821620987608</v>
      </c>
      <c r="P92" s="133">
        <f t="shared" si="56"/>
        <v>674.928594544109</v>
      </c>
      <c r="Q92" s="133">
        <f t="shared" si="57"/>
        <v>674.133769135592</v>
      </c>
      <c r="R92" s="133">
        <f t="shared" si="58"/>
        <v>671.060061514261</v>
      </c>
      <c r="S92" s="133">
        <f t="shared" si="59"/>
        <v>668.191185214141</v>
      </c>
      <c r="T92" s="133">
        <f t="shared" si="60"/>
        <v>661.069050112577</v>
      </c>
      <c r="U92" s="133">
        <f t="shared" si="61"/>
        <v>654.26527626051</v>
      </c>
      <c r="V92" s="133">
        <f t="shared" si="62"/>
        <v>640.953065693431</v>
      </c>
      <c r="X92" s="106" t="s">
        <v>64</v>
      </c>
      <c r="Y92" s="106"/>
      <c r="Z92" s="160" t="e">
        <f ca="1" t="shared" ref="Z92:AD92" si="81">Z45/Z70</f>
        <v>#DIV/0!</v>
      </c>
      <c r="AA92" s="160" t="e">
        <f ca="1" t="shared" si="81"/>
        <v>#DIV/0!</v>
      </c>
      <c r="AB92" s="160" t="e">
        <f ca="1" t="shared" si="81"/>
        <v>#DIV/0!</v>
      </c>
      <c r="AC92" s="160" t="e">
        <f ca="1" t="shared" si="81"/>
        <v>#DIV/0!</v>
      </c>
      <c r="AD92" s="160" t="e">
        <f ca="1" t="shared" si="81"/>
        <v>#DIV/0!</v>
      </c>
    </row>
    <row r="93" s="91" customFormat="1" spans="1:22">
      <c r="A93" s="132">
        <v>1072.5</v>
      </c>
      <c r="B93" s="133">
        <v>593.37</v>
      </c>
      <c r="C93" s="133">
        <v>585.68</v>
      </c>
      <c r="D93" s="133">
        <v>572.08</v>
      </c>
      <c r="E93" s="133">
        <v>565.78</v>
      </c>
      <c r="F93" s="133">
        <v>559.9</v>
      </c>
      <c r="G93" s="133">
        <v>558.89</v>
      </c>
      <c r="H93" s="133">
        <v>559.44</v>
      </c>
      <c r="I93" s="133">
        <v>559.37</v>
      </c>
      <c r="J93" s="133"/>
      <c r="K93" s="132">
        <f t="shared" si="50"/>
        <v>1072.5</v>
      </c>
      <c r="L93" s="133">
        <f t="shared" si="52"/>
        <v>603.151237410072</v>
      </c>
      <c r="M93" s="133">
        <f t="shared" si="53"/>
        <v>576.168899749698</v>
      </c>
      <c r="N93" s="133">
        <f t="shared" si="54"/>
        <v>569.198964798736</v>
      </c>
      <c r="O93" s="133">
        <f t="shared" si="55"/>
        <v>565.814040739758</v>
      </c>
      <c r="P93" s="133">
        <f t="shared" si="56"/>
        <v>562.696785834919</v>
      </c>
      <c r="Q93" s="133">
        <f t="shared" si="57"/>
        <v>559.947625010166</v>
      </c>
      <c r="R93" s="133">
        <f t="shared" si="58"/>
        <v>559.384910354901</v>
      </c>
      <c r="S93" s="133">
        <f t="shared" si="59"/>
        <v>558.90198284438</v>
      </c>
      <c r="T93" s="133">
        <f t="shared" si="60"/>
        <v>559.165623485294</v>
      </c>
      <c r="U93" s="133">
        <f t="shared" si="61"/>
        <v>559.431584794365</v>
      </c>
      <c r="V93" s="133">
        <f t="shared" si="62"/>
        <v>559.376642335766</v>
      </c>
    </row>
    <row r="94" s="91" customFormat="1" spans="1:22">
      <c r="A94" s="129"/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</row>
    <row r="95" s="91" customFormat="1" spans="1:22">
      <c r="A95" s="129" t="s">
        <v>142</v>
      </c>
      <c r="B95" s="129"/>
      <c r="C95" s="129"/>
      <c r="D95" s="129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</row>
    <row r="96" s="91" customFormat="1" spans="1:22">
      <c r="A96" s="132" t="s">
        <v>128</v>
      </c>
      <c r="B96" s="133">
        <v>17.68</v>
      </c>
      <c r="C96" s="133">
        <v>31.58</v>
      </c>
      <c r="D96" s="133">
        <v>54.25</v>
      </c>
      <c r="E96" s="133">
        <v>82.31</v>
      </c>
      <c r="F96" s="133">
        <v>106.26</v>
      </c>
      <c r="G96" s="133">
        <v>125.73</v>
      </c>
      <c r="H96" s="133">
        <v>142.56</v>
      </c>
      <c r="I96" s="133">
        <v>150.78</v>
      </c>
      <c r="J96" s="133"/>
      <c r="K96" s="132" t="str">
        <f t="shared" ref="K96:K116" si="82">A96</f>
        <v>R/Z[cm]</v>
      </c>
      <c r="L96" s="141">
        <v>0</v>
      </c>
      <c r="M96" s="141">
        <f t="shared" ref="M96:V96" si="83">SQRT(L96*L96+150*150/10)</f>
        <v>47.4341649025257</v>
      </c>
      <c r="N96" s="141">
        <f t="shared" si="83"/>
        <v>67.0820393249937</v>
      </c>
      <c r="O96" s="141">
        <f t="shared" si="83"/>
        <v>82.1583836257749</v>
      </c>
      <c r="P96" s="141">
        <f t="shared" si="83"/>
        <v>94.8683298050514</v>
      </c>
      <c r="Q96" s="141">
        <f t="shared" si="83"/>
        <v>106.066017177982</v>
      </c>
      <c r="R96" s="141">
        <f t="shared" si="83"/>
        <v>116.189500386223</v>
      </c>
      <c r="S96" s="141">
        <f t="shared" si="83"/>
        <v>125.499003980111</v>
      </c>
      <c r="T96" s="141">
        <f t="shared" si="83"/>
        <v>134.164078649987</v>
      </c>
      <c r="U96" s="141">
        <f t="shared" si="83"/>
        <v>142.302494707577</v>
      </c>
      <c r="V96" s="141">
        <f t="shared" si="83"/>
        <v>150</v>
      </c>
    </row>
    <row r="97" s="91" customFormat="1" spans="1:22">
      <c r="A97" s="132">
        <v>27.5</v>
      </c>
      <c r="B97" s="133">
        <v>1284.93</v>
      </c>
      <c r="C97" s="133">
        <v>1274.25</v>
      </c>
      <c r="D97" s="133">
        <v>1246.81</v>
      </c>
      <c r="E97" s="133">
        <v>1193.68</v>
      </c>
      <c r="F97" s="133">
        <v>1137.2</v>
      </c>
      <c r="G97" s="133">
        <v>1095.87</v>
      </c>
      <c r="H97" s="133">
        <v>1051.43</v>
      </c>
      <c r="I97" s="133">
        <v>1015.55</v>
      </c>
      <c r="J97" s="133"/>
      <c r="K97" s="132">
        <f t="shared" si="82"/>
        <v>27.5</v>
      </c>
      <c r="L97" s="133">
        <f t="shared" ref="L97:L116" si="84">TREND(B97:C97,B$4:C$4,L$4)</f>
        <v>1298.51434532374</v>
      </c>
      <c r="M97" s="133">
        <f t="shared" ref="M97:M116" si="85">TREND(C97:D97,C$4:D$4,M$4)</f>
        <v>1255.0599565538</v>
      </c>
      <c r="N97" s="133">
        <f t="shared" ref="N97:N116" si="86">TREND(D97:E97,D$4:E$4,N$4)</f>
        <v>1222.51326980268</v>
      </c>
      <c r="O97" s="133">
        <f t="shared" ref="O97:O116" si="87">TREND(D97:E97,D$4:E$4,O$4)</f>
        <v>1193.9670769053</v>
      </c>
      <c r="P97" s="133">
        <f t="shared" ref="P97:P116" si="88">TREND(E97:F97,E$4:F$4,P$4)</f>
        <v>1164.0643646184</v>
      </c>
      <c r="Q97" s="133">
        <f t="shared" ref="Q97:Q116" si="89">TREND(E97:F97,E$4:F$4,Q$4)</f>
        <v>1137.65745928132</v>
      </c>
      <c r="R97" s="133">
        <f t="shared" ref="R97:R116" si="90">TREND(F97:G97,F$4:G$4,R$4)</f>
        <v>1116.12212373074</v>
      </c>
      <c r="S97" s="133">
        <f t="shared" ref="S97:S116" si="91">TREND(F97:G97,F$4:G$4,S$4)</f>
        <v>1096.36034748341</v>
      </c>
      <c r="T97" s="133">
        <f t="shared" ref="T97:T116" si="92">TREND(G97:H97,G$4:H$4,T$4)</f>
        <v>1073.59962238827</v>
      </c>
      <c r="U97" s="133">
        <f t="shared" ref="U97:U116" si="93">TREND(G97:H97,G$4:H$4,U$4)</f>
        <v>1052.10994861529</v>
      </c>
      <c r="V97" s="133">
        <f t="shared" ref="V97:V116" si="94">TREND(H97:I97,H$4:I$4,V$4)</f>
        <v>1018.95467153285</v>
      </c>
    </row>
    <row r="98" s="91" customFormat="1" spans="1:22">
      <c r="A98" s="132">
        <v>82.5</v>
      </c>
      <c r="B98" s="133">
        <v>1314.26</v>
      </c>
      <c r="C98" s="133">
        <v>1305.45</v>
      </c>
      <c r="D98" s="133">
        <v>1281.96</v>
      </c>
      <c r="E98" s="133">
        <v>1234.18</v>
      </c>
      <c r="F98" s="133">
        <v>1170.71</v>
      </c>
      <c r="G98" s="133">
        <v>1104.59</v>
      </c>
      <c r="H98" s="133">
        <v>1041.15</v>
      </c>
      <c r="I98" s="133">
        <v>1003.9</v>
      </c>
      <c r="J98" s="133"/>
      <c r="K98" s="132">
        <f t="shared" si="82"/>
        <v>82.5</v>
      </c>
      <c r="L98" s="133">
        <f t="shared" si="84"/>
        <v>1325.46581294964</v>
      </c>
      <c r="M98" s="133">
        <f t="shared" si="85"/>
        <v>1289.02237170003</v>
      </c>
      <c r="N98" s="133">
        <f t="shared" si="86"/>
        <v>1260.10986318788</v>
      </c>
      <c r="O98" s="133">
        <f t="shared" si="87"/>
        <v>1234.43816929296</v>
      </c>
      <c r="P98" s="133">
        <f t="shared" si="88"/>
        <v>1200.89911512624</v>
      </c>
      <c r="Q98" s="133">
        <f t="shared" si="89"/>
        <v>1171.22407472708</v>
      </c>
      <c r="R98" s="133">
        <f t="shared" si="90"/>
        <v>1136.98947788716</v>
      </c>
      <c r="S98" s="133">
        <f t="shared" si="91"/>
        <v>1105.37446105984</v>
      </c>
      <c r="T98" s="133">
        <f t="shared" si="92"/>
        <v>1072.7980838054</v>
      </c>
      <c r="U98" s="133">
        <f t="shared" si="93"/>
        <v>1042.12065571903</v>
      </c>
      <c r="V98" s="133">
        <f t="shared" si="94"/>
        <v>1007.43467153285</v>
      </c>
    </row>
    <row r="99" s="91" customFormat="1" spans="1:22">
      <c r="A99" s="132">
        <v>137.5</v>
      </c>
      <c r="B99" s="133">
        <v>1317.5</v>
      </c>
      <c r="C99" s="133">
        <v>1309.3</v>
      </c>
      <c r="D99" s="133">
        <v>1286.97</v>
      </c>
      <c r="E99" s="133">
        <v>1240.25</v>
      </c>
      <c r="F99" s="133">
        <v>1175.36</v>
      </c>
      <c r="G99" s="133">
        <v>1104.04</v>
      </c>
      <c r="H99" s="133">
        <v>1035.1</v>
      </c>
      <c r="I99" s="133">
        <v>997.21</v>
      </c>
      <c r="J99" s="133"/>
      <c r="K99" s="132">
        <f t="shared" si="82"/>
        <v>137.5</v>
      </c>
      <c r="L99" s="133">
        <f t="shared" si="84"/>
        <v>1327.92992805755</v>
      </c>
      <c r="M99" s="133">
        <f t="shared" si="85"/>
        <v>1293.68361260373</v>
      </c>
      <c r="N99" s="133">
        <f t="shared" si="86"/>
        <v>1265.60460879317</v>
      </c>
      <c r="O99" s="133">
        <f t="shared" si="87"/>
        <v>1240.50244180341</v>
      </c>
      <c r="P99" s="133">
        <f t="shared" si="88"/>
        <v>1206.22452939249</v>
      </c>
      <c r="Q99" s="133">
        <f t="shared" si="89"/>
        <v>1175.88557600504</v>
      </c>
      <c r="R99" s="133">
        <f t="shared" si="90"/>
        <v>1138.98753119952</v>
      </c>
      <c r="S99" s="133">
        <f t="shared" si="91"/>
        <v>1104.88615491209</v>
      </c>
      <c r="T99" s="133">
        <f t="shared" si="92"/>
        <v>1069.49184895246</v>
      </c>
      <c r="U99" s="133">
        <f t="shared" si="93"/>
        <v>1036.15480777538</v>
      </c>
      <c r="V99" s="133">
        <f t="shared" si="94"/>
        <v>1000.80540145985</v>
      </c>
    </row>
    <row r="100" s="91" customFormat="1" spans="1:22">
      <c r="A100" s="132">
        <v>192.5</v>
      </c>
      <c r="B100" s="133">
        <v>1315.83</v>
      </c>
      <c r="C100" s="133">
        <v>1308.12</v>
      </c>
      <c r="D100" s="133">
        <v>1286.9</v>
      </c>
      <c r="E100" s="133">
        <v>1241.46</v>
      </c>
      <c r="F100" s="133">
        <v>1176.43</v>
      </c>
      <c r="G100" s="133">
        <v>1103.1</v>
      </c>
      <c r="H100" s="133">
        <v>1032.21</v>
      </c>
      <c r="I100" s="133">
        <v>994.11</v>
      </c>
      <c r="J100" s="133"/>
      <c r="K100" s="132">
        <f t="shared" si="82"/>
        <v>192.5</v>
      </c>
      <c r="L100" s="133">
        <f t="shared" si="84"/>
        <v>1325.63667625899</v>
      </c>
      <c r="M100" s="133">
        <f t="shared" si="85"/>
        <v>1293.2798862271</v>
      </c>
      <c r="N100" s="133">
        <f t="shared" si="86"/>
        <v>1266.11996197692</v>
      </c>
      <c r="O100" s="133">
        <f t="shared" si="87"/>
        <v>1241.70552558962</v>
      </c>
      <c r="P100" s="133">
        <f t="shared" si="88"/>
        <v>1207.36111953142</v>
      </c>
      <c r="Q100" s="133">
        <f t="shared" si="89"/>
        <v>1176.95670993385</v>
      </c>
      <c r="R100" s="133">
        <f t="shared" si="90"/>
        <v>1139.0324518068</v>
      </c>
      <c r="S100" s="133">
        <f t="shared" si="91"/>
        <v>1103.97000195883</v>
      </c>
      <c r="T100" s="133">
        <f t="shared" si="92"/>
        <v>1067.57463841369</v>
      </c>
      <c r="U100" s="133">
        <f t="shared" si="93"/>
        <v>1033.29464350445</v>
      </c>
      <c r="V100" s="133">
        <f t="shared" si="94"/>
        <v>997.725328467153</v>
      </c>
    </row>
    <row r="101" s="91" customFormat="1" spans="1:22">
      <c r="A101" s="132">
        <v>241.5</v>
      </c>
      <c r="B101" s="133">
        <v>1311.05</v>
      </c>
      <c r="C101" s="133">
        <v>1303.88</v>
      </c>
      <c r="D101" s="133">
        <v>1283.96</v>
      </c>
      <c r="E101" s="133">
        <v>1240.48</v>
      </c>
      <c r="F101" s="133">
        <v>1176.8</v>
      </c>
      <c r="G101" s="133">
        <v>1103.13</v>
      </c>
      <c r="H101" s="133">
        <v>1031.72</v>
      </c>
      <c r="I101" s="133">
        <v>993.89</v>
      </c>
      <c r="J101" s="133"/>
      <c r="K101" s="132">
        <f t="shared" si="82"/>
        <v>241.5</v>
      </c>
      <c r="L101" s="133">
        <f t="shared" si="84"/>
        <v>1320.16982733813</v>
      </c>
      <c r="M101" s="133">
        <f t="shared" si="85"/>
        <v>1289.94903551573</v>
      </c>
      <c r="N101" s="133">
        <f t="shared" si="86"/>
        <v>1264.07628403953</v>
      </c>
      <c r="O101" s="133">
        <f t="shared" si="87"/>
        <v>1240.71493513725</v>
      </c>
      <c r="P101" s="133">
        <f t="shared" si="88"/>
        <v>1207.08900033463</v>
      </c>
      <c r="Q101" s="133">
        <f t="shared" si="89"/>
        <v>1177.3157756203</v>
      </c>
      <c r="R101" s="133">
        <f t="shared" si="90"/>
        <v>1139.2290552926</v>
      </c>
      <c r="S101" s="133">
        <f t="shared" si="91"/>
        <v>1104.00403578763</v>
      </c>
      <c r="T101" s="133">
        <f t="shared" si="92"/>
        <v>1067.34404893668</v>
      </c>
      <c r="U101" s="133">
        <f t="shared" si="93"/>
        <v>1032.81259969887</v>
      </c>
      <c r="V101" s="133">
        <f t="shared" si="94"/>
        <v>997.479708029197</v>
      </c>
    </row>
    <row r="102" s="91" customFormat="1" spans="1:22">
      <c r="A102" s="132">
        <v>296.5</v>
      </c>
      <c r="B102" s="133">
        <v>1301.11</v>
      </c>
      <c r="C102" s="133">
        <v>1294.86</v>
      </c>
      <c r="D102" s="133">
        <v>1276.78</v>
      </c>
      <c r="E102" s="133">
        <v>1236.11</v>
      </c>
      <c r="F102" s="133">
        <v>1175.47</v>
      </c>
      <c r="G102" s="133">
        <v>1103.5</v>
      </c>
      <c r="H102" s="133">
        <v>1029.76</v>
      </c>
      <c r="I102" s="133">
        <v>988.7</v>
      </c>
      <c r="J102" s="133"/>
      <c r="K102" s="132">
        <f t="shared" si="82"/>
        <v>296.5</v>
      </c>
      <c r="L102" s="133">
        <f t="shared" si="84"/>
        <v>1309.05964028777</v>
      </c>
      <c r="M102" s="133">
        <f t="shared" si="85"/>
        <v>1282.21583143195</v>
      </c>
      <c r="N102" s="133">
        <f t="shared" si="86"/>
        <v>1258.18131720073</v>
      </c>
      <c r="O102" s="133">
        <f t="shared" si="87"/>
        <v>1236.32975188666</v>
      </c>
      <c r="P102" s="133">
        <f t="shared" si="88"/>
        <v>1204.31304303222</v>
      </c>
      <c r="Q102" s="133">
        <f t="shared" si="89"/>
        <v>1175.96115316606</v>
      </c>
      <c r="R102" s="133">
        <f t="shared" si="90"/>
        <v>1138.76603786356</v>
      </c>
      <c r="S102" s="133">
        <f t="shared" si="91"/>
        <v>1104.35386664363</v>
      </c>
      <c r="T102" s="133">
        <f t="shared" si="92"/>
        <v>1066.54640762626</v>
      </c>
      <c r="U102" s="133">
        <f t="shared" si="93"/>
        <v>1030.88824957001</v>
      </c>
      <c r="V102" s="133">
        <f t="shared" si="94"/>
        <v>992.596204379562</v>
      </c>
    </row>
    <row r="103" s="91" customFormat="1" spans="1:22">
      <c r="A103" s="132">
        <v>357.5</v>
      </c>
      <c r="B103" s="133">
        <v>1285.11</v>
      </c>
      <c r="C103" s="133">
        <v>1279.72</v>
      </c>
      <c r="D103" s="133">
        <v>1263.92</v>
      </c>
      <c r="E103" s="133">
        <v>1227.46</v>
      </c>
      <c r="F103" s="133">
        <v>1171.35</v>
      </c>
      <c r="G103" s="133">
        <v>1102.26</v>
      </c>
      <c r="H103" s="133">
        <v>1029.74</v>
      </c>
      <c r="I103" s="133">
        <v>989.67</v>
      </c>
      <c r="J103" s="133"/>
      <c r="K103" s="132">
        <f t="shared" si="82"/>
        <v>357.5</v>
      </c>
      <c r="L103" s="133">
        <f t="shared" si="84"/>
        <v>1291.96576978417</v>
      </c>
      <c r="M103" s="133">
        <f t="shared" si="85"/>
        <v>1268.67033941509</v>
      </c>
      <c r="N103" s="133">
        <f t="shared" si="86"/>
        <v>1247.24658040665</v>
      </c>
      <c r="O103" s="133">
        <f t="shared" si="87"/>
        <v>1227.65700402724</v>
      </c>
      <c r="P103" s="133">
        <f t="shared" si="88"/>
        <v>1198.03837639409</v>
      </c>
      <c r="Q103" s="133">
        <f t="shared" si="89"/>
        <v>1171.80446246945</v>
      </c>
      <c r="R103" s="133">
        <f t="shared" si="90"/>
        <v>1136.11480833672</v>
      </c>
      <c r="S103" s="133">
        <f t="shared" si="91"/>
        <v>1103.07969774084</v>
      </c>
      <c r="T103" s="133">
        <f t="shared" si="92"/>
        <v>1065.91779063</v>
      </c>
      <c r="U103" s="133">
        <f t="shared" si="93"/>
        <v>1030.84958311387</v>
      </c>
      <c r="V103" s="133">
        <f t="shared" si="94"/>
        <v>993.472262773723</v>
      </c>
    </row>
    <row r="104" s="91" customFormat="1" spans="1:22">
      <c r="A104" s="132">
        <v>412.5</v>
      </c>
      <c r="B104" s="133">
        <v>1266.13</v>
      </c>
      <c r="C104" s="133">
        <v>1261.59</v>
      </c>
      <c r="D104" s="133">
        <v>1248.05</v>
      </c>
      <c r="E104" s="133">
        <v>1215.9</v>
      </c>
      <c r="F104" s="133">
        <v>1165.08</v>
      </c>
      <c r="G104" s="133">
        <v>1100.41</v>
      </c>
      <c r="H104" s="133">
        <v>1029.96</v>
      </c>
      <c r="I104" s="133">
        <v>990.3</v>
      </c>
      <c r="J104" s="133"/>
      <c r="K104" s="132">
        <f t="shared" si="82"/>
        <v>412.5</v>
      </c>
      <c r="L104" s="133">
        <f t="shared" si="84"/>
        <v>1271.90461870504</v>
      </c>
      <c r="M104" s="133">
        <f t="shared" si="85"/>
        <v>1252.1208604861</v>
      </c>
      <c r="N104" s="133">
        <f t="shared" si="86"/>
        <v>1233.34757433006</v>
      </c>
      <c r="O104" s="133">
        <f t="shared" si="87"/>
        <v>1216.07371583861</v>
      </c>
      <c r="P104" s="133">
        <f t="shared" si="88"/>
        <v>1189.25222043037</v>
      </c>
      <c r="Q104" s="133">
        <f t="shared" si="89"/>
        <v>1165.49161615929</v>
      </c>
      <c r="R104" s="133">
        <f t="shared" si="90"/>
        <v>1132.09896302121</v>
      </c>
      <c r="S104" s="133">
        <f t="shared" si="91"/>
        <v>1101.17725796642</v>
      </c>
      <c r="T104" s="133">
        <f t="shared" si="92"/>
        <v>1065.10513720192</v>
      </c>
      <c r="U104" s="133">
        <f t="shared" si="93"/>
        <v>1031.03791133994</v>
      </c>
      <c r="V104" s="133">
        <f t="shared" si="94"/>
        <v>994.063357664234</v>
      </c>
    </row>
    <row r="105" s="91" customFormat="1" spans="1:22">
      <c r="A105" s="132">
        <v>467.5</v>
      </c>
      <c r="B105" s="133">
        <v>1242.87</v>
      </c>
      <c r="C105" s="133">
        <v>1239.23</v>
      </c>
      <c r="D105" s="133">
        <v>1228.05</v>
      </c>
      <c r="E105" s="133">
        <v>1200.72</v>
      </c>
      <c r="F105" s="133">
        <v>1156.19</v>
      </c>
      <c r="G105" s="133">
        <v>1096.96</v>
      </c>
      <c r="H105" s="133">
        <v>1029.13</v>
      </c>
      <c r="I105" s="133">
        <v>989.94</v>
      </c>
      <c r="J105" s="133"/>
      <c r="K105" s="132">
        <f t="shared" si="82"/>
        <v>467.5</v>
      </c>
      <c r="L105" s="133">
        <f t="shared" si="84"/>
        <v>1247.4998705036</v>
      </c>
      <c r="M105" s="133">
        <f t="shared" si="85"/>
        <v>1231.41131611777</v>
      </c>
      <c r="N105" s="133">
        <f t="shared" si="86"/>
        <v>1215.55179491261</v>
      </c>
      <c r="O105" s="133">
        <f t="shared" si="87"/>
        <v>1200.86767197105</v>
      </c>
      <c r="P105" s="133">
        <f t="shared" si="88"/>
        <v>1177.37042061716</v>
      </c>
      <c r="Q105" s="133">
        <f t="shared" si="89"/>
        <v>1156.5506703576</v>
      </c>
      <c r="R105" s="133">
        <f t="shared" si="90"/>
        <v>1125.98330724828</v>
      </c>
      <c r="S105" s="133">
        <f t="shared" si="91"/>
        <v>1097.6627167056</v>
      </c>
      <c r="T105" s="133">
        <f t="shared" si="92"/>
        <v>1062.96810725914</v>
      </c>
      <c r="U105" s="133">
        <f t="shared" si="93"/>
        <v>1030.16782436037</v>
      </c>
      <c r="V105" s="133">
        <f t="shared" si="94"/>
        <v>993.658759124088</v>
      </c>
    </row>
    <row r="106" s="91" customFormat="1" spans="1:22">
      <c r="A106" s="132">
        <v>522.5</v>
      </c>
      <c r="B106" s="133">
        <v>1215.33</v>
      </c>
      <c r="C106" s="133">
        <v>1212.5</v>
      </c>
      <c r="D106" s="133">
        <v>1203.63</v>
      </c>
      <c r="E106" s="133">
        <v>1181.37</v>
      </c>
      <c r="F106" s="133">
        <v>1143.88</v>
      </c>
      <c r="G106" s="133">
        <v>1090.96</v>
      </c>
      <c r="H106" s="133">
        <v>1026.06</v>
      </c>
      <c r="I106" s="133">
        <v>987.39</v>
      </c>
      <c r="J106" s="133"/>
      <c r="K106" s="132">
        <f t="shared" si="82"/>
        <v>522.5</v>
      </c>
      <c r="L106" s="133">
        <f t="shared" si="84"/>
        <v>1218.9295971223</v>
      </c>
      <c r="M106" s="133">
        <f t="shared" si="85"/>
        <v>1206.2968044691</v>
      </c>
      <c r="N106" s="133">
        <f t="shared" si="86"/>
        <v>1193.45034228887</v>
      </c>
      <c r="O106" s="133">
        <f t="shared" si="87"/>
        <v>1181.49027728048</v>
      </c>
      <c r="P106" s="133">
        <f t="shared" si="88"/>
        <v>1161.71188791685</v>
      </c>
      <c r="Q106" s="133">
        <f t="shared" si="89"/>
        <v>1144.18364993726</v>
      </c>
      <c r="R106" s="133">
        <f t="shared" si="90"/>
        <v>1116.89134255578</v>
      </c>
      <c r="S106" s="133">
        <f t="shared" si="91"/>
        <v>1091.58785358873</v>
      </c>
      <c r="T106" s="133">
        <f t="shared" si="92"/>
        <v>1058.43642873534</v>
      </c>
      <c r="U106" s="133">
        <f t="shared" si="93"/>
        <v>1027.0529942649</v>
      </c>
      <c r="V106" s="133">
        <f t="shared" si="94"/>
        <v>991.059416058394</v>
      </c>
    </row>
    <row r="107" s="91" customFormat="1" spans="1:22">
      <c r="A107" s="132">
        <v>577.5</v>
      </c>
      <c r="B107" s="133">
        <v>1183.48</v>
      </c>
      <c r="C107" s="133">
        <v>1181.29</v>
      </c>
      <c r="D107" s="133">
        <v>1174.34</v>
      </c>
      <c r="E107" s="133">
        <v>1156.63</v>
      </c>
      <c r="F107" s="133">
        <v>1125.96</v>
      </c>
      <c r="G107" s="133">
        <v>1079.09</v>
      </c>
      <c r="H107" s="133">
        <v>1012.65</v>
      </c>
      <c r="I107" s="133">
        <v>968.27</v>
      </c>
      <c r="J107" s="133"/>
      <c r="K107" s="132">
        <f t="shared" si="82"/>
        <v>577.5</v>
      </c>
      <c r="L107" s="133">
        <f t="shared" si="84"/>
        <v>1186.26555395683</v>
      </c>
      <c r="M107" s="133">
        <f t="shared" si="85"/>
        <v>1176.42954803385</v>
      </c>
      <c r="N107" s="133">
        <f t="shared" si="86"/>
        <v>1166.24108993423</v>
      </c>
      <c r="O107" s="133">
        <f t="shared" si="87"/>
        <v>1156.72569230177</v>
      </c>
      <c r="P107" s="133">
        <f t="shared" si="88"/>
        <v>1140.54799686343</v>
      </c>
      <c r="Q107" s="133">
        <f t="shared" si="89"/>
        <v>1126.20841140506</v>
      </c>
      <c r="R107" s="133">
        <f t="shared" si="90"/>
        <v>1102.0567805289</v>
      </c>
      <c r="S107" s="133">
        <f t="shared" si="91"/>
        <v>1079.64607516447</v>
      </c>
      <c r="T107" s="133">
        <f t="shared" si="92"/>
        <v>1045.79468297652</v>
      </c>
      <c r="U107" s="133">
        <f t="shared" si="93"/>
        <v>1013.66655684068</v>
      </c>
      <c r="V107" s="133">
        <f t="shared" si="94"/>
        <v>972.481240875912</v>
      </c>
    </row>
    <row r="108" s="91" customFormat="1" spans="1:22">
      <c r="A108" s="132">
        <v>632.5</v>
      </c>
      <c r="B108" s="133">
        <v>1147.74</v>
      </c>
      <c r="C108" s="133">
        <v>1146.07</v>
      </c>
      <c r="D108" s="133">
        <v>1140.7</v>
      </c>
      <c r="E108" s="133">
        <v>1126.63</v>
      </c>
      <c r="F108" s="133">
        <v>1101.37</v>
      </c>
      <c r="G108" s="133">
        <v>1059.7</v>
      </c>
      <c r="H108" s="133">
        <v>997.37</v>
      </c>
      <c r="I108" s="133">
        <v>955.65</v>
      </c>
      <c r="J108" s="133"/>
      <c r="K108" s="132">
        <f t="shared" si="82"/>
        <v>632.5</v>
      </c>
      <c r="L108" s="133">
        <f t="shared" si="84"/>
        <v>1149.86414388489</v>
      </c>
      <c r="M108" s="133">
        <f t="shared" si="85"/>
        <v>1142.31451409234</v>
      </c>
      <c r="N108" s="133">
        <f t="shared" si="86"/>
        <v>1134.26568805051</v>
      </c>
      <c r="O108" s="133">
        <f t="shared" si="87"/>
        <v>1126.70602431879</v>
      </c>
      <c r="P108" s="133">
        <f t="shared" si="88"/>
        <v>1113.38476363776</v>
      </c>
      <c r="Q108" s="133">
        <f t="shared" si="89"/>
        <v>1101.57459315592</v>
      </c>
      <c r="R108" s="133">
        <f t="shared" si="90"/>
        <v>1080.11872721654</v>
      </c>
      <c r="S108" s="133">
        <f t="shared" si="91"/>
        <v>1060.19438131221</v>
      </c>
      <c r="T108" s="133">
        <f t="shared" si="92"/>
        <v>1028.46434211208</v>
      </c>
      <c r="U108" s="133">
        <f t="shared" si="93"/>
        <v>998.323672304024</v>
      </c>
      <c r="V108" s="133">
        <f t="shared" si="94"/>
        <v>959.608832116788</v>
      </c>
    </row>
    <row r="109" s="91" customFormat="1" ht="13.5" customHeight="1" spans="1:22">
      <c r="A109" s="132">
        <v>687.5</v>
      </c>
      <c r="B109" s="133">
        <v>1107.89</v>
      </c>
      <c r="C109" s="133">
        <v>1106.72</v>
      </c>
      <c r="D109" s="133">
        <v>1102.83</v>
      </c>
      <c r="E109" s="133">
        <v>1092.19</v>
      </c>
      <c r="F109" s="133">
        <v>1072.08</v>
      </c>
      <c r="G109" s="133">
        <v>1036.67</v>
      </c>
      <c r="H109" s="133">
        <v>979.69</v>
      </c>
      <c r="I109" s="133">
        <v>939.81</v>
      </c>
      <c r="J109" s="133"/>
      <c r="K109" s="132">
        <f t="shared" si="82"/>
        <v>687.5</v>
      </c>
      <c r="L109" s="133">
        <f t="shared" si="84"/>
        <v>1109.37817266187</v>
      </c>
      <c r="M109" s="133">
        <f t="shared" si="85"/>
        <v>1103.99954559017</v>
      </c>
      <c r="N109" s="133">
        <f t="shared" si="86"/>
        <v>1097.96425166009</v>
      </c>
      <c r="O109" s="133">
        <f t="shared" si="87"/>
        <v>1092.24749102715</v>
      </c>
      <c r="P109" s="133">
        <f t="shared" si="88"/>
        <v>1081.64519781296</v>
      </c>
      <c r="Q109" s="133">
        <f t="shared" si="89"/>
        <v>1072.24288077456</v>
      </c>
      <c r="R109" s="133">
        <f t="shared" si="90"/>
        <v>1054.02126303666</v>
      </c>
      <c r="S109" s="133">
        <f t="shared" si="91"/>
        <v>1037.09011140546</v>
      </c>
      <c r="T109" s="133">
        <f t="shared" si="92"/>
        <v>1008.11540692357</v>
      </c>
      <c r="U109" s="133">
        <f t="shared" si="93"/>
        <v>980.561815303759</v>
      </c>
      <c r="V109" s="133">
        <f t="shared" si="94"/>
        <v>943.594233576642</v>
      </c>
    </row>
    <row r="110" s="91" customFormat="1" ht="13.5" customHeight="1" spans="1:22">
      <c r="A110" s="132">
        <v>742.5</v>
      </c>
      <c r="B110" s="133">
        <v>1062.8</v>
      </c>
      <c r="C110" s="133">
        <v>1062.04</v>
      </c>
      <c r="D110" s="133">
        <v>1059.44</v>
      </c>
      <c r="E110" s="133">
        <v>1052.1</v>
      </c>
      <c r="F110" s="133">
        <v>1037.32</v>
      </c>
      <c r="G110" s="133">
        <v>1008.34</v>
      </c>
      <c r="H110" s="133">
        <v>957.11</v>
      </c>
      <c r="I110" s="133">
        <v>918.87</v>
      </c>
      <c r="J110" s="133"/>
      <c r="K110" s="132">
        <f t="shared" si="82"/>
        <v>742.5</v>
      </c>
      <c r="L110" s="133">
        <f t="shared" si="84"/>
        <v>1063.76667625899</v>
      </c>
      <c r="M110" s="133">
        <f t="shared" si="85"/>
        <v>1060.22170142274</v>
      </c>
      <c r="N110" s="133">
        <f t="shared" si="86"/>
        <v>1056.08336533694</v>
      </c>
      <c r="O110" s="133">
        <f t="shared" si="87"/>
        <v>1052.13966016346</v>
      </c>
      <c r="P110" s="133">
        <f t="shared" si="88"/>
        <v>1044.35001609525</v>
      </c>
      <c r="Q110" s="133">
        <f t="shared" si="89"/>
        <v>1037.43971048474</v>
      </c>
      <c r="R110" s="133">
        <f t="shared" si="90"/>
        <v>1022.54049711388</v>
      </c>
      <c r="S110" s="133">
        <f t="shared" si="91"/>
        <v>1008.6838245843</v>
      </c>
      <c r="T110" s="133">
        <f t="shared" si="92"/>
        <v>982.666925178915</v>
      </c>
      <c r="U110" s="133">
        <f t="shared" si="93"/>
        <v>957.893838153941</v>
      </c>
      <c r="V110" s="133">
        <f t="shared" si="94"/>
        <v>922.498613138686</v>
      </c>
    </row>
    <row r="111" s="91" customFormat="1" spans="1:22">
      <c r="A111" s="132">
        <v>797.5</v>
      </c>
      <c r="B111" s="133">
        <v>1011.27</v>
      </c>
      <c r="C111" s="133">
        <v>1010.77</v>
      </c>
      <c r="D111" s="133">
        <v>1009.08</v>
      </c>
      <c r="E111" s="133">
        <v>1004.37</v>
      </c>
      <c r="F111" s="133">
        <v>994.49</v>
      </c>
      <c r="G111" s="133">
        <v>972.12</v>
      </c>
      <c r="H111" s="133">
        <v>927.24</v>
      </c>
      <c r="I111" s="133">
        <v>890.66</v>
      </c>
      <c r="J111" s="133"/>
      <c r="K111" s="132">
        <f t="shared" si="82"/>
        <v>797.5</v>
      </c>
      <c r="L111" s="133">
        <f t="shared" si="84"/>
        <v>1011.90597122302</v>
      </c>
      <c r="M111" s="133">
        <f t="shared" si="85"/>
        <v>1009.58810592478</v>
      </c>
      <c r="N111" s="133">
        <f t="shared" si="86"/>
        <v>1006.92608320667</v>
      </c>
      <c r="O111" s="133">
        <f t="shared" si="87"/>
        <v>1004.39544950544</v>
      </c>
      <c r="P111" s="133">
        <f t="shared" si="88"/>
        <v>999.189361232822</v>
      </c>
      <c r="Q111" s="133">
        <f t="shared" si="89"/>
        <v>994.570022976265</v>
      </c>
      <c r="R111" s="133">
        <f t="shared" si="90"/>
        <v>983.08152934567</v>
      </c>
      <c r="S111" s="133">
        <f t="shared" si="91"/>
        <v>972.385402206724</v>
      </c>
      <c r="T111" s="133">
        <f t="shared" si="92"/>
        <v>949.629123600034</v>
      </c>
      <c r="U111" s="133">
        <f t="shared" si="93"/>
        <v>927.926680779795</v>
      </c>
      <c r="V111" s="133">
        <f t="shared" si="94"/>
        <v>894.131094890511</v>
      </c>
    </row>
    <row r="112" s="91" customFormat="1" spans="1:22">
      <c r="A112" s="132">
        <v>852.5</v>
      </c>
      <c r="B112" s="133">
        <v>952.62</v>
      </c>
      <c r="C112" s="133">
        <v>952.27</v>
      </c>
      <c r="D112" s="133">
        <v>951.15</v>
      </c>
      <c r="E112" s="133">
        <v>948.27</v>
      </c>
      <c r="F112" s="133">
        <v>942.15</v>
      </c>
      <c r="G112" s="133">
        <v>925.71</v>
      </c>
      <c r="H112" s="133">
        <v>887.26</v>
      </c>
      <c r="I112" s="133">
        <v>852.57</v>
      </c>
      <c r="J112" s="133"/>
      <c r="K112" s="132">
        <f t="shared" si="82"/>
        <v>852.5</v>
      </c>
      <c r="L112" s="133">
        <f t="shared" si="84"/>
        <v>953.065179856115</v>
      </c>
      <c r="M112" s="133">
        <f t="shared" si="85"/>
        <v>951.486732920563</v>
      </c>
      <c r="N112" s="133">
        <f t="shared" si="86"/>
        <v>949.832955336565</v>
      </c>
      <c r="O112" s="133">
        <f t="shared" si="87"/>
        <v>948.285561481032</v>
      </c>
      <c r="P112" s="133">
        <f t="shared" si="88"/>
        <v>945.060940358793</v>
      </c>
      <c r="Q112" s="133">
        <f t="shared" si="89"/>
        <v>942.199568888131</v>
      </c>
      <c r="R112" s="133">
        <f t="shared" si="90"/>
        <v>933.765768549076</v>
      </c>
      <c r="S112" s="133">
        <f t="shared" si="91"/>
        <v>925.905047486747</v>
      </c>
      <c r="T112" s="133">
        <f t="shared" si="92"/>
        <v>906.441412709922</v>
      </c>
      <c r="U112" s="133">
        <f t="shared" si="93"/>
        <v>887.848299375738</v>
      </c>
      <c r="V112" s="133">
        <f t="shared" si="94"/>
        <v>855.861751824818</v>
      </c>
    </row>
    <row r="113" s="91" customFormat="1" spans="1:22">
      <c r="A113" s="132">
        <v>907.5</v>
      </c>
      <c r="B113" s="133">
        <v>885.87</v>
      </c>
      <c r="C113" s="133">
        <v>885.64</v>
      </c>
      <c r="D113" s="133">
        <v>884.94</v>
      </c>
      <c r="E113" s="133">
        <v>883.29</v>
      </c>
      <c r="F113" s="133">
        <v>878.63</v>
      </c>
      <c r="G113" s="133">
        <v>863.9</v>
      </c>
      <c r="H113" s="133">
        <v>831.29</v>
      </c>
      <c r="I113" s="133">
        <v>800.28</v>
      </c>
      <c r="J113" s="133"/>
      <c r="K113" s="132">
        <f t="shared" si="82"/>
        <v>907.5</v>
      </c>
      <c r="L113" s="133">
        <f t="shared" si="84"/>
        <v>886.16254676259</v>
      </c>
      <c r="M113" s="133">
        <f t="shared" si="85"/>
        <v>885.150458075352</v>
      </c>
      <c r="N113" s="133">
        <f t="shared" si="86"/>
        <v>884.185443161574</v>
      </c>
      <c r="O113" s="133">
        <f t="shared" si="87"/>
        <v>883.298915431841</v>
      </c>
      <c r="P113" s="133">
        <f t="shared" si="88"/>
        <v>880.846500338558</v>
      </c>
      <c r="Q113" s="133">
        <f t="shared" si="89"/>
        <v>878.667743630505</v>
      </c>
      <c r="R113" s="133">
        <f t="shared" si="90"/>
        <v>871.117851017511</v>
      </c>
      <c r="S113" s="133">
        <f t="shared" si="91"/>
        <v>864.074759700717</v>
      </c>
      <c r="T113" s="133">
        <f t="shared" si="92"/>
        <v>847.558032990131</v>
      </c>
      <c r="U113" s="133">
        <f t="shared" si="93"/>
        <v>831.78894519227</v>
      </c>
      <c r="V113" s="133">
        <f t="shared" si="94"/>
        <v>803.222554744525</v>
      </c>
    </row>
    <row r="114" s="91" customFormat="1" spans="1:22">
      <c r="A114" s="132">
        <v>962.5</v>
      </c>
      <c r="B114" s="133">
        <v>798.47</v>
      </c>
      <c r="C114" s="133">
        <v>798.73</v>
      </c>
      <c r="D114" s="133">
        <v>798.71</v>
      </c>
      <c r="E114" s="133">
        <v>798.94</v>
      </c>
      <c r="F114" s="133">
        <v>795.04</v>
      </c>
      <c r="G114" s="133">
        <v>781.75</v>
      </c>
      <c r="H114" s="133">
        <v>756.13</v>
      </c>
      <c r="I114" s="133">
        <v>731.2</v>
      </c>
      <c r="J114" s="133"/>
      <c r="K114" s="132">
        <f t="shared" si="82"/>
        <v>962.5</v>
      </c>
      <c r="L114" s="133">
        <f t="shared" si="84"/>
        <v>798.139294964029</v>
      </c>
      <c r="M114" s="133">
        <f t="shared" si="85"/>
        <v>798.716013087867</v>
      </c>
      <c r="N114" s="133">
        <f t="shared" si="86"/>
        <v>798.815180650205</v>
      </c>
      <c r="O114" s="133">
        <f t="shared" si="87"/>
        <v>798.938757242834</v>
      </c>
      <c r="P114" s="133">
        <f t="shared" si="88"/>
        <v>796.895011012956</v>
      </c>
      <c r="Q114" s="133">
        <f t="shared" si="89"/>
        <v>795.071588016947</v>
      </c>
      <c r="R114" s="133">
        <f t="shared" si="90"/>
        <v>788.262236254089</v>
      </c>
      <c r="S114" s="133">
        <f t="shared" si="91"/>
        <v>781.907675249323</v>
      </c>
      <c r="T114" s="133">
        <f t="shared" si="92"/>
        <v>768.91095692141</v>
      </c>
      <c r="U114" s="133">
        <f t="shared" si="93"/>
        <v>756.52199557884</v>
      </c>
      <c r="V114" s="133">
        <f t="shared" si="94"/>
        <v>733.565620437956</v>
      </c>
    </row>
    <row r="115" s="91" customFormat="1" spans="1:22">
      <c r="A115" s="132">
        <v>1017.5</v>
      </c>
      <c r="B115" s="133">
        <v>689.64</v>
      </c>
      <c r="C115" s="133">
        <v>691.21</v>
      </c>
      <c r="D115" s="133">
        <v>691.63</v>
      </c>
      <c r="E115" s="133">
        <v>689.95</v>
      </c>
      <c r="F115" s="133">
        <v>687.89</v>
      </c>
      <c r="G115" s="133">
        <v>680.99</v>
      </c>
      <c r="H115" s="133">
        <v>667.81</v>
      </c>
      <c r="I115" s="133">
        <v>653.06</v>
      </c>
      <c r="J115" s="133"/>
      <c r="K115" s="132">
        <f t="shared" si="82"/>
        <v>1017.5</v>
      </c>
      <c r="L115" s="133">
        <f t="shared" si="84"/>
        <v>687.643050359712</v>
      </c>
      <c r="M115" s="133">
        <f t="shared" si="85"/>
        <v>691.503725154789</v>
      </c>
      <c r="N115" s="133">
        <f t="shared" si="86"/>
        <v>690.86172394633</v>
      </c>
      <c r="O115" s="133">
        <f t="shared" si="87"/>
        <v>689.959077530602</v>
      </c>
      <c r="P115" s="133">
        <f t="shared" si="88"/>
        <v>688.86982632992</v>
      </c>
      <c r="Q115" s="133">
        <f t="shared" si="89"/>
        <v>687.906684952541</v>
      </c>
      <c r="R115" s="133">
        <f t="shared" si="90"/>
        <v>684.3710707414</v>
      </c>
      <c r="S115" s="133">
        <f t="shared" si="91"/>
        <v>681.071862996263</v>
      </c>
      <c r="T115" s="133">
        <f t="shared" si="92"/>
        <v>674.385059025144</v>
      </c>
      <c r="U115" s="133">
        <f t="shared" si="93"/>
        <v>668.011658927756</v>
      </c>
      <c r="V115" s="133">
        <f t="shared" si="94"/>
        <v>654.459635036496</v>
      </c>
    </row>
    <row r="116" s="91" customFormat="1" spans="1:22">
      <c r="A116" s="132">
        <v>1072.5</v>
      </c>
      <c r="B116" s="133">
        <v>608.36</v>
      </c>
      <c r="C116" s="133">
        <v>601.68</v>
      </c>
      <c r="D116" s="133">
        <v>588.64</v>
      </c>
      <c r="E116" s="133">
        <v>579.36</v>
      </c>
      <c r="F116" s="133">
        <v>575.25</v>
      </c>
      <c r="G116" s="133">
        <v>573.63</v>
      </c>
      <c r="H116" s="133">
        <v>573.34</v>
      </c>
      <c r="I116" s="133">
        <v>573.15</v>
      </c>
      <c r="J116" s="133"/>
      <c r="K116" s="132">
        <f t="shared" si="82"/>
        <v>1072.5</v>
      </c>
      <c r="L116" s="133">
        <f t="shared" si="84"/>
        <v>616.856575539568</v>
      </c>
      <c r="M116" s="133">
        <f t="shared" si="85"/>
        <v>592.560533289416</v>
      </c>
      <c r="N116" s="133">
        <f t="shared" si="86"/>
        <v>584.396189417821</v>
      </c>
      <c r="O116" s="133">
        <f t="shared" si="87"/>
        <v>579.410142549993</v>
      </c>
      <c r="P116" s="133">
        <f t="shared" si="88"/>
        <v>577.204896221346</v>
      </c>
      <c r="Q116" s="133">
        <f t="shared" si="89"/>
        <v>575.283288910167</v>
      </c>
      <c r="R116" s="133">
        <f t="shared" si="90"/>
        <v>574.423816608851</v>
      </c>
      <c r="S116" s="133">
        <f t="shared" si="91"/>
        <v>573.649220007818</v>
      </c>
      <c r="T116" s="133">
        <f t="shared" si="92"/>
        <v>573.484671253209</v>
      </c>
      <c r="U116" s="133">
        <f t="shared" si="93"/>
        <v>573.344437108426</v>
      </c>
      <c r="V116" s="133">
        <f t="shared" si="94"/>
        <v>573.16802919708</v>
      </c>
    </row>
    <row r="117" s="91" customFormat="1" spans="1:22">
      <c r="A117" s="129"/>
      <c r="B117" s="129"/>
      <c r="C117" s="129"/>
      <c r="D117" s="129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</row>
    <row r="118" s="91" customFormat="1" spans="1:22">
      <c r="A118" s="129" t="s">
        <v>140</v>
      </c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</row>
    <row r="119" s="91" customFormat="1" spans="1:22">
      <c r="A119" s="132" t="s">
        <v>128</v>
      </c>
      <c r="B119" s="133">
        <v>17.68</v>
      </c>
      <c r="C119" s="133">
        <v>31.58</v>
      </c>
      <c r="D119" s="133">
        <v>54.25</v>
      </c>
      <c r="E119" s="133">
        <v>82.31</v>
      </c>
      <c r="F119" s="133">
        <v>106.26</v>
      </c>
      <c r="G119" s="133">
        <v>125.73</v>
      </c>
      <c r="H119" s="133">
        <v>142.56</v>
      </c>
      <c r="I119" s="133">
        <v>150.78</v>
      </c>
      <c r="J119" s="133"/>
      <c r="K119" s="132" t="str">
        <f t="shared" ref="K119:K139" si="95">A119</f>
        <v>R/Z[cm]</v>
      </c>
      <c r="L119" s="141">
        <v>0</v>
      </c>
      <c r="M119" s="141">
        <f t="shared" ref="M119:V119" si="96">SQRT(L119*L119+150*150/10)</f>
        <v>47.4341649025257</v>
      </c>
      <c r="N119" s="141">
        <f t="shared" si="96"/>
        <v>67.0820393249937</v>
      </c>
      <c r="O119" s="141">
        <f t="shared" si="96"/>
        <v>82.1583836257749</v>
      </c>
      <c r="P119" s="141">
        <f t="shared" si="96"/>
        <v>94.8683298050514</v>
      </c>
      <c r="Q119" s="141">
        <f t="shared" si="96"/>
        <v>106.066017177982</v>
      </c>
      <c r="R119" s="141">
        <f t="shared" si="96"/>
        <v>116.189500386223</v>
      </c>
      <c r="S119" s="141">
        <f t="shared" si="96"/>
        <v>125.499003980111</v>
      </c>
      <c r="T119" s="141">
        <f t="shared" si="96"/>
        <v>134.164078649987</v>
      </c>
      <c r="U119" s="141">
        <f t="shared" si="96"/>
        <v>142.302494707577</v>
      </c>
      <c r="V119" s="141">
        <f t="shared" si="96"/>
        <v>150</v>
      </c>
    </row>
    <row r="120" s="91" customFormat="1" spans="1:22">
      <c r="A120" s="132">
        <v>27.5</v>
      </c>
      <c r="B120" s="133"/>
      <c r="C120" s="133"/>
      <c r="D120" s="133"/>
      <c r="E120" s="133"/>
      <c r="F120" s="133"/>
      <c r="G120" s="133"/>
      <c r="H120" s="133"/>
      <c r="I120" s="133"/>
      <c r="J120" s="133"/>
      <c r="K120" s="132">
        <f t="shared" si="95"/>
        <v>27.5</v>
      </c>
      <c r="L120" s="133" t="e">
        <f t="shared" ref="L120:L139" si="97">TREND(B120:C120,B$4:C$4,L$4)</f>
        <v>#VALUE!</v>
      </c>
      <c r="M120" s="133" t="e">
        <f t="shared" ref="M120:M139" si="98">TREND(C120:D120,C$4:D$4,M$4)</f>
        <v>#VALUE!</v>
      </c>
      <c r="N120" s="133" t="e">
        <f t="shared" ref="N120:N139" si="99">TREND(D120:E120,D$4:E$4,N$4)</f>
        <v>#VALUE!</v>
      </c>
      <c r="O120" s="133" t="e">
        <f t="shared" ref="O120:O139" si="100">TREND(D120:E120,D$4:E$4,O$4)</f>
        <v>#VALUE!</v>
      </c>
      <c r="P120" s="133" t="e">
        <f t="shared" ref="P120:P139" si="101">TREND(E120:F120,E$4:F$4,P$4)</f>
        <v>#VALUE!</v>
      </c>
      <c r="Q120" s="133" t="e">
        <f t="shared" ref="Q120:Q139" si="102">TREND(E120:F120,E$4:F$4,Q$4)</f>
        <v>#VALUE!</v>
      </c>
      <c r="R120" s="133" t="e">
        <f t="shared" ref="R120:R139" si="103">TREND(F120:G120,F$4:G$4,R$4)</f>
        <v>#VALUE!</v>
      </c>
      <c r="S120" s="133" t="e">
        <f t="shared" ref="S120:S139" si="104">TREND(F120:G120,F$4:G$4,S$4)</f>
        <v>#VALUE!</v>
      </c>
      <c r="T120" s="133" t="e">
        <f t="shared" ref="T120:T139" si="105">TREND(G120:H120,G$4:H$4,T$4)</f>
        <v>#VALUE!</v>
      </c>
      <c r="U120" s="133" t="e">
        <f t="shared" ref="U120:U139" si="106">TREND(G120:H120,G$4:H$4,U$4)</f>
        <v>#VALUE!</v>
      </c>
      <c r="V120" s="133" t="e">
        <f t="shared" ref="V120:V139" si="107">TREND(H120:I120,H$4:I$4,V$4)</f>
        <v>#VALUE!</v>
      </c>
    </row>
    <row r="121" s="91" customFormat="1" spans="1:22">
      <c r="A121" s="132">
        <v>82.5</v>
      </c>
      <c r="B121" s="133"/>
      <c r="C121" s="133"/>
      <c r="D121" s="133"/>
      <c r="E121" s="133"/>
      <c r="F121" s="133"/>
      <c r="G121" s="133"/>
      <c r="H121" s="133"/>
      <c r="I121" s="133"/>
      <c r="J121" s="133"/>
      <c r="K121" s="132">
        <f t="shared" si="95"/>
        <v>82.5</v>
      </c>
      <c r="L121" s="133" t="e">
        <f t="shared" si="97"/>
        <v>#VALUE!</v>
      </c>
      <c r="M121" s="133" t="e">
        <f t="shared" si="98"/>
        <v>#VALUE!</v>
      </c>
      <c r="N121" s="133" t="e">
        <f t="shared" si="99"/>
        <v>#VALUE!</v>
      </c>
      <c r="O121" s="133" t="e">
        <f t="shared" si="100"/>
        <v>#VALUE!</v>
      </c>
      <c r="P121" s="133" t="e">
        <f t="shared" si="101"/>
        <v>#VALUE!</v>
      </c>
      <c r="Q121" s="133" t="e">
        <f t="shared" si="102"/>
        <v>#VALUE!</v>
      </c>
      <c r="R121" s="133" t="e">
        <f t="shared" si="103"/>
        <v>#VALUE!</v>
      </c>
      <c r="S121" s="133" t="e">
        <f t="shared" si="104"/>
        <v>#VALUE!</v>
      </c>
      <c r="T121" s="133" t="e">
        <f t="shared" si="105"/>
        <v>#VALUE!</v>
      </c>
      <c r="U121" s="133" t="e">
        <f t="shared" si="106"/>
        <v>#VALUE!</v>
      </c>
      <c r="V121" s="133" t="e">
        <f t="shared" si="107"/>
        <v>#VALUE!</v>
      </c>
    </row>
    <row r="122" s="91" customFormat="1" spans="1:22">
      <c r="A122" s="132">
        <v>137.5</v>
      </c>
      <c r="B122" s="133"/>
      <c r="C122" s="133"/>
      <c r="D122" s="133"/>
      <c r="E122" s="133"/>
      <c r="F122" s="133"/>
      <c r="G122" s="133"/>
      <c r="H122" s="133"/>
      <c r="I122" s="133"/>
      <c r="J122" s="133"/>
      <c r="K122" s="132">
        <f t="shared" si="95"/>
        <v>137.5</v>
      </c>
      <c r="L122" s="133" t="e">
        <f t="shared" si="97"/>
        <v>#VALUE!</v>
      </c>
      <c r="M122" s="133" t="e">
        <f t="shared" si="98"/>
        <v>#VALUE!</v>
      </c>
      <c r="N122" s="133" t="e">
        <f t="shared" si="99"/>
        <v>#VALUE!</v>
      </c>
      <c r="O122" s="133" t="e">
        <f t="shared" si="100"/>
        <v>#VALUE!</v>
      </c>
      <c r="P122" s="133" t="e">
        <f t="shared" si="101"/>
        <v>#VALUE!</v>
      </c>
      <c r="Q122" s="133" t="e">
        <f t="shared" si="102"/>
        <v>#VALUE!</v>
      </c>
      <c r="R122" s="133" t="e">
        <f t="shared" si="103"/>
        <v>#VALUE!</v>
      </c>
      <c r="S122" s="133" t="e">
        <f t="shared" si="104"/>
        <v>#VALUE!</v>
      </c>
      <c r="T122" s="133" t="e">
        <f t="shared" si="105"/>
        <v>#VALUE!</v>
      </c>
      <c r="U122" s="133" t="e">
        <f t="shared" si="106"/>
        <v>#VALUE!</v>
      </c>
      <c r="V122" s="133" t="e">
        <f t="shared" si="107"/>
        <v>#VALUE!</v>
      </c>
    </row>
    <row r="123" s="91" customFormat="1" spans="1:22">
      <c r="A123" s="132">
        <v>192.5</v>
      </c>
      <c r="B123" s="133"/>
      <c r="C123" s="133"/>
      <c r="D123" s="133"/>
      <c r="E123" s="133"/>
      <c r="F123" s="133"/>
      <c r="G123" s="133"/>
      <c r="H123" s="133"/>
      <c r="I123" s="133"/>
      <c r="J123" s="133"/>
      <c r="K123" s="132">
        <f t="shared" si="95"/>
        <v>192.5</v>
      </c>
      <c r="L123" s="133" t="e">
        <f t="shared" si="97"/>
        <v>#VALUE!</v>
      </c>
      <c r="M123" s="133" t="e">
        <f t="shared" si="98"/>
        <v>#VALUE!</v>
      </c>
      <c r="N123" s="133" t="e">
        <f t="shared" si="99"/>
        <v>#VALUE!</v>
      </c>
      <c r="O123" s="133" t="e">
        <f t="shared" si="100"/>
        <v>#VALUE!</v>
      </c>
      <c r="P123" s="133" t="e">
        <f t="shared" si="101"/>
        <v>#VALUE!</v>
      </c>
      <c r="Q123" s="133" t="e">
        <f t="shared" si="102"/>
        <v>#VALUE!</v>
      </c>
      <c r="R123" s="133" t="e">
        <f t="shared" si="103"/>
        <v>#VALUE!</v>
      </c>
      <c r="S123" s="133" t="e">
        <f t="shared" si="104"/>
        <v>#VALUE!</v>
      </c>
      <c r="T123" s="133" t="e">
        <f t="shared" si="105"/>
        <v>#VALUE!</v>
      </c>
      <c r="U123" s="133" t="e">
        <f t="shared" si="106"/>
        <v>#VALUE!</v>
      </c>
      <c r="V123" s="133" t="e">
        <f t="shared" si="107"/>
        <v>#VALUE!</v>
      </c>
    </row>
    <row r="124" s="91" customFormat="1" spans="1:22">
      <c r="A124" s="132">
        <v>241.5</v>
      </c>
      <c r="B124" s="133"/>
      <c r="C124" s="133"/>
      <c r="D124" s="133"/>
      <c r="E124" s="133"/>
      <c r="F124" s="133"/>
      <c r="G124" s="133"/>
      <c r="H124" s="133"/>
      <c r="I124" s="133"/>
      <c r="J124" s="133"/>
      <c r="K124" s="132">
        <f t="shared" si="95"/>
        <v>241.5</v>
      </c>
      <c r="L124" s="133" t="e">
        <f t="shared" si="97"/>
        <v>#VALUE!</v>
      </c>
      <c r="M124" s="133" t="e">
        <f t="shared" si="98"/>
        <v>#VALUE!</v>
      </c>
      <c r="N124" s="133" t="e">
        <f t="shared" si="99"/>
        <v>#VALUE!</v>
      </c>
      <c r="O124" s="133" t="e">
        <f t="shared" si="100"/>
        <v>#VALUE!</v>
      </c>
      <c r="P124" s="133" t="e">
        <f t="shared" si="101"/>
        <v>#VALUE!</v>
      </c>
      <c r="Q124" s="133" t="e">
        <f t="shared" si="102"/>
        <v>#VALUE!</v>
      </c>
      <c r="R124" s="133" t="e">
        <f t="shared" si="103"/>
        <v>#VALUE!</v>
      </c>
      <c r="S124" s="133" t="e">
        <f t="shared" si="104"/>
        <v>#VALUE!</v>
      </c>
      <c r="T124" s="133" t="e">
        <f t="shared" si="105"/>
        <v>#VALUE!</v>
      </c>
      <c r="U124" s="133" t="e">
        <f t="shared" si="106"/>
        <v>#VALUE!</v>
      </c>
      <c r="V124" s="133" t="e">
        <f t="shared" si="107"/>
        <v>#VALUE!</v>
      </c>
    </row>
    <row r="125" s="91" customFormat="1" spans="1:22">
      <c r="A125" s="132">
        <v>296.5</v>
      </c>
      <c r="B125" s="133"/>
      <c r="C125" s="133"/>
      <c r="D125" s="133"/>
      <c r="E125" s="133"/>
      <c r="F125" s="133"/>
      <c r="G125" s="133"/>
      <c r="H125" s="133"/>
      <c r="I125" s="133"/>
      <c r="J125" s="133"/>
      <c r="K125" s="132">
        <f t="shared" si="95"/>
        <v>296.5</v>
      </c>
      <c r="L125" s="133" t="e">
        <f t="shared" si="97"/>
        <v>#VALUE!</v>
      </c>
      <c r="M125" s="133" t="e">
        <f t="shared" si="98"/>
        <v>#VALUE!</v>
      </c>
      <c r="N125" s="133" t="e">
        <f t="shared" si="99"/>
        <v>#VALUE!</v>
      </c>
      <c r="O125" s="133" t="e">
        <f t="shared" si="100"/>
        <v>#VALUE!</v>
      </c>
      <c r="P125" s="133" t="e">
        <f t="shared" si="101"/>
        <v>#VALUE!</v>
      </c>
      <c r="Q125" s="133" t="e">
        <f t="shared" si="102"/>
        <v>#VALUE!</v>
      </c>
      <c r="R125" s="133" t="e">
        <f t="shared" si="103"/>
        <v>#VALUE!</v>
      </c>
      <c r="S125" s="133" t="e">
        <f t="shared" si="104"/>
        <v>#VALUE!</v>
      </c>
      <c r="T125" s="133" t="e">
        <f t="shared" si="105"/>
        <v>#VALUE!</v>
      </c>
      <c r="U125" s="133" t="e">
        <f t="shared" si="106"/>
        <v>#VALUE!</v>
      </c>
      <c r="V125" s="133" t="e">
        <f t="shared" si="107"/>
        <v>#VALUE!</v>
      </c>
    </row>
    <row r="126" s="91" customFormat="1" spans="1:22">
      <c r="A126" s="132">
        <v>357.5</v>
      </c>
      <c r="B126" s="133"/>
      <c r="C126" s="133"/>
      <c r="D126" s="133"/>
      <c r="E126" s="133"/>
      <c r="F126" s="133"/>
      <c r="G126" s="133"/>
      <c r="H126" s="133"/>
      <c r="I126" s="133"/>
      <c r="J126" s="133"/>
      <c r="K126" s="132">
        <f t="shared" si="95"/>
        <v>357.5</v>
      </c>
      <c r="L126" s="133" t="e">
        <f t="shared" si="97"/>
        <v>#VALUE!</v>
      </c>
      <c r="M126" s="133" t="e">
        <f t="shared" si="98"/>
        <v>#VALUE!</v>
      </c>
      <c r="N126" s="133" t="e">
        <f t="shared" si="99"/>
        <v>#VALUE!</v>
      </c>
      <c r="O126" s="133" t="e">
        <f t="shared" si="100"/>
        <v>#VALUE!</v>
      </c>
      <c r="P126" s="133" t="e">
        <f t="shared" si="101"/>
        <v>#VALUE!</v>
      </c>
      <c r="Q126" s="133" t="e">
        <f t="shared" si="102"/>
        <v>#VALUE!</v>
      </c>
      <c r="R126" s="133" t="e">
        <f t="shared" si="103"/>
        <v>#VALUE!</v>
      </c>
      <c r="S126" s="133" t="e">
        <f t="shared" si="104"/>
        <v>#VALUE!</v>
      </c>
      <c r="T126" s="133" t="e">
        <f t="shared" si="105"/>
        <v>#VALUE!</v>
      </c>
      <c r="U126" s="133" t="e">
        <f t="shared" si="106"/>
        <v>#VALUE!</v>
      </c>
      <c r="V126" s="133" t="e">
        <f t="shared" si="107"/>
        <v>#VALUE!</v>
      </c>
    </row>
    <row r="127" s="91" customFormat="1" spans="1:22">
      <c r="A127" s="132">
        <v>412.5</v>
      </c>
      <c r="B127" s="133"/>
      <c r="C127" s="133"/>
      <c r="D127" s="133"/>
      <c r="E127" s="133"/>
      <c r="F127" s="133"/>
      <c r="G127" s="133"/>
      <c r="H127" s="133"/>
      <c r="I127" s="133"/>
      <c r="J127" s="133"/>
      <c r="K127" s="132">
        <f t="shared" si="95"/>
        <v>412.5</v>
      </c>
      <c r="L127" s="133" t="e">
        <f t="shared" si="97"/>
        <v>#VALUE!</v>
      </c>
      <c r="M127" s="133" t="e">
        <f t="shared" si="98"/>
        <v>#VALUE!</v>
      </c>
      <c r="N127" s="133" t="e">
        <f t="shared" si="99"/>
        <v>#VALUE!</v>
      </c>
      <c r="O127" s="133" t="e">
        <f t="shared" si="100"/>
        <v>#VALUE!</v>
      </c>
      <c r="P127" s="133" t="e">
        <f t="shared" si="101"/>
        <v>#VALUE!</v>
      </c>
      <c r="Q127" s="133" t="e">
        <f t="shared" si="102"/>
        <v>#VALUE!</v>
      </c>
      <c r="R127" s="133" t="e">
        <f t="shared" si="103"/>
        <v>#VALUE!</v>
      </c>
      <c r="S127" s="133" t="e">
        <f t="shared" si="104"/>
        <v>#VALUE!</v>
      </c>
      <c r="T127" s="133" t="e">
        <f t="shared" si="105"/>
        <v>#VALUE!</v>
      </c>
      <c r="U127" s="133" t="e">
        <f t="shared" si="106"/>
        <v>#VALUE!</v>
      </c>
      <c r="V127" s="133" t="e">
        <f t="shared" si="107"/>
        <v>#VALUE!</v>
      </c>
    </row>
    <row r="128" s="91" customFormat="1" spans="1:22">
      <c r="A128" s="132">
        <v>467.5</v>
      </c>
      <c r="B128" s="133"/>
      <c r="C128" s="133"/>
      <c r="D128" s="133"/>
      <c r="E128" s="133"/>
      <c r="F128" s="133"/>
      <c r="G128" s="133"/>
      <c r="H128" s="133"/>
      <c r="I128" s="133"/>
      <c r="J128" s="133"/>
      <c r="K128" s="132">
        <f t="shared" si="95"/>
        <v>467.5</v>
      </c>
      <c r="L128" s="133" t="e">
        <f t="shared" si="97"/>
        <v>#VALUE!</v>
      </c>
      <c r="M128" s="133" t="e">
        <f t="shared" si="98"/>
        <v>#VALUE!</v>
      </c>
      <c r="N128" s="133" t="e">
        <f t="shared" si="99"/>
        <v>#VALUE!</v>
      </c>
      <c r="O128" s="133" t="e">
        <f t="shared" si="100"/>
        <v>#VALUE!</v>
      </c>
      <c r="P128" s="133" t="e">
        <f t="shared" si="101"/>
        <v>#VALUE!</v>
      </c>
      <c r="Q128" s="133" t="e">
        <f t="shared" si="102"/>
        <v>#VALUE!</v>
      </c>
      <c r="R128" s="133" t="e">
        <f t="shared" si="103"/>
        <v>#VALUE!</v>
      </c>
      <c r="S128" s="133" t="e">
        <f t="shared" si="104"/>
        <v>#VALUE!</v>
      </c>
      <c r="T128" s="133" t="e">
        <f t="shared" si="105"/>
        <v>#VALUE!</v>
      </c>
      <c r="U128" s="133" t="e">
        <f t="shared" si="106"/>
        <v>#VALUE!</v>
      </c>
      <c r="V128" s="133" t="e">
        <f t="shared" si="107"/>
        <v>#VALUE!</v>
      </c>
    </row>
    <row r="129" s="91" customFormat="1" spans="1:22">
      <c r="A129" s="132">
        <v>522.5</v>
      </c>
      <c r="B129" s="133"/>
      <c r="C129" s="133"/>
      <c r="D129" s="133"/>
      <c r="E129" s="133"/>
      <c r="F129" s="133"/>
      <c r="G129" s="133"/>
      <c r="H129" s="133"/>
      <c r="I129" s="133"/>
      <c r="J129" s="133"/>
      <c r="K129" s="132">
        <f t="shared" si="95"/>
        <v>522.5</v>
      </c>
      <c r="L129" s="133" t="e">
        <f t="shared" si="97"/>
        <v>#VALUE!</v>
      </c>
      <c r="M129" s="133" t="e">
        <f t="shared" si="98"/>
        <v>#VALUE!</v>
      </c>
      <c r="N129" s="133" t="e">
        <f t="shared" si="99"/>
        <v>#VALUE!</v>
      </c>
      <c r="O129" s="133" t="e">
        <f t="shared" si="100"/>
        <v>#VALUE!</v>
      </c>
      <c r="P129" s="133" t="e">
        <f t="shared" si="101"/>
        <v>#VALUE!</v>
      </c>
      <c r="Q129" s="133" t="e">
        <f t="shared" si="102"/>
        <v>#VALUE!</v>
      </c>
      <c r="R129" s="133" t="e">
        <f t="shared" si="103"/>
        <v>#VALUE!</v>
      </c>
      <c r="S129" s="133" t="e">
        <f t="shared" si="104"/>
        <v>#VALUE!</v>
      </c>
      <c r="T129" s="133" t="e">
        <f t="shared" si="105"/>
        <v>#VALUE!</v>
      </c>
      <c r="U129" s="133" t="e">
        <f t="shared" si="106"/>
        <v>#VALUE!</v>
      </c>
      <c r="V129" s="133" t="e">
        <f t="shared" si="107"/>
        <v>#VALUE!</v>
      </c>
    </row>
    <row r="130" s="91" customFormat="1" spans="1:22">
      <c r="A130" s="132">
        <v>577.5</v>
      </c>
      <c r="B130" s="133"/>
      <c r="C130" s="133"/>
      <c r="D130" s="133"/>
      <c r="E130" s="133"/>
      <c r="F130" s="133"/>
      <c r="G130" s="133"/>
      <c r="H130" s="133"/>
      <c r="I130" s="133"/>
      <c r="J130" s="133"/>
      <c r="K130" s="132">
        <f t="shared" si="95"/>
        <v>577.5</v>
      </c>
      <c r="L130" s="133" t="e">
        <f t="shared" si="97"/>
        <v>#VALUE!</v>
      </c>
      <c r="M130" s="133" t="e">
        <f t="shared" si="98"/>
        <v>#VALUE!</v>
      </c>
      <c r="N130" s="133" t="e">
        <f t="shared" si="99"/>
        <v>#VALUE!</v>
      </c>
      <c r="O130" s="133" t="e">
        <f t="shared" si="100"/>
        <v>#VALUE!</v>
      </c>
      <c r="P130" s="133" t="e">
        <f t="shared" si="101"/>
        <v>#VALUE!</v>
      </c>
      <c r="Q130" s="133" t="e">
        <f t="shared" si="102"/>
        <v>#VALUE!</v>
      </c>
      <c r="R130" s="133" t="e">
        <f t="shared" si="103"/>
        <v>#VALUE!</v>
      </c>
      <c r="S130" s="133" t="e">
        <f t="shared" si="104"/>
        <v>#VALUE!</v>
      </c>
      <c r="T130" s="133" t="e">
        <f t="shared" si="105"/>
        <v>#VALUE!</v>
      </c>
      <c r="U130" s="133" t="e">
        <f t="shared" si="106"/>
        <v>#VALUE!</v>
      </c>
      <c r="V130" s="133" t="e">
        <f t="shared" si="107"/>
        <v>#VALUE!</v>
      </c>
    </row>
    <row r="131" s="91" customFormat="1" spans="1:22">
      <c r="A131" s="132">
        <v>632.5</v>
      </c>
      <c r="B131" s="133"/>
      <c r="C131" s="133"/>
      <c r="D131" s="133"/>
      <c r="E131" s="133"/>
      <c r="F131" s="133"/>
      <c r="G131" s="133"/>
      <c r="H131" s="133"/>
      <c r="I131" s="133"/>
      <c r="J131" s="133"/>
      <c r="K131" s="132">
        <f t="shared" si="95"/>
        <v>632.5</v>
      </c>
      <c r="L131" s="133" t="e">
        <f t="shared" si="97"/>
        <v>#VALUE!</v>
      </c>
      <c r="M131" s="133" t="e">
        <f t="shared" si="98"/>
        <v>#VALUE!</v>
      </c>
      <c r="N131" s="133" t="e">
        <f t="shared" si="99"/>
        <v>#VALUE!</v>
      </c>
      <c r="O131" s="133" t="e">
        <f t="shared" si="100"/>
        <v>#VALUE!</v>
      </c>
      <c r="P131" s="133" t="e">
        <f t="shared" si="101"/>
        <v>#VALUE!</v>
      </c>
      <c r="Q131" s="133" t="e">
        <f t="shared" si="102"/>
        <v>#VALUE!</v>
      </c>
      <c r="R131" s="133" t="e">
        <f t="shared" si="103"/>
        <v>#VALUE!</v>
      </c>
      <c r="S131" s="133" t="e">
        <f t="shared" si="104"/>
        <v>#VALUE!</v>
      </c>
      <c r="T131" s="133" t="e">
        <f t="shared" si="105"/>
        <v>#VALUE!</v>
      </c>
      <c r="U131" s="133" t="e">
        <f t="shared" si="106"/>
        <v>#VALUE!</v>
      </c>
      <c r="V131" s="133" t="e">
        <f t="shared" si="107"/>
        <v>#VALUE!</v>
      </c>
    </row>
    <row r="132" s="91" customFormat="1" ht="13.5" customHeight="1" spans="1:22">
      <c r="A132" s="132">
        <v>687.5</v>
      </c>
      <c r="B132" s="133"/>
      <c r="C132" s="133"/>
      <c r="D132" s="133"/>
      <c r="E132" s="133"/>
      <c r="F132" s="133"/>
      <c r="G132" s="133"/>
      <c r="H132" s="133"/>
      <c r="I132" s="133"/>
      <c r="J132" s="133"/>
      <c r="K132" s="132">
        <f t="shared" si="95"/>
        <v>687.5</v>
      </c>
      <c r="L132" s="133" t="e">
        <f t="shared" si="97"/>
        <v>#VALUE!</v>
      </c>
      <c r="M132" s="133" t="e">
        <f t="shared" si="98"/>
        <v>#VALUE!</v>
      </c>
      <c r="N132" s="133" t="e">
        <f t="shared" si="99"/>
        <v>#VALUE!</v>
      </c>
      <c r="O132" s="133" t="e">
        <f t="shared" si="100"/>
        <v>#VALUE!</v>
      </c>
      <c r="P132" s="133" t="e">
        <f t="shared" si="101"/>
        <v>#VALUE!</v>
      </c>
      <c r="Q132" s="133" t="e">
        <f t="shared" si="102"/>
        <v>#VALUE!</v>
      </c>
      <c r="R132" s="133" t="e">
        <f t="shared" si="103"/>
        <v>#VALUE!</v>
      </c>
      <c r="S132" s="133" t="e">
        <f t="shared" si="104"/>
        <v>#VALUE!</v>
      </c>
      <c r="T132" s="133" t="e">
        <f t="shared" si="105"/>
        <v>#VALUE!</v>
      </c>
      <c r="U132" s="133" t="e">
        <f t="shared" si="106"/>
        <v>#VALUE!</v>
      </c>
      <c r="V132" s="133" t="e">
        <f t="shared" si="107"/>
        <v>#VALUE!</v>
      </c>
    </row>
    <row r="133" s="91" customFormat="1" ht="13.5" customHeight="1" spans="1:22">
      <c r="A133" s="132">
        <v>742.5</v>
      </c>
      <c r="B133" s="133"/>
      <c r="C133" s="133"/>
      <c r="D133" s="133"/>
      <c r="E133" s="133"/>
      <c r="F133" s="133"/>
      <c r="G133" s="133"/>
      <c r="H133" s="133"/>
      <c r="I133" s="133"/>
      <c r="J133" s="133"/>
      <c r="K133" s="132">
        <f t="shared" si="95"/>
        <v>742.5</v>
      </c>
      <c r="L133" s="133" t="e">
        <f t="shared" si="97"/>
        <v>#VALUE!</v>
      </c>
      <c r="M133" s="133" t="e">
        <f t="shared" si="98"/>
        <v>#VALUE!</v>
      </c>
      <c r="N133" s="133" t="e">
        <f t="shared" si="99"/>
        <v>#VALUE!</v>
      </c>
      <c r="O133" s="133" t="e">
        <f t="shared" si="100"/>
        <v>#VALUE!</v>
      </c>
      <c r="P133" s="133" t="e">
        <f t="shared" si="101"/>
        <v>#VALUE!</v>
      </c>
      <c r="Q133" s="133" t="e">
        <f t="shared" si="102"/>
        <v>#VALUE!</v>
      </c>
      <c r="R133" s="133" t="e">
        <f t="shared" si="103"/>
        <v>#VALUE!</v>
      </c>
      <c r="S133" s="133" t="e">
        <f t="shared" si="104"/>
        <v>#VALUE!</v>
      </c>
      <c r="T133" s="133" t="e">
        <f t="shared" si="105"/>
        <v>#VALUE!</v>
      </c>
      <c r="U133" s="133" t="e">
        <f t="shared" si="106"/>
        <v>#VALUE!</v>
      </c>
      <c r="V133" s="133" t="e">
        <f t="shared" si="107"/>
        <v>#VALUE!</v>
      </c>
    </row>
    <row r="134" s="91" customFormat="1" spans="1:22">
      <c r="A134" s="132">
        <v>797.5</v>
      </c>
      <c r="B134" s="133"/>
      <c r="C134" s="133"/>
      <c r="D134" s="133"/>
      <c r="E134" s="133"/>
      <c r="F134" s="133"/>
      <c r="G134" s="133"/>
      <c r="H134" s="133"/>
      <c r="I134" s="133"/>
      <c r="J134" s="133"/>
      <c r="K134" s="132">
        <f t="shared" si="95"/>
        <v>797.5</v>
      </c>
      <c r="L134" s="133" t="e">
        <f t="shared" si="97"/>
        <v>#VALUE!</v>
      </c>
      <c r="M134" s="133" t="e">
        <f t="shared" si="98"/>
        <v>#VALUE!</v>
      </c>
      <c r="N134" s="133" t="e">
        <f t="shared" si="99"/>
        <v>#VALUE!</v>
      </c>
      <c r="O134" s="133" t="e">
        <f t="shared" si="100"/>
        <v>#VALUE!</v>
      </c>
      <c r="P134" s="133" t="e">
        <f t="shared" si="101"/>
        <v>#VALUE!</v>
      </c>
      <c r="Q134" s="133" t="e">
        <f t="shared" si="102"/>
        <v>#VALUE!</v>
      </c>
      <c r="R134" s="133" t="e">
        <f t="shared" si="103"/>
        <v>#VALUE!</v>
      </c>
      <c r="S134" s="133" t="e">
        <f t="shared" si="104"/>
        <v>#VALUE!</v>
      </c>
      <c r="T134" s="133" t="e">
        <f t="shared" si="105"/>
        <v>#VALUE!</v>
      </c>
      <c r="U134" s="133" t="e">
        <f t="shared" si="106"/>
        <v>#VALUE!</v>
      </c>
      <c r="V134" s="133" t="e">
        <f t="shared" si="107"/>
        <v>#VALUE!</v>
      </c>
    </row>
    <row r="135" s="91" customFormat="1" spans="1:22">
      <c r="A135" s="132">
        <v>852.5</v>
      </c>
      <c r="B135" s="133"/>
      <c r="C135" s="133"/>
      <c r="D135" s="133"/>
      <c r="E135" s="133"/>
      <c r="F135" s="133"/>
      <c r="G135" s="133"/>
      <c r="H135" s="133"/>
      <c r="I135" s="133"/>
      <c r="J135" s="133"/>
      <c r="K135" s="132">
        <f t="shared" si="95"/>
        <v>852.5</v>
      </c>
      <c r="L135" s="133" t="e">
        <f t="shared" si="97"/>
        <v>#VALUE!</v>
      </c>
      <c r="M135" s="133" t="e">
        <f t="shared" si="98"/>
        <v>#VALUE!</v>
      </c>
      <c r="N135" s="133" t="e">
        <f t="shared" si="99"/>
        <v>#VALUE!</v>
      </c>
      <c r="O135" s="133" t="e">
        <f t="shared" si="100"/>
        <v>#VALUE!</v>
      </c>
      <c r="P135" s="133" t="e">
        <f t="shared" si="101"/>
        <v>#VALUE!</v>
      </c>
      <c r="Q135" s="133" t="e">
        <f t="shared" si="102"/>
        <v>#VALUE!</v>
      </c>
      <c r="R135" s="133" t="e">
        <f t="shared" si="103"/>
        <v>#VALUE!</v>
      </c>
      <c r="S135" s="133" t="e">
        <f t="shared" si="104"/>
        <v>#VALUE!</v>
      </c>
      <c r="T135" s="133" t="e">
        <f t="shared" si="105"/>
        <v>#VALUE!</v>
      </c>
      <c r="U135" s="133" t="e">
        <f t="shared" si="106"/>
        <v>#VALUE!</v>
      </c>
      <c r="V135" s="133" t="e">
        <f t="shared" si="107"/>
        <v>#VALUE!</v>
      </c>
    </row>
    <row r="136" s="91" customFormat="1" spans="1:22">
      <c r="A136" s="132">
        <v>907.5</v>
      </c>
      <c r="B136" s="133"/>
      <c r="C136" s="133"/>
      <c r="D136" s="133"/>
      <c r="E136" s="133"/>
      <c r="F136" s="133"/>
      <c r="G136" s="133"/>
      <c r="H136" s="133"/>
      <c r="I136" s="133"/>
      <c r="J136" s="133"/>
      <c r="K136" s="132">
        <f t="shared" si="95"/>
        <v>907.5</v>
      </c>
      <c r="L136" s="133" t="e">
        <f t="shared" si="97"/>
        <v>#VALUE!</v>
      </c>
      <c r="M136" s="133" t="e">
        <f t="shared" si="98"/>
        <v>#VALUE!</v>
      </c>
      <c r="N136" s="133" t="e">
        <f t="shared" si="99"/>
        <v>#VALUE!</v>
      </c>
      <c r="O136" s="133" t="e">
        <f t="shared" si="100"/>
        <v>#VALUE!</v>
      </c>
      <c r="P136" s="133" t="e">
        <f t="shared" si="101"/>
        <v>#VALUE!</v>
      </c>
      <c r="Q136" s="133" t="e">
        <f t="shared" si="102"/>
        <v>#VALUE!</v>
      </c>
      <c r="R136" s="133" t="e">
        <f t="shared" si="103"/>
        <v>#VALUE!</v>
      </c>
      <c r="S136" s="133" t="e">
        <f t="shared" si="104"/>
        <v>#VALUE!</v>
      </c>
      <c r="T136" s="133" t="e">
        <f t="shared" si="105"/>
        <v>#VALUE!</v>
      </c>
      <c r="U136" s="133" t="e">
        <f t="shared" si="106"/>
        <v>#VALUE!</v>
      </c>
      <c r="V136" s="133" t="e">
        <f t="shared" si="107"/>
        <v>#VALUE!</v>
      </c>
    </row>
    <row r="137" s="91" customFormat="1" spans="1:22">
      <c r="A137" s="132">
        <v>962.5</v>
      </c>
      <c r="B137" s="133"/>
      <c r="C137" s="133"/>
      <c r="D137" s="133"/>
      <c r="E137" s="133"/>
      <c r="F137" s="133"/>
      <c r="G137" s="133"/>
      <c r="H137" s="133"/>
      <c r="I137" s="133"/>
      <c r="J137" s="133"/>
      <c r="K137" s="132">
        <f t="shared" si="95"/>
        <v>962.5</v>
      </c>
      <c r="L137" s="133" t="e">
        <f t="shared" si="97"/>
        <v>#VALUE!</v>
      </c>
      <c r="M137" s="133" t="e">
        <f t="shared" si="98"/>
        <v>#VALUE!</v>
      </c>
      <c r="N137" s="133" t="e">
        <f t="shared" si="99"/>
        <v>#VALUE!</v>
      </c>
      <c r="O137" s="133" t="e">
        <f t="shared" si="100"/>
        <v>#VALUE!</v>
      </c>
      <c r="P137" s="133" t="e">
        <f t="shared" si="101"/>
        <v>#VALUE!</v>
      </c>
      <c r="Q137" s="133" t="e">
        <f t="shared" si="102"/>
        <v>#VALUE!</v>
      </c>
      <c r="R137" s="133" t="e">
        <f t="shared" si="103"/>
        <v>#VALUE!</v>
      </c>
      <c r="S137" s="133" t="e">
        <f t="shared" si="104"/>
        <v>#VALUE!</v>
      </c>
      <c r="T137" s="133" t="e">
        <f t="shared" si="105"/>
        <v>#VALUE!</v>
      </c>
      <c r="U137" s="133" t="e">
        <f t="shared" si="106"/>
        <v>#VALUE!</v>
      </c>
      <c r="V137" s="133" t="e">
        <f t="shared" si="107"/>
        <v>#VALUE!</v>
      </c>
    </row>
    <row r="138" s="91" customFormat="1" spans="1:22">
      <c r="A138" s="132">
        <v>1017.5</v>
      </c>
      <c r="B138" s="133"/>
      <c r="C138" s="133"/>
      <c r="D138" s="133"/>
      <c r="E138" s="133"/>
      <c r="F138" s="133"/>
      <c r="G138" s="133"/>
      <c r="H138" s="133"/>
      <c r="I138" s="133"/>
      <c r="J138" s="133"/>
      <c r="K138" s="132">
        <f t="shared" si="95"/>
        <v>1017.5</v>
      </c>
      <c r="L138" s="133" t="e">
        <f t="shared" si="97"/>
        <v>#VALUE!</v>
      </c>
      <c r="M138" s="133" t="e">
        <f t="shared" si="98"/>
        <v>#VALUE!</v>
      </c>
      <c r="N138" s="133" t="e">
        <f t="shared" si="99"/>
        <v>#VALUE!</v>
      </c>
      <c r="O138" s="133" t="e">
        <f t="shared" si="100"/>
        <v>#VALUE!</v>
      </c>
      <c r="P138" s="133" t="e">
        <f t="shared" si="101"/>
        <v>#VALUE!</v>
      </c>
      <c r="Q138" s="133" t="e">
        <f t="shared" si="102"/>
        <v>#VALUE!</v>
      </c>
      <c r="R138" s="133" t="e">
        <f t="shared" si="103"/>
        <v>#VALUE!</v>
      </c>
      <c r="S138" s="133" t="e">
        <f t="shared" si="104"/>
        <v>#VALUE!</v>
      </c>
      <c r="T138" s="133" t="e">
        <f t="shared" si="105"/>
        <v>#VALUE!</v>
      </c>
      <c r="U138" s="133" t="e">
        <f t="shared" si="106"/>
        <v>#VALUE!</v>
      </c>
      <c r="V138" s="133" t="e">
        <f t="shared" si="107"/>
        <v>#VALUE!</v>
      </c>
    </row>
    <row r="139" s="91" customFormat="1" spans="1:22">
      <c r="A139" s="132">
        <v>1072.5</v>
      </c>
      <c r="B139" s="133"/>
      <c r="C139" s="133"/>
      <c r="D139" s="133"/>
      <c r="E139" s="133"/>
      <c r="F139" s="133"/>
      <c r="G139" s="133"/>
      <c r="H139" s="133"/>
      <c r="I139" s="133"/>
      <c r="J139" s="133"/>
      <c r="K139" s="132">
        <f t="shared" si="95"/>
        <v>1072.5</v>
      </c>
      <c r="L139" s="133" t="e">
        <f t="shared" si="97"/>
        <v>#VALUE!</v>
      </c>
      <c r="M139" s="133" t="e">
        <f t="shared" si="98"/>
        <v>#VALUE!</v>
      </c>
      <c r="N139" s="133" t="e">
        <f t="shared" si="99"/>
        <v>#VALUE!</v>
      </c>
      <c r="O139" s="133" t="e">
        <f t="shared" si="100"/>
        <v>#VALUE!</v>
      </c>
      <c r="P139" s="133" t="e">
        <f t="shared" si="101"/>
        <v>#VALUE!</v>
      </c>
      <c r="Q139" s="133" t="e">
        <f t="shared" si="102"/>
        <v>#VALUE!</v>
      </c>
      <c r="R139" s="133" t="e">
        <f t="shared" si="103"/>
        <v>#VALUE!</v>
      </c>
      <c r="S139" s="133" t="e">
        <f t="shared" si="104"/>
        <v>#VALUE!</v>
      </c>
      <c r="T139" s="133" t="e">
        <f t="shared" si="105"/>
        <v>#VALUE!</v>
      </c>
      <c r="U139" s="133" t="e">
        <f t="shared" si="106"/>
        <v>#VALUE!</v>
      </c>
      <c r="V139" s="133" t="e">
        <f t="shared" si="107"/>
        <v>#VALUE!</v>
      </c>
    </row>
    <row r="159" s="91" customFormat="1" ht="13.5" customHeight="1"/>
  </sheetData>
  <conditionalFormatting sqref="J5:J24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8:J47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:I2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U2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I4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8:U4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1:J70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1:U7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4:J93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74:U9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7:J11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97:U1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0:J139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0:U13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21"/>
  <sheetViews>
    <sheetView zoomScale="85" zoomScaleNormal="85" topLeftCell="A710" workbookViewId="0">
      <selection activeCell="E798" sqref="E798"/>
    </sheetView>
  </sheetViews>
  <sheetFormatPr defaultColWidth="9" defaultRowHeight="15"/>
  <cols>
    <col min="1" max="2" width="8.25" style="91" customWidth="1"/>
    <col min="3" max="6" width="4.375" style="91" customWidth="1"/>
    <col min="7" max="7" width="17.125" style="126" customWidth="1"/>
    <col min="8" max="8" width="8.375" style="126" customWidth="1"/>
    <col min="9" max="9" width="17.5083333333333" style="126" customWidth="1"/>
    <col min="10" max="10" width="8.25" style="91" customWidth="1"/>
    <col min="11" max="16384" width="9" style="91"/>
  </cols>
  <sheetData>
    <row r="1" spans="1:10">
      <c r="A1" s="91" t="s">
        <v>542</v>
      </c>
      <c r="B1" s="91" t="s">
        <v>543</v>
      </c>
      <c r="C1" s="91" t="s">
        <v>544</v>
      </c>
      <c r="D1" s="91" t="s">
        <v>545</v>
      </c>
      <c r="E1" s="91" t="s">
        <v>546</v>
      </c>
      <c r="F1" s="91" t="s">
        <v>547</v>
      </c>
      <c r="G1" s="126" t="s">
        <v>548</v>
      </c>
      <c r="H1" s="126" t="s">
        <v>549</v>
      </c>
      <c r="I1" s="126" t="s">
        <v>550</v>
      </c>
      <c r="J1" s="127" t="s">
        <v>551</v>
      </c>
    </row>
    <row r="2" s="91" customFormat="1" spans="1:9">
      <c r="A2" s="91" t="str">
        <f t="shared" ref="A2:A65" si="0">C2&amp;"-"&amp;E2&amp;_xlfn.IFS(F2=0,"",F2=1,"m",F2&gt;1,"m"&amp;F2)</f>
        <v>H-1</v>
      </c>
      <c r="B2" s="91" t="s">
        <v>552</v>
      </c>
      <c r="C2" s="91" t="s">
        <v>144</v>
      </c>
      <c r="D2" s="91">
        <v>1</v>
      </c>
      <c r="E2" s="91">
        <v>1</v>
      </c>
      <c r="F2" s="91">
        <v>0</v>
      </c>
      <c r="G2" s="126">
        <v>0</v>
      </c>
      <c r="H2" s="126">
        <f t="shared" ref="H2:H65" si="1">IF(G2&gt;0,LN(2)/G2,0)</f>
        <v>0</v>
      </c>
      <c r="I2" s="126" t="str">
        <f>INT(H2/31536000)&amp;"y "&amp;INT(MOD(H2,31536000)/86400)&amp;"d "&amp;INT(MOD(MOD(H2,31536000),86400)/3600)&amp;"h "&amp;INT(MOD(MOD(MOD(H2,31536000),86400),3600)/60)&amp;"m"</f>
        <v>0y 0d 0h 0m</v>
      </c>
    </row>
    <row r="3" s="91" customFormat="1" spans="1:9">
      <c r="A3" s="91" t="str">
        <f t="shared" si="0"/>
        <v>H-2</v>
      </c>
      <c r="B3" s="91" t="s">
        <v>553</v>
      </c>
      <c r="C3" s="91" t="s">
        <v>144</v>
      </c>
      <c r="D3" s="91">
        <v>1</v>
      </c>
      <c r="E3" s="91">
        <v>2</v>
      </c>
      <c r="F3" s="91">
        <v>0</v>
      </c>
      <c r="G3" s="126">
        <v>0</v>
      </c>
      <c r="H3" s="126">
        <f t="shared" si="1"/>
        <v>0</v>
      </c>
      <c r="I3" s="126" t="str">
        <f t="shared" ref="I3:I66" si="2">INT(H3/31536000)&amp;"y "&amp;INT(MOD(H3,31536000)/86400)&amp;"d "&amp;INT(MOD(MOD(H3,31536000),86400)/3600)&amp;"h "&amp;INT(MOD(MOD(MOD(H3,31536000),86400),3600)/60)&amp;"m"</f>
        <v>0y 0d 0h 0m</v>
      </c>
    </row>
    <row r="4" s="91" customFormat="1" spans="1:9">
      <c r="A4" s="91" t="str">
        <f t="shared" si="0"/>
        <v>H-3</v>
      </c>
      <c r="B4" s="91" t="s">
        <v>554</v>
      </c>
      <c r="C4" s="91" t="s">
        <v>144</v>
      </c>
      <c r="D4" s="91">
        <v>1</v>
      </c>
      <c r="E4" s="91">
        <v>3</v>
      </c>
      <c r="F4" s="91">
        <v>0</v>
      </c>
      <c r="G4" s="126">
        <v>1.78283364719618e-9</v>
      </c>
      <c r="H4" s="126">
        <f t="shared" si="1"/>
        <v>388789600.000001</v>
      </c>
      <c r="I4" s="126" t="str">
        <f t="shared" si="2"/>
        <v>12y 119d 21h 6m</v>
      </c>
    </row>
    <row r="5" s="91" customFormat="1" spans="1:9">
      <c r="A5" s="91" t="str">
        <f t="shared" si="0"/>
        <v>H-4</v>
      </c>
      <c r="B5" s="91" t="s">
        <v>555</v>
      </c>
      <c r="C5" s="91" t="s">
        <v>144</v>
      </c>
      <c r="D5" s="91">
        <v>1</v>
      </c>
      <c r="E5" s="91">
        <v>4</v>
      </c>
      <c r="F5" s="91">
        <v>0</v>
      </c>
      <c r="G5" s="126">
        <v>6.99687862700469e+21</v>
      </c>
      <c r="H5" s="126">
        <f t="shared" si="1"/>
        <v>9.90652e-23</v>
      </c>
      <c r="I5" s="126" t="str">
        <f t="shared" si="2"/>
        <v>0y 0d 0h 0m</v>
      </c>
    </row>
    <row r="6" s="91" customFormat="1" spans="1:9">
      <c r="A6" s="91" t="str">
        <f t="shared" si="0"/>
        <v>H-5</v>
      </c>
      <c r="B6" s="91" t="s">
        <v>556</v>
      </c>
      <c r="C6" s="91" t="s">
        <v>144</v>
      </c>
      <c r="D6" s="91">
        <v>1</v>
      </c>
      <c r="E6" s="91">
        <v>5</v>
      </c>
      <c r="F6" s="91">
        <v>0</v>
      </c>
      <c r="G6" s="126">
        <v>8.67005115319648e+21</v>
      </c>
      <c r="H6" s="126">
        <f t="shared" si="1"/>
        <v>7.99473e-23</v>
      </c>
      <c r="I6" s="126" t="str">
        <f t="shared" si="2"/>
        <v>0y 0d 0h 0m</v>
      </c>
    </row>
    <row r="7" s="91" customFormat="1" spans="1:9">
      <c r="A7" s="91" t="str">
        <f t="shared" si="0"/>
        <v>H-6</v>
      </c>
      <c r="B7" s="91" t="s">
        <v>557</v>
      </c>
      <c r="C7" s="91" t="s">
        <v>144</v>
      </c>
      <c r="D7" s="91">
        <v>1</v>
      </c>
      <c r="E7" s="91">
        <v>6</v>
      </c>
      <c r="F7" s="91">
        <v>0</v>
      </c>
      <c r="G7" s="126">
        <v>2.43370075895659e+21</v>
      </c>
      <c r="H7" s="126">
        <f t="shared" si="1"/>
        <v>2.84812e-22</v>
      </c>
      <c r="I7" s="126" t="str">
        <f t="shared" si="2"/>
        <v>0y 0d 0h 0m</v>
      </c>
    </row>
    <row r="8" s="91" customFormat="1" spans="1:9">
      <c r="A8" s="91" t="str">
        <f t="shared" si="0"/>
        <v>H-7</v>
      </c>
      <c r="B8" s="91" t="s">
        <v>558</v>
      </c>
      <c r="C8" s="91" t="s">
        <v>144</v>
      </c>
      <c r="D8" s="91">
        <v>1</v>
      </c>
      <c r="E8" s="91">
        <v>7</v>
      </c>
      <c r="F8" s="91">
        <v>0</v>
      </c>
      <c r="G8" s="126">
        <v>3.01368339373889e+22</v>
      </c>
      <c r="H8" s="126">
        <f t="shared" si="1"/>
        <v>2.3e-23</v>
      </c>
      <c r="I8" s="126" t="str">
        <f t="shared" si="2"/>
        <v>0y 0d 0h 0m</v>
      </c>
    </row>
    <row r="9" s="91" customFormat="1" spans="1:9">
      <c r="A9" s="91" t="str">
        <f t="shared" si="0"/>
        <v>He-3</v>
      </c>
      <c r="B9" s="91" t="s">
        <v>559</v>
      </c>
      <c r="C9" s="91" t="s">
        <v>560</v>
      </c>
      <c r="D9" s="91">
        <v>2</v>
      </c>
      <c r="E9" s="91">
        <v>3</v>
      </c>
      <c r="F9" s="91">
        <v>0</v>
      </c>
      <c r="G9" s="126">
        <v>0</v>
      </c>
      <c r="H9" s="126">
        <f t="shared" si="1"/>
        <v>0</v>
      </c>
      <c r="I9" s="126" t="str">
        <f t="shared" si="2"/>
        <v>0y 0d 0h 0m</v>
      </c>
    </row>
    <row r="10" s="91" customFormat="1" spans="1:9">
      <c r="A10" s="91" t="str">
        <f t="shared" si="0"/>
        <v>He-4</v>
      </c>
      <c r="B10" s="91" t="s">
        <v>561</v>
      </c>
      <c r="C10" s="91" t="s">
        <v>560</v>
      </c>
      <c r="D10" s="91">
        <v>2</v>
      </c>
      <c r="E10" s="91">
        <v>4</v>
      </c>
      <c r="F10" s="91">
        <v>0</v>
      </c>
      <c r="G10" s="126">
        <v>0</v>
      </c>
      <c r="H10" s="126">
        <f t="shared" si="1"/>
        <v>0</v>
      </c>
      <c r="I10" s="126" t="str">
        <f t="shared" si="2"/>
        <v>0y 0d 0h 0m</v>
      </c>
    </row>
    <row r="11" s="91" customFormat="1" spans="1:9">
      <c r="A11" s="91" t="str">
        <f t="shared" si="0"/>
        <v>He-5</v>
      </c>
      <c r="B11" s="91" t="s">
        <v>562</v>
      </c>
      <c r="C11" s="91" t="s">
        <v>560</v>
      </c>
      <c r="D11" s="91">
        <v>2</v>
      </c>
      <c r="E11" s="91">
        <v>5</v>
      </c>
      <c r="F11" s="91">
        <v>0</v>
      </c>
      <c r="G11" s="126">
        <v>9.12636182435741e+20</v>
      </c>
      <c r="H11" s="126">
        <f t="shared" si="1"/>
        <v>7.595e-22</v>
      </c>
      <c r="I11" s="126" t="str">
        <f t="shared" si="2"/>
        <v>0y 0d 0h 0m</v>
      </c>
    </row>
    <row r="12" s="91" customFormat="1" spans="1:9">
      <c r="A12" s="91" t="str">
        <f t="shared" si="0"/>
        <v>He-6</v>
      </c>
      <c r="B12" s="91" t="s">
        <v>563</v>
      </c>
      <c r="C12" s="91" t="s">
        <v>560</v>
      </c>
      <c r="D12" s="91">
        <v>2</v>
      </c>
      <c r="E12" s="91">
        <v>6</v>
      </c>
      <c r="F12" s="91">
        <v>0</v>
      </c>
      <c r="G12" s="126">
        <v>0.859237858633872</v>
      </c>
      <c r="H12" s="126">
        <f t="shared" si="1"/>
        <v>0.806700000000001</v>
      </c>
      <c r="I12" s="126" t="str">
        <f t="shared" si="2"/>
        <v>0y 0d 0h 0m</v>
      </c>
    </row>
    <row r="13" s="91" customFormat="1" spans="1:9">
      <c r="A13" s="91" t="str">
        <f t="shared" si="0"/>
        <v>He-7</v>
      </c>
      <c r="B13" s="91" t="s">
        <v>564</v>
      </c>
      <c r="C13" s="91" t="s">
        <v>560</v>
      </c>
      <c r="D13" s="91">
        <v>2</v>
      </c>
      <c r="E13" s="91">
        <v>7</v>
      </c>
      <c r="F13" s="91">
        <v>0</v>
      </c>
      <c r="G13" s="126">
        <v>2.28159045608935e+20</v>
      </c>
      <c r="H13" s="126">
        <f t="shared" si="1"/>
        <v>3.038e-21</v>
      </c>
      <c r="I13" s="126" t="str">
        <f t="shared" si="2"/>
        <v>0y 0d 0h 0m</v>
      </c>
    </row>
    <row r="14" s="91" customFormat="1" spans="1:9">
      <c r="A14" s="91" t="str">
        <f t="shared" si="0"/>
        <v>He-8</v>
      </c>
      <c r="B14" s="91" t="s">
        <v>565</v>
      </c>
      <c r="C14" s="91" t="s">
        <v>560</v>
      </c>
      <c r="D14" s="91">
        <v>2</v>
      </c>
      <c r="E14" s="91">
        <v>8</v>
      </c>
      <c r="F14" s="91">
        <v>0</v>
      </c>
      <c r="G14" s="126">
        <v>5.8198755714521</v>
      </c>
      <c r="H14" s="126">
        <f t="shared" si="1"/>
        <v>0.1191</v>
      </c>
      <c r="I14" s="126" t="str">
        <f t="shared" si="2"/>
        <v>0y 0d 0h 0m</v>
      </c>
    </row>
    <row r="15" s="91" customFormat="1" spans="1:9">
      <c r="A15" s="91" t="str">
        <f t="shared" si="0"/>
        <v>He-9</v>
      </c>
      <c r="B15" s="91" t="s">
        <v>566</v>
      </c>
      <c r="C15" s="91" t="s">
        <v>560</v>
      </c>
      <c r="D15" s="91">
        <v>2</v>
      </c>
      <c r="E15" s="91">
        <v>9</v>
      </c>
      <c r="F15" s="91">
        <v>0</v>
      </c>
      <c r="G15" s="126">
        <v>9.90210257942778e+19</v>
      </c>
      <c r="H15" s="126">
        <f t="shared" si="1"/>
        <v>7.00000000000001e-21</v>
      </c>
      <c r="I15" s="126" t="str">
        <f t="shared" si="2"/>
        <v>0y 0d 0h 0m</v>
      </c>
    </row>
    <row r="16" s="91" customFormat="1" spans="1:9">
      <c r="A16" s="91" t="str">
        <f t="shared" si="0"/>
        <v>He-10</v>
      </c>
      <c r="B16" s="91" t="s">
        <v>567</v>
      </c>
      <c r="C16" s="91" t="s">
        <v>560</v>
      </c>
      <c r="D16" s="91">
        <v>2</v>
      </c>
      <c r="E16" s="91">
        <v>10</v>
      </c>
      <c r="F16" s="91">
        <v>0</v>
      </c>
      <c r="G16" s="126">
        <v>4.5631809121787e+20</v>
      </c>
      <c r="H16" s="126">
        <f t="shared" si="1"/>
        <v>1.519e-21</v>
      </c>
      <c r="I16" s="126" t="str">
        <f t="shared" si="2"/>
        <v>0y 0d 0h 0m</v>
      </c>
    </row>
    <row r="17" s="91" customFormat="1" spans="1:9">
      <c r="A17" s="91" t="str">
        <f t="shared" si="0"/>
        <v>Li-4</v>
      </c>
      <c r="B17" s="91" t="s">
        <v>568</v>
      </c>
      <c r="C17" s="91" t="s">
        <v>569</v>
      </c>
      <c r="D17" s="91">
        <v>3</v>
      </c>
      <c r="E17" s="91">
        <v>4</v>
      </c>
      <c r="F17" s="91">
        <v>0</v>
      </c>
      <c r="G17" s="126">
        <v>9.17199840364294e+21</v>
      </c>
      <c r="H17" s="126">
        <f t="shared" si="1"/>
        <v>7.55721000000001e-23</v>
      </c>
      <c r="I17" s="126" t="str">
        <f t="shared" si="2"/>
        <v>0y 0d 0h 0m</v>
      </c>
    </row>
    <row r="18" s="91" customFormat="1" spans="1:9">
      <c r="A18" s="91" t="str">
        <f t="shared" si="0"/>
        <v>Li-5</v>
      </c>
      <c r="B18" s="91" t="s">
        <v>570</v>
      </c>
      <c r="C18" s="91" t="s">
        <v>569</v>
      </c>
      <c r="D18" s="91">
        <v>3</v>
      </c>
      <c r="E18" s="91">
        <v>5</v>
      </c>
      <c r="F18" s="91">
        <v>0</v>
      </c>
      <c r="G18" s="126">
        <v>2.25877960738801e+21</v>
      </c>
      <c r="H18" s="126">
        <f t="shared" si="1"/>
        <v>3.06868000000001e-22</v>
      </c>
      <c r="I18" s="126" t="str">
        <f t="shared" si="2"/>
        <v>0y 0d 0h 0m</v>
      </c>
    </row>
    <row r="19" s="91" customFormat="1" spans="1:9">
      <c r="A19" s="91" t="str">
        <f t="shared" si="0"/>
        <v>Li-6</v>
      </c>
      <c r="B19" s="91" t="s">
        <v>571</v>
      </c>
      <c r="C19" s="91" t="s">
        <v>569</v>
      </c>
      <c r="D19" s="91">
        <v>3</v>
      </c>
      <c r="E19" s="91">
        <v>6</v>
      </c>
      <c r="F19" s="91">
        <v>0</v>
      </c>
      <c r="G19" s="126">
        <v>0</v>
      </c>
      <c r="H19" s="126">
        <f t="shared" si="1"/>
        <v>0</v>
      </c>
      <c r="I19" s="126" t="str">
        <f t="shared" si="2"/>
        <v>0y 0d 0h 0m</v>
      </c>
    </row>
    <row r="20" s="91" customFormat="1" spans="1:9">
      <c r="A20" s="91" t="str">
        <f t="shared" si="0"/>
        <v>Li-7</v>
      </c>
      <c r="B20" s="91" t="s">
        <v>572</v>
      </c>
      <c r="C20" s="91" t="s">
        <v>569</v>
      </c>
      <c r="D20" s="91">
        <v>3</v>
      </c>
      <c r="E20" s="91">
        <v>7</v>
      </c>
      <c r="F20" s="91">
        <v>0</v>
      </c>
      <c r="G20" s="126">
        <v>0</v>
      </c>
      <c r="H20" s="126">
        <f t="shared" si="1"/>
        <v>0</v>
      </c>
      <c r="I20" s="126" t="str">
        <f t="shared" si="2"/>
        <v>0y 0d 0h 0m</v>
      </c>
    </row>
    <row r="21" s="91" customFormat="1" spans="1:9">
      <c r="A21" s="91" t="str">
        <f t="shared" si="0"/>
        <v>Li-8</v>
      </c>
      <c r="B21" s="91" t="s">
        <v>573</v>
      </c>
      <c r="C21" s="91" t="s">
        <v>569</v>
      </c>
      <c r="D21" s="91">
        <v>3</v>
      </c>
      <c r="E21" s="91">
        <v>8</v>
      </c>
      <c r="F21" s="91">
        <v>0</v>
      </c>
      <c r="G21" s="126">
        <v>0.827144606873443</v>
      </c>
      <c r="H21" s="126">
        <f t="shared" si="1"/>
        <v>0.838</v>
      </c>
      <c r="I21" s="126" t="str">
        <f t="shared" si="2"/>
        <v>0y 0d 0h 0m</v>
      </c>
    </row>
    <row r="22" s="91" customFormat="1" spans="1:9">
      <c r="A22" s="91" t="str">
        <f t="shared" si="0"/>
        <v>Li-9</v>
      </c>
      <c r="B22" s="91" t="s">
        <v>574</v>
      </c>
      <c r="C22" s="91" t="s">
        <v>569</v>
      </c>
      <c r="D22" s="91">
        <v>3</v>
      </c>
      <c r="E22" s="91">
        <v>9</v>
      </c>
      <c r="F22" s="91">
        <v>0</v>
      </c>
      <c r="G22" s="126">
        <v>3.88753326169346</v>
      </c>
      <c r="H22" s="126">
        <f t="shared" si="1"/>
        <v>0.1783</v>
      </c>
      <c r="I22" s="126" t="str">
        <f t="shared" si="2"/>
        <v>0y 0d 0h 0m</v>
      </c>
    </row>
    <row r="23" s="91" customFormat="1" spans="1:9">
      <c r="A23" s="91" t="str">
        <f t="shared" si="0"/>
        <v>Li-10</v>
      </c>
      <c r="B23" s="91" t="s">
        <v>575</v>
      </c>
      <c r="C23" s="91" t="s">
        <v>569</v>
      </c>
      <c r="D23" s="91">
        <v>3</v>
      </c>
      <c r="E23" s="91">
        <v>10</v>
      </c>
      <c r="F23" s="91">
        <v>0</v>
      </c>
      <c r="G23" s="126">
        <v>3.46573590279972e+20</v>
      </c>
      <c r="H23" s="126">
        <f t="shared" si="1"/>
        <v>2e-21</v>
      </c>
      <c r="I23" s="126" t="str">
        <f t="shared" si="2"/>
        <v>0y 0d 0h 0m</v>
      </c>
    </row>
    <row r="24" s="91" customFormat="1" spans="1:9">
      <c r="A24" s="91" t="str">
        <f t="shared" si="0"/>
        <v>Li-11</v>
      </c>
      <c r="B24" s="91" t="s">
        <v>576</v>
      </c>
      <c r="C24" s="91" t="s">
        <v>569</v>
      </c>
      <c r="D24" s="91">
        <v>3</v>
      </c>
      <c r="E24" s="91">
        <v>11</v>
      </c>
      <c r="F24" s="91">
        <v>0</v>
      </c>
      <c r="G24" s="126">
        <v>80.6923376670483</v>
      </c>
      <c r="H24" s="126">
        <f t="shared" si="1"/>
        <v>0.00859</v>
      </c>
      <c r="I24" s="126" t="str">
        <f t="shared" si="2"/>
        <v>0y 0d 0h 0m</v>
      </c>
    </row>
    <row r="25" s="91" customFormat="1" spans="1:9">
      <c r="A25" s="91" t="str">
        <f t="shared" si="0"/>
        <v>Li-12</v>
      </c>
      <c r="B25" s="91" t="s">
        <v>577</v>
      </c>
      <c r="C25" s="91" t="s">
        <v>569</v>
      </c>
      <c r="D25" s="91">
        <v>3</v>
      </c>
      <c r="E25" s="91">
        <v>12</v>
      </c>
      <c r="F25" s="91">
        <v>0</v>
      </c>
      <c r="G25" s="126">
        <v>69314718.0559945</v>
      </c>
      <c r="H25" s="126">
        <f t="shared" si="1"/>
        <v>1e-8</v>
      </c>
      <c r="I25" s="126" t="str">
        <f t="shared" si="2"/>
        <v>0y 0d 0h 0m</v>
      </c>
    </row>
    <row r="26" s="91" customFormat="1" spans="1:9">
      <c r="A26" s="91" t="str">
        <f t="shared" si="0"/>
        <v>Be-5</v>
      </c>
      <c r="B26" s="91" t="s">
        <v>578</v>
      </c>
      <c r="C26" s="91" t="s">
        <v>579</v>
      </c>
      <c r="D26" s="91">
        <v>4</v>
      </c>
      <c r="E26" s="91">
        <v>5</v>
      </c>
      <c r="F26" s="91">
        <v>0</v>
      </c>
      <c r="G26" s="126">
        <v>693147180.559945</v>
      </c>
      <c r="H26" s="126">
        <f t="shared" si="1"/>
        <v>1e-9</v>
      </c>
      <c r="I26" s="126" t="str">
        <f t="shared" si="2"/>
        <v>0y 0d 0h 0m</v>
      </c>
    </row>
    <row r="27" s="91" customFormat="1" spans="1:9">
      <c r="A27" s="91" t="str">
        <f t="shared" si="0"/>
        <v>Be-6</v>
      </c>
      <c r="B27" s="91" t="s">
        <v>580</v>
      </c>
      <c r="C27" s="91" t="s">
        <v>579</v>
      </c>
      <c r="D27" s="91">
        <v>4</v>
      </c>
      <c r="E27" s="91">
        <v>6</v>
      </c>
      <c r="F27" s="91">
        <v>0</v>
      </c>
      <c r="G27" s="126">
        <v>1.39937572540093e+20</v>
      </c>
      <c r="H27" s="126">
        <f t="shared" si="1"/>
        <v>4.95326000000003e-21</v>
      </c>
      <c r="I27" s="126" t="str">
        <f t="shared" si="2"/>
        <v>0y 0d 0h 0m</v>
      </c>
    </row>
    <row r="28" s="91" customFormat="1" spans="1:9">
      <c r="A28" s="91" t="str">
        <f t="shared" si="0"/>
        <v>Be-7</v>
      </c>
      <c r="B28" s="91" t="s">
        <v>581</v>
      </c>
      <c r="C28" s="91" t="s">
        <v>579</v>
      </c>
      <c r="D28" s="91">
        <v>4</v>
      </c>
      <c r="E28" s="91">
        <v>7</v>
      </c>
      <c r="F28" s="91">
        <v>0</v>
      </c>
      <c r="G28" s="126">
        <v>1.50742893875167e-7</v>
      </c>
      <c r="H28" s="126">
        <f t="shared" si="1"/>
        <v>4598208.00000001</v>
      </c>
      <c r="I28" s="126" t="str">
        <f t="shared" si="2"/>
        <v>0y 53d 5h 16m</v>
      </c>
    </row>
    <row r="29" s="91" customFormat="1" spans="1:9">
      <c r="A29" s="91" t="str">
        <f t="shared" si="0"/>
        <v>Be-8</v>
      </c>
      <c r="B29" s="91" t="s">
        <v>582</v>
      </c>
      <c r="C29" s="91" t="s">
        <v>579</v>
      </c>
      <c r="D29" s="91">
        <v>4</v>
      </c>
      <c r="E29" s="91">
        <v>8</v>
      </c>
      <c r="F29" s="91">
        <v>0</v>
      </c>
      <c r="G29" s="126">
        <v>8472314743341480</v>
      </c>
      <c r="H29" s="126">
        <f t="shared" si="1"/>
        <v>8.18132e-17</v>
      </c>
      <c r="I29" s="126" t="str">
        <f t="shared" si="2"/>
        <v>0y 0d 0h 0m</v>
      </c>
    </row>
    <row r="30" s="91" customFormat="1" spans="1:9">
      <c r="A30" s="91" t="str">
        <f t="shared" si="0"/>
        <v>Be-9</v>
      </c>
      <c r="B30" s="91" t="s">
        <v>583</v>
      </c>
      <c r="C30" s="91" t="s">
        <v>579</v>
      </c>
      <c r="D30" s="91">
        <v>4</v>
      </c>
      <c r="E30" s="91">
        <v>9</v>
      </c>
      <c r="F30" s="91">
        <v>0</v>
      </c>
      <c r="G30" s="126">
        <v>0</v>
      </c>
      <c r="H30" s="126">
        <f t="shared" si="1"/>
        <v>0</v>
      </c>
      <c r="I30" s="126" t="str">
        <f t="shared" si="2"/>
        <v>0y 0d 0h 0m</v>
      </c>
    </row>
    <row r="31" s="91" customFormat="1" spans="1:9">
      <c r="A31" s="91" t="str">
        <f t="shared" si="0"/>
        <v>Be-10</v>
      </c>
      <c r="B31" s="91" t="s">
        <v>584</v>
      </c>
      <c r="C31" s="91" t="s">
        <v>579</v>
      </c>
      <c r="D31" s="91">
        <v>4</v>
      </c>
      <c r="E31" s="91">
        <v>10</v>
      </c>
      <c r="F31" s="91">
        <v>0</v>
      </c>
      <c r="G31" s="126">
        <v>1.45460249424986e-14</v>
      </c>
      <c r="H31" s="126">
        <f t="shared" si="1"/>
        <v>47652000000000.1</v>
      </c>
      <c r="I31" s="126" t="str">
        <f t="shared" si="2"/>
        <v>1511035y 2d 18h 40m</v>
      </c>
    </row>
    <row r="32" s="91" customFormat="1" spans="1:9">
      <c r="A32" s="91" t="str">
        <f t="shared" si="0"/>
        <v>Be-11</v>
      </c>
      <c r="B32" s="91" t="s">
        <v>585</v>
      </c>
      <c r="C32" s="91" t="s">
        <v>579</v>
      </c>
      <c r="D32" s="91">
        <v>4</v>
      </c>
      <c r="E32" s="91">
        <v>11</v>
      </c>
      <c r="F32" s="91">
        <v>0</v>
      </c>
      <c r="G32" s="126">
        <v>0.050191685775521</v>
      </c>
      <c r="H32" s="126">
        <f t="shared" si="1"/>
        <v>13.81</v>
      </c>
      <c r="I32" s="126" t="str">
        <f t="shared" si="2"/>
        <v>0y 0d 0h 0m</v>
      </c>
    </row>
    <row r="33" s="91" customFormat="1" spans="1:9">
      <c r="A33" s="91" t="str">
        <f t="shared" si="0"/>
        <v>Be-12</v>
      </c>
      <c r="B33" s="91" t="s">
        <v>586</v>
      </c>
      <c r="C33" s="91" t="s">
        <v>579</v>
      </c>
      <c r="D33" s="91">
        <v>4</v>
      </c>
      <c r="E33" s="91">
        <v>12</v>
      </c>
      <c r="F33" s="91">
        <v>0</v>
      </c>
      <c r="G33" s="126">
        <v>32.542121153049</v>
      </c>
      <c r="H33" s="126">
        <f t="shared" si="1"/>
        <v>0.0213</v>
      </c>
      <c r="I33" s="126" t="str">
        <f t="shared" si="2"/>
        <v>0y 0d 0h 0m</v>
      </c>
    </row>
    <row r="34" s="91" customFormat="1" spans="1:9">
      <c r="A34" s="91" t="str">
        <f t="shared" si="0"/>
        <v>Be-13</v>
      </c>
      <c r="B34" s="91" t="s">
        <v>587</v>
      </c>
      <c r="C34" s="91" t="s">
        <v>579</v>
      </c>
      <c r="D34" s="91">
        <v>4</v>
      </c>
      <c r="E34" s="91">
        <v>13</v>
      </c>
      <c r="F34" s="91">
        <v>0</v>
      </c>
      <c r="G34" s="126">
        <v>2.56721177985164e+20</v>
      </c>
      <c r="H34" s="126">
        <f t="shared" si="1"/>
        <v>2.70000000000001e-21</v>
      </c>
      <c r="I34" s="126" t="str">
        <f t="shared" si="2"/>
        <v>0y 0d 0h 0m</v>
      </c>
    </row>
    <row r="35" s="91" customFormat="1" spans="1:9">
      <c r="A35" s="91" t="str">
        <f t="shared" si="0"/>
        <v>Be-14</v>
      </c>
      <c r="B35" s="91" t="s">
        <v>588</v>
      </c>
      <c r="C35" s="91" t="s">
        <v>579</v>
      </c>
      <c r="D35" s="91">
        <v>4</v>
      </c>
      <c r="E35" s="91">
        <v>14</v>
      </c>
      <c r="F35" s="91">
        <v>0</v>
      </c>
      <c r="G35" s="126">
        <v>159.344179439067</v>
      </c>
      <c r="H35" s="126">
        <f t="shared" si="1"/>
        <v>0.00435000000000002</v>
      </c>
      <c r="I35" s="126" t="str">
        <f t="shared" si="2"/>
        <v>0y 0d 0h 0m</v>
      </c>
    </row>
    <row r="36" s="91" customFormat="1" spans="1:9">
      <c r="A36" s="91" t="str">
        <f t="shared" si="0"/>
        <v>Be-15</v>
      </c>
      <c r="B36" s="91" t="s">
        <v>589</v>
      </c>
      <c r="C36" s="91" t="s">
        <v>579</v>
      </c>
      <c r="D36" s="91">
        <v>4</v>
      </c>
      <c r="E36" s="91">
        <v>15</v>
      </c>
      <c r="F36" s="91">
        <v>0</v>
      </c>
      <c r="G36" s="126">
        <v>3465735.90279972</v>
      </c>
      <c r="H36" s="126">
        <f t="shared" si="1"/>
        <v>2e-7</v>
      </c>
      <c r="I36" s="126" t="str">
        <f t="shared" si="2"/>
        <v>0y 0d 0h 0m</v>
      </c>
    </row>
    <row r="37" s="91" customFormat="1" spans="1:9">
      <c r="A37" s="91" t="str">
        <f t="shared" si="0"/>
        <v>Be-16</v>
      </c>
      <c r="B37" s="91" t="s">
        <v>590</v>
      </c>
      <c r="C37" s="91" t="s">
        <v>579</v>
      </c>
      <c r="D37" s="91">
        <v>4</v>
      </c>
      <c r="E37" s="91">
        <v>16</v>
      </c>
      <c r="F37" s="91">
        <v>0</v>
      </c>
      <c r="G37" s="126">
        <v>3465735.90279972</v>
      </c>
      <c r="H37" s="126">
        <f t="shared" si="1"/>
        <v>2e-7</v>
      </c>
      <c r="I37" s="126" t="str">
        <f t="shared" si="2"/>
        <v>0y 0d 0h 0m</v>
      </c>
    </row>
    <row r="38" s="91" customFormat="1" spans="1:9">
      <c r="A38" s="91" t="str">
        <f t="shared" si="0"/>
        <v>B-6</v>
      </c>
      <c r="B38" s="91" t="s">
        <v>591</v>
      </c>
      <c r="C38" s="91" t="s">
        <v>592</v>
      </c>
      <c r="D38" s="91">
        <v>5</v>
      </c>
      <c r="E38" s="91">
        <v>6</v>
      </c>
      <c r="F38" s="91">
        <v>0</v>
      </c>
      <c r="G38" s="126">
        <v>693147180.559945</v>
      </c>
      <c r="H38" s="126">
        <f t="shared" si="1"/>
        <v>1e-9</v>
      </c>
      <c r="I38" s="126" t="str">
        <f t="shared" si="2"/>
        <v>0y 0d 0h 0m</v>
      </c>
    </row>
    <row r="39" s="91" customFormat="1" spans="1:9">
      <c r="A39" s="91" t="str">
        <f t="shared" si="0"/>
        <v>B-7</v>
      </c>
      <c r="B39" s="91" t="s">
        <v>593</v>
      </c>
      <c r="C39" s="91" t="s">
        <v>592</v>
      </c>
      <c r="D39" s="91">
        <v>5</v>
      </c>
      <c r="E39" s="91">
        <v>7</v>
      </c>
      <c r="F39" s="91">
        <v>0</v>
      </c>
      <c r="G39" s="126">
        <v>2.12948442568339e+21</v>
      </c>
      <c r="H39" s="126">
        <f t="shared" si="1"/>
        <v>3.25500000000001e-22</v>
      </c>
      <c r="I39" s="126" t="str">
        <f t="shared" si="2"/>
        <v>0y 0d 0h 0m</v>
      </c>
    </row>
    <row r="40" s="91" customFormat="1" spans="1:9">
      <c r="A40" s="91" t="str">
        <f t="shared" si="0"/>
        <v>B-8</v>
      </c>
      <c r="B40" s="91" t="s">
        <v>594</v>
      </c>
      <c r="C40" s="91" t="s">
        <v>592</v>
      </c>
      <c r="D40" s="91">
        <v>5</v>
      </c>
      <c r="E40" s="91">
        <v>8</v>
      </c>
      <c r="F40" s="91">
        <v>0</v>
      </c>
      <c r="G40" s="126">
        <v>0.900191143584344</v>
      </c>
      <c r="H40" s="126">
        <f t="shared" si="1"/>
        <v>0.77</v>
      </c>
      <c r="I40" s="126" t="str">
        <f t="shared" si="2"/>
        <v>0y 0d 0h 0m</v>
      </c>
    </row>
    <row r="41" s="91" customFormat="1" spans="1:9">
      <c r="A41" s="91" t="str">
        <f t="shared" si="0"/>
        <v>B-9</v>
      </c>
      <c r="B41" s="91" t="s">
        <v>595</v>
      </c>
      <c r="C41" s="91" t="s">
        <v>592</v>
      </c>
      <c r="D41" s="91">
        <v>5</v>
      </c>
      <c r="E41" s="91">
        <v>9</v>
      </c>
      <c r="F41" s="91">
        <v>0</v>
      </c>
      <c r="G41" s="126">
        <v>8.21373429364969e+17</v>
      </c>
      <c r="H41" s="126">
        <f t="shared" si="1"/>
        <v>8.43888e-19</v>
      </c>
      <c r="I41" s="126" t="str">
        <f t="shared" si="2"/>
        <v>0y 0d 0h 0m</v>
      </c>
    </row>
    <row r="42" s="91" customFormat="1" spans="1:9">
      <c r="A42" s="91" t="str">
        <f t="shared" si="0"/>
        <v>B-10</v>
      </c>
      <c r="B42" s="91" t="s">
        <v>596</v>
      </c>
      <c r="C42" s="91" t="s">
        <v>592</v>
      </c>
      <c r="D42" s="91">
        <v>5</v>
      </c>
      <c r="E42" s="91">
        <v>10</v>
      </c>
      <c r="F42" s="91">
        <v>0</v>
      </c>
      <c r="G42" s="126">
        <v>0</v>
      </c>
      <c r="H42" s="126">
        <f t="shared" si="1"/>
        <v>0</v>
      </c>
      <c r="I42" s="126" t="str">
        <f t="shared" si="2"/>
        <v>0y 0d 0h 0m</v>
      </c>
    </row>
    <row r="43" s="91" customFormat="1" spans="1:9">
      <c r="A43" s="91" t="str">
        <f t="shared" si="0"/>
        <v>B-11</v>
      </c>
      <c r="B43" s="91" t="s">
        <v>597</v>
      </c>
      <c r="C43" s="91" t="s">
        <v>592</v>
      </c>
      <c r="D43" s="91">
        <v>5</v>
      </c>
      <c r="E43" s="91">
        <v>11</v>
      </c>
      <c r="F43" s="91">
        <v>0</v>
      </c>
      <c r="G43" s="126">
        <v>0</v>
      </c>
      <c r="H43" s="126">
        <f t="shared" si="1"/>
        <v>0</v>
      </c>
      <c r="I43" s="126" t="str">
        <f t="shared" si="2"/>
        <v>0y 0d 0h 0m</v>
      </c>
    </row>
    <row r="44" s="91" customFormat="1" spans="1:9">
      <c r="A44" s="91" t="str">
        <f t="shared" si="0"/>
        <v>B-12</v>
      </c>
      <c r="B44" s="91" t="s">
        <v>598</v>
      </c>
      <c r="C44" s="91" t="s">
        <v>592</v>
      </c>
      <c r="D44" s="91">
        <v>5</v>
      </c>
      <c r="E44" s="91">
        <v>12</v>
      </c>
      <c r="F44" s="91">
        <v>0</v>
      </c>
      <c r="G44" s="126">
        <v>34.3142168594032</v>
      </c>
      <c r="H44" s="126">
        <f t="shared" si="1"/>
        <v>0.0202</v>
      </c>
      <c r="I44" s="126" t="str">
        <f t="shared" si="2"/>
        <v>0y 0d 0h 0m</v>
      </c>
    </row>
    <row r="45" s="91" customFormat="1" spans="1:9">
      <c r="A45" s="91" t="str">
        <f t="shared" si="0"/>
        <v>B-13</v>
      </c>
      <c r="B45" s="91" t="s">
        <v>599</v>
      </c>
      <c r="C45" s="91" t="s">
        <v>592</v>
      </c>
      <c r="D45" s="91">
        <v>5</v>
      </c>
      <c r="E45" s="91">
        <v>13</v>
      </c>
      <c r="F45" s="91">
        <v>0</v>
      </c>
      <c r="G45" s="126">
        <v>39.9278329815636</v>
      </c>
      <c r="H45" s="126">
        <f t="shared" si="1"/>
        <v>0.01736</v>
      </c>
      <c r="I45" s="126" t="str">
        <f t="shared" si="2"/>
        <v>0y 0d 0h 0m</v>
      </c>
    </row>
    <row r="46" s="91" customFormat="1" spans="1:9">
      <c r="A46" s="91" t="str">
        <f t="shared" si="0"/>
        <v>B-14</v>
      </c>
      <c r="B46" s="91" t="s">
        <v>600</v>
      </c>
      <c r="C46" s="91" t="s">
        <v>592</v>
      </c>
      <c r="D46" s="91">
        <v>5</v>
      </c>
      <c r="E46" s="91">
        <v>14</v>
      </c>
      <c r="F46" s="91">
        <v>0</v>
      </c>
      <c r="G46" s="126">
        <v>55.4517744447956</v>
      </c>
      <c r="H46" s="126">
        <f t="shared" si="1"/>
        <v>0.0125</v>
      </c>
      <c r="I46" s="126" t="str">
        <f t="shared" si="2"/>
        <v>0y 0d 0h 0m</v>
      </c>
    </row>
    <row r="47" s="91" customFormat="1" spans="1:9">
      <c r="A47" s="91" t="str">
        <f t="shared" si="0"/>
        <v>B-15</v>
      </c>
      <c r="B47" s="91" t="s">
        <v>601</v>
      </c>
      <c r="C47" s="91" t="s">
        <v>592</v>
      </c>
      <c r="D47" s="91">
        <v>5</v>
      </c>
      <c r="E47" s="91">
        <v>15</v>
      </c>
      <c r="F47" s="91">
        <v>0</v>
      </c>
      <c r="G47" s="126">
        <v>69.8033414461173</v>
      </c>
      <c r="H47" s="126">
        <f t="shared" si="1"/>
        <v>0.00993000000000001</v>
      </c>
      <c r="I47" s="126" t="str">
        <f t="shared" si="2"/>
        <v>0y 0d 0h 0m</v>
      </c>
    </row>
    <row r="48" s="91" customFormat="1" spans="1:9">
      <c r="A48" s="91" t="str">
        <f t="shared" si="0"/>
        <v>B-16</v>
      </c>
      <c r="B48" s="91" t="s">
        <v>602</v>
      </c>
      <c r="C48" s="91" t="s">
        <v>592</v>
      </c>
      <c r="D48" s="91">
        <v>5</v>
      </c>
      <c r="E48" s="91">
        <v>16</v>
      </c>
      <c r="F48" s="91">
        <v>0</v>
      </c>
      <c r="G48" s="126">
        <v>3648143055.57865</v>
      </c>
      <c r="H48" s="126">
        <f t="shared" si="1"/>
        <v>1.9e-10</v>
      </c>
      <c r="I48" s="126" t="str">
        <f t="shared" si="2"/>
        <v>0y 0d 0h 0m</v>
      </c>
    </row>
    <row r="49" s="91" customFormat="1" spans="1:9">
      <c r="A49" s="91" t="str">
        <f t="shared" si="0"/>
        <v>B-17</v>
      </c>
      <c r="B49" s="91" t="s">
        <v>603</v>
      </c>
      <c r="C49" s="91" t="s">
        <v>592</v>
      </c>
      <c r="D49" s="91">
        <v>5</v>
      </c>
      <c r="E49" s="91">
        <v>17</v>
      </c>
      <c r="F49" s="91">
        <v>0</v>
      </c>
      <c r="G49" s="126">
        <v>136.446295385816</v>
      </c>
      <c r="H49" s="126">
        <f t="shared" si="1"/>
        <v>0.00508</v>
      </c>
      <c r="I49" s="126" t="str">
        <f t="shared" si="2"/>
        <v>0y 0d 0h 0m</v>
      </c>
    </row>
    <row r="50" s="91" customFormat="1" spans="1:9">
      <c r="A50" s="91" t="str">
        <f t="shared" si="0"/>
        <v>B-18</v>
      </c>
      <c r="B50" s="91" t="s">
        <v>604</v>
      </c>
      <c r="C50" s="91" t="s">
        <v>592</v>
      </c>
      <c r="D50" s="91">
        <v>5</v>
      </c>
      <c r="E50" s="91">
        <v>18</v>
      </c>
      <c r="F50" s="91">
        <v>0</v>
      </c>
      <c r="G50" s="126">
        <v>26659506.9446132</v>
      </c>
      <c r="H50" s="126">
        <f t="shared" si="1"/>
        <v>2.60000000000001e-8</v>
      </c>
      <c r="I50" s="126" t="str">
        <f t="shared" si="2"/>
        <v>0y 0d 0h 0m</v>
      </c>
    </row>
    <row r="51" s="91" customFormat="1" spans="1:9">
      <c r="A51" s="91" t="str">
        <f t="shared" si="0"/>
        <v>B-19</v>
      </c>
      <c r="B51" s="91" t="s">
        <v>605</v>
      </c>
      <c r="C51" s="91" t="s">
        <v>592</v>
      </c>
      <c r="D51" s="91">
        <v>5</v>
      </c>
      <c r="E51" s="91">
        <v>19</v>
      </c>
      <c r="F51" s="91">
        <v>0</v>
      </c>
      <c r="G51" s="126">
        <v>237.379171424638</v>
      </c>
      <c r="H51" s="126">
        <f t="shared" si="1"/>
        <v>0.00292000000000001</v>
      </c>
      <c r="I51" s="126" t="str">
        <f t="shared" si="2"/>
        <v>0y 0d 0h 0m</v>
      </c>
    </row>
    <row r="52" s="91" customFormat="1" spans="1:9">
      <c r="A52" s="91" t="str">
        <f t="shared" si="0"/>
        <v>C-8</v>
      </c>
      <c r="B52" s="91" t="s">
        <v>606</v>
      </c>
      <c r="C52" s="91" t="s">
        <v>607</v>
      </c>
      <c r="D52" s="91">
        <v>6</v>
      </c>
      <c r="E52" s="91">
        <v>8</v>
      </c>
      <c r="F52" s="91">
        <v>0</v>
      </c>
      <c r="G52" s="126">
        <v>3.49844637641924e+20</v>
      </c>
      <c r="H52" s="126">
        <f t="shared" si="1"/>
        <v>1.9813e-21</v>
      </c>
      <c r="I52" s="126" t="str">
        <f t="shared" si="2"/>
        <v>0y 0d 0h 0m</v>
      </c>
    </row>
    <row r="53" s="91" customFormat="1" spans="1:9">
      <c r="A53" s="91" t="str">
        <f t="shared" si="0"/>
        <v>C-9</v>
      </c>
      <c r="B53" s="91" t="s">
        <v>608</v>
      </c>
      <c r="C53" s="91" t="s">
        <v>607</v>
      </c>
      <c r="D53" s="91">
        <v>6</v>
      </c>
      <c r="E53" s="91">
        <v>9</v>
      </c>
      <c r="F53" s="91">
        <v>0</v>
      </c>
      <c r="G53" s="126">
        <v>5.47942435225253</v>
      </c>
      <c r="H53" s="126">
        <f t="shared" si="1"/>
        <v>0.1265</v>
      </c>
      <c r="I53" s="126" t="str">
        <f t="shared" si="2"/>
        <v>0y 0d 0h 0m</v>
      </c>
    </row>
    <row r="54" s="91" customFormat="1" spans="1:9">
      <c r="A54" s="91" t="str">
        <f t="shared" si="0"/>
        <v>C-10</v>
      </c>
      <c r="B54" s="91" t="s">
        <v>609</v>
      </c>
      <c r="C54" s="91" t="s">
        <v>607</v>
      </c>
      <c r="D54" s="91">
        <v>6</v>
      </c>
      <c r="E54" s="91">
        <v>10</v>
      </c>
      <c r="F54" s="91">
        <v>0</v>
      </c>
      <c r="G54" s="126">
        <v>0.0359329798112983</v>
      </c>
      <c r="H54" s="126">
        <f t="shared" si="1"/>
        <v>19.29</v>
      </c>
      <c r="I54" s="126" t="str">
        <f t="shared" si="2"/>
        <v>0y 0d 0h 0m</v>
      </c>
    </row>
    <row r="55" s="91" customFormat="1" spans="1:9">
      <c r="A55" s="91" t="str">
        <f t="shared" si="0"/>
        <v>C-11</v>
      </c>
      <c r="B55" s="91" t="s">
        <v>610</v>
      </c>
      <c r="C55" s="91" t="s">
        <v>607</v>
      </c>
      <c r="D55" s="91">
        <v>6</v>
      </c>
      <c r="E55" s="91">
        <v>11</v>
      </c>
      <c r="F55" s="91">
        <v>0</v>
      </c>
      <c r="G55" s="126">
        <v>0.000566713417185794</v>
      </c>
      <c r="H55" s="126">
        <f t="shared" si="1"/>
        <v>1223.1</v>
      </c>
      <c r="I55" s="126" t="str">
        <f t="shared" si="2"/>
        <v>0y 0d 0h 20m</v>
      </c>
    </row>
    <row r="56" s="91" customFormat="1" spans="1:9">
      <c r="A56" s="91" t="str">
        <f t="shared" si="0"/>
        <v>C-12</v>
      </c>
      <c r="B56" s="91" t="s">
        <v>611</v>
      </c>
      <c r="C56" s="91" t="s">
        <v>607</v>
      </c>
      <c r="D56" s="91">
        <v>6</v>
      </c>
      <c r="E56" s="91">
        <v>12</v>
      </c>
      <c r="F56" s="91">
        <v>0</v>
      </c>
      <c r="G56" s="126">
        <v>0</v>
      </c>
      <c r="H56" s="126">
        <f t="shared" si="1"/>
        <v>0</v>
      </c>
      <c r="I56" s="126" t="str">
        <f t="shared" si="2"/>
        <v>0y 0d 0h 0m</v>
      </c>
    </row>
    <row r="57" s="91" customFormat="1" spans="1:9">
      <c r="A57" s="91" t="str">
        <f t="shared" si="0"/>
        <v>C-13</v>
      </c>
      <c r="B57" s="91" t="s">
        <v>612</v>
      </c>
      <c r="C57" s="91" t="s">
        <v>607</v>
      </c>
      <c r="D57" s="91">
        <v>6</v>
      </c>
      <c r="E57" s="91">
        <v>13</v>
      </c>
      <c r="F57" s="91">
        <v>0</v>
      </c>
      <c r="G57" s="126">
        <v>0</v>
      </c>
      <c r="H57" s="126">
        <f t="shared" si="1"/>
        <v>0</v>
      </c>
      <c r="I57" s="126" t="str">
        <f t="shared" si="2"/>
        <v>0y 0d 0h 0m</v>
      </c>
    </row>
    <row r="58" s="91" customFormat="1" spans="1:9">
      <c r="A58" s="91" t="str">
        <f t="shared" si="0"/>
        <v>C-14</v>
      </c>
      <c r="B58" s="91" t="s">
        <v>613</v>
      </c>
      <c r="C58" s="91" t="s">
        <v>607</v>
      </c>
      <c r="D58" s="91">
        <v>6</v>
      </c>
      <c r="E58" s="91">
        <v>14</v>
      </c>
      <c r="F58" s="91">
        <v>0</v>
      </c>
      <c r="G58" s="126">
        <v>3.8534294386192e-12</v>
      </c>
      <c r="H58" s="126">
        <f t="shared" si="1"/>
        <v>179878000000</v>
      </c>
      <c r="I58" s="126" t="str">
        <f t="shared" si="2"/>
        <v>5703y 326d 7h 6m</v>
      </c>
    </row>
    <row r="59" s="91" customFormat="1" spans="1:9">
      <c r="A59" s="91" t="str">
        <f t="shared" si="0"/>
        <v>C-15</v>
      </c>
      <c r="B59" s="91" t="s">
        <v>614</v>
      </c>
      <c r="C59" s="91" t="s">
        <v>607</v>
      </c>
      <c r="D59" s="91">
        <v>6</v>
      </c>
      <c r="E59" s="91">
        <v>15</v>
      </c>
      <c r="F59" s="91">
        <v>0</v>
      </c>
      <c r="G59" s="126">
        <v>0.283032740122476</v>
      </c>
      <c r="H59" s="126">
        <f t="shared" si="1"/>
        <v>2.44900000000001</v>
      </c>
      <c r="I59" s="126" t="str">
        <f t="shared" si="2"/>
        <v>0y 0d 0h 0m</v>
      </c>
    </row>
    <row r="60" s="91" customFormat="1" spans="1:9">
      <c r="A60" s="91" t="str">
        <f t="shared" si="0"/>
        <v>C-16</v>
      </c>
      <c r="B60" s="91" t="s">
        <v>615</v>
      </c>
      <c r="C60" s="91" t="s">
        <v>607</v>
      </c>
      <c r="D60" s="91">
        <v>6</v>
      </c>
      <c r="E60" s="91">
        <v>16</v>
      </c>
      <c r="F60" s="91">
        <v>0</v>
      </c>
      <c r="G60" s="126">
        <v>0.927907872235535</v>
      </c>
      <c r="H60" s="126">
        <f t="shared" si="1"/>
        <v>0.747000000000001</v>
      </c>
      <c r="I60" s="126" t="str">
        <f t="shared" si="2"/>
        <v>0y 0d 0h 0m</v>
      </c>
    </row>
    <row r="61" s="91" customFormat="1" spans="1:9">
      <c r="A61" s="91" t="str">
        <f t="shared" si="0"/>
        <v>C-17</v>
      </c>
      <c r="B61" s="91" t="s">
        <v>616</v>
      </c>
      <c r="C61" s="91" t="s">
        <v>607</v>
      </c>
      <c r="D61" s="91">
        <v>6</v>
      </c>
      <c r="E61" s="91">
        <v>17</v>
      </c>
      <c r="F61" s="91">
        <v>0</v>
      </c>
      <c r="G61" s="126">
        <v>3.59143616870437</v>
      </c>
      <c r="H61" s="126">
        <f t="shared" si="1"/>
        <v>0.193000000000001</v>
      </c>
      <c r="I61" s="126" t="str">
        <f t="shared" si="2"/>
        <v>0y 0d 0h 0m</v>
      </c>
    </row>
    <row r="62" s="91" customFormat="1" spans="1:9">
      <c r="A62" s="91" t="str">
        <f t="shared" si="0"/>
        <v>C-18</v>
      </c>
      <c r="B62" s="91" t="s">
        <v>617</v>
      </c>
      <c r="C62" s="91" t="s">
        <v>607</v>
      </c>
      <c r="D62" s="91">
        <v>6</v>
      </c>
      <c r="E62" s="91">
        <v>18</v>
      </c>
      <c r="F62" s="91">
        <v>0</v>
      </c>
      <c r="G62" s="126">
        <v>7.53420848434723</v>
      </c>
      <c r="H62" s="126">
        <f t="shared" si="1"/>
        <v>0.092</v>
      </c>
      <c r="I62" s="126" t="str">
        <f t="shared" si="2"/>
        <v>0y 0d 0h 0m</v>
      </c>
    </row>
    <row r="63" s="91" customFormat="1" spans="1:9">
      <c r="A63" s="91" t="str">
        <f t="shared" si="0"/>
        <v>C-19</v>
      </c>
      <c r="B63" s="91" t="s">
        <v>618</v>
      </c>
      <c r="C63" s="91" t="s">
        <v>607</v>
      </c>
      <c r="D63" s="91">
        <v>6</v>
      </c>
      <c r="E63" s="91">
        <v>19</v>
      </c>
      <c r="F63" s="91">
        <v>0</v>
      </c>
      <c r="G63" s="126">
        <v>14.1458608277539</v>
      </c>
      <c r="H63" s="126">
        <f t="shared" si="1"/>
        <v>0.0490000000000003</v>
      </c>
      <c r="I63" s="126" t="str">
        <f t="shared" si="2"/>
        <v>0y 0d 0h 0m</v>
      </c>
    </row>
    <row r="64" s="91" customFormat="1" spans="1:9">
      <c r="A64" s="91" t="str">
        <f t="shared" si="0"/>
        <v>C-20</v>
      </c>
      <c r="B64" s="91" t="s">
        <v>619</v>
      </c>
      <c r="C64" s="91" t="s">
        <v>607</v>
      </c>
      <c r="D64" s="91">
        <v>6</v>
      </c>
      <c r="E64" s="91">
        <v>20</v>
      </c>
      <c r="F64" s="91">
        <v>0</v>
      </c>
      <c r="G64" s="126">
        <v>47.8032538317203</v>
      </c>
      <c r="H64" s="126">
        <f t="shared" si="1"/>
        <v>0.0145</v>
      </c>
      <c r="I64" s="126" t="str">
        <f t="shared" si="2"/>
        <v>0y 0d 0h 0m</v>
      </c>
    </row>
    <row r="65" s="91" customFormat="1" spans="1:9">
      <c r="A65" s="91" t="str">
        <f t="shared" si="0"/>
        <v>C-21</v>
      </c>
      <c r="B65" s="91" t="s">
        <v>620</v>
      </c>
      <c r="C65" s="91" t="s">
        <v>607</v>
      </c>
      <c r="D65" s="91">
        <v>6</v>
      </c>
      <c r="E65" s="91">
        <v>21</v>
      </c>
      <c r="F65" s="91">
        <v>0</v>
      </c>
      <c r="G65" s="126">
        <v>23104906.0186648</v>
      </c>
      <c r="H65" s="126">
        <f t="shared" si="1"/>
        <v>3.00000000000001e-8</v>
      </c>
      <c r="I65" s="126" t="str">
        <f t="shared" si="2"/>
        <v>0y 0d 0h 0m</v>
      </c>
    </row>
    <row r="66" s="91" customFormat="1" spans="1:9">
      <c r="A66" s="91" t="str">
        <f t="shared" ref="A66:A129" si="3">C66&amp;"-"&amp;E66&amp;_xlfn.IFS(F66=0,"",F66=1,"m",F66&gt;1,"m"&amp;F66)</f>
        <v>C-22</v>
      </c>
      <c r="B66" s="91" t="s">
        <v>621</v>
      </c>
      <c r="C66" s="91" t="s">
        <v>607</v>
      </c>
      <c r="D66" s="91">
        <v>6</v>
      </c>
      <c r="E66" s="91">
        <v>22</v>
      </c>
      <c r="F66" s="91">
        <v>0</v>
      </c>
      <c r="G66" s="126">
        <v>111.797932348378</v>
      </c>
      <c r="H66" s="126">
        <f t="shared" ref="H66:H129" si="4">IF(G66&gt;0,LN(2)/G66,0)</f>
        <v>0.00620000000000002</v>
      </c>
      <c r="I66" s="126" t="str">
        <f t="shared" si="2"/>
        <v>0y 0d 0h 0m</v>
      </c>
    </row>
    <row r="67" s="91" customFormat="1" spans="1:9">
      <c r="A67" s="91" t="str">
        <f t="shared" si="3"/>
        <v>N-10</v>
      </c>
      <c r="B67" s="91" t="s">
        <v>622</v>
      </c>
      <c r="C67" s="91" t="s">
        <v>623</v>
      </c>
      <c r="D67" s="91">
        <v>7</v>
      </c>
      <c r="E67" s="91">
        <v>10</v>
      </c>
      <c r="F67" s="91">
        <v>0</v>
      </c>
      <c r="G67" s="126">
        <v>3.46573590279972e+21</v>
      </c>
      <c r="H67" s="126">
        <f t="shared" si="4"/>
        <v>2e-22</v>
      </c>
      <c r="I67" s="126" t="str">
        <f t="shared" ref="I67:I130" si="5">INT(H67/31536000)&amp;"y "&amp;INT(MOD(H67,31536000)/86400)&amp;"d "&amp;INT(MOD(MOD(H67,31536000),86400)/3600)&amp;"h "&amp;INT(MOD(MOD(MOD(H67,31536000),86400),3600)/60)&amp;"m"</f>
        <v>0y 0d 0h 0m</v>
      </c>
    </row>
    <row r="68" s="91" customFormat="1" spans="1:9">
      <c r="A68" s="91" t="str">
        <f t="shared" si="3"/>
        <v>N-11</v>
      </c>
      <c r="B68" s="91" t="s">
        <v>624</v>
      </c>
      <c r="C68" s="91" t="s">
        <v>623</v>
      </c>
      <c r="D68" s="91">
        <v>7</v>
      </c>
      <c r="E68" s="91">
        <v>11</v>
      </c>
      <c r="F68" s="91">
        <v>0</v>
      </c>
      <c r="G68" s="126">
        <v>2.21635463276421e+21</v>
      </c>
      <c r="H68" s="126">
        <f t="shared" si="4"/>
        <v>3.12742e-22</v>
      </c>
      <c r="I68" s="126" t="str">
        <f t="shared" si="5"/>
        <v>0y 0d 0h 0m</v>
      </c>
    </row>
    <row r="69" s="91" customFormat="1" spans="1:9">
      <c r="A69" s="91" t="str">
        <f t="shared" si="3"/>
        <v>N-12</v>
      </c>
      <c r="B69" s="91" t="s">
        <v>625</v>
      </c>
      <c r="C69" s="91" t="s">
        <v>623</v>
      </c>
      <c r="D69" s="91">
        <v>7</v>
      </c>
      <c r="E69" s="91">
        <v>12</v>
      </c>
      <c r="F69" s="91">
        <v>0</v>
      </c>
      <c r="G69" s="126">
        <v>63.0133800509041</v>
      </c>
      <c r="H69" s="126">
        <f t="shared" si="4"/>
        <v>0.011</v>
      </c>
      <c r="I69" s="126" t="str">
        <f t="shared" si="5"/>
        <v>0y 0d 0h 0m</v>
      </c>
    </row>
    <row r="70" s="91" customFormat="1" spans="1:9">
      <c r="A70" s="91" t="str">
        <f t="shared" si="3"/>
        <v>N-13</v>
      </c>
      <c r="B70" s="91" t="s">
        <v>626</v>
      </c>
      <c r="C70" s="91" t="s">
        <v>623</v>
      </c>
      <c r="D70" s="91">
        <v>7</v>
      </c>
      <c r="E70" s="91">
        <v>13</v>
      </c>
      <c r="F70" s="91">
        <v>0</v>
      </c>
      <c r="G70" s="126">
        <v>0.00115930286094655</v>
      </c>
      <c r="H70" s="126">
        <f t="shared" si="4"/>
        <v>597.900000000003</v>
      </c>
      <c r="I70" s="126" t="str">
        <f t="shared" si="5"/>
        <v>0y 0d 0h 9m</v>
      </c>
    </row>
    <row r="71" s="91" customFormat="1" spans="1:9">
      <c r="A71" s="91" t="str">
        <f t="shared" si="3"/>
        <v>N-14</v>
      </c>
      <c r="B71" s="91" t="s">
        <v>627</v>
      </c>
      <c r="C71" s="91" t="s">
        <v>623</v>
      </c>
      <c r="D71" s="91">
        <v>7</v>
      </c>
      <c r="E71" s="91">
        <v>14</v>
      </c>
      <c r="F71" s="91">
        <v>0</v>
      </c>
      <c r="G71" s="126">
        <v>0</v>
      </c>
      <c r="H71" s="126">
        <f t="shared" si="4"/>
        <v>0</v>
      </c>
      <c r="I71" s="126" t="str">
        <f t="shared" si="5"/>
        <v>0y 0d 0h 0m</v>
      </c>
    </row>
    <row r="72" s="91" customFormat="1" spans="1:9">
      <c r="A72" s="91" t="str">
        <f t="shared" si="3"/>
        <v>N-15</v>
      </c>
      <c r="B72" s="91" t="s">
        <v>628</v>
      </c>
      <c r="C72" s="91" t="s">
        <v>623</v>
      </c>
      <c r="D72" s="91">
        <v>7</v>
      </c>
      <c r="E72" s="91">
        <v>15</v>
      </c>
      <c r="F72" s="91">
        <v>0</v>
      </c>
      <c r="G72" s="126">
        <v>0</v>
      </c>
      <c r="H72" s="126">
        <f t="shared" si="4"/>
        <v>0</v>
      </c>
      <c r="I72" s="126" t="str">
        <f t="shared" si="5"/>
        <v>0y 0d 0h 0m</v>
      </c>
    </row>
    <row r="73" s="91" customFormat="1" spans="1:9">
      <c r="A73" s="91" t="str">
        <f t="shared" si="3"/>
        <v>N-16</v>
      </c>
      <c r="B73" s="91" t="s">
        <v>629</v>
      </c>
      <c r="C73" s="91" t="s">
        <v>623</v>
      </c>
      <c r="D73" s="91">
        <v>7</v>
      </c>
      <c r="E73" s="91">
        <v>16</v>
      </c>
      <c r="F73" s="91">
        <v>0</v>
      </c>
      <c r="G73" s="126">
        <v>0.0972155933464158</v>
      </c>
      <c r="H73" s="126">
        <f t="shared" si="4"/>
        <v>7.13000000000001</v>
      </c>
      <c r="I73" s="126" t="str">
        <f t="shared" si="5"/>
        <v>0y 0d 0h 0m</v>
      </c>
    </row>
    <row r="74" s="91" customFormat="1" spans="1:9">
      <c r="A74" s="91" t="str">
        <f t="shared" si="3"/>
        <v>N-17</v>
      </c>
      <c r="B74" s="91" t="s">
        <v>630</v>
      </c>
      <c r="C74" s="91" t="s">
        <v>623</v>
      </c>
      <c r="D74" s="91">
        <v>7</v>
      </c>
      <c r="E74" s="91">
        <v>17</v>
      </c>
      <c r="F74" s="91">
        <v>0</v>
      </c>
      <c r="G74" s="126">
        <v>0.166182493541104</v>
      </c>
      <c r="H74" s="126">
        <f t="shared" si="4"/>
        <v>4.171</v>
      </c>
      <c r="I74" s="126" t="str">
        <f t="shared" si="5"/>
        <v>0y 0d 0h 0m</v>
      </c>
    </row>
    <row r="75" s="91" customFormat="1" spans="1:9">
      <c r="A75" s="91" t="str">
        <f t="shared" si="3"/>
        <v>N-18</v>
      </c>
      <c r="B75" s="91" t="s">
        <v>631</v>
      </c>
      <c r="C75" s="91" t="s">
        <v>623</v>
      </c>
      <c r="D75" s="91">
        <v>7</v>
      </c>
      <c r="E75" s="91">
        <v>18</v>
      </c>
      <c r="F75" s="91">
        <v>0</v>
      </c>
      <c r="G75" s="126">
        <v>1.11081278935888</v>
      </c>
      <c r="H75" s="126">
        <f t="shared" si="4"/>
        <v>0.624000000000004</v>
      </c>
      <c r="I75" s="126" t="str">
        <f t="shared" si="5"/>
        <v>0y 0d 0h 0m</v>
      </c>
    </row>
    <row r="76" s="91" customFormat="1" spans="1:9">
      <c r="A76" s="91" t="str">
        <f t="shared" si="3"/>
        <v>N-19</v>
      </c>
      <c r="B76" s="91" t="s">
        <v>632</v>
      </c>
      <c r="C76" s="91" t="s">
        <v>623</v>
      </c>
      <c r="D76" s="91">
        <v>7</v>
      </c>
      <c r="E76" s="91">
        <v>19</v>
      </c>
      <c r="F76" s="91">
        <v>0</v>
      </c>
      <c r="G76" s="126">
        <v>2.55773867365293</v>
      </c>
      <c r="H76" s="126">
        <f t="shared" si="4"/>
        <v>0.271000000000001</v>
      </c>
      <c r="I76" s="126" t="str">
        <f t="shared" si="5"/>
        <v>0y 0d 0h 0m</v>
      </c>
    </row>
    <row r="77" s="91" customFormat="1" spans="1:9">
      <c r="A77" s="91" t="str">
        <f t="shared" si="3"/>
        <v>N-20</v>
      </c>
      <c r="B77" s="91" t="s">
        <v>633</v>
      </c>
      <c r="C77" s="91" t="s">
        <v>623</v>
      </c>
      <c r="D77" s="91">
        <v>7</v>
      </c>
      <c r="E77" s="91">
        <v>20</v>
      </c>
      <c r="F77" s="91">
        <v>0</v>
      </c>
      <c r="G77" s="126">
        <v>5.33190138892265</v>
      </c>
      <c r="H77" s="126">
        <f t="shared" si="4"/>
        <v>0.13</v>
      </c>
      <c r="I77" s="126" t="str">
        <f t="shared" si="5"/>
        <v>0y 0d 0h 0m</v>
      </c>
    </row>
    <row r="78" s="91" customFormat="1" spans="1:9">
      <c r="A78" s="91" t="str">
        <f t="shared" si="3"/>
        <v>N-21</v>
      </c>
      <c r="B78" s="91" t="s">
        <v>634</v>
      </c>
      <c r="C78" s="91" t="s">
        <v>623</v>
      </c>
      <c r="D78" s="91">
        <v>7</v>
      </c>
      <c r="E78" s="91">
        <v>21</v>
      </c>
      <c r="F78" s="91">
        <v>0</v>
      </c>
      <c r="G78" s="126">
        <v>8.15467271246994</v>
      </c>
      <c r="H78" s="126">
        <f t="shared" si="4"/>
        <v>0.085</v>
      </c>
      <c r="I78" s="126" t="str">
        <f t="shared" si="5"/>
        <v>0y 0d 0h 0m</v>
      </c>
    </row>
    <row r="79" s="91" customFormat="1" spans="1:9">
      <c r="A79" s="91" t="str">
        <f t="shared" si="3"/>
        <v>N-22</v>
      </c>
      <c r="B79" s="91" t="s">
        <v>635</v>
      </c>
      <c r="C79" s="91" t="s">
        <v>623</v>
      </c>
      <c r="D79" s="91">
        <v>7</v>
      </c>
      <c r="E79" s="91">
        <v>22</v>
      </c>
      <c r="F79" s="91">
        <v>0</v>
      </c>
      <c r="G79" s="126">
        <v>28.881132523331</v>
      </c>
      <c r="H79" s="126">
        <f t="shared" si="4"/>
        <v>0.024</v>
      </c>
      <c r="I79" s="126" t="str">
        <f t="shared" si="5"/>
        <v>0y 0d 0h 0m</v>
      </c>
    </row>
    <row r="80" s="91" customFormat="1" spans="1:9">
      <c r="A80" s="91" t="str">
        <f t="shared" si="3"/>
        <v>N-23</v>
      </c>
      <c r="B80" s="91" t="s">
        <v>636</v>
      </c>
      <c r="C80" s="91" t="s">
        <v>623</v>
      </c>
      <c r="D80" s="91">
        <v>7</v>
      </c>
      <c r="E80" s="91">
        <v>23</v>
      </c>
      <c r="F80" s="91">
        <v>0</v>
      </c>
      <c r="G80" s="126">
        <v>47.8032538317203</v>
      </c>
      <c r="H80" s="126">
        <f t="shared" si="4"/>
        <v>0.0145</v>
      </c>
      <c r="I80" s="126" t="str">
        <f t="shared" si="5"/>
        <v>0y 0d 0h 0m</v>
      </c>
    </row>
    <row r="81" s="91" customFormat="1" spans="1:9">
      <c r="A81" s="91" t="str">
        <f t="shared" si="3"/>
        <v>N-24</v>
      </c>
      <c r="B81" s="91" t="s">
        <v>637</v>
      </c>
      <c r="C81" s="91" t="s">
        <v>623</v>
      </c>
      <c r="D81" s="91">
        <v>7</v>
      </c>
      <c r="E81" s="91">
        <v>24</v>
      </c>
      <c r="F81" s="91">
        <v>0</v>
      </c>
      <c r="G81" s="126">
        <v>13329753.4723066</v>
      </c>
      <c r="H81" s="126">
        <f t="shared" si="4"/>
        <v>5.20000000000002e-8</v>
      </c>
      <c r="I81" s="126" t="str">
        <f t="shared" si="5"/>
        <v>0y 0d 0h 0m</v>
      </c>
    </row>
    <row r="82" s="91" customFormat="1" spans="1:9">
      <c r="A82" s="91" t="str">
        <f t="shared" si="3"/>
        <v>N-25</v>
      </c>
      <c r="B82" s="91" t="s">
        <v>638</v>
      </c>
      <c r="C82" s="91" t="s">
        <v>623</v>
      </c>
      <c r="D82" s="91">
        <v>7</v>
      </c>
      <c r="E82" s="91">
        <v>25</v>
      </c>
      <c r="F82" s="91">
        <v>0</v>
      </c>
      <c r="G82" s="126">
        <v>2665950.69446132</v>
      </c>
      <c r="H82" s="126">
        <f t="shared" si="4"/>
        <v>2.60000000000001e-7</v>
      </c>
      <c r="I82" s="126" t="str">
        <f t="shared" si="5"/>
        <v>0y 0d 0h 0m</v>
      </c>
    </row>
    <row r="83" s="91" customFormat="1" spans="1:9">
      <c r="A83" s="91" t="str">
        <f t="shared" si="3"/>
        <v>O-12</v>
      </c>
      <c r="B83" s="91" t="s">
        <v>639</v>
      </c>
      <c r="C83" s="91" t="s">
        <v>640</v>
      </c>
      <c r="D83" s="91">
        <v>8</v>
      </c>
      <c r="E83" s="91">
        <v>12</v>
      </c>
      <c r="F83" s="91">
        <v>0</v>
      </c>
      <c r="G83" s="126">
        <v>6.08424121623827e+20</v>
      </c>
      <c r="H83" s="126">
        <f t="shared" si="4"/>
        <v>1.13925e-21</v>
      </c>
      <c r="I83" s="126" t="str">
        <f t="shared" si="5"/>
        <v>0y 0d 0h 0m</v>
      </c>
    </row>
    <row r="84" s="91" customFormat="1" spans="1:9">
      <c r="A84" s="91" t="str">
        <f t="shared" si="3"/>
        <v>O-13</v>
      </c>
      <c r="B84" s="91" t="s">
        <v>641</v>
      </c>
      <c r="C84" s="91" t="s">
        <v>640</v>
      </c>
      <c r="D84" s="91">
        <v>8</v>
      </c>
      <c r="E84" s="91">
        <v>13</v>
      </c>
      <c r="F84" s="91">
        <v>0</v>
      </c>
      <c r="G84" s="126">
        <v>80.7863846806463</v>
      </c>
      <c r="H84" s="126">
        <f t="shared" si="4"/>
        <v>0.00858</v>
      </c>
      <c r="I84" s="126" t="str">
        <f t="shared" si="5"/>
        <v>0y 0d 0h 0m</v>
      </c>
    </row>
    <row r="85" s="91" customFormat="1" spans="1:9">
      <c r="A85" s="91" t="str">
        <f t="shared" si="3"/>
        <v>O-14</v>
      </c>
      <c r="B85" s="91" t="s">
        <v>642</v>
      </c>
      <c r="C85" s="91" t="s">
        <v>640</v>
      </c>
      <c r="D85" s="91">
        <v>8</v>
      </c>
      <c r="E85" s="91">
        <v>14</v>
      </c>
      <c r="F85" s="91">
        <v>0</v>
      </c>
      <c r="G85" s="126">
        <v>0.00981711441747082</v>
      </c>
      <c r="H85" s="126">
        <f t="shared" si="4"/>
        <v>70.6060000000001</v>
      </c>
      <c r="I85" s="126" t="str">
        <f t="shared" si="5"/>
        <v>0y 0d 0h 1m</v>
      </c>
    </row>
    <row r="86" s="91" customFormat="1" spans="1:9">
      <c r="A86" s="91" t="str">
        <f t="shared" si="3"/>
        <v>O-15</v>
      </c>
      <c r="B86" s="91" t="s">
        <v>643</v>
      </c>
      <c r="C86" s="91" t="s">
        <v>640</v>
      </c>
      <c r="D86" s="91">
        <v>8</v>
      </c>
      <c r="E86" s="91">
        <v>15</v>
      </c>
      <c r="F86" s="91">
        <v>0</v>
      </c>
      <c r="G86" s="126">
        <v>0.00567037942211997</v>
      </c>
      <c r="H86" s="126">
        <f t="shared" si="4"/>
        <v>122.24</v>
      </c>
      <c r="I86" s="126" t="str">
        <f t="shared" si="5"/>
        <v>0y 0d 0h 2m</v>
      </c>
    </row>
    <row r="87" s="91" customFormat="1" spans="1:9">
      <c r="A87" s="91" t="str">
        <f t="shared" si="3"/>
        <v>O-16</v>
      </c>
      <c r="B87" s="91" t="s">
        <v>644</v>
      </c>
      <c r="C87" s="91" t="s">
        <v>640</v>
      </c>
      <c r="D87" s="91">
        <v>8</v>
      </c>
      <c r="E87" s="91">
        <v>16</v>
      </c>
      <c r="F87" s="91">
        <v>0</v>
      </c>
      <c r="G87" s="126">
        <v>0</v>
      </c>
      <c r="H87" s="126">
        <f t="shared" si="4"/>
        <v>0</v>
      </c>
      <c r="I87" s="126" t="str">
        <f t="shared" si="5"/>
        <v>0y 0d 0h 0m</v>
      </c>
    </row>
    <row r="88" s="91" customFormat="1" spans="1:9">
      <c r="A88" s="91" t="str">
        <f t="shared" si="3"/>
        <v>O-17</v>
      </c>
      <c r="B88" s="91" t="s">
        <v>645</v>
      </c>
      <c r="C88" s="91" t="s">
        <v>640</v>
      </c>
      <c r="D88" s="91">
        <v>8</v>
      </c>
      <c r="E88" s="91">
        <v>17</v>
      </c>
      <c r="F88" s="91">
        <v>0</v>
      </c>
      <c r="G88" s="126">
        <v>0</v>
      </c>
      <c r="H88" s="126">
        <f t="shared" si="4"/>
        <v>0</v>
      </c>
      <c r="I88" s="126" t="str">
        <f t="shared" si="5"/>
        <v>0y 0d 0h 0m</v>
      </c>
    </row>
    <row r="89" s="91" customFormat="1" spans="1:9">
      <c r="A89" s="91" t="str">
        <f t="shared" si="3"/>
        <v>O-18</v>
      </c>
      <c r="B89" s="91" t="s">
        <v>646</v>
      </c>
      <c r="C89" s="91" t="s">
        <v>640</v>
      </c>
      <c r="D89" s="91">
        <v>8</v>
      </c>
      <c r="E89" s="91">
        <v>18</v>
      </c>
      <c r="F89" s="91">
        <v>0</v>
      </c>
      <c r="G89" s="126">
        <v>0</v>
      </c>
      <c r="H89" s="126">
        <f t="shared" si="4"/>
        <v>0</v>
      </c>
      <c r="I89" s="126" t="str">
        <f t="shared" si="5"/>
        <v>0y 0d 0h 0m</v>
      </c>
    </row>
    <row r="90" s="91" customFormat="1" spans="1:9">
      <c r="A90" s="91" t="str">
        <f t="shared" si="3"/>
        <v>O-19</v>
      </c>
      <c r="B90" s="91" t="s">
        <v>647</v>
      </c>
      <c r="C90" s="91" t="s">
        <v>640</v>
      </c>
      <c r="D90" s="91">
        <v>8</v>
      </c>
      <c r="E90" s="91">
        <v>19</v>
      </c>
      <c r="F90" s="91">
        <v>0</v>
      </c>
      <c r="G90" s="126">
        <v>0.0257867254672598</v>
      </c>
      <c r="H90" s="126">
        <f t="shared" si="4"/>
        <v>26.8800000000001</v>
      </c>
      <c r="I90" s="126" t="str">
        <f t="shared" si="5"/>
        <v>0y 0d 0h 0m</v>
      </c>
    </row>
    <row r="91" s="91" customFormat="1" spans="1:9">
      <c r="A91" s="91" t="str">
        <f t="shared" si="3"/>
        <v>O-20</v>
      </c>
      <c r="B91" s="91" t="s">
        <v>648</v>
      </c>
      <c r="C91" s="91" t="s">
        <v>640</v>
      </c>
      <c r="D91" s="91">
        <v>8</v>
      </c>
      <c r="E91" s="91">
        <v>20</v>
      </c>
      <c r="F91" s="91">
        <v>0</v>
      </c>
      <c r="G91" s="126">
        <v>0.0513062309814911</v>
      </c>
      <c r="H91" s="126">
        <f t="shared" si="4"/>
        <v>13.51</v>
      </c>
      <c r="I91" s="126" t="str">
        <f t="shared" si="5"/>
        <v>0y 0d 0h 0m</v>
      </c>
    </row>
    <row r="92" s="91" customFormat="1" spans="1:9">
      <c r="A92" s="91" t="str">
        <f t="shared" si="3"/>
        <v>O-21</v>
      </c>
      <c r="B92" s="91" t="s">
        <v>649</v>
      </c>
      <c r="C92" s="91" t="s">
        <v>640</v>
      </c>
      <c r="D92" s="91">
        <v>8</v>
      </c>
      <c r="E92" s="91">
        <v>21</v>
      </c>
      <c r="F92" s="91">
        <v>0</v>
      </c>
      <c r="G92" s="126">
        <v>0.202674614198814</v>
      </c>
      <c r="H92" s="126">
        <f t="shared" si="4"/>
        <v>3.42000000000001</v>
      </c>
      <c r="I92" s="126" t="str">
        <f t="shared" si="5"/>
        <v>0y 0d 0h 0m</v>
      </c>
    </row>
    <row r="93" s="91" customFormat="1" spans="1:9">
      <c r="A93" s="91" t="str">
        <f t="shared" si="3"/>
        <v>O-22</v>
      </c>
      <c r="B93" s="91" t="s">
        <v>650</v>
      </c>
      <c r="C93" s="91" t="s">
        <v>640</v>
      </c>
      <c r="D93" s="91">
        <v>8</v>
      </c>
      <c r="E93" s="91">
        <v>22</v>
      </c>
      <c r="F93" s="91">
        <v>0</v>
      </c>
      <c r="G93" s="126">
        <v>0.308065413582197</v>
      </c>
      <c r="H93" s="126">
        <f t="shared" si="4"/>
        <v>2.25000000000001</v>
      </c>
      <c r="I93" s="126" t="str">
        <f t="shared" si="5"/>
        <v>0y 0d 0h 0m</v>
      </c>
    </row>
    <row r="94" s="91" customFormat="1" spans="1:9">
      <c r="A94" s="91" t="str">
        <f t="shared" si="3"/>
        <v>O-23</v>
      </c>
      <c r="B94" s="91" t="s">
        <v>651</v>
      </c>
      <c r="C94" s="91" t="s">
        <v>640</v>
      </c>
      <c r="D94" s="91">
        <v>8</v>
      </c>
      <c r="E94" s="91">
        <v>23</v>
      </c>
      <c r="F94" s="91">
        <v>0</v>
      </c>
      <c r="G94" s="126">
        <v>7.65908486806569</v>
      </c>
      <c r="H94" s="126">
        <f t="shared" si="4"/>
        <v>0.0905</v>
      </c>
      <c r="I94" s="126" t="str">
        <f t="shared" si="5"/>
        <v>0y 0d 0h 0m</v>
      </c>
    </row>
    <row r="95" s="91" customFormat="1" spans="1:9">
      <c r="A95" s="91" t="str">
        <f t="shared" si="3"/>
        <v>O-24</v>
      </c>
      <c r="B95" s="91" t="s">
        <v>652</v>
      </c>
      <c r="C95" s="91" t="s">
        <v>640</v>
      </c>
      <c r="D95" s="91">
        <v>8</v>
      </c>
      <c r="E95" s="91">
        <v>24</v>
      </c>
      <c r="F95" s="91">
        <v>0</v>
      </c>
      <c r="G95" s="126">
        <v>10.6638027778453</v>
      </c>
      <c r="H95" s="126">
        <f t="shared" si="4"/>
        <v>0.0650000000000001</v>
      </c>
      <c r="I95" s="126" t="str">
        <f t="shared" si="5"/>
        <v>0y 0d 0h 0m</v>
      </c>
    </row>
    <row r="96" s="91" customFormat="1" spans="1:9">
      <c r="A96" s="91" t="str">
        <f t="shared" si="3"/>
        <v>O-25</v>
      </c>
      <c r="B96" s="91" t="s">
        <v>653</v>
      </c>
      <c r="C96" s="91" t="s">
        <v>640</v>
      </c>
      <c r="D96" s="91">
        <v>8</v>
      </c>
      <c r="E96" s="91">
        <v>25</v>
      </c>
      <c r="F96" s="91">
        <v>0</v>
      </c>
      <c r="G96" s="126">
        <v>13862943.6111989</v>
      </c>
      <c r="H96" s="126">
        <f t="shared" si="4"/>
        <v>5e-8</v>
      </c>
      <c r="I96" s="126" t="str">
        <f t="shared" si="5"/>
        <v>0y 0d 0h 0m</v>
      </c>
    </row>
    <row r="97" s="91" customFormat="1" spans="1:9">
      <c r="A97" s="91" t="str">
        <f t="shared" si="3"/>
        <v>O-26</v>
      </c>
      <c r="B97" s="91" t="s">
        <v>654</v>
      </c>
      <c r="C97" s="91" t="s">
        <v>640</v>
      </c>
      <c r="D97" s="91">
        <v>8</v>
      </c>
      <c r="E97" s="91">
        <v>26</v>
      </c>
      <c r="F97" s="91">
        <v>0</v>
      </c>
      <c r="G97" s="126">
        <v>17328679.5139986</v>
      </c>
      <c r="H97" s="126">
        <f t="shared" si="4"/>
        <v>4.00000000000001e-8</v>
      </c>
      <c r="I97" s="126" t="str">
        <f t="shared" si="5"/>
        <v>0y 0d 0h 0m</v>
      </c>
    </row>
    <row r="98" s="91" customFormat="1" spans="1:9">
      <c r="A98" s="91" t="str">
        <f t="shared" si="3"/>
        <v>O-27</v>
      </c>
      <c r="B98" s="91" t="s">
        <v>655</v>
      </c>
      <c r="C98" s="91" t="s">
        <v>640</v>
      </c>
      <c r="D98" s="91">
        <v>8</v>
      </c>
      <c r="E98" s="91">
        <v>27</v>
      </c>
      <c r="F98" s="91">
        <v>0</v>
      </c>
      <c r="G98" s="126">
        <v>2665950.69446132</v>
      </c>
      <c r="H98" s="126">
        <f t="shared" si="4"/>
        <v>2.60000000000001e-7</v>
      </c>
      <c r="I98" s="126" t="str">
        <f t="shared" si="5"/>
        <v>0y 0d 0h 0m</v>
      </c>
    </row>
    <row r="99" s="91" customFormat="1" spans="1:9">
      <c r="A99" s="91" t="str">
        <f t="shared" si="3"/>
        <v>O-28</v>
      </c>
      <c r="B99" s="91" t="s">
        <v>656</v>
      </c>
      <c r="C99" s="91" t="s">
        <v>640</v>
      </c>
      <c r="D99" s="91">
        <v>8</v>
      </c>
      <c r="E99" s="91">
        <v>28</v>
      </c>
      <c r="F99" s="91">
        <v>0</v>
      </c>
      <c r="G99" s="126">
        <v>6931471.80559945</v>
      </c>
      <c r="H99" s="126">
        <f t="shared" si="4"/>
        <v>1e-7</v>
      </c>
      <c r="I99" s="126" t="str">
        <f t="shared" si="5"/>
        <v>0y 0d 0h 0m</v>
      </c>
    </row>
    <row r="100" s="91" customFormat="1" spans="1:9">
      <c r="A100" s="91" t="str">
        <f t="shared" si="3"/>
        <v>F-14</v>
      </c>
      <c r="B100" s="91" t="s">
        <v>657</v>
      </c>
      <c r="C100" s="91" t="s">
        <v>658</v>
      </c>
      <c r="D100" s="91">
        <v>9</v>
      </c>
      <c r="E100" s="91">
        <v>14</v>
      </c>
      <c r="F100" s="91">
        <v>0</v>
      </c>
      <c r="G100" s="126">
        <v>1.3861003070769e+21</v>
      </c>
      <c r="H100" s="126">
        <f t="shared" si="4"/>
        <v>5.0007e-22</v>
      </c>
      <c r="I100" s="126" t="str">
        <f t="shared" si="5"/>
        <v>0y 0d 0h 0m</v>
      </c>
    </row>
    <row r="101" s="91" customFormat="1" spans="1:9">
      <c r="A101" s="91" t="str">
        <f t="shared" si="3"/>
        <v>F-15</v>
      </c>
      <c r="B101" s="91" t="s">
        <v>659</v>
      </c>
      <c r="C101" s="91" t="s">
        <v>658</v>
      </c>
      <c r="D101" s="91">
        <v>9</v>
      </c>
      <c r="E101" s="91">
        <v>15</v>
      </c>
      <c r="F101" s="91">
        <v>0</v>
      </c>
      <c r="G101" s="126">
        <v>1.52106030405956e+21</v>
      </c>
      <c r="H101" s="126">
        <f t="shared" si="4"/>
        <v>4.55700000000003e-22</v>
      </c>
      <c r="I101" s="126" t="str">
        <f t="shared" si="5"/>
        <v>0y 0d 0h 0m</v>
      </c>
    </row>
    <row r="102" s="91" customFormat="1" spans="1:9">
      <c r="A102" s="91" t="str">
        <f t="shared" si="3"/>
        <v>F-16</v>
      </c>
      <c r="B102" s="91" t="s">
        <v>660</v>
      </c>
      <c r="C102" s="91" t="s">
        <v>658</v>
      </c>
      <c r="D102" s="91">
        <v>9</v>
      </c>
      <c r="E102" s="91">
        <v>16</v>
      </c>
      <c r="F102" s="91">
        <v>0</v>
      </c>
      <c r="G102" s="126">
        <v>6.08424121623827e+19</v>
      </c>
      <c r="H102" s="126">
        <f t="shared" si="4"/>
        <v>1.13925e-20</v>
      </c>
      <c r="I102" s="126" t="str">
        <f t="shared" si="5"/>
        <v>0y 0d 0h 0m</v>
      </c>
    </row>
    <row r="103" s="91" customFormat="1" spans="1:9">
      <c r="A103" s="91" t="str">
        <f t="shared" si="3"/>
        <v>F-17</v>
      </c>
      <c r="B103" s="91" t="s">
        <v>661</v>
      </c>
      <c r="C103" s="91" t="s">
        <v>658</v>
      </c>
      <c r="D103" s="91">
        <v>9</v>
      </c>
      <c r="E103" s="91">
        <v>17</v>
      </c>
      <c r="F103" s="91">
        <v>0</v>
      </c>
      <c r="G103" s="126">
        <v>0.0107481342930678</v>
      </c>
      <c r="H103" s="126">
        <f t="shared" si="4"/>
        <v>64.4900000000003</v>
      </c>
      <c r="I103" s="126" t="str">
        <f t="shared" si="5"/>
        <v>0y 0d 0h 1m</v>
      </c>
    </row>
    <row r="104" s="91" customFormat="1" spans="1:9">
      <c r="A104" s="91" t="str">
        <f t="shared" si="3"/>
        <v>F-18</v>
      </c>
      <c r="B104" s="91" t="s">
        <v>662</v>
      </c>
      <c r="C104" s="91" t="s">
        <v>658</v>
      </c>
      <c r="D104" s="91">
        <v>9</v>
      </c>
      <c r="E104" s="91">
        <v>18</v>
      </c>
      <c r="F104" s="91">
        <v>0</v>
      </c>
      <c r="G104" s="126">
        <v>0.000105242352275962</v>
      </c>
      <c r="H104" s="126">
        <f t="shared" si="4"/>
        <v>6586.20000000004</v>
      </c>
      <c r="I104" s="126" t="str">
        <f t="shared" si="5"/>
        <v>0y 0d 1h 49m</v>
      </c>
    </row>
    <row r="105" s="91" customFormat="1" spans="1:9">
      <c r="A105" s="91" t="str">
        <f t="shared" si="3"/>
        <v>F-19</v>
      </c>
      <c r="B105" s="91" t="s">
        <v>663</v>
      </c>
      <c r="C105" s="91" t="s">
        <v>658</v>
      </c>
      <c r="D105" s="91">
        <v>9</v>
      </c>
      <c r="E105" s="91">
        <v>19</v>
      </c>
      <c r="F105" s="91">
        <v>0</v>
      </c>
      <c r="G105" s="126">
        <v>0</v>
      </c>
      <c r="H105" s="126">
        <f t="shared" si="4"/>
        <v>0</v>
      </c>
      <c r="I105" s="126" t="str">
        <f t="shared" si="5"/>
        <v>0y 0d 0h 0m</v>
      </c>
    </row>
    <row r="106" s="91" customFormat="1" spans="1:9">
      <c r="A106" s="91" t="str">
        <f t="shared" si="3"/>
        <v>F-20</v>
      </c>
      <c r="B106" s="91" t="s">
        <v>664</v>
      </c>
      <c r="C106" s="91" t="s">
        <v>658</v>
      </c>
      <c r="D106" s="91">
        <v>9</v>
      </c>
      <c r="E106" s="91">
        <v>20</v>
      </c>
      <c r="F106" s="91">
        <v>0</v>
      </c>
      <c r="G106" s="126">
        <v>0.0620932706763365</v>
      </c>
      <c r="H106" s="126">
        <f t="shared" si="4"/>
        <v>11.163</v>
      </c>
      <c r="I106" s="126" t="str">
        <f t="shared" si="5"/>
        <v>0y 0d 0h 0m</v>
      </c>
    </row>
    <row r="107" s="91" customFormat="1" spans="1:9">
      <c r="A107" s="91" t="str">
        <f t="shared" si="3"/>
        <v>F-21</v>
      </c>
      <c r="B107" s="91" t="s">
        <v>665</v>
      </c>
      <c r="C107" s="91" t="s">
        <v>658</v>
      </c>
      <c r="D107" s="91">
        <v>9</v>
      </c>
      <c r="E107" s="91">
        <v>21</v>
      </c>
      <c r="F107" s="91">
        <v>0</v>
      </c>
      <c r="G107" s="126">
        <v>0.16670206362673</v>
      </c>
      <c r="H107" s="126">
        <f t="shared" si="4"/>
        <v>4.15800000000001</v>
      </c>
      <c r="I107" s="126" t="str">
        <f t="shared" si="5"/>
        <v>0y 0d 0h 0m</v>
      </c>
    </row>
    <row r="108" s="91" customFormat="1" spans="1:9">
      <c r="A108" s="91" t="str">
        <f t="shared" si="3"/>
        <v>F-22</v>
      </c>
      <c r="B108" s="91" t="s">
        <v>666</v>
      </c>
      <c r="C108" s="91" t="s">
        <v>658</v>
      </c>
      <c r="D108" s="91">
        <v>9</v>
      </c>
      <c r="E108" s="91">
        <v>22</v>
      </c>
      <c r="F108" s="91">
        <v>0</v>
      </c>
      <c r="G108" s="126">
        <v>0.163864581692658</v>
      </c>
      <c r="H108" s="126">
        <f t="shared" si="4"/>
        <v>4.23000000000001</v>
      </c>
      <c r="I108" s="126" t="str">
        <f t="shared" si="5"/>
        <v>0y 0d 0h 0m</v>
      </c>
    </row>
    <row r="109" s="91" customFormat="1" spans="1:9">
      <c r="A109" s="91" t="str">
        <f t="shared" si="3"/>
        <v>F-23</v>
      </c>
      <c r="B109" s="91" t="s">
        <v>667</v>
      </c>
      <c r="C109" s="91" t="s">
        <v>658</v>
      </c>
      <c r="D109" s="91">
        <v>9</v>
      </c>
      <c r="E109" s="91">
        <v>23</v>
      </c>
      <c r="F109" s="91">
        <v>0</v>
      </c>
      <c r="G109" s="126">
        <v>0.310828332089661</v>
      </c>
      <c r="H109" s="126">
        <f t="shared" si="4"/>
        <v>2.23</v>
      </c>
      <c r="I109" s="126" t="str">
        <f t="shared" si="5"/>
        <v>0y 0d 0h 0m</v>
      </c>
    </row>
    <row r="110" s="91" customFormat="1" spans="1:9">
      <c r="A110" s="91" t="str">
        <f t="shared" si="3"/>
        <v>F-24</v>
      </c>
      <c r="B110" s="91" t="s">
        <v>668</v>
      </c>
      <c r="C110" s="91" t="s">
        <v>658</v>
      </c>
      <c r="D110" s="91">
        <v>9</v>
      </c>
      <c r="E110" s="91">
        <v>24</v>
      </c>
      <c r="F110" s="91">
        <v>0</v>
      </c>
      <c r="G110" s="126">
        <v>1.77730046297421</v>
      </c>
      <c r="H110" s="126">
        <f t="shared" si="4"/>
        <v>0.390000000000002</v>
      </c>
      <c r="I110" s="126" t="str">
        <f t="shared" si="5"/>
        <v>0y 0d 0h 0m</v>
      </c>
    </row>
    <row r="111" s="91" customFormat="1" spans="1:9">
      <c r="A111" s="91" t="str">
        <f t="shared" si="3"/>
        <v>F-25</v>
      </c>
      <c r="B111" s="91" t="s">
        <v>669</v>
      </c>
      <c r="C111" s="91" t="s">
        <v>658</v>
      </c>
      <c r="D111" s="91">
        <v>9</v>
      </c>
      <c r="E111" s="91">
        <v>25</v>
      </c>
      <c r="F111" s="91">
        <v>0</v>
      </c>
      <c r="G111" s="126">
        <v>13.8629436111989</v>
      </c>
      <c r="H111" s="126">
        <f t="shared" si="4"/>
        <v>0.05</v>
      </c>
      <c r="I111" s="126" t="str">
        <f t="shared" si="5"/>
        <v>0y 0d 0h 0m</v>
      </c>
    </row>
    <row r="112" s="91" customFormat="1" spans="1:9">
      <c r="A112" s="91" t="str">
        <f t="shared" si="3"/>
        <v>F-26</v>
      </c>
      <c r="B112" s="91" t="s">
        <v>670</v>
      </c>
      <c r="C112" s="91" t="s">
        <v>658</v>
      </c>
      <c r="D112" s="91">
        <v>9</v>
      </c>
      <c r="E112" s="91">
        <v>26</v>
      </c>
      <c r="F112" s="91">
        <v>0</v>
      </c>
      <c r="G112" s="126">
        <v>72.2028313083276</v>
      </c>
      <c r="H112" s="126">
        <f t="shared" si="4"/>
        <v>0.0096</v>
      </c>
      <c r="I112" s="126" t="str">
        <f t="shared" si="5"/>
        <v>0y 0d 0h 0m</v>
      </c>
    </row>
    <row r="113" s="91" customFormat="1" spans="1:9">
      <c r="A113" s="91" t="str">
        <f t="shared" si="3"/>
        <v>F-27</v>
      </c>
      <c r="B113" s="91" t="s">
        <v>671</v>
      </c>
      <c r="C113" s="91" t="s">
        <v>658</v>
      </c>
      <c r="D113" s="91">
        <v>9</v>
      </c>
      <c r="E113" s="91">
        <v>27</v>
      </c>
      <c r="F113" s="91">
        <v>0</v>
      </c>
      <c r="G113" s="126">
        <v>138.629436111989</v>
      </c>
      <c r="H113" s="126">
        <f t="shared" si="4"/>
        <v>0.005</v>
      </c>
      <c r="I113" s="126" t="str">
        <f t="shared" si="5"/>
        <v>0y 0d 0h 0m</v>
      </c>
    </row>
    <row r="114" s="91" customFormat="1" spans="1:9">
      <c r="A114" s="91" t="str">
        <f t="shared" si="3"/>
        <v>F-28</v>
      </c>
      <c r="B114" s="91" t="s">
        <v>672</v>
      </c>
      <c r="C114" s="91" t="s">
        <v>658</v>
      </c>
      <c r="D114" s="91">
        <v>9</v>
      </c>
      <c r="E114" s="91">
        <v>28</v>
      </c>
      <c r="F114" s="91">
        <v>0</v>
      </c>
      <c r="G114" s="126">
        <v>17328679.5139986</v>
      </c>
      <c r="H114" s="126">
        <f t="shared" si="4"/>
        <v>4.00000000000001e-8</v>
      </c>
      <c r="I114" s="126" t="str">
        <f t="shared" si="5"/>
        <v>0y 0d 0h 0m</v>
      </c>
    </row>
    <row r="115" s="91" customFormat="1" spans="1:9">
      <c r="A115" s="91" t="str">
        <f t="shared" si="3"/>
        <v>F-29</v>
      </c>
      <c r="B115" s="91" t="s">
        <v>673</v>
      </c>
      <c r="C115" s="91" t="s">
        <v>658</v>
      </c>
      <c r="D115" s="91">
        <v>9</v>
      </c>
      <c r="E115" s="91">
        <v>29</v>
      </c>
      <c r="F115" s="91">
        <v>0</v>
      </c>
      <c r="G115" s="126">
        <v>277.258872223978</v>
      </c>
      <c r="H115" s="126">
        <f t="shared" si="4"/>
        <v>0.0025</v>
      </c>
      <c r="I115" s="126" t="str">
        <f t="shared" si="5"/>
        <v>0y 0d 0h 0m</v>
      </c>
    </row>
    <row r="116" s="91" customFormat="1" spans="1:9">
      <c r="A116" s="91" t="str">
        <f t="shared" si="3"/>
        <v>F-30</v>
      </c>
      <c r="B116" s="91" t="s">
        <v>674</v>
      </c>
      <c r="C116" s="91" t="s">
        <v>658</v>
      </c>
      <c r="D116" s="91">
        <v>9</v>
      </c>
      <c r="E116" s="91">
        <v>30</v>
      </c>
      <c r="F116" s="91">
        <v>0</v>
      </c>
      <c r="G116" s="126">
        <v>2665950.69446132</v>
      </c>
      <c r="H116" s="126">
        <f t="shared" si="4"/>
        <v>2.60000000000001e-7</v>
      </c>
      <c r="I116" s="126" t="str">
        <f t="shared" si="5"/>
        <v>0y 0d 0h 0m</v>
      </c>
    </row>
    <row r="117" s="91" customFormat="1" spans="1:9">
      <c r="A117" s="91" t="str">
        <f t="shared" si="3"/>
        <v>F-31</v>
      </c>
      <c r="B117" s="91" t="s">
        <v>675</v>
      </c>
      <c r="C117" s="91" t="s">
        <v>658</v>
      </c>
      <c r="D117" s="91">
        <v>9</v>
      </c>
      <c r="E117" s="91">
        <v>31</v>
      </c>
      <c r="F117" s="91">
        <v>0</v>
      </c>
      <c r="G117" s="126">
        <v>2772588.72223978</v>
      </c>
      <c r="H117" s="126">
        <f t="shared" si="4"/>
        <v>2.5e-7</v>
      </c>
      <c r="I117" s="126" t="str">
        <f t="shared" si="5"/>
        <v>0y 0d 0h 0m</v>
      </c>
    </row>
    <row r="118" s="91" customFormat="1" spans="1:9">
      <c r="A118" s="91" t="str">
        <f t="shared" si="3"/>
        <v>Ne-16</v>
      </c>
      <c r="B118" s="91" t="s">
        <v>676</v>
      </c>
      <c r="C118" s="91" t="s">
        <v>677</v>
      </c>
      <c r="D118" s="91">
        <v>10</v>
      </c>
      <c r="E118" s="91">
        <v>16</v>
      </c>
      <c r="F118" s="91">
        <v>0</v>
      </c>
      <c r="G118" s="126">
        <v>1.85569650292871e+20</v>
      </c>
      <c r="H118" s="126">
        <f t="shared" si="4"/>
        <v>3.73524000000001e-21</v>
      </c>
      <c r="I118" s="126" t="str">
        <f t="shared" si="5"/>
        <v>0y 0d 0h 0m</v>
      </c>
    </row>
    <row r="119" s="91" customFormat="1" spans="1:9">
      <c r="A119" s="91" t="str">
        <f t="shared" si="3"/>
        <v>Ne-17</v>
      </c>
      <c r="B119" s="91" t="s">
        <v>678</v>
      </c>
      <c r="C119" s="91" t="s">
        <v>677</v>
      </c>
      <c r="D119" s="91">
        <v>10</v>
      </c>
      <c r="E119" s="91">
        <v>17</v>
      </c>
      <c r="F119" s="91">
        <v>0</v>
      </c>
      <c r="G119" s="126">
        <v>6.34750165347935</v>
      </c>
      <c r="H119" s="126">
        <f t="shared" si="4"/>
        <v>0.1092</v>
      </c>
      <c r="I119" s="126" t="str">
        <f t="shared" si="5"/>
        <v>0y 0d 0h 0m</v>
      </c>
    </row>
    <row r="120" s="91" customFormat="1" spans="1:9">
      <c r="A120" s="91" t="str">
        <f t="shared" si="3"/>
        <v>Ne-18</v>
      </c>
      <c r="B120" s="91" t="s">
        <v>679</v>
      </c>
      <c r="C120" s="91" t="s">
        <v>677</v>
      </c>
      <c r="D120" s="91">
        <v>10</v>
      </c>
      <c r="E120" s="91">
        <v>18</v>
      </c>
      <c r="F120" s="91">
        <v>0</v>
      </c>
      <c r="G120" s="126">
        <v>0.414561710861211</v>
      </c>
      <c r="H120" s="126">
        <f t="shared" si="4"/>
        <v>1.672</v>
      </c>
      <c r="I120" s="126" t="str">
        <f t="shared" si="5"/>
        <v>0y 0d 0h 0m</v>
      </c>
    </row>
    <row r="121" s="91" customFormat="1" spans="1:9">
      <c r="A121" s="91" t="str">
        <f t="shared" si="3"/>
        <v>Ne-19</v>
      </c>
      <c r="B121" s="91" t="s">
        <v>680</v>
      </c>
      <c r="C121" s="91" t="s">
        <v>677</v>
      </c>
      <c r="D121" s="91">
        <v>10</v>
      </c>
      <c r="E121" s="91">
        <v>19</v>
      </c>
      <c r="F121" s="91">
        <v>0</v>
      </c>
      <c r="G121" s="126">
        <v>0.040252449509869</v>
      </c>
      <c r="H121" s="126">
        <f t="shared" si="4"/>
        <v>17.22</v>
      </c>
      <c r="I121" s="126" t="str">
        <f t="shared" si="5"/>
        <v>0y 0d 0h 0m</v>
      </c>
    </row>
    <row r="122" s="91" customFormat="1" spans="1:9">
      <c r="A122" s="91" t="str">
        <f t="shared" si="3"/>
        <v>Ne-20</v>
      </c>
      <c r="B122" s="91" t="s">
        <v>681</v>
      </c>
      <c r="C122" s="91" t="s">
        <v>677</v>
      </c>
      <c r="D122" s="91">
        <v>10</v>
      </c>
      <c r="E122" s="91">
        <v>20</v>
      </c>
      <c r="F122" s="91">
        <v>0</v>
      </c>
      <c r="G122" s="126">
        <v>0</v>
      </c>
      <c r="H122" s="126">
        <f t="shared" si="4"/>
        <v>0</v>
      </c>
      <c r="I122" s="126" t="str">
        <f t="shared" si="5"/>
        <v>0y 0d 0h 0m</v>
      </c>
    </row>
    <row r="123" s="91" customFormat="1" spans="1:9">
      <c r="A123" s="91" t="str">
        <f t="shared" si="3"/>
        <v>Ne-21</v>
      </c>
      <c r="B123" s="91" t="s">
        <v>682</v>
      </c>
      <c r="C123" s="91" t="s">
        <v>677</v>
      </c>
      <c r="D123" s="91">
        <v>10</v>
      </c>
      <c r="E123" s="91">
        <v>21</v>
      </c>
      <c r="F123" s="91">
        <v>0</v>
      </c>
      <c r="G123" s="126">
        <v>0</v>
      </c>
      <c r="H123" s="126">
        <f t="shared" si="4"/>
        <v>0</v>
      </c>
      <c r="I123" s="126" t="str">
        <f t="shared" si="5"/>
        <v>0y 0d 0h 0m</v>
      </c>
    </row>
    <row r="124" s="91" customFormat="1" spans="1:9">
      <c r="A124" s="91" t="str">
        <f t="shared" si="3"/>
        <v>Ne-22</v>
      </c>
      <c r="B124" s="91" t="s">
        <v>683</v>
      </c>
      <c r="C124" s="91" t="s">
        <v>677</v>
      </c>
      <c r="D124" s="91">
        <v>10</v>
      </c>
      <c r="E124" s="91">
        <v>22</v>
      </c>
      <c r="F124" s="91">
        <v>0</v>
      </c>
      <c r="G124" s="126">
        <v>0</v>
      </c>
      <c r="H124" s="126">
        <f t="shared" si="4"/>
        <v>0</v>
      </c>
      <c r="I124" s="126" t="str">
        <f t="shared" si="5"/>
        <v>0y 0d 0h 0m</v>
      </c>
    </row>
    <row r="125" s="91" customFormat="1" spans="1:9">
      <c r="A125" s="91" t="str">
        <f t="shared" si="3"/>
        <v>Ne-23</v>
      </c>
      <c r="B125" s="91" t="s">
        <v>684</v>
      </c>
      <c r="C125" s="91" t="s">
        <v>677</v>
      </c>
      <c r="D125" s="91">
        <v>10</v>
      </c>
      <c r="E125" s="91">
        <v>23</v>
      </c>
      <c r="F125" s="91">
        <v>0</v>
      </c>
      <c r="G125" s="126">
        <v>0.0186129747733605</v>
      </c>
      <c r="H125" s="126">
        <f t="shared" si="4"/>
        <v>37.24</v>
      </c>
      <c r="I125" s="126" t="str">
        <f t="shared" si="5"/>
        <v>0y 0d 0h 0m</v>
      </c>
    </row>
    <row r="126" s="91" customFormat="1" spans="1:9">
      <c r="A126" s="91" t="str">
        <f t="shared" si="3"/>
        <v>Ne-24</v>
      </c>
      <c r="B126" s="91" t="s">
        <v>685</v>
      </c>
      <c r="C126" s="91" t="s">
        <v>677</v>
      </c>
      <c r="D126" s="91">
        <v>10</v>
      </c>
      <c r="E126" s="91">
        <v>24</v>
      </c>
      <c r="F126" s="91">
        <v>0</v>
      </c>
      <c r="G126" s="126">
        <v>0.00341788550571965</v>
      </c>
      <c r="H126" s="126">
        <f t="shared" si="4"/>
        <v>202.8</v>
      </c>
      <c r="I126" s="126" t="str">
        <f t="shared" si="5"/>
        <v>0y 0d 0h 3m</v>
      </c>
    </row>
    <row r="127" s="91" customFormat="1" spans="1:9">
      <c r="A127" s="91" t="str">
        <f t="shared" si="3"/>
        <v>Ne-25</v>
      </c>
      <c r="B127" s="91" t="s">
        <v>686</v>
      </c>
      <c r="C127" s="91" t="s">
        <v>677</v>
      </c>
      <c r="D127" s="91">
        <v>10</v>
      </c>
      <c r="E127" s="91">
        <v>25</v>
      </c>
      <c r="F127" s="91">
        <v>0</v>
      </c>
      <c r="G127" s="126">
        <v>1.15140727667765</v>
      </c>
      <c r="H127" s="126">
        <f t="shared" si="4"/>
        <v>0.602</v>
      </c>
      <c r="I127" s="126" t="str">
        <f t="shared" si="5"/>
        <v>0y 0d 0h 0m</v>
      </c>
    </row>
    <row r="128" s="91" customFormat="1" spans="1:9">
      <c r="A128" s="91" t="str">
        <f t="shared" si="3"/>
        <v>Ne-26</v>
      </c>
      <c r="B128" s="91" t="s">
        <v>687</v>
      </c>
      <c r="C128" s="91" t="s">
        <v>677</v>
      </c>
      <c r="D128" s="91">
        <v>10</v>
      </c>
      <c r="E128" s="91">
        <v>26</v>
      </c>
      <c r="F128" s="91">
        <v>0</v>
      </c>
      <c r="G128" s="126">
        <v>3.51851360690327</v>
      </c>
      <c r="H128" s="126">
        <f t="shared" si="4"/>
        <v>0.197</v>
      </c>
      <c r="I128" s="126" t="str">
        <f t="shared" si="5"/>
        <v>0y 0d 0h 0m</v>
      </c>
    </row>
    <row r="129" s="91" customFormat="1" spans="1:9">
      <c r="A129" s="91" t="str">
        <f t="shared" si="3"/>
        <v>Ne-27</v>
      </c>
      <c r="B129" s="91" t="s">
        <v>688</v>
      </c>
      <c r="C129" s="91" t="s">
        <v>677</v>
      </c>
      <c r="D129" s="91">
        <v>10</v>
      </c>
      <c r="E129" s="91">
        <v>27</v>
      </c>
      <c r="F129" s="91">
        <v>0</v>
      </c>
      <c r="G129" s="126">
        <v>21.6608493924982</v>
      </c>
      <c r="H129" s="126">
        <f t="shared" si="4"/>
        <v>0.0320000000000001</v>
      </c>
      <c r="I129" s="126" t="str">
        <f t="shared" si="5"/>
        <v>0y 0d 0h 0m</v>
      </c>
    </row>
    <row r="130" s="91" customFormat="1" spans="1:9">
      <c r="A130" s="91" t="str">
        <f t="shared" ref="A130:A193" si="6">C130&amp;"-"&amp;E130&amp;_xlfn.IFS(F130=0,"",F130=1,"m",F130&gt;1,"m"&amp;F130)</f>
        <v>Ne-28</v>
      </c>
      <c r="B130" s="91" t="s">
        <v>689</v>
      </c>
      <c r="C130" s="91" t="s">
        <v>677</v>
      </c>
      <c r="D130" s="91">
        <v>10</v>
      </c>
      <c r="E130" s="91">
        <v>28</v>
      </c>
      <c r="F130" s="91">
        <v>0</v>
      </c>
      <c r="G130" s="126">
        <v>36.6744539978807</v>
      </c>
      <c r="H130" s="126">
        <f t="shared" ref="H130:H193" si="7">IF(G130&gt;0,LN(2)/G130,0)</f>
        <v>0.0189</v>
      </c>
      <c r="I130" s="126" t="str">
        <f t="shared" si="5"/>
        <v>0y 0d 0h 0m</v>
      </c>
    </row>
    <row r="131" s="91" customFormat="1" spans="1:9">
      <c r="A131" s="91" t="str">
        <f t="shared" si="6"/>
        <v>Ne-29</v>
      </c>
      <c r="B131" s="91" t="s">
        <v>690</v>
      </c>
      <c r="C131" s="91" t="s">
        <v>677</v>
      </c>
      <c r="D131" s="91">
        <v>10</v>
      </c>
      <c r="E131" s="91">
        <v>29</v>
      </c>
      <c r="F131" s="91">
        <v>0</v>
      </c>
      <c r="G131" s="126">
        <v>46.834268956753</v>
      </c>
      <c r="H131" s="126">
        <f t="shared" si="7"/>
        <v>0.0148</v>
      </c>
      <c r="I131" s="126" t="str">
        <f t="shared" ref="I131:I194" si="8">INT(H131/31536000)&amp;"y "&amp;INT(MOD(H131,31536000)/86400)&amp;"d "&amp;INT(MOD(MOD(H131,31536000),86400)/3600)&amp;"h "&amp;INT(MOD(MOD(MOD(H131,31536000),86400),3600)/60)&amp;"m"</f>
        <v>0y 0d 0h 0m</v>
      </c>
    </row>
    <row r="132" s="91" customFormat="1" spans="1:9">
      <c r="A132" s="91" t="str">
        <f t="shared" si="6"/>
        <v>Ne-30</v>
      </c>
      <c r="B132" s="91" t="s">
        <v>691</v>
      </c>
      <c r="C132" s="91" t="s">
        <v>677</v>
      </c>
      <c r="D132" s="91">
        <v>10</v>
      </c>
      <c r="E132" s="91">
        <v>30</v>
      </c>
      <c r="F132" s="91">
        <v>0</v>
      </c>
      <c r="G132" s="126">
        <v>94.9516685698555</v>
      </c>
      <c r="H132" s="126">
        <f t="shared" si="7"/>
        <v>0.0073</v>
      </c>
      <c r="I132" s="126" t="str">
        <f t="shared" si="8"/>
        <v>0y 0d 0h 0m</v>
      </c>
    </row>
    <row r="133" s="91" customFormat="1" spans="1:9">
      <c r="A133" s="91" t="str">
        <f t="shared" si="6"/>
        <v>Ne-31</v>
      </c>
      <c r="B133" s="91" t="s">
        <v>692</v>
      </c>
      <c r="C133" s="91" t="s">
        <v>677</v>
      </c>
      <c r="D133" s="91">
        <v>10</v>
      </c>
      <c r="E133" s="91">
        <v>31</v>
      </c>
      <c r="F133" s="91">
        <v>0</v>
      </c>
      <c r="G133" s="126">
        <v>203.866817811748</v>
      </c>
      <c r="H133" s="126">
        <f t="shared" si="7"/>
        <v>0.00340000000000001</v>
      </c>
      <c r="I133" s="126" t="str">
        <f t="shared" si="8"/>
        <v>0y 0d 0h 0m</v>
      </c>
    </row>
    <row r="134" s="91" customFormat="1" spans="1:9">
      <c r="A134" s="91" t="str">
        <f t="shared" si="6"/>
        <v>Ne-32</v>
      </c>
      <c r="B134" s="91" t="s">
        <v>693</v>
      </c>
      <c r="C134" s="91" t="s">
        <v>677</v>
      </c>
      <c r="D134" s="91">
        <v>10</v>
      </c>
      <c r="E134" s="91">
        <v>32</v>
      </c>
      <c r="F134" s="91">
        <v>0</v>
      </c>
      <c r="G134" s="126">
        <v>198.042051588555</v>
      </c>
      <c r="H134" s="126">
        <f t="shared" si="7"/>
        <v>0.00350000000000001</v>
      </c>
      <c r="I134" s="126" t="str">
        <f t="shared" si="8"/>
        <v>0y 0d 0h 0m</v>
      </c>
    </row>
    <row r="135" s="91" customFormat="1" spans="1:9">
      <c r="A135" s="91" t="str">
        <f t="shared" si="6"/>
        <v>Ne-33</v>
      </c>
      <c r="B135" s="91" t="s">
        <v>694</v>
      </c>
      <c r="C135" s="91" t="s">
        <v>677</v>
      </c>
      <c r="D135" s="91">
        <v>10</v>
      </c>
      <c r="E135" s="91">
        <v>33</v>
      </c>
      <c r="F135" s="91">
        <v>0</v>
      </c>
      <c r="G135" s="126">
        <v>3850817.66977747</v>
      </c>
      <c r="H135" s="126">
        <f t="shared" si="7"/>
        <v>1.8e-7</v>
      </c>
      <c r="I135" s="126" t="str">
        <f t="shared" si="8"/>
        <v>0y 0d 0h 0m</v>
      </c>
    </row>
    <row r="136" s="91" customFormat="1" spans="1:9">
      <c r="A136" s="91" t="str">
        <f t="shared" si="6"/>
        <v>Ne-34</v>
      </c>
      <c r="B136" s="91" t="s">
        <v>695</v>
      </c>
      <c r="C136" s="91" t="s">
        <v>677</v>
      </c>
      <c r="D136" s="91">
        <v>10</v>
      </c>
      <c r="E136" s="91">
        <v>34</v>
      </c>
      <c r="F136" s="91">
        <v>0</v>
      </c>
      <c r="G136" s="126">
        <v>11552453.0093324</v>
      </c>
      <c r="H136" s="126">
        <f t="shared" si="7"/>
        <v>6.00000000000001e-8</v>
      </c>
      <c r="I136" s="126" t="str">
        <f t="shared" si="8"/>
        <v>0y 0d 0h 0m</v>
      </c>
    </row>
    <row r="137" s="91" customFormat="1" spans="1:9">
      <c r="A137" s="91" t="str">
        <f t="shared" si="6"/>
        <v>Na-18</v>
      </c>
      <c r="B137" s="91" t="s">
        <v>696</v>
      </c>
      <c r="C137" s="91" t="s">
        <v>697</v>
      </c>
      <c r="D137" s="91">
        <v>11</v>
      </c>
      <c r="E137" s="91">
        <v>18</v>
      </c>
      <c r="F137" s="91">
        <v>0</v>
      </c>
      <c r="G137" s="126">
        <v>5.33190138892265e+20</v>
      </c>
      <c r="H137" s="126">
        <f t="shared" si="7"/>
        <v>1.3e-21</v>
      </c>
      <c r="I137" s="126" t="str">
        <f t="shared" si="8"/>
        <v>0y 0d 0h 0m</v>
      </c>
    </row>
    <row r="138" s="91" customFormat="1" spans="1:9">
      <c r="A138" s="91" t="str">
        <f t="shared" si="6"/>
        <v>Na-19</v>
      </c>
      <c r="B138" s="91" t="s">
        <v>698</v>
      </c>
      <c r="C138" s="91" t="s">
        <v>697</v>
      </c>
      <c r="D138" s="91">
        <v>11</v>
      </c>
      <c r="E138" s="91">
        <v>19</v>
      </c>
      <c r="F138" s="91">
        <v>0</v>
      </c>
      <c r="G138" s="126">
        <v>17328679.5139986</v>
      </c>
      <c r="H138" s="126">
        <f t="shared" si="7"/>
        <v>4.00000000000001e-8</v>
      </c>
      <c r="I138" s="126" t="str">
        <f t="shared" si="8"/>
        <v>0y 0d 0h 0m</v>
      </c>
    </row>
    <row r="139" s="91" customFormat="1" spans="1:9">
      <c r="A139" s="91" t="str">
        <f t="shared" si="6"/>
        <v>Na-20</v>
      </c>
      <c r="B139" s="91" t="s">
        <v>699</v>
      </c>
      <c r="C139" s="91" t="s">
        <v>697</v>
      </c>
      <c r="D139" s="91">
        <v>11</v>
      </c>
      <c r="E139" s="91">
        <v>20</v>
      </c>
      <c r="F139" s="91">
        <v>0</v>
      </c>
      <c r="G139" s="126">
        <v>1.54754896307199</v>
      </c>
      <c r="H139" s="126">
        <f t="shared" si="7"/>
        <v>0.447900000000001</v>
      </c>
      <c r="I139" s="126" t="str">
        <f t="shared" si="8"/>
        <v>0y 0d 0h 0m</v>
      </c>
    </row>
    <row r="140" s="91" customFormat="1" spans="1:9">
      <c r="A140" s="91" t="str">
        <f t="shared" si="6"/>
        <v>Na-21</v>
      </c>
      <c r="B140" s="91" t="s">
        <v>700</v>
      </c>
      <c r="C140" s="91" t="s">
        <v>697</v>
      </c>
      <c r="D140" s="91">
        <v>11</v>
      </c>
      <c r="E140" s="91">
        <v>21</v>
      </c>
      <c r="F140" s="91">
        <v>0</v>
      </c>
      <c r="G140" s="126">
        <v>0.0308202392423274</v>
      </c>
      <c r="H140" s="126">
        <f t="shared" si="7"/>
        <v>22.4900000000001</v>
      </c>
      <c r="I140" s="126" t="str">
        <f t="shared" si="8"/>
        <v>0y 0d 0h 0m</v>
      </c>
    </row>
    <row r="141" s="91" customFormat="1" spans="1:9">
      <c r="A141" s="91" t="str">
        <f t="shared" si="6"/>
        <v>Na-22</v>
      </c>
      <c r="B141" s="91" t="s">
        <v>701</v>
      </c>
      <c r="C141" s="91" t="s">
        <v>697</v>
      </c>
      <c r="D141" s="91">
        <v>11</v>
      </c>
      <c r="E141" s="91">
        <v>22</v>
      </c>
      <c r="F141" s="91">
        <v>0</v>
      </c>
      <c r="G141" s="126">
        <v>8.43912380512156e-9</v>
      </c>
      <c r="H141" s="126">
        <f t="shared" si="7"/>
        <v>82134970</v>
      </c>
      <c r="I141" s="126" t="str">
        <f t="shared" si="8"/>
        <v>2y 220d 15h 16m</v>
      </c>
    </row>
    <row r="142" s="91" customFormat="1" spans="1:9">
      <c r="A142" s="91" t="str">
        <f t="shared" si="6"/>
        <v>Na-23</v>
      </c>
      <c r="B142" s="91" t="s">
        <v>702</v>
      </c>
      <c r="C142" s="91" t="s">
        <v>697</v>
      </c>
      <c r="D142" s="91">
        <v>11</v>
      </c>
      <c r="E142" s="91">
        <v>23</v>
      </c>
      <c r="F142" s="91">
        <v>0</v>
      </c>
      <c r="G142" s="126">
        <v>0</v>
      </c>
      <c r="H142" s="126">
        <f t="shared" si="7"/>
        <v>0</v>
      </c>
      <c r="I142" s="126" t="str">
        <f t="shared" si="8"/>
        <v>0y 0d 0h 0m</v>
      </c>
    </row>
    <row r="143" s="91" customFormat="1" spans="1:9">
      <c r="A143" s="91" t="str">
        <f t="shared" si="6"/>
        <v>Na-24</v>
      </c>
      <c r="B143" s="91" t="s">
        <v>703</v>
      </c>
      <c r="C143" s="91" t="s">
        <v>697</v>
      </c>
      <c r="D143" s="91">
        <v>11</v>
      </c>
      <c r="E143" s="91">
        <v>24</v>
      </c>
      <c r="F143" s="91">
        <v>0</v>
      </c>
      <c r="G143" s="126">
        <v>1.28386266245831e-5</v>
      </c>
      <c r="H143" s="126">
        <f t="shared" si="7"/>
        <v>53989.2000000003</v>
      </c>
      <c r="I143" s="126" t="str">
        <f t="shared" si="8"/>
        <v>0y 0d 14h 59m</v>
      </c>
    </row>
    <row r="144" s="91" customFormat="1" spans="1:9">
      <c r="A144" s="91" t="str">
        <f t="shared" si="6"/>
        <v>Na-24m</v>
      </c>
      <c r="B144" s="91" t="s">
        <v>704</v>
      </c>
      <c r="C144" s="91" t="s">
        <v>697</v>
      </c>
      <c r="D144" s="91">
        <v>11</v>
      </c>
      <c r="E144" s="91">
        <v>24</v>
      </c>
      <c r="F144" s="91">
        <v>1</v>
      </c>
      <c r="G144" s="126">
        <v>34.3482250029705</v>
      </c>
      <c r="H144" s="126">
        <f t="shared" si="7"/>
        <v>0.02018</v>
      </c>
      <c r="I144" s="126" t="str">
        <f t="shared" si="8"/>
        <v>0y 0d 0h 0m</v>
      </c>
    </row>
    <row r="145" s="91" customFormat="1" spans="1:9">
      <c r="A145" s="91" t="str">
        <f t="shared" si="6"/>
        <v>Na-25</v>
      </c>
      <c r="B145" s="91" t="s">
        <v>705</v>
      </c>
      <c r="C145" s="91" t="s">
        <v>697</v>
      </c>
      <c r="D145" s="91">
        <v>11</v>
      </c>
      <c r="E145" s="91">
        <v>25</v>
      </c>
      <c r="F145" s="91">
        <v>0</v>
      </c>
      <c r="G145" s="126">
        <v>0.0117283786896775</v>
      </c>
      <c r="H145" s="126">
        <f t="shared" si="7"/>
        <v>59.1000000000004</v>
      </c>
      <c r="I145" s="126" t="str">
        <f t="shared" si="8"/>
        <v>0y 0d 0h 0m</v>
      </c>
    </row>
    <row r="146" s="91" customFormat="1" spans="1:9">
      <c r="A146" s="91" t="str">
        <f t="shared" si="6"/>
        <v>Na-26</v>
      </c>
      <c r="B146" s="91" t="s">
        <v>706</v>
      </c>
      <c r="C146" s="91" t="s">
        <v>697</v>
      </c>
      <c r="D146" s="91">
        <v>11</v>
      </c>
      <c r="E146" s="91">
        <v>26</v>
      </c>
      <c r="F146" s="91">
        <v>0</v>
      </c>
      <c r="G146" s="126">
        <v>0.643590696898742</v>
      </c>
      <c r="H146" s="126">
        <f t="shared" si="7"/>
        <v>1.077</v>
      </c>
      <c r="I146" s="126" t="str">
        <f t="shared" si="8"/>
        <v>0y 0d 0h 0m</v>
      </c>
    </row>
    <row r="147" s="91" customFormat="1" spans="1:9">
      <c r="A147" s="91" t="str">
        <f t="shared" si="6"/>
        <v>Na-27</v>
      </c>
      <c r="B147" s="91" t="s">
        <v>707</v>
      </c>
      <c r="C147" s="91" t="s">
        <v>697</v>
      </c>
      <c r="D147" s="91">
        <v>11</v>
      </c>
      <c r="E147" s="91">
        <v>27</v>
      </c>
      <c r="F147" s="91">
        <v>0</v>
      </c>
      <c r="G147" s="126">
        <v>2.3028145533553</v>
      </c>
      <c r="H147" s="126">
        <f t="shared" si="7"/>
        <v>0.301</v>
      </c>
      <c r="I147" s="126" t="str">
        <f t="shared" si="8"/>
        <v>0y 0d 0h 0m</v>
      </c>
    </row>
    <row r="148" s="91" customFormat="1" spans="1:9">
      <c r="A148" s="91" t="str">
        <f t="shared" si="6"/>
        <v>Na-28</v>
      </c>
      <c r="B148" s="91" t="s">
        <v>708</v>
      </c>
      <c r="C148" s="91" t="s">
        <v>697</v>
      </c>
      <c r="D148" s="91">
        <v>11</v>
      </c>
      <c r="E148" s="91">
        <v>28</v>
      </c>
      <c r="F148" s="91">
        <v>0</v>
      </c>
      <c r="G148" s="126">
        <v>22.7261370675391</v>
      </c>
      <c r="H148" s="126">
        <f t="shared" si="7"/>
        <v>0.0305000000000001</v>
      </c>
      <c r="I148" s="126" t="str">
        <f t="shared" si="8"/>
        <v>0y 0d 0h 0m</v>
      </c>
    </row>
    <row r="149" s="91" customFormat="1" spans="1:9">
      <c r="A149" s="91" t="str">
        <f t="shared" si="6"/>
        <v>Na-29</v>
      </c>
      <c r="B149" s="91" t="s">
        <v>709</v>
      </c>
      <c r="C149" s="91" t="s">
        <v>697</v>
      </c>
      <c r="D149" s="91">
        <v>11</v>
      </c>
      <c r="E149" s="91">
        <v>29</v>
      </c>
      <c r="F149" s="91">
        <v>0</v>
      </c>
      <c r="G149" s="126">
        <v>15.4375764044531</v>
      </c>
      <c r="H149" s="126">
        <f t="shared" si="7"/>
        <v>0.0449000000000001</v>
      </c>
      <c r="I149" s="126" t="str">
        <f t="shared" si="8"/>
        <v>0y 0d 0h 0m</v>
      </c>
    </row>
    <row r="150" s="91" customFormat="1" spans="1:9">
      <c r="A150" s="91" t="str">
        <f t="shared" si="6"/>
        <v>Na-30</v>
      </c>
      <c r="B150" s="91" t="s">
        <v>710</v>
      </c>
      <c r="C150" s="91" t="s">
        <v>697</v>
      </c>
      <c r="D150" s="91">
        <v>11</v>
      </c>
      <c r="E150" s="91">
        <v>30</v>
      </c>
      <c r="F150" s="91">
        <v>0</v>
      </c>
      <c r="G150" s="126">
        <v>14.4405662616655</v>
      </c>
      <c r="H150" s="126">
        <f t="shared" si="7"/>
        <v>0.0480000000000001</v>
      </c>
      <c r="I150" s="126" t="str">
        <f t="shared" si="8"/>
        <v>0y 0d 0h 0m</v>
      </c>
    </row>
    <row r="151" s="91" customFormat="1" spans="1:9">
      <c r="A151" s="91" t="str">
        <f t="shared" si="6"/>
        <v>Na-31</v>
      </c>
      <c r="B151" s="91" t="s">
        <v>711</v>
      </c>
      <c r="C151" s="91" t="s">
        <v>697</v>
      </c>
      <c r="D151" s="91">
        <v>11</v>
      </c>
      <c r="E151" s="91">
        <v>31</v>
      </c>
      <c r="F151" s="91">
        <v>0</v>
      </c>
      <c r="G151" s="126">
        <v>40.7733635623497</v>
      </c>
      <c r="H151" s="126">
        <f t="shared" si="7"/>
        <v>0.017</v>
      </c>
      <c r="I151" s="126" t="str">
        <f t="shared" si="8"/>
        <v>0y 0d 0h 0m</v>
      </c>
    </row>
    <row r="152" s="91" customFormat="1" spans="1:9">
      <c r="A152" s="91" t="str">
        <f t="shared" si="6"/>
        <v>Na-32</v>
      </c>
      <c r="B152" s="91" t="s">
        <v>712</v>
      </c>
      <c r="C152" s="91" t="s">
        <v>697</v>
      </c>
      <c r="D152" s="91">
        <v>11</v>
      </c>
      <c r="E152" s="91">
        <v>32</v>
      </c>
      <c r="F152" s="91">
        <v>0</v>
      </c>
      <c r="G152" s="126">
        <v>52.5111500424201</v>
      </c>
      <c r="H152" s="126">
        <f t="shared" si="7"/>
        <v>0.0132</v>
      </c>
      <c r="I152" s="126" t="str">
        <f t="shared" si="8"/>
        <v>0y 0d 0h 0m</v>
      </c>
    </row>
    <row r="153" s="91" customFormat="1" spans="1:9">
      <c r="A153" s="91" t="str">
        <f t="shared" si="6"/>
        <v>Na-33</v>
      </c>
      <c r="B153" s="91" t="s">
        <v>713</v>
      </c>
      <c r="C153" s="91" t="s">
        <v>697</v>
      </c>
      <c r="D153" s="91">
        <v>11</v>
      </c>
      <c r="E153" s="91">
        <v>33</v>
      </c>
      <c r="F153" s="91">
        <v>0</v>
      </c>
      <c r="G153" s="126">
        <v>86.6433975699931</v>
      </c>
      <c r="H153" s="126">
        <f t="shared" si="7"/>
        <v>0.00800000000000001</v>
      </c>
      <c r="I153" s="126" t="str">
        <f t="shared" si="8"/>
        <v>0y 0d 0h 0m</v>
      </c>
    </row>
    <row r="154" s="91" customFormat="1" spans="1:9">
      <c r="A154" s="91" t="str">
        <f t="shared" si="6"/>
        <v>Na-34</v>
      </c>
      <c r="B154" s="91" t="s">
        <v>714</v>
      </c>
      <c r="C154" s="91" t="s">
        <v>697</v>
      </c>
      <c r="D154" s="91">
        <v>11</v>
      </c>
      <c r="E154" s="91">
        <v>34</v>
      </c>
      <c r="F154" s="91">
        <v>0</v>
      </c>
      <c r="G154" s="126">
        <v>126.026760101808</v>
      </c>
      <c r="H154" s="126">
        <f t="shared" si="7"/>
        <v>0.00550000000000001</v>
      </c>
      <c r="I154" s="126" t="str">
        <f t="shared" si="8"/>
        <v>0y 0d 0h 0m</v>
      </c>
    </row>
    <row r="155" s="91" customFormat="1" spans="1:9">
      <c r="A155" s="91" t="str">
        <f t="shared" si="6"/>
        <v>Na-35</v>
      </c>
      <c r="B155" s="91" t="s">
        <v>715</v>
      </c>
      <c r="C155" s="91" t="s">
        <v>697</v>
      </c>
      <c r="D155" s="91">
        <v>11</v>
      </c>
      <c r="E155" s="91">
        <v>35</v>
      </c>
      <c r="F155" s="91">
        <v>0</v>
      </c>
      <c r="G155" s="126">
        <v>462.098120373296</v>
      </c>
      <c r="H155" s="126">
        <f t="shared" si="7"/>
        <v>0.0015</v>
      </c>
      <c r="I155" s="126" t="str">
        <f t="shared" si="8"/>
        <v>0y 0d 0h 0m</v>
      </c>
    </row>
    <row r="156" s="91" customFormat="1" spans="1:9">
      <c r="A156" s="91" t="str">
        <f t="shared" si="6"/>
        <v>Na-36</v>
      </c>
      <c r="B156" s="91" t="s">
        <v>716</v>
      </c>
      <c r="C156" s="91" t="s">
        <v>697</v>
      </c>
      <c r="D156" s="91">
        <v>11</v>
      </c>
      <c r="E156" s="91">
        <v>36</v>
      </c>
      <c r="F156" s="91">
        <v>0</v>
      </c>
      <c r="G156" s="126">
        <v>3850817.66977747</v>
      </c>
      <c r="H156" s="126">
        <f t="shared" si="7"/>
        <v>1.8e-7</v>
      </c>
      <c r="I156" s="126" t="str">
        <f t="shared" si="8"/>
        <v>0y 0d 0h 0m</v>
      </c>
    </row>
    <row r="157" s="91" customFormat="1" spans="1:9">
      <c r="A157" s="91" t="str">
        <f t="shared" si="6"/>
        <v>Na-37</v>
      </c>
      <c r="B157" s="91" t="s">
        <v>717</v>
      </c>
      <c r="C157" s="91" t="s">
        <v>697</v>
      </c>
      <c r="D157" s="91">
        <v>11</v>
      </c>
      <c r="E157" s="91">
        <v>37</v>
      </c>
      <c r="F157" s="91">
        <v>0</v>
      </c>
      <c r="G157" s="126">
        <v>11552453.0093324</v>
      </c>
      <c r="H157" s="126">
        <f t="shared" si="7"/>
        <v>6.00000000000001e-8</v>
      </c>
      <c r="I157" s="126" t="str">
        <f t="shared" si="8"/>
        <v>0y 0d 0h 0m</v>
      </c>
    </row>
    <row r="158" s="91" customFormat="1" spans="1:9">
      <c r="A158" s="91" t="str">
        <f t="shared" si="6"/>
        <v>Mg-19</v>
      </c>
      <c r="B158" s="91" t="s">
        <v>718</v>
      </c>
      <c r="C158" s="91" t="s">
        <v>719</v>
      </c>
      <c r="D158" s="91">
        <v>12</v>
      </c>
      <c r="E158" s="91">
        <v>19</v>
      </c>
      <c r="F158" s="91">
        <v>0</v>
      </c>
      <c r="G158" s="126">
        <v>173286795139.986</v>
      </c>
      <c r="H158" s="126">
        <f t="shared" si="7"/>
        <v>4.00000000000001e-12</v>
      </c>
      <c r="I158" s="126" t="str">
        <f t="shared" si="8"/>
        <v>0y 0d 0h 0m</v>
      </c>
    </row>
    <row r="159" s="91" customFormat="1" spans="1:9">
      <c r="A159" s="91" t="str">
        <f t="shared" si="6"/>
        <v>Mg-20</v>
      </c>
      <c r="B159" s="91" t="s">
        <v>720</v>
      </c>
      <c r="C159" s="91" t="s">
        <v>719</v>
      </c>
      <c r="D159" s="91">
        <v>12</v>
      </c>
      <c r="E159" s="91">
        <v>20</v>
      </c>
      <c r="F159" s="91">
        <v>0</v>
      </c>
      <c r="G159" s="126">
        <v>7.6337795215853</v>
      </c>
      <c r="H159" s="126">
        <f t="shared" si="7"/>
        <v>0.0908</v>
      </c>
      <c r="I159" s="126" t="str">
        <f t="shared" si="8"/>
        <v>0y 0d 0h 0m</v>
      </c>
    </row>
    <row r="160" s="91" customFormat="1" spans="1:9">
      <c r="A160" s="91" t="str">
        <f t="shared" si="6"/>
        <v>Mg-21</v>
      </c>
      <c r="B160" s="91" t="s">
        <v>721</v>
      </c>
      <c r="C160" s="91" t="s">
        <v>719</v>
      </c>
      <c r="D160" s="91">
        <v>12</v>
      </c>
      <c r="E160" s="91">
        <v>21</v>
      </c>
      <c r="F160" s="91">
        <v>0</v>
      </c>
      <c r="G160" s="126">
        <v>5.68153426688479</v>
      </c>
      <c r="H160" s="126">
        <f t="shared" si="7"/>
        <v>0.122</v>
      </c>
      <c r="I160" s="126" t="str">
        <f t="shared" si="8"/>
        <v>0y 0d 0h 0m</v>
      </c>
    </row>
    <row r="161" s="91" customFormat="1" spans="1:9">
      <c r="A161" s="91" t="str">
        <f t="shared" si="6"/>
        <v>Mg-22</v>
      </c>
      <c r="B161" s="91" t="s">
        <v>722</v>
      </c>
      <c r="C161" s="91" t="s">
        <v>719</v>
      </c>
      <c r="D161" s="91">
        <v>12</v>
      </c>
      <c r="E161" s="91">
        <v>22</v>
      </c>
      <c r="F161" s="91">
        <v>0</v>
      </c>
      <c r="G161" s="126">
        <v>0.178853613871744</v>
      </c>
      <c r="H161" s="126">
        <f t="shared" si="7"/>
        <v>3.87550000000001</v>
      </c>
      <c r="I161" s="126" t="str">
        <f t="shared" si="8"/>
        <v>0y 0d 0h 0m</v>
      </c>
    </row>
    <row r="162" s="91" customFormat="1" spans="1:9">
      <c r="A162" s="91" t="str">
        <f t="shared" si="6"/>
        <v>Mg-23</v>
      </c>
      <c r="B162" s="91" t="s">
        <v>723</v>
      </c>
      <c r="C162" s="91" t="s">
        <v>719</v>
      </c>
      <c r="D162" s="91">
        <v>12</v>
      </c>
      <c r="E162" s="91">
        <v>23</v>
      </c>
      <c r="F162" s="91">
        <v>0</v>
      </c>
      <c r="G162" s="126">
        <v>0.0612483149739281</v>
      </c>
      <c r="H162" s="126">
        <f t="shared" si="7"/>
        <v>11.317</v>
      </c>
      <c r="I162" s="126" t="str">
        <f t="shared" si="8"/>
        <v>0y 0d 0h 0m</v>
      </c>
    </row>
    <row r="163" s="91" customFormat="1" spans="1:9">
      <c r="A163" s="91" t="str">
        <f t="shared" si="6"/>
        <v>Mg-24</v>
      </c>
      <c r="B163" s="91" t="s">
        <v>724</v>
      </c>
      <c r="C163" s="91" t="s">
        <v>719</v>
      </c>
      <c r="D163" s="91">
        <v>12</v>
      </c>
      <c r="E163" s="91">
        <v>24</v>
      </c>
      <c r="F163" s="91">
        <v>0</v>
      </c>
      <c r="G163" s="126">
        <v>0</v>
      </c>
      <c r="H163" s="126">
        <f t="shared" si="7"/>
        <v>0</v>
      </c>
      <c r="I163" s="126" t="str">
        <f t="shared" si="8"/>
        <v>0y 0d 0h 0m</v>
      </c>
    </row>
    <row r="164" s="91" customFormat="1" spans="1:9">
      <c r="A164" s="91" t="str">
        <f t="shared" si="6"/>
        <v>Mg-25</v>
      </c>
      <c r="B164" s="91" t="s">
        <v>725</v>
      </c>
      <c r="C164" s="91" t="s">
        <v>719</v>
      </c>
      <c r="D164" s="91">
        <v>12</v>
      </c>
      <c r="E164" s="91">
        <v>25</v>
      </c>
      <c r="F164" s="91">
        <v>0</v>
      </c>
      <c r="G164" s="126">
        <v>0</v>
      </c>
      <c r="H164" s="126">
        <f t="shared" si="7"/>
        <v>0</v>
      </c>
      <c r="I164" s="126" t="str">
        <f t="shared" si="8"/>
        <v>0y 0d 0h 0m</v>
      </c>
    </row>
    <row r="165" s="91" customFormat="1" spans="1:9">
      <c r="A165" s="91" t="str">
        <f t="shared" si="6"/>
        <v>Mg-26</v>
      </c>
      <c r="B165" s="91" t="s">
        <v>726</v>
      </c>
      <c r="C165" s="91" t="s">
        <v>719</v>
      </c>
      <c r="D165" s="91">
        <v>12</v>
      </c>
      <c r="E165" s="91">
        <v>26</v>
      </c>
      <c r="F165" s="91">
        <v>0</v>
      </c>
      <c r="G165" s="126">
        <v>0</v>
      </c>
      <c r="H165" s="126">
        <f t="shared" si="7"/>
        <v>0</v>
      </c>
      <c r="I165" s="126" t="str">
        <f t="shared" si="8"/>
        <v>0y 0d 0h 0m</v>
      </c>
    </row>
    <row r="166" s="91" customFormat="1" spans="1:9">
      <c r="A166" s="91" t="str">
        <f t="shared" si="6"/>
        <v>Mg-27</v>
      </c>
      <c r="B166" s="91" t="s">
        <v>727</v>
      </c>
      <c r="C166" s="91" t="s">
        <v>719</v>
      </c>
      <c r="D166" s="91">
        <v>12</v>
      </c>
      <c r="E166" s="91">
        <v>27</v>
      </c>
      <c r="F166" s="91">
        <v>0</v>
      </c>
      <c r="G166" s="126">
        <v>0.00122144777007109</v>
      </c>
      <c r="H166" s="126">
        <f t="shared" si="7"/>
        <v>567.480000000003</v>
      </c>
      <c r="I166" s="126" t="str">
        <f t="shared" si="8"/>
        <v>0y 0d 0h 9m</v>
      </c>
    </row>
    <row r="167" s="91" customFormat="1" spans="1:9">
      <c r="A167" s="91" t="str">
        <f t="shared" si="6"/>
        <v>Mg-28</v>
      </c>
      <c r="B167" s="91" t="s">
        <v>728</v>
      </c>
      <c r="C167" s="91" t="s">
        <v>719</v>
      </c>
      <c r="D167" s="91">
        <v>12</v>
      </c>
      <c r="E167" s="91">
        <v>28</v>
      </c>
      <c r="F167" s="91">
        <v>0</v>
      </c>
      <c r="G167" s="126">
        <v>9.20587537599204e-6</v>
      </c>
      <c r="H167" s="126">
        <f t="shared" si="7"/>
        <v>75294.0000000001</v>
      </c>
      <c r="I167" s="126" t="str">
        <f t="shared" si="8"/>
        <v>0y 0d 20h 54m</v>
      </c>
    </row>
    <row r="168" s="91" customFormat="1" spans="1:9">
      <c r="A168" s="91" t="str">
        <f t="shared" si="6"/>
        <v>Mg-29</v>
      </c>
      <c r="B168" s="91" t="s">
        <v>729</v>
      </c>
      <c r="C168" s="91" t="s">
        <v>719</v>
      </c>
      <c r="D168" s="91">
        <v>12</v>
      </c>
      <c r="E168" s="91">
        <v>29</v>
      </c>
      <c r="F168" s="91">
        <v>0</v>
      </c>
      <c r="G168" s="126">
        <v>0.533190138892265</v>
      </c>
      <c r="H168" s="126">
        <f t="shared" si="7"/>
        <v>1.3</v>
      </c>
      <c r="I168" s="126" t="str">
        <f t="shared" si="8"/>
        <v>0y 0d 0h 0m</v>
      </c>
    </row>
    <row r="169" s="91" customFormat="1" spans="1:9">
      <c r="A169" s="91" t="str">
        <f t="shared" si="6"/>
        <v>Mg-30</v>
      </c>
      <c r="B169" s="91" t="s">
        <v>730</v>
      </c>
      <c r="C169" s="91" t="s">
        <v>719</v>
      </c>
      <c r="D169" s="91">
        <v>12</v>
      </c>
      <c r="E169" s="91">
        <v>30</v>
      </c>
      <c r="F169" s="91">
        <v>0</v>
      </c>
      <c r="G169" s="126">
        <v>2.06909606137297</v>
      </c>
      <c r="H169" s="126">
        <f t="shared" si="7"/>
        <v>0.335</v>
      </c>
      <c r="I169" s="126" t="str">
        <f t="shared" si="8"/>
        <v>0y 0d 0h 0m</v>
      </c>
    </row>
    <row r="170" s="91" customFormat="1" spans="1:9">
      <c r="A170" s="91" t="str">
        <f t="shared" si="6"/>
        <v>Mg-31</v>
      </c>
      <c r="B170" s="91" t="s">
        <v>731</v>
      </c>
      <c r="C170" s="91" t="s">
        <v>719</v>
      </c>
      <c r="D170" s="91">
        <v>12</v>
      </c>
      <c r="E170" s="91">
        <v>31</v>
      </c>
      <c r="F170" s="91">
        <v>0</v>
      </c>
      <c r="G170" s="126">
        <v>2.98770336448252</v>
      </c>
      <c r="H170" s="126">
        <f t="shared" si="7"/>
        <v>0.232</v>
      </c>
      <c r="I170" s="126" t="str">
        <f t="shared" si="8"/>
        <v>0y 0d 0h 0m</v>
      </c>
    </row>
    <row r="171" s="91" customFormat="1" spans="1:9">
      <c r="A171" s="91" t="str">
        <f t="shared" si="6"/>
        <v>Mg-32</v>
      </c>
      <c r="B171" s="91" t="s">
        <v>732</v>
      </c>
      <c r="C171" s="91" t="s">
        <v>719</v>
      </c>
      <c r="D171" s="91">
        <v>12</v>
      </c>
      <c r="E171" s="91">
        <v>32</v>
      </c>
      <c r="F171" s="91">
        <v>0</v>
      </c>
      <c r="G171" s="126">
        <v>8.05985093674355</v>
      </c>
      <c r="H171" s="126">
        <f t="shared" si="7"/>
        <v>0.086</v>
      </c>
      <c r="I171" s="126" t="str">
        <f t="shared" si="8"/>
        <v>0y 0d 0h 0m</v>
      </c>
    </row>
    <row r="172" s="91" customFormat="1" spans="1:9">
      <c r="A172" s="91" t="str">
        <f t="shared" si="6"/>
        <v>Mg-33</v>
      </c>
      <c r="B172" s="91" t="s">
        <v>733</v>
      </c>
      <c r="C172" s="91" t="s">
        <v>719</v>
      </c>
      <c r="D172" s="91">
        <v>12</v>
      </c>
      <c r="E172" s="91">
        <v>33</v>
      </c>
      <c r="F172" s="91">
        <v>0</v>
      </c>
      <c r="G172" s="126">
        <v>7.65908486806569</v>
      </c>
      <c r="H172" s="126">
        <f t="shared" si="7"/>
        <v>0.0905</v>
      </c>
      <c r="I172" s="126" t="str">
        <f t="shared" si="8"/>
        <v>0y 0d 0h 0m</v>
      </c>
    </row>
    <row r="173" s="91" customFormat="1" spans="1:9">
      <c r="A173" s="91" t="str">
        <f t="shared" si="6"/>
        <v>Mg-34</v>
      </c>
      <c r="B173" s="91" t="s">
        <v>734</v>
      </c>
      <c r="C173" s="91" t="s">
        <v>719</v>
      </c>
      <c r="D173" s="91">
        <v>12</v>
      </c>
      <c r="E173" s="91">
        <v>34</v>
      </c>
      <c r="F173" s="91">
        <v>0</v>
      </c>
      <c r="G173" s="126">
        <v>34.6573590279972</v>
      </c>
      <c r="H173" s="126">
        <f t="shared" si="7"/>
        <v>0.02</v>
      </c>
      <c r="I173" s="126" t="str">
        <f t="shared" si="8"/>
        <v>0y 0d 0h 0m</v>
      </c>
    </row>
    <row r="174" s="91" customFormat="1" spans="1:9">
      <c r="A174" s="91" t="str">
        <f t="shared" si="6"/>
        <v>Mg-35</v>
      </c>
      <c r="B174" s="91" t="s">
        <v>735</v>
      </c>
      <c r="C174" s="91" t="s">
        <v>719</v>
      </c>
      <c r="D174" s="91">
        <v>12</v>
      </c>
      <c r="E174" s="91">
        <v>35</v>
      </c>
      <c r="F174" s="91">
        <v>0</v>
      </c>
      <c r="G174" s="126">
        <v>9.90210257942778</v>
      </c>
      <c r="H174" s="126">
        <f t="shared" si="7"/>
        <v>0.0700000000000001</v>
      </c>
      <c r="I174" s="126" t="str">
        <f t="shared" si="8"/>
        <v>0y 0d 0h 0m</v>
      </c>
    </row>
    <row r="175" s="91" customFormat="1" spans="1:9">
      <c r="A175" s="91" t="str">
        <f t="shared" si="6"/>
        <v>Mg-36</v>
      </c>
      <c r="B175" s="91" t="s">
        <v>736</v>
      </c>
      <c r="C175" s="91" t="s">
        <v>719</v>
      </c>
      <c r="D175" s="91">
        <v>12</v>
      </c>
      <c r="E175" s="91">
        <v>36</v>
      </c>
      <c r="F175" s="91">
        <v>0</v>
      </c>
      <c r="G175" s="126">
        <v>177.730046297421</v>
      </c>
      <c r="H175" s="126">
        <f t="shared" si="7"/>
        <v>0.00390000000000002</v>
      </c>
      <c r="I175" s="126" t="str">
        <f t="shared" si="8"/>
        <v>0y 0d 0h 0m</v>
      </c>
    </row>
    <row r="176" s="91" customFormat="1" spans="1:9">
      <c r="A176" s="91" t="str">
        <f t="shared" si="6"/>
        <v>Mg-37</v>
      </c>
      <c r="B176" s="91" t="s">
        <v>737</v>
      </c>
      <c r="C176" s="91" t="s">
        <v>719</v>
      </c>
      <c r="D176" s="91">
        <v>12</v>
      </c>
      <c r="E176" s="91">
        <v>37</v>
      </c>
      <c r="F176" s="91">
        <v>0</v>
      </c>
      <c r="G176" s="126">
        <v>2665950.69446132</v>
      </c>
      <c r="H176" s="126">
        <f t="shared" si="7"/>
        <v>2.60000000000001e-7</v>
      </c>
      <c r="I176" s="126" t="str">
        <f t="shared" si="8"/>
        <v>0y 0d 0h 0m</v>
      </c>
    </row>
    <row r="177" s="91" customFormat="1" spans="1:9">
      <c r="A177" s="91" t="str">
        <f t="shared" si="6"/>
        <v>Mg-38</v>
      </c>
      <c r="B177" s="91" t="s">
        <v>738</v>
      </c>
      <c r="C177" s="91" t="s">
        <v>719</v>
      </c>
      <c r="D177" s="91">
        <v>12</v>
      </c>
      <c r="E177" s="91">
        <v>38</v>
      </c>
      <c r="F177" s="91">
        <v>0</v>
      </c>
      <c r="G177" s="126">
        <v>2665950.69446132</v>
      </c>
      <c r="H177" s="126">
        <f t="shared" si="7"/>
        <v>2.60000000000001e-7</v>
      </c>
      <c r="I177" s="126" t="str">
        <f t="shared" si="8"/>
        <v>0y 0d 0h 0m</v>
      </c>
    </row>
    <row r="178" s="91" customFormat="1" spans="1:9">
      <c r="A178" s="91" t="str">
        <f t="shared" si="6"/>
        <v>Mg-39</v>
      </c>
      <c r="B178" s="91" t="s">
        <v>739</v>
      </c>
      <c r="C178" s="91" t="s">
        <v>719</v>
      </c>
      <c r="D178" s="91">
        <v>12</v>
      </c>
      <c r="E178" s="91">
        <v>39</v>
      </c>
      <c r="F178" s="91">
        <v>0</v>
      </c>
      <c r="G178" s="126">
        <v>3850817.66977747</v>
      </c>
      <c r="H178" s="126">
        <f t="shared" si="7"/>
        <v>1.8e-7</v>
      </c>
      <c r="I178" s="126" t="str">
        <f t="shared" si="8"/>
        <v>0y 0d 0h 0m</v>
      </c>
    </row>
    <row r="179" s="91" customFormat="1" spans="1:9">
      <c r="A179" s="91" t="str">
        <f t="shared" si="6"/>
        <v>Mg-40</v>
      </c>
      <c r="B179" s="91" t="s">
        <v>740</v>
      </c>
      <c r="C179" s="91" t="s">
        <v>719</v>
      </c>
      <c r="D179" s="91">
        <v>12</v>
      </c>
      <c r="E179" s="91">
        <v>40</v>
      </c>
      <c r="F179" s="91">
        <v>0</v>
      </c>
      <c r="G179" s="126">
        <v>4077336.35623497</v>
      </c>
      <c r="H179" s="126">
        <f t="shared" si="7"/>
        <v>1.7e-7</v>
      </c>
      <c r="I179" s="126" t="str">
        <f t="shared" si="8"/>
        <v>0y 0d 0h 0m</v>
      </c>
    </row>
    <row r="180" s="91" customFormat="1" spans="1:9">
      <c r="A180" s="91" t="str">
        <f t="shared" si="6"/>
        <v>Al-21</v>
      </c>
      <c r="B180" s="91" t="s">
        <v>741</v>
      </c>
      <c r="C180" s="91" t="s">
        <v>742</v>
      </c>
      <c r="D180" s="91">
        <v>13</v>
      </c>
      <c r="E180" s="91">
        <v>21</v>
      </c>
      <c r="F180" s="91">
        <v>0</v>
      </c>
      <c r="G180" s="126">
        <v>19804205.1588555</v>
      </c>
      <c r="H180" s="126">
        <f t="shared" si="7"/>
        <v>3.50000000000001e-8</v>
      </c>
      <c r="I180" s="126" t="str">
        <f t="shared" si="8"/>
        <v>0y 0d 0h 0m</v>
      </c>
    </row>
    <row r="181" s="91" customFormat="1" spans="1:9">
      <c r="A181" s="91" t="str">
        <f t="shared" si="6"/>
        <v>Al-22</v>
      </c>
      <c r="B181" s="91" t="s">
        <v>743</v>
      </c>
      <c r="C181" s="91" t="s">
        <v>742</v>
      </c>
      <c r="D181" s="91">
        <v>13</v>
      </c>
      <c r="E181" s="91">
        <v>22</v>
      </c>
      <c r="F181" s="91">
        <v>0</v>
      </c>
      <c r="G181" s="126">
        <v>11.7482572976261</v>
      </c>
      <c r="H181" s="126">
        <f t="shared" si="7"/>
        <v>0.0590000000000005</v>
      </c>
      <c r="I181" s="126" t="str">
        <f t="shared" si="8"/>
        <v>0y 0d 0h 0m</v>
      </c>
    </row>
    <row r="182" s="91" customFormat="1" spans="1:9">
      <c r="A182" s="91" t="str">
        <f t="shared" si="6"/>
        <v>Al-23</v>
      </c>
      <c r="B182" s="91" t="s">
        <v>744</v>
      </c>
      <c r="C182" s="91" t="s">
        <v>742</v>
      </c>
      <c r="D182" s="91">
        <v>13</v>
      </c>
      <c r="E182" s="91">
        <v>23</v>
      </c>
      <c r="F182" s="91">
        <v>0</v>
      </c>
      <c r="G182" s="126">
        <v>1.47478123523392</v>
      </c>
      <c r="H182" s="126">
        <f t="shared" si="7"/>
        <v>0.470000000000002</v>
      </c>
      <c r="I182" s="126" t="str">
        <f t="shared" si="8"/>
        <v>0y 0d 0h 0m</v>
      </c>
    </row>
    <row r="183" s="91" customFormat="1" spans="1:9">
      <c r="A183" s="91" t="str">
        <f t="shared" si="6"/>
        <v>Al-24</v>
      </c>
      <c r="B183" s="91" t="s">
        <v>745</v>
      </c>
      <c r="C183" s="91" t="s">
        <v>742</v>
      </c>
      <c r="D183" s="91">
        <v>13</v>
      </c>
      <c r="E183" s="91">
        <v>24</v>
      </c>
      <c r="F183" s="91">
        <v>0</v>
      </c>
      <c r="G183" s="126">
        <v>0.337626488338989</v>
      </c>
      <c r="H183" s="126">
        <f t="shared" si="7"/>
        <v>2.053</v>
      </c>
      <c r="I183" s="126" t="str">
        <f t="shared" si="8"/>
        <v>0y 0d 0h 0m</v>
      </c>
    </row>
    <row r="184" s="91" customFormat="1" spans="1:9">
      <c r="A184" s="91" t="str">
        <f t="shared" si="6"/>
        <v>Al-24m</v>
      </c>
      <c r="B184" s="91" t="s">
        <v>746</v>
      </c>
      <c r="C184" s="91" t="s">
        <v>742</v>
      </c>
      <c r="D184" s="91">
        <v>13</v>
      </c>
      <c r="E184" s="91">
        <v>24</v>
      </c>
      <c r="F184" s="91">
        <v>1</v>
      </c>
      <c r="G184" s="126">
        <v>5.33190138892265</v>
      </c>
      <c r="H184" s="126">
        <f t="shared" si="7"/>
        <v>0.13</v>
      </c>
      <c r="I184" s="126" t="str">
        <f t="shared" si="8"/>
        <v>0y 0d 0h 0m</v>
      </c>
    </row>
    <row r="185" s="91" customFormat="1" spans="1:9">
      <c r="A185" s="91" t="str">
        <f t="shared" si="6"/>
        <v>Al-25</v>
      </c>
      <c r="B185" s="91" t="s">
        <v>747</v>
      </c>
      <c r="C185" s="91" t="s">
        <v>742</v>
      </c>
      <c r="D185" s="91">
        <v>13</v>
      </c>
      <c r="E185" s="91">
        <v>25</v>
      </c>
      <c r="F185" s="91">
        <v>0</v>
      </c>
      <c r="G185" s="126">
        <v>0.0964982849171579</v>
      </c>
      <c r="H185" s="126">
        <f t="shared" si="7"/>
        <v>7.183</v>
      </c>
      <c r="I185" s="126" t="str">
        <f t="shared" si="8"/>
        <v>0y 0d 0h 0m</v>
      </c>
    </row>
    <row r="186" s="91" customFormat="1" spans="1:9">
      <c r="A186" s="91" t="str">
        <f t="shared" si="6"/>
        <v>Al-26</v>
      </c>
      <c r="B186" s="91" t="s">
        <v>748</v>
      </c>
      <c r="C186" s="91" t="s">
        <v>742</v>
      </c>
      <c r="D186" s="91">
        <v>13</v>
      </c>
      <c r="E186" s="91">
        <v>26</v>
      </c>
      <c r="F186" s="91">
        <v>0</v>
      </c>
      <c r="G186" s="126">
        <v>3.06339022999251e-14</v>
      </c>
      <c r="H186" s="126">
        <f t="shared" si="7"/>
        <v>22626800000000</v>
      </c>
      <c r="I186" s="126" t="str">
        <f t="shared" si="8"/>
        <v>717491y 44d 6h 13m</v>
      </c>
    </row>
    <row r="187" s="91" customFormat="1" spans="1:9">
      <c r="A187" s="91" t="str">
        <f t="shared" si="6"/>
        <v>Al-26m</v>
      </c>
      <c r="B187" s="91" t="s">
        <v>749</v>
      </c>
      <c r="C187" s="91" t="s">
        <v>742</v>
      </c>
      <c r="D187" s="91">
        <v>13</v>
      </c>
      <c r="E187" s="91">
        <v>26</v>
      </c>
      <c r="F187" s="91">
        <v>1</v>
      </c>
      <c r="G187" s="126">
        <v>0.109239611132816</v>
      </c>
      <c r="H187" s="126">
        <f t="shared" si="7"/>
        <v>6.34520000000001</v>
      </c>
      <c r="I187" s="126" t="str">
        <f t="shared" si="8"/>
        <v>0y 0d 0h 0m</v>
      </c>
    </row>
    <row r="188" s="91" customFormat="1" spans="1:9">
      <c r="A188" s="91" t="str">
        <f t="shared" si="6"/>
        <v>Al-27</v>
      </c>
      <c r="B188" s="91" t="s">
        <v>750</v>
      </c>
      <c r="C188" s="91" t="s">
        <v>742</v>
      </c>
      <c r="D188" s="91">
        <v>13</v>
      </c>
      <c r="E188" s="91">
        <v>27</v>
      </c>
      <c r="F188" s="91">
        <v>0</v>
      </c>
      <c r="G188" s="126">
        <v>0</v>
      </c>
      <c r="H188" s="126">
        <f t="shared" si="7"/>
        <v>0</v>
      </c>
      <c r="I188" s="126" t="str">
        <f t="shared" si="8"/>
        <v>0y 0d 0h 0m</v>
      </c>
    </row>
    <row r="189" s="91" customFormat="1" spans="1:9">
      <c r="A189" s="91" t="str">
        <f t="shared" si="6"/>
        <v>Al-28</v>
      </c>
      <c r="B189" s="91" t="s">
        <v>751</v>
      </c>
      <c r="C189" s="91" t="s">
        <v>742</v>
      </c>
      <c r="D189" s="91">
        <v>13</v>
      </c>
      <c r="E189" s="91">
        <v>28</v>
      </c>
      <c r="F189" s="91">
        <v>0</v>
      </c>
      <c r="G189" s="126">
        <v>0.00515412376609816</v>
      </c>
      <c r="H189" s="126">
        <f t="shared" si="7"/>
        <v>134.484</v>
      </c>
      <c r="I189" s="126" t="str">
        <f t="shared" si="8"/>
        <v>0y 0d 0h 2m</v>
      </c>
    </row>
    <row r="190" s="91" customFormat="1" spans="1:9">
      <c r="A190" s="91" t="str">
        <f t="shared" si="6"/>
        <v>Al-29</v>
      </c>
      <c r="B190" s="91" t="s">
        <v>752</v>
      </c>
      <c r="C190" s="91" t="s">
        <v>742</v>
      </c>
      <c r="D190" s="91">
        <v>13</v>
      </c>
      <c r="E190" s="91">
        <v>29</v>
      </c>
      <c r="F190" s="91">
        <v>0</v>
      </c>
      <c r="G190" s="126">
        <v>0.00176104466605677</v>
      </c>
      <c r="H190" s="126">
        <f t="shared" si="7"/>
        <v>393.6</v>
      </c>
      <c r="I190" s="126" t="str">
        <f t="shared" si="8"/>
        <v>0y 0d 0h 6m</v>
      </c>
    </row>
    <row r="191" s="91" customFormat="1" spans="1:9">
      <c r="A191" s="91" t="str">
        <f t="shared" si="6"/>
        <v>Al-30</v>
      </c>
      <c r="B191" s="91" t="s">
        <v>753</v>
      </c>
      <c r="C191" s="91" t="s">
        <v>742</v>
      </c>
      <c r="D191" s="91">
        <v>13</v>
      </c>
      <c r="E191" s="91">
        <v>30</v>
      </c>
      <c r="F191" s="91">
        <v>0</v>
      </c>
      <c r="G191" s="126">
        <v>0.191477121701642</v>
      </c>
      <c r="H191" s="126">
        <f t="shared" si="7"/>
        <v>3.62000000000001</v>
      </c>
      <c r="I191" s="126" t="str">
        <f t="shared" si="8"/>
        <v>0y 0d 0h 0m</v>
      </c>
    </row>
    <row r="192" s="91" customFormat="1" spans="1:9">
      <c r="A192" s="91" t="str">
        <f t="shared" si="6"/>
        <v>Al-31</v>
      </c>
      <c r="B192" s="91" t="s">
        <v>754</v>
      </c>
      <c r="C192" s="91" t="s">
        <v>742</v>
      </c>
      <c r="D192" s="91">
        <v>13</v>
      </c>
      <c r="E192" s="91">
        <v>31</v>
      </c>
      <c r="F192" s="91">
        <v>0</v>
      </c>
      <c r="G192" s="126">
        <v>1.07631549776389</v>
      </c>
      <c r="H192" s="126">
        <f t="shared" si="7"/>
        <v>0.644</v>
      </c>
      <c r="I192" s="126" t="str">
        <f t="shared" si="8"/>
        <v>0y 0d 0h 0m</v>
      </c>
    </row>
    <row r="193" s="91" customFormat="1" spans="1:9">
      <c r="A193" s="91" t="str">
        <f t="shared" si="6"/>
        <v>Al-32</v>
      </c>
      <c r="B193" s="91" t="s">
        <v>755</v>
      </c>
      <c r="C193" s="91" t="s">
        <v>742</v>
      </c>
      <c r="D193" s="91">
        <v>13</v>
      </c>
      <c r="E193" s="91">
        <v>32</v>
      </c>
      <c r="F193" s="91">
        <v>0</v>
      </c>
      <c r="G193" s="126">
        <v>21.004460016968</v>
      </c>
      <c r="H193" s="126">
        <f t="shared" si="7"/>
        <v>0.0330000000000001</v>
      </c>
      <c r="I193" s="126" t="str">
        <f t="shared" si="8"/>
        <v>0y 0d 0h 0m</v>
      </c>
    </row>
    <row r="194" s="91" customFormat="1" spans="1:9">
      <c r="A194" s="91" t="str">
        <f t="shared" ref="A194:A257" si="9">C194&amp;"-"&amp;E194&amp;_xlfn.IFS(F194=0,"",F194=1,"m",F194&gt;1,"m"&amp;F194)</f>
        <v>Al-33</v>
      </c>
      <c r="B194" s="91" t="s">
        <v>756</v>
      </c>
      <c r="C194" s="91" t="s">
        <v>742</v>
      </c>
      <c r="D194" s="91">
        <v>13</v>
      </c>
      <c r="E194" s="91">
        <v>33</v>
      </c>
      <c r="F194" s="91">
        <v>0</v>
      </c>
      <c r="G194" s="126">
        <v>16.622234545802</v>
      </c>
      <c r="H194" s="126">
        <f t="shared" ref="H194:H257" si="10">IF(G194&gt;0,LN(2)/G194,0)</f>
        <v>0.0417000000000001</v>
      </c>
      <c r="I194" s="126" t="str">
        <f t="shared" si="8"/>
        <v>0y 0d 0h 0m</v>
      </c>
    </row>
    <row r="195" s="91" customFormat="1" spans="1:9">
      <c r="A195" s="91" t="str">
        <f t="shared" si="9"/>
        <v>Al-34</v>
      </c>
      <c r="B195" s="91" t="s">
        <v>757</v>
      </c>
      <c r="C195" s="91" t="s">
        <v>742</v>
      </c>
      <c r="D195" s="91">
        <v>13</v>
      </c>
      <c r="E195" s="91">
        <v>34</v>
      </c>
      <c r="F195" s="91">
        <v>0</v>
      </c>
      <c r="G195" s="126">
        <v>16.5035042990463</v>
      </c>
      <c r="H195" s="126">
        <f t="shared" si="10"/>
        <v>0.042</v>
      </c>
      <c r="I195" s="126" t="str">
        <f t="shared" ref="I195:I258" si="11">INT(H195/31536000)&amp;"y "&amp;INT(MOD(H195,31536000)/86400)&amp;"d "&amp;INT(MOD(MOD(H195,31536000),86400)/3600)&amp;"h "&amp;INT(MOD(MOD(MOD(H195,31536000),86400),3600)/60)&amp;"m"</f>
        <v>0y 0d 0h 0m</v>
      </c>
    </row>
    <row r="196" s="91" customFormat="1" spans="1:9">
      <c r="A196" s="91" t="str">
        <f t="shared" si="9"/>
        <v>Al-35</v>
      </c>
      <c r="B196" s="91" t="s">
        <v>758</v>
      </c>
      <c r="C196" s="91" t="s">
        <v>742</v>
      </c>
      <c r="D196" s="91">
        <v>13</v>
      </c>
      <c r="E196" s="91">
        <v>35</v>
      </c>
      <c r="F196" s="91">
        <v>0</v>
      </c>
      <c r="G196" s="126">
        <v>17.9571808435218</v>
      </c>
      <c r="H196" s="126">
        <f t="shared" si="10"/>
        <v>0.0386000000000002</v>
      </c>
      <c r="I196" s="126" t="str">
        <f t="shared" si="11"/>
        <v>0y 0d 0h 0m</v>
      </c>
    </row>
    <row r="197" s="91" customFormat="1" spans="1:9">
      <c r="A197" s="91" t="str">
        <f t="shared" si="9"/>
        <v>Al-36</v>
      </c>
      <c r="B197" s="91" t="s">
        <v>759</v>
      </c>
      <c r="C197" s="91" t="s">
        <v>742</v>
      </c>
      <c r="D197" s="91">
        <v>13</v>
      </c>
      <c r="E197" s="91">
        <v>36</v>
      </c>
      <c r="F197" s="91">
        <v>0</v>
      </c>
      <c r="G197" s="126">
        <v>7.70163533955494</v>
      </c>
      <c r="H197" s="126">
        <f t="shared" si="10"/>
        <v>0.0900000000000001</v>
      </c>
      <c r="I197" s="126" t="str">
        <f t="shared" si="11"/>
        <v>0y 0d 0h 0m</v>
      </c>
    </row>
    <row r="198" s="91" customFormat="1" spans="1:9">
      <c r="A198" s="91" t="str">
        <f t="shared" si="9"/>
        <v>Al-37</v>
      </c>
      <c r="B198" s="91" t="s">
        <v>760</v>
      </c>
      <c r="C198" s="91" t="s">
        <v>742</v>
      </c>
      <c r="D198" s="91">
        <v>13</v>
      </c>
      <c r="E198" s="91">
        <v>37</v>
      </c>
      <c r="F198" s="91">
        <v>0</v>
      </c>
      <c r="G198" s="126">
        <v>64.7801103327051</v>
      </c>
      <c r="H198" s="126">
        <f t="shared" si="10"/>
        <v>0.0107</v>
      </c>
      <c r="I198" s="126" t="str">
        <f t="shared" si="11"/>
        <v>0y 0d 0h 0m</v>
      </c>
    </row>
    <row r="199" s="91" customFormat="1" spans="1:9">
      <c r="A199" s="91" t="str">
        <f t="shared" si="9"/>
        <v>Al-38</v>
      </c>
      <c r="B199" s="91" t="s">
        <v>761</v>
      </c>
      <c r="C199" s="91" t="s">
        <v>742</v>
      </c>
      <c r="D199" s="91">
        <v>13</v>
      </c>
      <c r="E199" s="91">
        <v>38</v>
      </c>
      <c r="F199" s="91">
        <v>0</v>
      </c>
      <c r="G199" s="126">
        <v>91.2035763894664</v>
      </c>
      <c r="H199" s="126">
        <f t="shared" si="10"/>
        <v>0.00760000000000001</v>
      </c>
      <c r="I199" s="126" t="str">
        <f t="shared" si="11"/>
        <v>0y 0d 0h 0m</v>
      </c>
    </row>
    <row r="200" s="91" customFormat="1" spans="1:9">
      <c r="A200" s="91" t="str">
        <f t="shared" si="9"/>
        <v>Al-39</v>
      </c>
      <c r="B200" s="91" t="s">
        <v>762</v>
      </c>
      <c r="C200" s="91" t="s">
        <v>742</v>
      </c>
      <c r="D200" s="91">
        <v>13</v>
      </c>
      <c r="E200" s="91">
        <v>39</v>
      </c>
      <c r="F200" s="91">
        <v>0</v>
      </c>
      <c r="G200" s="126">
        <v>91203.5763894664</v>
      </c>
      <c r="H200" s="126">
        <f t="shared" si="10"/>
        <v>7.60000000000001e-6</v>
      </c>
      <c r="I200" s="126" t="str">
        <f t="shared" si="11"/>
        <v>0y 0d 0h 0m</v>
      </c>
    </row>
    <row r="201" s="91" customFormat="1" spans="1:9">
      <c r="A201" s="91" t="str">
        <f t="shared" si="9"/>
        <v>Al-40</v>
      </c>
      <c r="B201" s="91" t="s">
        <v>763</v>
      </c>
      <c r="C201" s="91" t="s">
        <v>742</v>
      </c>
      <c r="D201" s="91">
        <v>13</v>
      </c>
      <c r="E201" s="91">
        <v>40</v>
      </c>
      <c r="F201" s="91">
        <v>0</v>
      </c>
      <c r="G201" s="126">
        <v>2665950.69446132</v>
      </c>
      <c r="H201" s="126">
        <f t="shared" si="10"/>
        <v>2.60000000000001e-7</v>
      </c>
      <c r="I201" s="126" t="str">
        <f t="shared" si="11"/>
        <v>0y 0d 0h 0m</v>
      </c>
    </row>
    <row r="202" s="91" customFormat="1" spans="1:9">
      <c r="A202" s="91" t="str">
        <f t="shared" si="9"/>
        <v>Al-41</v>
      </c>
      <c r="B202" s="91" t="s">
        <v>764</v>
      </c>
      <c r="C202" s="91" t="s">
        <v>742</v>
      </c>
      <c r="D202" s="91">
        <v>13</v>
      </c>
      <c r="E202" s="91">
        <v>41</v>
      </c>
      <c r="F202" s="91">
        <v>0</v>
      </c>
      <c r="G202" s="126">
        <v>2665950.69446132</v>
      </c>
      <c r="H202" s="126">
        <f t="shared" si="10"/>
        <v>2.60000000000001e-7</v>
      </c>
      <c r="I202" s="126" t="str">
        <f t="shared" si="11"/>
        <v>0y 0d 0h 0m</v>
      </c>
    </row>
    <row r="203" s="91" customFormat="1" spans="1:9">
      <c r="A203" s="91" t="str">
        <f t="shared" si="9"/>
        <v>Al-42</v>
      </c>
      <c r="B203" s="91" t="s">
        <v>765</v>
      </c>
      <c r="C203" s="91" t="s">
        <v>742</v>
      </c>
      <c r="D203" s="91">
        <v>13</v>
      </c>
      <c r="E203" s="91">
        <v>42</v>
      </c>
      <c r="F203" s="91">
        <v>0</v>
      </c>
      <c r="G203" s="126">
        <v>4077336.35623497</v>
      </c>
      <c r="H203" s="126">
        <f t="shared" si="10"/>
        <v>1.7e-7</v>
      </c>
      <c r="I203" s="126" t="str">
        <f t="shared" si="11"/>
        <v>0y 0d 0h 0m</v>
      </c>
    </row>
    <row r="204" s="91" customFormat="1" spans="1:9">
      <c r="A204" s="91" t="str">
        <f t="shared" si="9"/>
        <v>Si-22</v>
      </c>
      <c r="B204" s="91" t="s">
        <v>766</v>
      </c>
      <c r="C204" s="91" t="s">
        <v>767</v>
      </c>
      <c r="D204" s="91">
        <v>14</v>
      </c>
      <c r="E204" s="91">
        <v>22</v>
      </c>
      <c r="F204" s="91">
        <v>0</v>
      </c>
      <c r="G204" s="126">
        <v>23.9016269158601</v>
      </c>
      <c r="H204" s="126">
        <f t="shared" si="10"/>
        <v>0.0290000000000001</v>
      </c>
      <c r="I204" s="126" t="str">
        <f t="shared" si="11"/>
        <v>0y 0d 0h 0m</v>
      </c>
    </row>
    <row r="205" s="91" customFormat="1" spans="1:9">
      <c r="A205" s="91" t="str">
        <f t="shared" si="9"/>
        <v>Si-23</v>
      </c>
      <c r="B205" s="91" t="s">
        <v>768</v>
      </c>
      <c r="C205" s="91" t="s">
        <v>767</v>
      </c>
      <c r="D205" s="91">
        <v>14</v>
      </c>
      <c r="E205" s="91">
        <v>23</v>
      </c>
      <c r="F205" s="91">
        <v>0</v>
      </c>
      <c r="G205" s="126">
        <v>16.3864581692658</v>
      </c>
      <c r="H205" s="126">
        <f t="shared" si="10"/>
        <v>0.0423000000000001</v>
      </c>
      <c r="I205" s="126" t="str">
        <f t="shared" si="11"/>
        <v>0y 0d 0h 0m</v>
      </c>
    </row>
    <row r="206" s="91" customFormat="1" spans="1:9">
      <c r="A206" s="91" t="str">
        <f t="shared" si="9"/>
        <v>Si-24</v>
      </c>
      <c r="B206" s="91" t="s">
        <v>769</v>
      </c>
      <c r="C206" s="91" t="s">
        <v>767</v>
      </c>
      <c r="D206" s="91">
        <v>14</v>
      </c>
      <c r="E206" s="91">
        <v>24</v>
      </c>
      <c r="F206" s="91">
        <v>0</v>
      </c>
      <c r="G206" s="126">
        <v>4.95105128971389</v>
      </c>
      <c r="H206" s="126">
        <f t="shared" si="10"/>
        <v>0.14</v>
      </c>
      <c r="I206" s="126" t="str">
        <f t="shared" si="11"/>
        <v>0y 0d 0h 0m</v>
      </c>
    </row>
    <row r="207" s="91" customFormat="1" spans="1:9">
      <c r="A207" s="91" t="str">
        <f t="shared" si="9"/>
        <v>Si-25</v>
      </c>
      <c r="B207" s="91" t="s">
        <v>770</v>
      </c>
      <c r="C207" s="91" t="s">
        <v>767</v>
      </c>
      <c r="D207" s="91">
        <v>14</v>
      </c>
      <c r="E207" s="91">
        <v>25</v>
      </c>
      <c r="F207" s="91">
        <v>0</v>
      </c>
      <c r="G207" s="126">
        <v>3.1506690025452</v>
      </c>
      <c r="H207" s="126">
        <f t="shared" si="10"/>
        <v>0.22</v>
      </c>
      <c r="I207" s="126" t="str">
        <f t="shared" si="11"/>
        <v>0y 0d 0h 0m</v>
      </c>
    </row>
    <row r="208" s="91" customFormat="1" spans="1:9">
      <c r="A208" s="91" t="str">
        <f t="shared" si="9"/>
        <v>Si-26</v>
      </c>
      <c r="B208" s="91" t="s">
        <v>771</v>
      </c>
      <c r="C208" s="91" t="s">
        <v>767</v>
      </c>
      <c r="D208" s="91">
        <v>14</v>
      </c>
      <c r="E208" s="91">
        <v>26</v>
      </c>
      <c r="F208" s="91">
        <v>0</v>
      </c>
      <c r="G208" s="126">
        <v>0.310271790760942</v>
      </c>
      <c r="H208" s="126">
        <f t="shared" si="10"/>
        <v>2.234</v>
      </c>
      <c r="I208" s="126" t="str">
        <f t="shared" si="11"/>
        <v>0y 0d 0h 0m</v>
      </c>
    </row>
    <row r="209" s="91" customFormat="1" spans="1:9">
      <c r="A209" s="91" t="str">
        <f t="shared" si="9"/>
        <v>Si-27</v>
      </c>
      <c r="B209" s="91" t="s">
        <v>772</v>
      </c>
      <c r="C209" s="91" t="s">
        <v>767</v>
      </c>
      <c r="D209" s="91">
        <v>14</v>
      </c>
      <c r="E209" s="91">
        <v>27</v>
      </c>
      <c r="F209" s="91">
        <v>0</v>
      </c>
      <c r="G209" s="126">
        <v>0.166621918403833</v>
      </c>
      <c r="H209" s="126">
        <f t="shared" si="10"/>
        <v>4.16</v>
      </c>
      <c r="I209" s="126" t="str">
        <f t="shared" si="11"/>
        <v>0y 0d 0h 0m</v>
      </c>
    </row>
    <row r="210" s="91" customFormat="1" spans="1:9">
      <c r="A210" s="91" t="str">
        <f t="shared" si="9"/>
        <v>Si-28</v>
      </c>
      <c r="B210" s="91" t="s">
        <v>773</v>
      </c>
      <c r="C210" s="91" t="s">
        <v>767</v>
      </c>
      <c r="D210" s="91">
        <v>14</v>
      </c>
      <c r="E210" s="91">
        <v>28</v>
      </c>
      <c r="F210" s="91">
        <v>0</v>
      </c>
      <c r="G210" s="126">
        <v>0</v>
      </c>
      <c r="H210" s="126">
        <f t="shared" si="10"/>
        <v>0</v>
      </c>
      <c r="I210" s="126" t="str">
        <f t="shared" si="11"/>
        <v>0y 0d 0h 0m</v>
      </c>
    </row>
    <row r="211" s="91" customFormat="1" spans="1:9">
      <c r="A211" s="91" t="str">
        <f t="shared" si="9"/>
        <v>Si-29</v>
      </c>
      <c r="B211" s="91" t="s">
        <v>774</v>
      </c>
      <c r="C211" s="91" t="s">
        <v>767</v>
      </c>
      <c r="D211" s="91">
        <v>14</v>
      </c>
      <c r="E211" s="91">
        <v>29</v>
      </c>
      <c r="F211" s="91">
        <v>0</v>
      </c>
      <c r="G211" s="126">
        <v>0</v>
      </c>
      <c r="H211" s="126">
        <f t="shared" si="10"/>
        <v>0</v>
      </c>
      <c r="I211" s="126" t="str">
        <f t="shared" si="11"/>
        <v>0y 0d 0h 0m</v>
      </c>
    </row>
    <row r="212" s="91" customFormat="1" spans="1:9">
      <c r="A212" s="91" t="str">
        <f t="shared" si="9"/>
        <v>Si-30</v>
      </c>
      <c r="B212" s="91" t="s">
        <v>775</v>
      </c>
      <c r="C212" s="91" t="s">
        <v>767</v>
      </c>
      <c r="D212" s="91">
        <v>14</v>
      </c>
      <c r="E212" s="91">
        <v>30</v>
      </c>
      <c r="F212" s="91">
        <v>0</v>
      </c>
      <c r="G212" s="126">
        <v>0</v>
      </c>
      <c r="H212" s="126">
        <f t="shared" si="10"/>
        <v>0</v>
      </c>
      <c r="I212" s="126" t="str">
        <f t="shared" si="11"/>
        <v>0y 0d 0h 0m</v>
      </c>
    </row>
    <row r="213" s="91" customFormat="1" spans="1:9">
      <c r="A213" s="91" t="str">
        <f t="shared" si="9"/>
        <v>Si-31</v>
      </c>
      <c r="B213" s="91" t="s">
        <v>776</v>
      </c>
      <c r="C213" s="91" t="s">
        <v>767</v>
      </c>
      <c r="D213" s="91">
        <v>14</v>
      </c>
      <c r="E213" s="91">
        <v>31</v>
      </c>
      <c r="F213" s="91">
        <v>0</v>
      </c>
      <c r="G213" s="126">
        <v>7.34421678914966e-5</v>
      </c>
      <c r="H213" s="126">
        <f t="shared" si="10"/>
        <v>9438.00000000001</v>
      </c>
      <c r="I213" s="126" t="str">
        <f t="shared" si="11"/>
        <v>0y 0d 2h 37m</v>
      </c>
    </row>
    <row r="214" s="91" customFormat="1" spans="1:9">
      <c r="A214" s="91" t="str">
        <f t="shared" si="9"/>
        <v>Si-32</v>
      </c>
      <c r="B214" s="91" t="s">
        <v>777</v>
      </c>
      <c r="C214" s="91" t="s">
        <v>767</v>
      </c>
      <c r="D214" s="91">
        <v>14</v>
      </c>
      <c r="E214" s="91">
        <v>32</v>
      </c>
      <c r="F214" s="91">
        <v>0</v>
      </c>
      <c r="G214" s="126">
        <v>1.43558963811342e-10</v>
      </c>
      <c r="H214" s="126">
        <f t="shared" si="10"/>
        <v>4828310000.00003</v>
      </c>
      <c r="I214" s="126" t="str">
        <f t="shared" si="11"/>
        <v>153y 38d 5h 13m</v>
      </c>
    </row>
    <row r="215" s="91" customFormat="1" spans="1:9">
      <c r="A215" s="91" t="str">
        <f t="shared" si="9"/>
        <v>Si-33</v>
      </c>
      <c r="B215" s="91" t="s">
        <v>778</v>
      </c>
      <c r="C215" s="91" t="s">
        <v>767</v>
      </c>
      <c r="D215" s="91">
        <v>14</v>
      </c>
      <c r="E215" s="91">
        <v>33</v>
      </c>
      <c r="F215" s="91">
        <v>0</v>
      </c>
      <c r="G215" s="126">
        <v>0.113444710402609</v>
      </c>
      <c r="H215" s="126">
        <f t="shared" si="10"/>
        <v>6.11000000000004</v>
      </c>
      <c r="I215" s="126" t="str">
        <f t="shared" si="11"/>
        <v>0y 0d 0h 0m</v>
      </c>
    </row>
    <row r="216" s="91" customFormat="1" spans="1:9">
      <c r="A216" s="91" t="str">
        <f t="shared" si="9"/>
        <v>Si-34</v>
      </c>
      <c r="B216" s="91" t="s">
        <v>779</v>
      </c>
      <c r="C216" s="91" t="s">
        <v>767</v>
      </c>
      <c r="D216" s="91">
        <v>14</v>
      </c>
      <c r="E216" s="91">
        <v>34</v>
      </c>
      <c r="F216" s="91">
        <v>0</v>
      </c>
      <c r="G216" s="126">
        <v>0.250233639191315</v>
      </c>
      <c r="H216" s="126">
        <f t="shared" si="10"/>
        <v>2.77000000000001</v>
      </c>
      <c r="I216" s="126" t="str">
        <f t="shared" si="11"/>
        <v>0y 0d 0h 0m</v>
      </c>
    </row>
    <row r="217" s="91" customFormat="1" spans="1:9">
      <c r="A217" s="91" t="str">
        <f t="shared" si="9"/>
        <v>Si-35</v>
      </c>
      <c r="B217" s="91" t="s">
        <v>780</v>
      </c>
      <c r="C217" s="91" t="s">
        <v>767</v>
      </c>
      <c r="D217" s="91">
        <v>14</v>
      </c>
      <c r="E217" s="91">
        <v>35</v>
      </c>
      <c r="F217" s="91">
        <v>0</v>
      </c>
      <c r="G217" s="126">
        <v>0.888650231487109</v>
      </c>
      <c r="H217" s="126">
        <f t="shared" si="10"/>
        <v>0.78</v>
      </c>
      <c r="I217" s="126" t="str">
        <f t="shared" si="11"/>
        <v>0y 0d 0h 0m</v>
      </c>
    </row>
    <row r="218" s="91" customFormat="1" spans="1:9">
      <c r="A218" s="91" t="str">
        <f t="shared" si="9"/>
        <v>Si-36</v>
      </c>
      <c r="B218" s="91" t="s">
        <v>781</v>
      </c>
      <c r="C218" s="91" t="s">
        <v>767</v>
      </c>
      <c r="D218" s="91">
        <v>14</v>
      </c>
      <c r="E218" s="91">
        <v>36</v>
      </c>
      <c r="F218" s="91">
        <v>0</v>
      </c>
      <c r="G218" s="126">
        <v>1.54032706791098</v>
      </c>
      <c r="H218" s="126">
        <f t="shared" si="10"/>
        <v>0.450000000000003</v>
      </c>
      <c r="I218" s="126" t="str">
        <f t="shared" si="11"/>
        <v>0y 0d 0h 0m</v>
      </c>
    </row>
    <row r="219" s="91" customFormat="1" spans="1:9">
      <c r="A219" s="91" t="str">
        <f t="shared" si="9"/>
        <v>Si-37</v>
      </c>
      <c r="B219" s="91" t="s">
        <v>782</v>
      </c>
      <c r="C219" s="91" t="s">
        <v>767</v>
      </c>
      <c r="D219" s="91">
        <v>14</v>
      </c>
      <c r="E219" s="91">
        <v>37</v>
      </c>
      <c r="F219" s="91">
        <v>0</v>
      </c>
      <c r="G219" s="126">
        <v>7.70163533955494</v>
      </c>
      <c r="H219" s="126">
        <f t="shared" si="10"/>
        <v>0.0900000000000001</v>
      </c>
      <c r="I219" s="126" t="str">
        <f t="shared" si="11"/>
        <v>0y 0d 0h 0m</v>
      </c>
    </row>
    <row r="220" s="91" customFormat="1" spans="1:9">
      <c r="A220" s="91" t="str">
        <f t="shared" si="9"/>
        <v>Si-38</v>
      </c>
      <c r="B220" s="91" t="s">
        <v>783</v>
      </c>
      <c r="C220" s="91" t="s">
        <v>767</v>
      </c>
      <c r="D220" s="91">
        <v>14</v>
      </c>
      <c r="E220" s="91">
        <v>38</v>
      </c>
      <c r="F220" s="91">
        <v>0</v>
      </c>
      <c r="G220" s="126">
        <v>693147.180559945</v>
      </c>
      <c r="H220" s="126">
        <f t="shared" si="10"/>
        <v>1e-6</v>
      </c>
      <c r="I220" s="126" t="str">
        <f t="shared" si="11"/>
        <v>0y 0d 0h 0m</v>
      </c>
    </row>
    <row r="221" s="91" customFormat="1" spans="1:9">
      <c r="A221" s="91" t="str">
        <f t="shared" si="9"/>
        <v>Si-39</v>
      </c>
      <c r="B221" s="91" t="s">
        <v>784</v>
      </c>
      <c r="C221" s="91" t="s">
        <v>767</v>
      </c>
      <c r="D221" s="91">
        <v>14</v>
      </c>
      <c r="E221" s="91">
        <v>39</v>
      </c>
      <c r="F221" s="91">
        <v>0</v>
      </c>
      <c r="G221" s="126">
        <v>14.5925722223146</v>
      </c>
      <c r="H221" s="126">
        <f t="shared" si="10"/>
        <v>0.0475000000000001</v>
      </c>
      <c r="I221" s="126" t="str">
        <f t="shared" si="11"/>
        <v>0y 0d 0h 0m</v>
      </c>
    </row>
    <row r="222" s="91" customFormat="1" spans="1:9">
      <c r="A222" s="91" t="str">
        <f t="shared" si="9"/>
        <v>Si-40</v>
      </c>
      <c r="B222" s="91" t="s">
        <v>785</v>
      </c>
      <c r="C222" s="91" t="s">
        <v>767</v>
      </c>
      <c r="D222" s="91">
        <v>14</v>
      </c>
      <c r="E222" s="91">
        <v>40</v>
      </c>
      <c r="F222" s="91">
        <v>0</v>
      </c>
      <c r="G222" s="126">
        <v>21.004460016968</v>
      </c>
      <c r="H222" s="126">
        <f t="shared" si="10"/>
        <v>0.0330000000000001</v>
      </c>
      <c r="I222" s="126" t="str">
        <f t="shared" si="11"/>
        <v>0y 0d 0h 0m</v>
      </c>
    </row>
    <row r="223" s="91" customFormat="1" spans="1:9">
      <c r="A223" s="91" t="str">
        <f t="shared" si="9"/>
        <v>Si-41</v>
      </c>
      <c r="B223" s="91" t="s">
        <v>786</v>
      </c>
      <c r="C223" s="91" t="s">
        <v>767</v>
      </c>
      <c r="D223" s="91">
        <v>14</v>
      </c>
      <c r="E223" s="91">
        <v>41</v>
      </c>
      <c r="F223" s="91">
        <v>0</v>
      </c>
      <c r="G223" s="126">
        <v>34.6573590279972</v>
      </c>
      <c r="H223" s="126">
        <f t="shared" si="10"/>
        <v>0.02</v>
      </c>
      <c r="I223" s="126" t="str">
        <f t="shared" si="11"/>
        <v>0y 0d 0h 0m</v>
      </c>
    </row>
    <row r="224" s="91" customFormat="1" spans="1:9">
      <c r="A224" s="91" t="str">
        <f t="shared" si="9"/>
        <v>Si-42</v>
      </c>
      <c r="B224" s="91" t="s">
        <v>787</v>
      </c>
      <c r="C224" s="91" t="s">
        <v>767</v>
      </c>
      <c r="D224" s="91">
        <v>14</v>
      </c>
      <c r="E224" s="91">
        <v>42</v>
      </c>
      <c r="F224" s="91">
        <v>0</v>
      </c>
      <c r="G224" s="126">
        <v>55.4517744447956</v>
      </c>
      <c r="H224" s="126">
        <f t="shared" si="10"/>
        <v>0.0125</v>
      </c>
      <c r="I224" s="126" t="str">
        <f t="shared" si="11"/>
        <v>0y 0d 0h 0m</v>
      </c>
    </row>
    <row r="225" s="91" customFormat="1" spans="1:9">
      <c r="A225" s="91" t="str">
        <f t="shared" si="9"/>
        <v>Si-43</v>
      </c>
      <c r="B225" s="91" t="s">
        <v>788</v>
      </c>
      <c r="C225" s="91" t="s">
        <v>767</v>
      </c>
      <c r="D225" s="91">
        <v>14</v>
      </c>
      <c r="E225" s="91">
        <v>43</v>
      </c>
      <c r="F225" s="91">
        <v>0</v>
      </c>
      <c r="G225" s="126">
        <v>11552453.0093324</v>
      </c>
      <c r="H225" s="126">
        <f t="shared" si="10"/>
        <v>6.00000000000001e-8</v>
      </c>
      <c r="I225" s="126" t="str">
        <f t="shared" si="11"/>
        <v>0y 0d 0h 0m</v>
      </c>
    </row>
    <row r="226" s="91" customFormat="1" spans="1:9">
      <c r="A226" s="91" t="str">
        <f t="shared" si="9"/>
        <v>Si-44</v>
      </c>
      <c r="B226" s="91" t="s">
        <v>789</v>
      </c>
      <c r="C226" s="91" t="s">
        <v>767</v>
      </c>
      <c r="D226" s="91">
        <v>14</v>
      </c>
      <c r="E226" s="91">
        <v>44</v>
      </c>
      <c r="F226" s="91">
        <v>0</v>
      </c>
      <c r="G226" s="126">
        <v>1925408.83488873</v>
      </c>
      <c r="H226" s="126">
        <f t="shared" si="10"/>
        <v>3.60000000000001e-7</v>
      </c>
      <c r="I226" s="126" t="str">
        <f t="shared" si="11"/>
        <v>0y 0d 0h 0m</v>
      </c>
    </row>
    <row r="227" s="91" customFormat="1" spans="1:9">
      <c r="A227" s="91" t="str">
        <f t="shared" si="9"/>
        <v>P-24</v>
      </c>
      <c r="B227" s="91" t="s">
        <v>790</v>
      </c>
      <c r="C227" s="91" t="s">
        <v>791</v>
      </c>
      <c r="D227" s="91">
        <v>15</v>
      </c>
      <c r="E227" s="91">
        <v>24</v>
      </c>
      <c r="F227" s="91">
        <v>0</v>
      </c>
      <c r="G227" s="126">
        <v>93.6685379135061</v>
      </c>
      <c r="H227" s="126">
        <f t="shared" si="10"/>
        <v>0.0074</v>
      </c>
      <c r="I227" s="126" t="str">
        <f t="shared" si="11"/>
        <v>0y 0d 0h 0m</v>
      </c>
    </row>
    <row r="228" s="91" customFormat="1" spans="1:9">
      <c r="A228" s="91" t="str">
        <f t="shared" si="9"/>
        <v>P-25</v>
      </c>
      <c r="B228" s="91" t="s">
        <v>792</v>
      </c>
      <c r="C228" s="91" t="s">
        <v>791</v>
      </c>
      <c r="D228" s="91">
        <v>15</v>
      </c>
      <c r="E228" s="91">
        <v>25</v>
      </c>
      <c r="F228" s="91">
        <v>0</v>
      </c>
      <c r="G228" s="126">
        <v>23104906.0186648</v>
      </c>
      <c r="H228" s="126">
        <f t="shared" si="10"/>
        <v>3.00000000000001e-8</v>
      </c>
      <c r="I228" s="126" t="str">
        <f t="shared" si="11"/>
        <v>0y 0d 0h 0m</v>
      </c>
    </row>
    <row r="229" s="91" customFormat="1" spans="1:9">
      <c r="A229" s="91" t="str">
        <f t="shared" si="9"/>
        <v>P-26</v>
      </c>
      <c r="B229" s="91" t="s">
        <v>793</v>
      </c>
      <c r="C229" s="91" t="s">
        <v>791</v>
      </c>
      <c r="D229" s="91">
        <v>15</v>
      </c>
      <c r="E229" s="91">
        <v>26</v>
      </c>
      <c r="F229" s="91">
        <v>0</v>
      </c>
      <c r="G229" s="126">
        <v>15.8614915459941</v>
      </c>
      <c r="H229" s="126">
        <f t="shared" si="10"/>
        <v>0.0437000000000002</v>
      </c>
      <c r="I229" s="126" t="str">
        <f t="shared" si="11"/>
        <v>0y 0d 0h 0m</v>
      </c>
    </row>
    <row r="230" s="91" customFormat="1" spans="1:9">
      <c r="A230" s="91" t="str">
        <f t="shared" si="9"/>
        <v>P-27</v>
      </c>
      <c r="B230" s="91" t="s">
        <v>794</v>
      </c>
      <c r="C230" s="91" t="s">
        <v>791</v>
      </c>
      <c r="D230" s="91">
        <v>15</v>
      </c>
      <c r="E230" s="91">
        <v>27</v>
      </c>
      <c r="F230" s="91">
        <v>0</v>
      </c>
      <c r="G230" s="126">
        <v>2.66595069446132</v>
      </c>
      <c r="H230" s="126">
        <f t="shared" si="10"/>
        <v>0.260000000000001</v>
      </c>
      <c r="I230" s="126" t="str">
        <f t="shared" si="11"/>
        <v>0y 0d 0h 0m</v>
      </c>
    </row>
    <row r="231" s="91" customFormat="1" spans="1:9">
      <c r="A231" s="91" t="str">
        <f t="shared" si="9"/>
        <v>P-28</v>
      </c>
      <c r="B231" s="91" t="s">
        <v>795</v>
      </c>
      <c r="C231" s="91" t="s">
        <v>791</v>
      </c>
      <c r="D231" s="91">
        <v>15</v>
      </c>
      <c r="E231" s="91">
        <v>28</v>
      </c>
      <c r="F231" s="91">
        <v>0</v>
      </c>
      <c r="G231" s="126">
        <v>2.56436248819809</v>
      </c>
      <c r="H231" s="126">
        <f t="shared" si="10"/>
        <v>0.270300000000001</v>
      </c>
      <c r="I231" s="126" t="str">
        <f t="shared" si="11"/>
        <v>0y 0d 0h 0m</v>
      </c>
    </row>
    <row r="232" s="91" customFormat="1" spans="1:9">
      <c r="A232" s="91" t="str">
        <f t="shared" si="9"/>
        <v>P-29</v>
      </c>
      <c r="B232" s="91" t="s">
        <v>796</v>
      </c>
      <c r="C232" s="91" t="s">
        <v>791</v>
      </c>
      <c r="D232" s="91">
        <v>15</v>
      </c>
      <c r="E232" s="91">
        <v>29</v>
      </c>
      <c r="F232" s="91">
        <v>0</v>
      </c>
      <c r="G232" s="126">
        <v>0.167346011723791</v>
      </c>
      <c r="H232" s="126">
        <f t="shared" si="10"/>
        <v>4.14200000000002</v>
      </c>
      <c r="I232" s="126" t="str">
        <f t="shared" si="11"/>
        <v>0y 0d 0h 0m</v>
      </c>
    </row>
    <row r="233" s="91" customFormat="1" spans="1:9">
      <c r="A233" s="91" t="str">
        <f t="shared" si="9"/>
        <v>P-30</v>
      </c>
      <c r="B233" s="91" t="s">
        <v>797</v>
      </c>
      <c r="C233" s="91" t="s">
        <v>791</v>
      </c>
      <c r="D233" s="91">
        <v>15</v>
      </c>
      <c r="E233" s="91">
        <v>30</v>
      </c>
      <c r="F233" s="91">
        <v>0</v>
      </c>
      <c r="G233" s="126">
        <v>0.00462468094849176</v>
      </c>
      <c r="H233" s="126">
        <f t="shared" si="10"/>
        <v>149.88</v>
      </c>
      <c r="I233" s="126" t="str">
        <f t="shared" si="11"/>
        <v>0y 0d 0h 2m</v>
      </c>
    </row>
    <row r="234" s="91" customFormat="1" spans="1:9">
      <c r="A234" s="91" t="str">
        <f t="shared" si="9"/>
        <v>P-31</v>
      </c>
      <c r="B234" s="91" t="s">
        <v>798</v>
      </c>
      <c r="C234" s="91" t="s">
        <v>791</v>
      </c>
      <c r="D234" s="91">
        <v>15</v>
      </c>
      <c r="E234" s="91">
        <v>31</v>
      </c>
      <c r="F234" s="91">
        <v>0</v>
      </c>
      <c r="G234" s="126">
        <v>0</v>
      </c>
      <c r="H234" s="126">
        <f t="shared" si="10"/>
        <v>0</v>
      </c>
      <c r="I234" s="126" t="str">
        <f t="shared" si="11"/>
        <v>0y 0d 0h 0m</v>
      </c>
    </row>
    <row r="235" s="91" customFormat="1" spans="1:9">
      <c r="A235" s="91" t="str">
        <f t="shared" si="9"/>
        <v>P-32</v>
      </c>
      <c r="B235" s="91" t="s">
        <v>799</v>
      </c>
      <c r="C235" s="91" t="s">
        <v>791</v>
      </c>
      <c r="D235" s="91">
        <v>15</v>
      </c>
      <c r="E235" s="91">
        <v>32</v>
      </c>
      <c r="F235" s="91">
        <v>0</v>
      </c>
      <c r="G235" s="126">
        <v>5.62471998461398e-7</v>
      </c>
      <c r="H235" s="126">
        <f t="shared" si="10"/>
        <v>1232323</v>
      </c>
      <c r="I235" s="126" t="str">
        <f t="shared" si="11"/>
        <v>0y 14d 6h 18m</v>
      </c>
    </row>
    <row r="236" s="91" customFormat="1" spans="1:9">
      <c r="A236" s="91" t="str">
        <f t="shared" si="9"/>
        <v>P-33</v>
      </c>
      <c r="B236" s="91" t="s">
        <v>800</v>
      </c>
      <c r="C236" s="91" t="s">
        <v>791</v>
      </c>
      <c r="D236" s="91">
        <v>15</v>
      </c>
      <c r="E236" s="91">
        <v>33</v>
      </c>
      <c r="F236" s="91">
        <v>0</v>
      </c>
      <c r="G236" s="126">
        <v>3.16595770009329e-7</v>
      </c>
      <c r="H236" s="126">
        <f t="shared" si="10"/>
        <v>2189376</v>
      </c>
      <c r="I236" s="126" t="str">
        <f t="shared" si="11"/>
        <v>0y 25d 8h 9m</v>
      </c>
    </row>
    <row r="237" s="91" customFormat="1" spans="1:9">
      <c r="A237" s="91" t="str">
        <f t="shared" si="9"/>
        <v>P-34</v>
      </c>
      <c r="B237" s="91" t="s">
        <v>801</v>
      </c>
      <c r="C237" s="91" t="s">
        <v>791</v>
      </c>
      <c r="D237" s="91">
        <v>15</v>
      </c>
      <c r="E237" s="91">
        <v>34</v>
      </c>
      <c r="F237" s="91">
        <v>0</v>
      </c>
      <c r="G237" s="126">
        <v>0.055764053142393</v>
      </c>
      <c r="H237" s="126">
        <f t="shared" si="10"/>
        <v>12.43</v>
      </c>
      <c r="I237" s="126" t="str">
        <f t="shared" si="11"/>
        <v>0y 0d 0h 0m</v>
      </c>
    </row>
    <row r="238" s="91" customFormat="1" spans="1:9">
      <c r="A238" s="91" t="str">
        <f t="shared" si="9"/>
        <v>P-35</v>
      </c>
      <c r="B238" s="91" t="s">
        <v>802</v>
      </c>
      <c r="C238" s="91" t="s">
        <v>791</v>
      </c>
      <c r="D238" s="91">
        <v>15</v>
      </c>
      <c r="E238" s="91">
        <v>35</v>
      </c>
      <c r="F238" s="91">
        <v>0</v>
      </c>
      <c r="G238" s="126">
        <v>0.0146542744304428</v>
      </c>
      <c r="H238" s="126">
        <f t="shared" si="10"/>
        <v>47.3000000000001</v>
      </c>
      <c r="I238" s="126" t="str">
        <f t="shared" si="11"/>
        <v>0y 0d 0h 0m</v>
      </c>
    </row>
    <row r="239" s="91" customFormat="1" spans="1:9">
      <c r="A239" s="91" t="str">
        <f t="shared" si="9"/>
        <v>P-36</v>
      </c>
      <c r="B239" s="91" t="s">
        <v>803</v>
      </c>
      <c r="C239" s="91" t="s">
        <v>791</v>
      </c>
      <c r="D239" s="91">
        <v>15</v>
      </c>
      <c r="E239" s="91">
        <v>36</v>
      </c>
      <c r="F239" s="91">
        <v>0</v>
      </c>
      <c r="G239" s="126">
        <v>0.123776282242847</v>
      </c>
      <c r="H239" s="126">
        <f t="shared" si="10"/>
        <v>5.60000000000002</v>
      </c>
      <c r="I239" s="126" t="str">
        <f t="shared" si="11"/>
        <v>0y 0d 0h 0m</v>
      </c>
    </row>
    <row r="240" s="91" customFormat="1" spans="1:9">
      <c r="A240" s="91" t="str">
        <f t="shared" si="9"/>
        <v>P-37</v>
      </c>
      <c r="B240" s="91" t="s">
        <v>804</v>
      </c>
      <c r="C240" s="91" t="s">
        <v>791</v>
      </c>
      <c r="D240" s="91">
        <v>15</v>
      </c>
      <c r="E240" s="91">
        <v>37</v>
      </c>
      <c r="F240" s="91">
        <v>0</v>
      </c>
      <c r="G240" s="126">
        <v>0.300063714528114</v>
      </c>
      <c r="H240" s="126">
        <f t="shared" si="10"/>
        <v>2.31000000000001</v>
      </c>
      <c r="I240" s="126" t="str">
        <f t="shared" si="11"/>
        <v>0y 0d 0h 0m</v>
      </c>
    </row>
    <row r="241" s="91" customFormat="1" spans="1:9">
      <c r="A241" s="91" t="str">
        <f t="shared" si="9"/>
        <v>P-38</v>
      </c>
      <c r="B241" s="91" t="s">
        <v>805</v>
      </c>
      <c r="C241" s="91" t="s">
        <v>791</v>
      </c>
      <c r="D241" s="91">
        <v>15</v>
      </c>
      <c r="E241" s="91">
        <v>38</v>
      </c>
      <c r="F241" s="91">
        <v>0</v>
      </c>
      <c r="G241" s="126">
        <v>1.08304246962491</v>
      </c>
      <c r="H241" s="126">
        <f t="shared" si="10"/>
        <v>0.640000000000003</v>
      </c>
      <c r="I241" s="126" t="str">
        <f t="shared" si="11"/>
        <v>0y 0d 0h 0m</v>
      </c>
    </row>
    <row r="242" s="91" customFormat="1" spans="1:9">
      <c r="A242" s="91" t="str">
        <f t="shared" si="9"/>
        <v>P-39</v>
      </c>
      <c r="B242" s="91" t="s">
        <v>806</v>
      </c>
      <c r="C242" s="91" t="s">
        <v>791</v>
      </c>
      <c r="D242" s="91">
        <v>15</v>
      </c>
      <c r="E242" s="91">
        <v>39</v>
      </c>
      <c r="F242" s="91">
        <v>0</v>
      </c>
      <c r="G242" s="126">
        <v>2.47552564485694</v>
      </c>
      <c r="H242" s="126">
        <f t="shared" si="10"/>
        <v>0.280000000000001</v>
      </c>
      <c r="I242" s="126" t="str">
        <f t="shared" si="11"/>
        <v>0y 0d 0h 0m</v>
      </c>
    </row>
    <row r="243" s="91" customFormat="1" spans="1:9">
      <c r="A243" s="91" t="str">
        <f t="shared" si="9"/>
        <v>P-40</v>
      </c>
      <c r="B243" s="91" t="s">
        <v>807</v>
      </c>
      <c r="C243" s="91" t="s">
        <v>791</v>
      </c>
      <c r="D243" s="91">
        <v>15</v>
      </c>
      <c r="E243" s="91">
        <v>40</v>
      </c>
      <c r="F243" s="91">
        <v>0</v>
      </c>
      <c r="G243" s="126">
        <v>5.54517744447956</v>
      </c>
      <c r="H243" s="126">
        <f t="shared" si="10"/>
        <v>0.125</v>
      </c>
      <c r="I243" s="126" t="str">
        <f t="shared" si="11"/>
        <v>0y 0d 0h 0m</v>
      </c>
    </row>
    <row r="244" s="91" customFormat="1" spans="1:9">
      <c r="A244" s="91" t="str">
        <f t="shared" si="9"/>
        <v>P-41</v>
      </c>
      <c r="B244" s="91" t="s">
        <v>808</v>
      </c>
      <c r="C244" s="91" t="s">
        <v>791</v>
      </c>
      <c r="D244" s="91">
        <v>15</v>
      </c>
      <c r="E244" s="91">
        <v>41</v>
      </c>
      <c r="F244" s="91">
        <v>0</v>
      </c>
      <c r="G244" s="126">
        <v>6.93147180559945</v>
      </c>
      <c r="H244" s="126">
        <f t="shared" si="10"/>
        <v>0.1</v>
      </c>
      <c r="I244" s="126" t="str">
        <f t="shared" si="11"/>
        <v>0y 0d 0h 0m</v>
      </c>
    </row>
    <row r="245" s="91" customFormat="1" spans="1:9">
      <c r="A245" s="91" t="str">
        <f t="shared" si="9"/>
        <v>P-42</v>
      </c>
      <c r="B245" s="91" t="s">
        <v>809</v>
      </c>
      <c r="C245" s="91" t="s">
        <v>791</v>
      </c>
      <c r="D245" s="91">
        <v>15</v>
      </c>
      <c r="E245" s="91">
        <v>42</v>
      </c>
      <c r="F245" s="91">
        <v>0</v>
      </c>
      <c r="G245" s="126">
        <v>14.2916944445349</v>
      </c>
      <c r="H245" s="126">
        <f t="shared" si="10"/>
        <v>0.0485000000000002</v>
      </c>
      <c r="I245" s="126" t="str">
        <f t="shared" si="11"/>
        <v>0y 0d 0h 0m</v>
      </c>
    </row>
    <row r="246" s="91" customFormat="1" spans="1:9">
      <c r="A246" s="91" t="str">
        <f t="shared" si="9"/>
        <v>P-43</v>
      </c>
      <c r="B246" s="91" t="s">
        <v>810</v>
      </c>
      <c r="C246" s="91" t="s">
        <v>791</v>
      </c>
      <c r="D246" s="91">
        <v>15</v>
      </c>
      <c r="E246" s="91">
        <v>43</v>
      </c>
      <c r="F246" s="91">
        <v>0</v>
      </c>
      <c r="G246" s="126">
        <v>18.9903337139711</v>
      </c>
      <c r="H246" s="126">
        <f t="shared" si="10"/>
        <v>0.0365</v>
      </c>
      <c r="I246" s="126" t="str">
        <f t="shared" si="11"/>
        <v>0y 0d 0h 0m</v>
      </c>
    </row>
    <row r="247" s="91" customFormat="1" spans="1:9">
      <c r="A247" s="91" t="str">
        <f t="shared" si="9"/>
        <v>P-44</v>
      </c>
      <c r="B247" s="91" t="s">
        <v>811</v>
      </c>
      <c r="C247" s="91" t="s">
        <v>791</v>
      </c>
      <c r="D247" s="91">
        <v>15</v>
      </c>
      <c r="E247" s="91">
        <v>44</v>
      </c>
      <c r="F247" s="91">
        <v>0</v>
      </c>
      <c r="G247" s="126">
        <v>37.4674151654024</v>
      </c>
      <c r="H247" s="126">
        <f t="shared" si="10"/>
        <v>0.0185</v>
      </c>
      <c r="I247" s="126" t="str">
        <f t="shared" si="11"/>
        <v>0y 0d 0h 0m</v>
      </c>
    </row>
    <row r="248" s="91" customFormat="1" spans="1:9">
      <c r="A248" s="91" t="str">
        <f t="shared" si="9"/>
        <v>P-45</v>
      </c>
      <c r="B248" s="91" t="s">
        <v>812</v>
      </c>
      <c r="C248" s="91" t="s">
        <v>791</v>
      </c>
      <c r="D248" s="91">
        <v>15</v>
      </c>
      <c r="E248" s="91">
        <v>45</v>
      </c>
      <c r="F248" s="91">
        <v>0</v>
      </c>
      <c r="G248" s="126">
        <v>3465735.90279972</v>
      </c>
      <c r="H248" s="126">
        <f t="shared" si="10"/>
        <v>2e-7</v>
      </c>
      <c r="I248" s="126" t="str">
        <f t="shared" si="11"/>
        <v>0y 0d 0h 0m</v>
      </c>
    </row>
    <row r="249" s="91" customFormat="1" spans="1:9">
      <c r="A249" s="91" t="str">
        <f t="shared" si="9"/>
        <v>P-46</v>
      </c>
      <c r="B249" s="91" t="s">
        <v>813</v>
      </c>
      <c r="C249" s="91" t="s">
        <v>791</v>
      </c>
      <c r="D249" s="91">
        <v>15</v>
      </c>
      <c r="E249" s="91">
        <v>46</v>
      </c>
      <c r="F249" s="91">
        <v>0</v>
      </c>
      <c r="G249" s="126">
        <v>3465735.90279972</v>
      </c>
      <c r="H249" s="126">
        <f t="shared" si="10"/>
        <v>2e-7</v>
      </c>
      <c r="I249" s="126" t="str">
        <f t="shared" si="11"/>
        <v>0y 0d 0h 0m</v>
      </c>
    </row>
    <row r="250" s="91" customFormat="1" spans="1:9">
      <c r="A250" s="91" t="str">
        <f t="shared" si="9"/>
        <v>S-26</v>
      </c>
      <c r="B250" s="91" t="s">
        <v>814</v>
      </c>
      <c r="C250" s="91" t="s">
        <v>815</v>
      </c>
      <c r="D250" s="91">
        <v>16</v>
      </c>
      <c r="E250" s="91">
        <v>26</v>
      </c>
      <c r="F250" s="91">
        <v>0</v>
      </c>
      <c r="G250" s="126">
        <v>69.3147180559945</v>
      </c>
      <c r="H250" s="126">
        <f t="shared" si="10"/>
        <v>0.01</v>
      </c>
      <c r="I250" s="126" t="str">
        <f t="shared" si="11"/>
        <v>0y 0d 0h 0m</v>
      </c>
    </row>
    <row r="251" s="91" customFormat="1" spans="1:9">
      <c r="A251" s="91" t="str">
        <f t="shared" si="9"/>
        <v>S-27</v>
      </c>
      <c r="B251" s="91" t="s">
        <v>816</v>
      </c>
      <c r="C251" s="91" t="s">
        <v>815</v>
      </c>
      <c r="D251" s="91">
        <v>16</v>
      </c>
      <c r="E251" s="91">
        <v>27</v>
      </c>
      <c r="F251" s="91">
        <v>0</v>
      </c>
      <c r="G251" s="126">
        <v>44.7191729393513</v>
      </c>
      <c r="H251" s="126">
        <f t="shared" si="10"/>
        <v>0.0155</v>
      </c>
      <c r="I251" s="126" t="str">
        <f t="shared" si="11"/>
        <v>0y 0d 0h 0m</v>
      </c>
    </row>
    <row r="252" s="91" customFormat="1" spans="1:9">
      <c r="A252" s="91" t="str">
        <f t="shared" si="9"/>
        <v>S-28</v>
      </c>
      <c r="B252" s="91" t="s">
        <v>817</v>
      </c>
      <c r="C252" s="91" t="s">
        <v>815</v>
      </c>
      <c r="D252" s="91">
        <v>16</v>
      </c>
      <c r="E252" s="91">
        <v>28</v>
      </c>
      <c r="F252" s="91">
        <v>0</v>
      </c>
      <c r="G252" s="126">
        <v>5.54517744447956</v>
      </c>
      <c r="H252" s="126">
        <f t="shared" si="10"/>
        <v>0.125</v>
      </c>
      <c r="I252" s="126" t="str">
        <f t="shared" si="11"/>
        <v>0y 0d 0h 0m</v>
      </c>
    </row>
    <row r="253" s="91" customFormat="1" spans="1:9">
      <c r="A253" s="91" t="str">
        <f t="shared" si="9"/>
        <v>S-29</v>
      </c>
      <c r="B253" s="91" t="s">
        <v>818</v>
      </c>
      <c r="C253" s="91" t="s">
        <v>815</v>
      </c>
      <c r="D253" s="91">
        <v>16</v>
      </c>
      <c r="E253" s="91">
        <v>29</v>
      </c>
      <c r="F253" s="91">
        <v>0</v>
      </c>
      <c r="G253" s="126">
        <v>3.70666941475906</v>
      </c>
      <c r="H253" s="126">
        <f t="shared" si="10"/>
        <v>0.187</v>
      </c>
      <c r="I253" s="126" t="str">
        <f t="shared" si="11"/>
        <v>0y 0d 0h 0m</v>
      </c>
    </row>
    <row r="254" s="91" customFormat="1" spans="1:9">
      <c r="A254" s="91" t="str">
        <f t="shared" si="9"/>
        <v>S-30</v>
      </c>
      <c r="B254" s="91" t="s">
        <v>819</v>
      </c>
      <c r="C254" s="91" t="s">
        <v>815</v>
      </c>
      <c r="D254" s="91">
        <v>16</v>
      </c>
      <c r="E254" s="91">
        <v>30</v>
      </c>
      <c r="F254" s="91">
        <v>0</v>
      </c>
      <c r="G254" s="126">
        <v>0.588410170254622</v>
      </c>
      <c r="H254" s="126">
        <f t="shared" si="10"/>
        <v>1.178</v>
      </c>
      <c r="I254" s="126" t="str">
        <f t="shared" si="11"/>
        <v>0y 0d 0h 0m</v>
      </c>
    </row>
    <row r="255" s="91" customFormat="1" spans="1:9">
      <c r="A255" s="91" t="str">
        <f t="shared" si="9"/>
        <v>S-31</v>
      </c>
      <c r="B255" s="91" t="s">
        <v>820</v>
      </c>
      <c r="C255" s="91" t="s">
        <v>815</v>
      </c>
      <c r="D255" s="91">
        <v>16</v>
      </c>
      <c r="E255" s="91">
        <v>31</v>
      </c>
      <c r="F255" s="91">
        <v>0</v>
      </c>
      <c r="G255" s="126">
        <v>0.269497348584737</v>
      </c>
      <c r="H255" s="126">
        <f t="shared" si="10"/>
        <v>2.57200000000001</v>
      </c>
      <c r="I255" s="126" t="str">
        <f t="shared" si="11"/>
        <v>0y 0d 0h 0m</v>
      </c>
    </row>
    <row r="256" s="91" customFormat="1" spans="1:9">
      <c r="A256" s="91" t="str">
        <f t="shared" si="9"/>
        <v>S-32</v>
      </c>
      <c r="B256" s="91" t="s">
        <v>821</v>
      </c>
      <c r="C256" s="91" t="s">
        <v>815</v>
      </c>
      <c r="D256" s="91">
        <v>16</v>
      </c>
      <c r="E256" s="91">
        <v>32</v>
      </c>
      <c r="F256" s="91">
        <v>0</v>
      </c>
      <c r="G256" s="126">
        <v>0</v>
      </c>
      <c r="H256" s="126">
        <f t="shared" si="10"/>
        <v>0</v>
      </c>
      <c r="I256" s="126" t="str">
        <f t="shared" si="11"/>
        <v>0y 0d 0h 0m</v>
      </c>
    </row>
    <row r="257" s="91" customFormat="1" spans="1:9">
      <c r="A257" s="91" t="str">
        <f t="shared" si="9"/>
        <v>S-33</v>
      </c>
      <c r="B257" s="91" t="s">
        <v>822</v>
      </c>
      <c r="C257" s="91" t="s">
        <v>815</v>
      </c>
      <c r="D257" s="91">
        <v>16</v>
      </c>
      <c r="E257" s="91">
        <v>33</v>
      </c>
      <c r="F257" s="91">
        <v>0</v>
      </c>
      <c r="G257" s="126">
        <v>0</v>
      </c>
      <c r="H257" s="126">
        <f t="shared" si="10"/>
        <v>0</v>
      </c>
      <c r="I257" s="126" t="str">
        <f t="shared" si="11"/>
        <v>0y 0d 0h 0m</v>
      </c>
    </row>
    <row r="258" s="91" customFormat="1" spans="1:9">
      <c r="A258" s="91" t="str">
        <f t="shared" ref="A258:A321" si="12">C258&amp;"-"&amp;E258&amp;_xlfn.IFS(F258=0,"",F258=1,"m",F258&gt;1,"m"&amp;F258)</f>
        <v>S-34</v>
      </c>
      <c r="B258" s="91" t="s">
        <v>823</v>
      </c>
      <c r="C258" s="91" t="s">
        <v>815</v>
      </c>
      <c r="D258" s="91">
        <v>16</v>
      </c>
      <c r="E258" s="91">
        <v>34</v>
      </c>
      <c r="F258" s="91">
        <v>0</v>
      </c>
      <c r="G258" s="126">
        <v>0</v>
      </c>
      <c r="H258" s="126">
        <f t="shared" ref="H258:H321" si="13">IF(G258&gt;0,LN(2)/G258,0)</f>
        <v>0</v>
      </c>
      <c r="I258" s="126" t="str">
        <f t="shared" si="11"/>
        <v>0y 0d 0h 0m</v>
      </c>
    </row>
    <row r="259" s="91" customFormat="1" spans="1:9">
      <c r="A259" s="91" t="str">
        <f t="shared" si="12"/>
        <v>S-35</v>
      </c>
      <c r="B259" s="91" t="s">
        <v>824</v>
      </c>
      <c r="C259" s="91" t="s">
        <v>815</v>
      </c>
      <c r="D259" s="91">
        <v>16</v>
      </c>
      <c r="E259" s="91">
        <v>35</v>
      </c>
      <c r="F259" s="91">
        <v>0</v>
      </c>
      <c r="G259" s="126">
        <v>9.16756577766701e-8</v>
      </c>
      <c r="H259" s="126">
        <f t="shared" si="13"/>
        <v>7560864</v>
      </c>
      <c r="I259" s="126" t="str">
        <f t="shared" ref="I259:I322" si="14">INT(H259/31536000)&amp;"y "&amp;INT(MOD(H259,31536000)/86400)&amp;"d "&amp;INT(MOD(MOD(H259,31536000),86400)/3600)&amp;"h "&amp;INT(MOD(MOD(MOD(H259,31536000),86400),3600)/60)&amp;"m"</f>
        <v>0y 87d 12h 14m</v>
      </c>
    </row>
    <row r="260" s="91" customFormat="1" spans="1:9">
      <c r="A260" s="91" t="str">
        <f t="shared" si="12"/>
        <v>S-36</v>
      </c>
      <c r="B260" s="91" t="s">
        <v>825</v>
      </c>
      <c r="C260" s="91" t="s">
        <v>815</v>
      </c>
      <c r="D260" s="91">
        <v>16</v>
      </c>
      <c r="E260" s="91">
        <v>36</v>
      </c>
      <c r="F260" s="91">
        <v>0</v>
      </c>
      <c r="G260" s="126">
        <v>0</v>
      </c>
      <c r="H260" s="126">
        <f t="shared" si="13"/>
        <v>0</v>
      </c>
      <c r="I260" s="126" t="str">
        <f t="shared" si="14"/>
        <v>0y 0d 0h 0m</v>
      </c>
    </row>
    <row r="261" s="91" customFormat="1" spans="1:9">
      <c r="A261" s="91" t="str">
        <f t="shared" si="12"/>
        <v>S-37</v>
      </c>
      <c r="B261" s="91" t="s">
        <v>826</v>
      </c>
      <c r="C261" s="91" t="s">
        <v>815</v>
      </c>
      <c r="D261" s="91">
        <v>16</v>
      </c>
      <c r="E261" s="91">
        <v>37</v>
      </c>
      <c r="F261" s="91">
        <v>0</v>
      </c>
      <c r="G261" s="126">
        <v>0.00228761445729354</v>
      </c>
      <c r="H261" s="126">
        <f t="shared" si="13"/>
        <v>303.000000000001</v>
      </c>
      <c r="I261" s="126" t="str">
        <f t="shared" si="14"/>
        <v>0y 0d 0h 5m</v>
      </c>
    </row>
    <row r="262" s="91" customFormat="1" spans="1:9">
      <c r="A262" s="91" t="str">
        <f t="shared" si="12"/>
        <v>S-38</v>
      </c>
      <c r="B262" s="91" t="s">
        <v>827</v>
      </c>
      <c r="C262" s="91" t="s">
        <v>815</v>
      </c>
      <c r="D262" s="91">
        <v>16</v>
      </c>
      <c r="E262" s="91">
        <v>38</v>
      </c>
      <c r="F262" s="91">
        <v>0</v>
      </c>
      <c r="G262" s="126">
        <v>6.78358955333671e-5</v>
      </c>
      <c r="H262" s="126">
        <f t="shared" si="13"/>
        <v>10218</v>
      </c>
      <c r="I262" s="126" t="str">
        <f t="shared" si="14"/>
        <v>0y 0d 2h 50m</v>
      </c>
    </row>
    <row r="263" s="91" customFormat="1" spans="1:9">
      <c r="A263" s="91" t="str">
        <f t="shared" si="12"/>
        <v>S-39</v>
      </c>
      <c r="B263" s="91" t="s">
        <v>828</v>
      </c>
      <c r="C263" s="91" t="s">
        <v>815</v>
      </c>
      <c r="D263" s="91">
        <v>16</v>
      </c>
      <c r="E263" s="91">
        <v>39</v>
      </c>
      <c r="F263" s="91">
        <v>0</v>
      </c>
      <c r="G263" s="126">
        <v>0.0602736678747778</v>
      </c>
      <c r="H263" s="126">
        <f t="shared" si="13"/>
        <v>11.5</v>
      </c>
      <c r="I263" s="126" t="str">
        <f t="shared" si="14"/>
        <v>0y 0d 0h 0m</v>
      </c>
    </row>
    <row r="264" s="91" customFormat="1" spans="1:9">
      <c r="A264" s="91" t="str">
        <f t="shared" si="12"/>
        <v>S-40</v>
      </c>
      <c r="B264" s="91" t="s">
        <v>829</v>
      </c>
      <c r="C264" s="91" t="s">
        <v>815</v>
      </c>
      <c r="D264" s="91">
        <v>16</v>
      </c>
      <c r="E264" s="91">
        <v>40</v>
      </c>
      <c r="F264" s="91">
        <v>0</v>
      </c>
      <c r="G264" s="126">
        <v>0.0787667250636301</v>
      </c>
      <c r="H264" s="126">
        <f t="shared" si="13"/>
        <v>8.80000000000001</v>
      </c>
      <c r="I264" s="126" t="str">
        <f t="shared" si="14"/>
        <v>0y 0d 0h 0m</v>
      </c>
    </row>
    <row r="265" s="91" customFormat="1" spans="1:9">
      <c r="A265" s="91" t="str">
        <f t="shared" si="12"/>
        <v>S-41</v>
      </c>
      <c r="B265" s="91" t="s">
        <v>830</v>
      </c>
      <c r="C265" s="91" t="s">
        <v>815</v>
      </c>
      <c r="D265" s="91">
        <v>16</v>
      </c>
      <c r="E265" s="91">
        <v>41</v>
      </c>
      <c r="F265" s="91">
        <v>0</v>
      </c>
      <c r="G265" s="126">
        <v>0.348315166110525</v>
      </c>
      <c r="H265" s="126">
        <f t="shared" si="13"/>
        <v>1.99</v>
      </c>
      <c r="I265" s="126" t="str">
        <f t="shared" si="14"/>
        <v>0y 0d 0h 0m</v>
      </c>
    </row>
    <row r="266" s="91" customFormat="1" spans="1:9">
      <c r="A266" s="91" t="str">
        <f t="shared" si="12"/>
        <v>S-42</v>
      </c>
      <c r="B266" s="91" t="s">
        <v>831</v>
      </c>
      <c r="C266" s="91" t="s">
        <v>815</v>
      </c>
      <c r="D266" s="91">
        <v>16</v>
      </c>
      <c r="E266" s="91">
        <v>42</v>
      </c>
      <c r="F266" s="91">
        <v>0</v>
      </c>
      <c r="G266" s="126">
        <v>0.684251905784743</v>
      </c>
      <c r="H266" s="126">
        <f t="shared" si="13"/>
        <v>1.013</v>
      </c>
      <c r="I266" s="126" t="str">
        <f t="shared" si="14"/>
        <v>0y 0d 0h 0m</v>
      </c>
    </row>
    <row r="267" s="91" customFormat="1" spans="1:9">
      <c r="A267" s="91" t="str">
        <f t="shared" si="12"/>
        <v>S-43</v>
      </c>
      <c r="B267" s="91" t="s">
        <v>832</v>
      </c>
      <c r="C267" s="91" t="s">
        <v>815</v>
      </c>
      <c r="D267" s="91">
        <v>16</v>
      </c>
      <c r="E267" s="91">
        <v>43</v>
      </c>
      <c r="F267" s="91">
        <v>0</v>
      </c>
      <c r="G267" s="126">
        <v>2.47552564485694</v>
      </c>
      <c r="H267" s="126">
        <f t="shared" si="13"/>
        <v>0.280000000000001</v>
      </c>
      <c r="I267" s="126" t="str">
        <f t="shared" si="14"/>
        <v>0y 0d 0h 0m</v>
      </c>
    </row>
    <row r="268" s="91" customFormat="1" spans="1:9">
      <c r="A268" s="91" t="str">
        <f t="shared" si="12"/>
        <v>S-44</v>
      </c>
      <c r="B268" s="91" t="s">
        <v>833</v>
      </c>
      <c r="C268" s="91" t="s">
        <v>815</v>
      </c>
      <c r="D268" s="91">
        <v>16</v>
      </c>
      <c r="E268" s="91">
        <v>44</v>
      </c>
      <c r="F268" s="91">
        <v>0</v>
      </c>
      <c r="G268" s="126">
        <v>6.93147180559945</v>
      </c>
      <c r="H268" s="126">
        <f t="shared" si="13"/>
        <v>0.1</v>
      </c>
      <c r="I268" s="126" t="str">
        <f t="shared" si="14"/>
        <v>0y 0d 0h 0m</v>
      </c>
    </row>
    <row r="269" s="91" customFormat="1" spans="1:9">
      <c r="A269" s="91" t="str">
        <f t="shared" si="12"/>
        <v>S-45</v>
      </c>
      <c r="B269" s="91" t="s">
        <v>834</v>
      </c>
      <c r="C269" s="91" t="s">
        <v>815</v>
      </c>
      <c r="D269" s="91">
        <v>16</v>
      </c>
      <c r="E269" s="91">
        <v>45</v>
      </c>
      <c r="F269" s="91">
        <v>0</v>
      </c>
      <c r="G269" s="126">
        <v>10.1933408905874</v>
      </c>
      <c r="H269" s="126">
        <f t="shared" si="13"/>
        <v>0.0680000000000002</v>
      </c>
      <c r="I269" s="126" t="str">
        <f t="shared" si="14"/>
        <v>0y 0d 0h 0m</v>
      </c>
    </row>
    <row r="270" s="91" customFormat="1" spans="1:9">
      <c r="A270" s="91" t="str">
        <f t="shared" si="12"/>
        <v>S-46</v>
      </c>
      <c r="B270" s="91" t="s">
        <v>835</v>
      </c>
      <c r="C270" s="91" t="s">
        <v>815</v>
      </c>
      <c r="D270" s="91">
        <v>16</v>
      </c>
      <c r="E270" s="91">
        <v>46</v>
      </c>
      <c r="F270" s="91">
        <v>0</v>
      </c>
      <c r="G270" s="126">
        <v>13.8629436111989</v>
      </c>
      <c r="H270" s="126">
        <f t="shared" si="13"/>
        <v>0.05</v>
      </c>
      <c r="I270" s="126" t="str">
        <f t="shared" si="14"/>
        <v>0y 0d 0h 0m</v>
      </c>
    </row>
    <row r="271" s="91" customFormat="1" spans="1:9">
      <c r="A271" s="91" t="str">
        <f t="shared" si="12"/>
        <v>S-48</v>
      </c>
      <c r="B271" s="91" t="s">
        <v>836</v>
      </c>
      <c r="C271" s="91" t="s">
        <v>815</v>
      </c>
      <c r="D271" s="91">
        <v>16</v>
      </c>
      <c r="E271" s="91">
        <v>48</v>
      </c>
      <c r="F271" s="91">
        <v>0</v>
      </c>
      <c r="G271" s="126">
        <v>3465735.90279972</v>
      </c>
      <c r="H271" s="126">
        <f t="shared" si="13"/>
        <v>2e-7</v>
      </c>
      <c r="I271" s="126" t="str">
        <f t="shared" si="14"/>
        <v>0y 0d 0h 0m</v>
      </c>
    </row>
    <row r="272" s="91" customFormat="1" spans="1:9">
      <c r="A272" s="91" t="str">
        <f t="shared" si="12"/>
        <v>S-49</v>
      </c>
      <c r="B272" s="91" t="s">
        <v>837</v>
      </c>
      <c r="C272" s="91" t="s">
        <v>815</v>
      </c>
      <c r="D272" s="91">
        <v>16</v>
      </c>
      <c r="E272" s="91">
        <v>49</v>
      </c>
      <c r="F272" s="91">
        <v>0</v>
      </c>
      <c r="G272" s="126">
        <v>3465735.90279972</v>
      </c>
      <c r="H272" s="126">
        <f t="shared" si="13"/>
        <v>2e-7</v>
      </c>
      <c r="I272" s="126" t="str">
        <f t="shared" si="14"/>
        <v>0y 0d 0h 0m</v>
      </c>
    </row>
    <row r="273" s="91" customFormat="1" spans="1:9">
      <c r="A273" s="91" t="str">
        <f t="shared" si="12"/>
        <v>Cl-28</v>
      </c>
      <c r="B273" s="91" t="s">
        <v>838</v>
      </c>
      <c r="C273" s="91" t="s">
        <v>839</v>
      </c>
      <c r="D273" s="91">
        <v>17</v>
      </c>
      <c r="E273" s="91">
        <v>28</v>
      </c>
      <c r="F273" s="91">
        <v>0</v>
      </c>
      <c r="G273" s="126">
        <v>407.733635623497</v>
      </c>
      <c r="H273" s="126">
        <f t="shared" si="13"/>
        <v>0.0017</v>
      </c>
      <c r="I273" s="126" t="str">
        <f t="shared" si="14"/>
        <v>0y 0d 0h 0m</v>
      </c>
    </row>
    <row r="274" s="91" customFormat="1" spans="1:9">
      <c r="A274" s="91" t="str">
        <f t="shared" si="12"/>
        <v>Cl-29</v>
      </c>
      <c r="B274" s="91" t="s">
        <v>840</v>
      </c>
      <c r="C274" s="91" t="s">
        <v>839</v>
      </c>
      <c r="D274" s="91">
        <v>17</v>
      </c>
      <c r="E274" s="91">
        <v>29</v>
      </c>
      <c r="F274" s="91">
        <v>0</v>
      </c>
      <c r="G274" s="126">
        <v>34657359.0279972</v>
      </c>
      <c r="H274" s="126">
        <f t="shared" si="13"/>
        <v>2e-8</v>
      </c>
      <c r="I274" s="126" t="str">
        <f t="shared" si="14"/>
        <v>0y 0d 0h 0m</v>
      </c>
    </row>
    <row r="275" s="91" customFormat="1" spans="1:9">
      <c r="A275" s="91" t="str">
        <f t="shared" si="12"/>
        <v>Cl-30</v>
      </c>
      <c r="B275" s="91" t="s">
        <v>841</v>
      </c>
      <c r="C275" s="91" t="s">
        <v>839</v>
      </c>
      <c r="D275" s="91">
        <v>17</v>
      </c>
      <c r="E275" s="91">
        <v>30</v>
      </c>
      <c r="F275" s="91">
        <v>0</v>
      </c>
      <c r="G275" s="126">
        <v>23104906.0186648</v>
      </c>
      <c r="H275" s="126">
        <f t="shared" si="13"/>
        <v>3.00000000000001e-8</v>
      </c>
      <c r="I275" s="126" t="str">
        <f t="shared" si="14"/>
        <v>0y 0d 0h 0m</v>
      </c>
    </row>
    <row r="276" s="91" customFormat="1" spans="1:9">
      <c r="A276" s="91" t="str">
        <f t="shared" si="12"/>
        <v>Cl-31</v>
      </c>
      <c r="B276" s="91" t="s">
        <v>842</v>
      </c>
      <c r="C276" s="91" t="s">
        <v>839</v>
      </c>
      <c r="D276" s="91">
        <v>17</v>
      </c>
      <c r="E276" s="91">
        <v>31</v>
      </c>
      <c r="F276" s="91">
        <v>0</v>
      </c>
      <c r="G276" s="126">
        <v>4.62098120373296</v>
      </c>
      <c r="H276" s="126">
        <f t="shared" si="13"/>
        <v>0.15</v>
      </c>
      <c r="I276" s="126" t="str">
        <f t="shared" si="14"/>
        <v>0y 0d 0h 0m</v>
      </c>
    </row>
    <row r="277" s="91" customFormat="1" spans="1:9">
      <c r="A277" s="91" t="str">
        <f t="shared" si="12"/>
        <v>Cl-32</v>
      </c>
      <c r="B277" s="91" t="s">
        <v>843</v>
      </c>
      <c r="C277" s="91" t="s">
        <v>839</v>
      </c>
      <c r="D277" s="91">
        <v>17</v>
      </c>
      <c r="E277" s="91">
        <v>32</v>
      </c>
      <c r="F277" s="91">
        <v>0</v>
      </c>
      <c r="G277" s="126">
        <v>2.32599725020115</v>
      </c>
      <c r="H277" s="126">
        <f t="shared" si="13"/>
        <v>0.298000000000001</v>
      </c>
      <c r="I277" s="126" t="str">
        <f t="shared" si="14"/>
        <v>0y 0d 0h 0m</v>
      </c>
    </row>
    <row r="278" s="91" customFormat="1" spans="1:9">
      <c r="A278" s="91" t="str">
        <f t="shared" si="12"/>
        <v>Cl-33</v>
      </c>
      <c r="B278" s="91" t="s">
        <v>844</v>
      </c>
      <c r="C278" s="91" t="s">
        <v>839</v>
      </c>
      <c r="D278" s="91">
        <v>17</v>
      </c>
      <c r="E278" s="91">
        <v>33</v>
      </c>
      <c r="F278" s="91">
        <v>0</v>
      </c>
      <c r="G278" s="126">
        <v>0.276044277403403</v>
      </c>
      <c r="H278" s="126">
        <f t="shared" si="13"/>
        <v>2.511</v>
      </c>
      <c r="I278" s="126" t="str">
        <f t="shared" si="14"/>
        <v>0y 0d 0h 0m</v>
      </c>
    </row>
    <row r="279" s="91" customFormat="1" spans="1:9">
      <c r="A279" s="91" t="str">
        <f t="shared" si="12"/>
        <v>Cl-34</v>
      </c>
      <c r="B279" s="91" t="s">
        <v>845</v>
      </c>
      <c r="C279" s="91" t="s">
        <v>839</v>
      </c>
      <c r="D279" s="91">
        <v>17</v>
      </c>
      <c r="E279" s="91">
        <v>34</v>
      </c>
      <c r="F279" s="91">
        <v>0</v>
      </c>
      <c r="G279" s="126">
        <v>0.454105857285079</v>
      </c>
      <c r="H279" s="126">
        <f t="shared" si="13"/>
        <v>1.5264</v>
      </c>
      <c r="I279" s="126" t="str">
        <f t="shared" si="14"/>
        <v>0y 0d 0h 0m</v>
      </c>
    </row>
    <row r="280" s="91" customFormat="1" spans="1:9">
      <c r="A280" s="91" t="str">
        <f t="shared" si="12"/>
        <v>Cl-34m</v>
      </c>
      <c r="B280" s="91" t="s">
        <v>846</v>
      </c>
      <c r="C280" s="91" t="s">
        <v>839</v>
      </c>
      <c r="D280" s="91">
        <v>17</v>
      </c>
      <c r="E280" s="91">
        <v>34</v>
      </c>
      <c r="F280" s="91">
        <v>1</v>
      </c>
      <c r="G280" s="126">
        <v>0.000361014156541638</v>
      </c>
      <c r="H280" s="126">
        <f t="shared" si="13"/>
        <v>1920</v>
      </c>
      <c r="I280" s="126" t="str">
        <f t="shared" si="14"/>
        <v>0y 0d 0h 32m</v>
      </c>
    </row>
    <row r="281" s="91" customFormat="1" spans="1:9">
      <c r="A281" s="91" t="str">
        <f t="shared" si="12"/>
        <v>Cl-35</v>
      </c>
      <c r="B281" s="91" t="s">
        <v>847</v>
      </c>
      <c r="C281" s="91" t="s">
        <v>839</v>
      </c>
      <c r="D281" s="91">
        <v>17</v>
      </c>
      <c r="E281" s="91">
        <v>35</v>
      </c>
      <c r="F281" s="91">
        <v>0</v>
      </c>
      <c r="G281" s="126">
        <v>0</v>
      </c>
      <c r="H281" s="126">
        <f t="shared" si="13"/>
        <v>0</v>
      </c>
      <c r="I281" s="126" t="str">
        <f t="shared" si="14"/>
        <v>0y 0d 0h 0m</v>
      </c>
    </row>
    <row r="282" s="91" customFormat="1" spans="1:9">
      <c r="A282" s="91" t="str">
        <f t="shared" si="12"/>
        <v>Cl-36</v>
      </c>
      <c r="B282" s="91" t="s">
        <v>848</v>
      </c>
      <c r="C282" s="91" t="s">
        <v>839</v>
      </c>
      <c r="D282" s="91">
        <v>17</v>
      </c>
      <c r="E282" s="91">
        <v>36</v>
      </c>
      <c r="F282" s="91">
        <v>0</v>
      </c>
      <c r="G282" s="126">
        <v>7.29717713489168e-14</v>
      </c>
      <c r="H282" s="126">
        <f t="shared" si="13"/>
        <v>9498840000000.01</v>
      </c>
      <c r="I282" s="126" t="str">
        <f t="shared" si="14"/>
        <v>301206y 87d 18h 40m</v>
      </c>
    </row>
    <row r="283" s="91" customFormat="1" spans="1:9">
      <c r="A283" s="91" t="str">
        <f t="shared" si="12"/>
        <v>Cl-37</v>
      </c>
      <c r="B283" s="91" t="s">
        <v>849</v>
      </c>
      <c r="C283" s="91" t="s">
        <v>839</v>
      </c>
      <c r="D283" s="91">
        <v>17</v>
      </c>
      <c r="E283" s="91">
        <v>37</v>
      </c>
      <c r="F283" s="91">
        <v>0</v>
      </c>
      <c r="G283" s="126">
        <v>0</v>
      </c>
      <c r="H283" s="126">
        <f t="shared" si="13"/>
        <v>0</v>
      </c>
      <c r="I283" s="126" t="str">
        <f t="shared" si="14"/>
        <v>0y 0d 0h 0m</v>
      </c>
    </row>
    <row r="284" s="91" customFormat="1" spans="1:9">
      <c r="A284" s="91" t="str">
        <f t="shared" si="12"/>
        <v>Cl-38</v>
      </c>
      <c r="B284" s="91" t="s">
        <v>850</v>
      </c>
      <c r="C284" s="91" t="s">
        <v>839</v>
      </c>
      <c r="D284" s="91">
        <v>17</v>
      </c>
      <c r="E284" s="91">
        <v>38</v>
      </c>
      <c r="F284" s="91">
        <v>0</v>
      </c>
      <c r="G284" s="126">
        <v>0.000310299570489723</v>
      </c>
      <c r="H284" s="126">
        <f t="shared" si="13"/>
        <v>2233.80000000001</v>
      </c>
      <c r="I284" s="126" t="str">
        <f t="shared" si="14"/>
        <v>0y 0d 0h 37m</v>
      </c>
    </row>
    <row r="285" s="91" customFormat="1" spans="1:9">
      <c r="A285" s="91" t="str">
        <f t="shared" si="12"/>
        <v>Cl-38m</v>
      </c>
      <c r="B285" s="91" t="s">
        <v>851</v>
      </c>
      <c r="C285" s="91" t="s">
        <v>839</v>
      </c>
      <c r="D285" s="91">
        <v>17</v>
      </c>
      <c r="E285" s="91">
        <v>38</v>
      </c>
      <c r="F285" s="91">
        <v>1</v>
      </c>
      <c r="G285" s="126">
        <v>0.969436616167755</v>
      </c>
      <c r="H285" s="126">
        <f t="shared" si="13"/>
        <v>0.715000000000001</v>
      </c>
      <c r="I285" s="126" t="str">
        <f t="shared" si="14"/>
        <v>0y 0d 0h 0m</v>
      </c>
    </row>
    <row r="286" s="91" customFormat="1" spans="1:9">
      <c r="A286" s="91" t="str">
        <f t="shared" si="12"/>
        <v>Cl-39</v>
      </c>
      <c r="B286" s="91" t="s">
        <v>852</v>
      </c>
      <c r="C286" s="91" t="s">
        <v>839</v>
      </c>
      <c r="D286" s="91">
        <v>17</v>
      </c>
      <c r="E286" s="91">
        <v>39</v>
      </c>
      <c r="F286" s="91">
        <v>0</v>
      </c>
      <c r="G286" s="126">
        <v>0.000207777931822525</v>
      </c>
      <c r="H286" s="126">
        <f t="shared" si="13"/>
        <v>3336.00000000001</v>
      </c>
      <c r="I286" s="126" t="str">
        <f t="shared" si="14"/>
        <v>0y 0d 0h 55m</v>
      </c>
    </row>
    <row r="287" s="91" customFormat="1" spans="1:9">
      <c r="A287" s="91" t="str">
        <f t="shared" si="12"/>
        <v>Cl-40</v>
      </c>
      <c r="B287" s="91" t="s">
        <v>853</v>
      </c>
      <c r="C287" s="91" t="s">
        <v>839</v>
      </c>
      <c r="D287" s="91">
        <v>17</v>
      </c>
      <c r="E287" s="91">
        <v>40</v>
      </c>
      <c r="F287" s="91">
        <v>0</v>
      </c>
      <c r="G287" s="126">
        <v>0.00855737259950549</v>
      </c>
      <c r="H287" s="126">
        <f t="shared" si="13"/>
        <v>81.0000000000001</v>
      </c>
      <c r="I287" s="126" t="str">
        <f t="shared" si="14"/>
        <v>0y 0d 0h 1m</v>
      </c>
    </row>
    <row r="288" s="91" customFormat="1" spans="1:9">
      <c r="A288" s="91" t="str">
        <f t="shared" si="12"/>
        <v>Cl-41</v>
      </c>
      <c r="B288" s="91" t="s">
        <v>854</v>
      </c>
      <c r="C288" s="91" t="s">
        <v>839</v>
      </c>
      <c r="D288" s="91">
        <v>17</v>
      </c>
      <c r="E288" s="91">
        <v>41</v>
      </c>
      <c r="F288" s="91">
        <v>0</v>
      </c>
      <c r="G288" s="126">
        <v>0.0180507078270819</v>
      </c>
      <c r="H288" s="126">
        <f t="shared" si="13"/>
        <v>38.4</v>
      </c>
      <c r="I288" s="126" t="str">
        <f t="shared" si="14"/>
        <v>0y 0d 0h 0m</v>
      </c>
    </row>
    <row r="289" s="91" customFormat="1" spans="1:9">
      <c r="A289" s="91" t="str">
        <f t="shared" si="12"/>
        <v>Cl-42</v>
      </c>
      <c r="B289" s="91" t="s">
        <v>855</v>
      </c>
      <c r="C289" s="91" t="s">
        <v>839</v>
      </c>
      <c r="D289" s="91">
        <v>17</v>
      </c>
      <c r="E289" s="91">
        <v>42</v>
      </c>
      <c r="F289" s="91">
        <v>0</v>
      </c>
      <c r="G289" s="126">
        <v>0.101933408905874</v>
      </c>
      <c r="H289" s="126">
        <f t="shared" si="13"/>
        <v>6.80000000000002</v>
      </c>
      <c r="I289" s="126" t="str">
        <f t="shared" si="14"/>
        <v>0y 0d 0h 0m</v>
      </c>
    </row>
    <row r="290" s="91" customFormat="1" spans="1:9">
      <c r="A290" s="91" t="str">
        <f t="shared" si="12"/>
        <v>Cl-43</v>
      </c>
      <c r="B290" s="91" t="s">
        <v>856</v>
      </c>
      <c r="C290" s="91" t="s">
        <v>839</v>
      </c>
      <c r="D290" s="91">
        <v>17</v>
      </c>
      <c r="E290" s="91">
        <v>43</v>
      </c>
      <c r="F290" s="91">
        <v>0</v>
      </c>
      <c r="G290" s="126">
        <v>0.221452773341835</v>
      </c>
      <c r="H290" s="126">
        <f t="shared" si="13"/>
        <v>3.13000000000001</v>
      </c>
      <c r="I290" s="126" t="str">
        <f t="shared" si="14"/>
        <v>0y 0d 0h 0m</v>
      </c>
    </row>
    <row r="291" s="91" customFormat="1" spans="1:9">
      <c r="A291" s="91" t="str">
        <f t="shared" si="12"/>
        <v>Cl-44</v>
      </c>
      <c r="B291" s="91" t="s">
        <v>857</v>
      </c>
      <c r="C291" s="91" t="s">
        <v>839</v>
      </c>
      <c r="D291" s="91">
        <v>17</v>
      </c>
      <c r="E291" s="91">
        <v>44</v>
      </c>
      <c r="F291" s="91">
        <v>0</v>
      </c>
      <c r="G291" s="126">
        <v>1.23776282242847</v>
      </c>
      <c r="H291" s="126">
        <f t="shared" si="13"/>
        <v>0.560000000000002</v>
      </c>
      <c r="I291" s="126" t="str">
        <f t="shared" si="14"/>
        <v>0y 0d 0h 0m</v>
      </c>
    </row>
    <row r="292" s="91" customFormat="1" spans="1:9">
      <c r="A292" s="91" t="str">
        <f t="shared" si="12"/>
        <v>Cl-45</v>
      </c>
      <c r="B292" s="91" t="s">
        <v>858</v>
      </c>
      <c r="C292" s="91" t="s">
        <v>839</v>
      </c>
      <c r="D292" s="91">
        <v>17</v>
      </c>
      <c r="E292" s="91">
        <v>45</v>
      </c>
      <c r="F292" s="91">
        <v>0</v>
      </c>
      <c r="G292" s="126">
        <v>1.67832247108945</v>
      </c>
      <c r="H292" s="126">
        <f t="shared" si="13"/>
        <v>0.413000000000001</v>
      </c>
      <c r="I292" s="126" t="str">
        <f t="shared" si="14"/>
        <v>0y 0d 0h 0m</v>
      </c>
    </row>
    <row r="293" s="91" customFormat="1" spans="1:9">
      <c r="A293" s="91" t="str">
        <f t="shared" si="12"/>
        <v>Cl-46</v>
      </c>
      <c r="B293" s="91" t="s">
        <v>859</v>
      </c>
      <c r="C293" s="91" t="s">
        <v>839</v>
      </c>
      <c r="D293" s="91">
        <v>17</v>
      </c>
      <c r="E293" s="91">
        <v>46</v>
      </c>
      <c r="F293" s="91">
        <v>0</v>
      </c>
      <c r="G293" s="126">
        <v>2.98770336448252</v>
      </c>
      <c r="H293" s="126">
        <f t="shared" si="13"/>
        <v>0.232</v>
      </c>
      <c r="I293" s="126" t="str">
        <f t="shared" si="14"/>
        <v>0y 0d 0h 0m</v>
      </c>
    </row>
    <row r="294" s="91" customFormat="1" spans="1:9">
      <c r="A294" s="91" t="str">
        <f t="shared" si="12"/>
        <v>Cl-47</v>
      </c>
      <c r="B294" s="91" t="s">
        <v>860</v>
      </c>
      <c r="C294" s="91" t="s">
        <v>839</v>
      </c>
      <c r="D294" s="91">
        <v>17</v>
      </c>
      <c r="E294" s="91">
        <v>47</v>
      </c>
      <c r="F294" s="91">
        <v>0</v>
      </c>
      <c r="G294" s="126">
        <v>6.86284337188064</v>
      </c>
      <c r="H294" s="126">
        <f t="shared" si="13"/>
        <v>0.101</v>
      </c>
      <c r="I294" s="126" t="str">
        <f t="shared" si="14"/>
        <v>0y 0d 0h 0m</v>
      </c>
    </row>
    <row r="295" s="91" customFormat="1" spans="1:9">
      <c r="A295" s="91" t="str">
        <f t="shared" si="12"/>
        <v>Cl-48</v>
      </c>
      <c r="B295" s="91" t="s">
        <v>861</v>
      </c>
      <c r="C295" s="91" t="s">
        <v>839</v>
      </c>
      <c r="D295" s="91">
        <v>17</v>
      </c>
      <c r="E295" s="91">
        <v>48</v>
      </c>
      <c r="F295" s="91">
        <v>0</v>
      </c>
      <c r="G295" s="126">
        <v>3465735.90279972</v>
      </c>
      <c r="H295" s="126">
        <f t="shared" si="13"/>
        <v>2e-7</v>
      </c>
      <c r="I295" s="126" t="str">
        <f t="shared" si="14"/>
        <v>0y 0d 0h 0m</v>
      </c>
    </row>
    <row r="296" s="91" customFormat="1" spans="1:9">
      <c r="A296" s="91" t="str">
        <f t="shared" si="12"/>
        <v>Cl-49</v>
      </c>
      <c r="B296" s="91" t="s">
        <v>862</v>
      </c>
      <c r="C296" s="91" t="s">
        <v>839</v>
      </c>
      <c r="D296" s="91">
        <v>17</v>
      </c>
      <c r="E296" s="91">
        <v>49</v>
      </c>
      <c r="F296" s="91">
        <v>0</v>
      </c>
      <c r="G296" s="126">
        <v>4077336.35623497</v>
      </c>
      <c r="H296" s="126">
        <f t="shared" si="13"/>
        <v>1.7e-7</v>
      </c>
      <c r="I296" s="126" t="str">
        <f t="shared" si="14"/>
        <v>0y 0d 0h 0m</v>
      </c>
    </row>
    <row r="297" s="91" customFormat="1" spans="1:9">
      <c r="A297" s="91" t="str">
        <f t="shared" si="12"/>
        <v>Cl-50</v>
      </c>
      <c r="B297" s="91" t="s">
        <v>863</v>
      </c>
      <c r="C297" s="91" t="s">
        <v>839</v>
      </c>
      <c r="D297" s="91">
        <v>17</v>
      </c>
      <c r="E297" s="91">
        <v>50</v>
      </c>
      <c r="F297" s="91">
        <v>0</v>
      </c>
      <c r="G297" s="126">
        <v>34.6573590279972</v>
      </c>
      <c r="H297" s="126">
        <f t="shared" si="13"/>
        <v>0.02</v>
      </c>
      <c r="I297" s="126" t="str">
        <f t="shared" si="14"/>
        <v>0y 0d 0h 0m</v>
      </c>
    </row>
    <row r="298" s="91" customFormat="1" spans="1:9">
      <c r="A298" s="91" t="str">
        <f t="shared" si="12"/>
        <v>Cl-51</v>
      </c>
      <c r="B298" s="91" t="s">
        <v>864</v>
      </c>
      <c r="C298" s="91" t="s">
        <v>839</v>
      </c>
      <c r="D298" s="91">
        <v>17</v>
      </c>
      <c r="E298" s="91">
        <v>51</v>
      </c>
      <c r="F298" s="91">
        <v>0</v>
      </c>
      <c r="G298" s="126">
        <v>3465735.90279972</v>
      </c>
      <c r="H298" s="126">
        <f t="shared" si="13"/>
        <v>2e-7</v>
      </c>
      <c r="I298" s="126" t="str">
        <f t="shared" si="14"/>
        <v>0y 0d 0h 0m</v>
      </c>
    </row>
    <row r="299" s="91" customFormat="1" spans="1:9">
      <c r="A299" s="91" t="str">
        <f t="shared" si="12"/>
        <v>Ar-30</v>
      </c>
      <c r="B299" s="91" t="s">
        <v>865</v>
      </c>
      <c r="C299" s="91" t="s">
        <v>866</v>
      </c>
      <c r="D299" s="91">
        <v>18</v>
      </c>
      <c r="E299" s="91">
        <v>30</v>
      </c>
      <c r="F299" s="91">
        <v>0</v>
      </c>
      <c r="G299" s="126">
        <v>34657359.0279972</v>
      </c>
      <c r="H299" s="126">
        <f t="shared" si="13"/>
        <v>2e-8</v>
      </c>
      <c r="I299" s="126" t="str">
        <f t="shared" si="14"/>
        <v>0y 0d 0h 0m</v>
      </c>
    </row>
    <row r="300" s="91" customFormat="1" spans="1:9">
      <c r="A300" s="91" t="str">
        <f t="shared" si="12"/>
        <v>Ar-31</v>
      </c>
      <c r="B300" s="91" t="s">
        <v>867</v>
      </c>
      <c r="C300" s="91" t="s">
        <v>866</v>
      </c>
      <c r="D300" s="91">
        <v>18</v>
      </c>
      <c r="E300" s="91">
        <v>31</v>
      </c>
      <c r="F300" s="91">
        <v>0</v>
      </c>
      <c r="G300" s="126">
        <v>45.9037867920493</v>
      </c>
      <c r="H300" s="126">
        <f t="shared" si="13"/>
        <v>0.0151</v>
      </c>
      <c r="I300" s="126" t="str">
        <f t="shared" si="14"/>
        <v>0y 0d 0h 0m</v>
      </c>
    </row>
    <row r="301" s="91" customFormat="1" spans="1:9">
      <c r="A301" s="91" t="str">
        <f t="shared" si="12"/>
        <v>Ar-32</v>
      </c>
      <c r="B301" s="91" t="s">
        <v>868</v>
      </c>
      <c r="C301" s="91" t="s">
        <v>866</v>
      </c>
      <c r="D301" s="91">
        <v>18</v>
      </c>
      <c r="E301" s="91">
        <v>32</v>
      </c>
      <c r="F301" s="91">
        <v>0</v>
      </c>
      <c r="G301" s="126">
        <v>7.07293041387699</v>
      </c>
      <c r="H301" s="126">
        <f t="shared" si="13"/>
        <v>0.098</v>
      </c>
      <c r="I301" s="126" t="str">
        <f t="shared" si="14"/>
        <v>0y 0d 0h 0m</v>
      </c>
    </row>
    <row r="302" s="91" customFormat="1" spans="1:9">
      <c r="A302" s="91" t="str">
        <f t="shared" si="12"/>
        <v>Ar-33</v>
      </c>
      <c r="B302" s="91" t="s">
        <v>869</v>
      </c>
      <c r="C302" s="91" t="s">
        <v>866</v>
      </c>
      <c r="D302" s="91">
        <v>18</v>
      </c>
      <c r="E302" s="91">
        <v>33</v>
      </c>
      <c r="F302" s="91">
        <v>0</v>
      </c>
      <c r="G302" s="126">
        <v>4.00663110150257</v>
      </c>
      <c r="H302" s="126">
        <f t="shared" si="13"/>
        <v>0.173</v>
      </c>
      <c r="I302" s="126" t="str">
        <f t="shared" si="14"/>
        <v>0y 0d 0h 0m</v>
      </c>
    </row>
    <row r="303" s="91" customFormat="1" spans="1:9">
      <c r="A303" s="91" t="str">
        <f t="shared" si="12"/>
        <v>Ar-34</v>
      </c>
      <c r="B303" s="91" t="s">
        <v>870</v>
      </c>
      <c r="C303" s="91" t="s">
        <v>866</v>
      </c>
      <c r="D303" s="91">
        <v>18</v>
      </c>
      <c r="E303" s="91">
        <v>34</v>
      </c>
      <c r="F303" s="91">
        <v>0</v>
      </c>
      <c r="G303" s="126">
        <v>0.820778188940136</v>
      </c>
      <c r="H303" s="126">
        <f t="shared" si="13"/>
        <v>0.844500000000001</v>
      </c>
      <c r="I303" s="126" t="str">
        <f t="shared" si="14"/>
        <v>0y 0d 0h 0m</v>
      </c>
    </row>
    <row r="304" s="91" customFormat="1" spans="1:9">
      <c r="A304" s="91" t="str">
        <f t="shared" si="12"/>
        <v>Ar-35</v>
      </c>
      <c r="B304" s="91" t="s">
        <v>871</v>
      </c>
      <c r="C304" s="91" t="s">
        <v>866</v>
      </c>
      <c r="D304" s="91">
        <v>18</v>
      </c>
      <c r="E304" s="91">
        <v>35</v>
      </c>
      <c r="F304" s="91">
        <v>0</v>
      </c>
      <c r="G304" s="126">
        <v>0.390505453836588</v>
      </c>
      <c r="H304" s="126">
        <f t="shared" si="13"/>
        <v>1.775</v>
      </c>
      <c r="I304" s="126" t="str">
        <f t="shared" si="14"/>
        <v>0y 0d 0h 0m</v>
      </c>
    </row>
    <row r="305" s="91" customFormat="1" spans="1:9">
      <c r="A305" s="91" t="str">
        <f t="shared" si="12"/>
        <v>Ar-36</v>
      </c>
      <c r="B305" s="91" t="s">
        <v>872</v>
      </c>
      <c r="C305" s="91" t="s">
        <v>866</v>
      </c>
      <c r="D305" s="91">
        <v>18</v>
      </c>
      <c r="E305" s="91">
        <v>36</v>
      </c>
      <c r="F305" s="91">
        <v>0</v>
      </c>
      <c r="G305" s="126">
        <v>0</v>
      </c>
      <c r="H305" s="126">
        <f t="shared" si="13"/>
        <v>0</v>
      </c>
      <c r="I305" s="126" t="str">
        <f t="shared" si="14"/>
        <v>0y 0d 0h 0m</v>
      </c>
    </row>
    <row r="306" s="91" customFormat="1" spans="1:9">
      <c r="A306" s="91" t="str">
        <f t="shared" si="12"/>
        <v>Ar-37</v>
      </c>
      <c r="B306" s="91" t="s">
        <v>873</v>
      </c>
      <c r="C306" s="91" t="s">
        <v>866</v>
      </c>
      <c r="D306" s="91">
        <v>18</v>
      </c>
      <c r="E306" s="91">
        <v>37</v>
      </c>
      <c r="F306" s="91">
        <v>0</v>
      </c>
      <c r="G306" s="126">
        <v>2.28953676142591e-7</v>
      </c>
      <c r="H306" s="126">
        <f t="shared" si="13"/>
        <v>3027456.00000001</v>
      </c>
      <c r="I306" s="126" t="str">
        <f t="shared" si="14"/>
        <v>0y 35d 0h 57m</v>
      </c>
    </row>
    <row r="307" s="91" customFormat="1" spans="1:9">
      <c r="A307" s="91" t="str">
        <f t="shared" si="12"/>
        <v>Ar-38</v>
      </c>
      <c r="B307" s="91" t="s">
        <v>874</v>
      </c>
      <c r="C307" s="91" t="s">
        <v>866</v>
      </c>
      <c r="D307" s="91">
        <v>18</v>
      </c>
      <c r="E307" s="91">
        <v>38</v>
      </c>
      <c r="F307" s="91">
        <v>0</v>
      </c>
      <c r="G307" s="126">
        <v>0</v>
      </c>
      <c r="H307" s="126">
        <f t="shared" si="13"/>
        <v>0</v>
      </c>
      <c r="I307" s="126" t="str">
        <f t="shared" si="14"/>
        <v>0y 0d 0h 0m</v>
      </c>
    </row>
    <row r="308" s="91" customFormat="1" spans="1:9">
      <c r="A308" s="91" t="str">
        <f t="shared" si="12"/>
        <v>Ar-39</v>
      </c>
      <c r="B308" s="91" t="s">
        <v>875</v>
      </c>
      <c r="C308" s="91" t="s">
        <v>866</v>
      </c>
      <c r="D308" s="91">
        <v>18</v>
      </c>
      <c r="E308" s="91">
        <v>39</v>
      </c>
      <c r="F308" s="91">
        <v>0</v>
      </c>
      <c r="G308" s="126">
        <v>8.16524911161334e-11</v>
      </c>
      <c r="H308" s="126">
        <f t="shared" si="13"/>
        <v>8488990000</v>
      </c>
      <c r="I308" s="126" t="str">
        <f t="shared" si="14"/>
        <v>269y 67d 4h 46m</v>
      </c>
    </row>
    <row r="309" s="91" customFormat="1" spans="1:9">
      <c r="A309" s="91" t="str">
        <f t="shared" si="12"/>
        <v>Ar-40</v>
      </c>
      <c r="B309" s="91" t="s">
        <v>876</v>
      </c>
      <c r="C309" s="91" t="s">
        <v>866</v>
      </c>
      <c r="D309" s="91">
        <v>18</v>
      </c>
      <c r="E309" s="91">
        <v>40</v>
      </c>
      <c r="F309" s="91">
        <v>0</v>
      </c>
      <c r="G309" s="126">
        <v>0</v>
      </c>
      <c r="H309" s="126">
        <f t="shared" si="13"/>
        <v>0</v>
      </c>
      <c r="I309" s="126" t="str">
        <f t="shared" si="14"/>
        <v>0y 0d 0h 0m</v>
      </c>
    </row>
    <row r="310" s="91" customFormat="1" spans="1:10">
      <c r="A310" s="91" t="str">
        <f t="shared" si="12"/>
        <v>Ar-41</v>
      </c>
      <c r="B310" s="91" t="s">
        <v>877</v>
      </c>
      <c r="C310" s="91" t="s">
        <v>866</v>
      </c>
      <c r="D310" s="91">
        <v>18</v>
      </c>
      <c r="E310" s="91">
        <v>41</v>
      </c>
      <c r="F310" s="91">
        <v>0</v>
      </c>
      <c r="G310" s="126">
        <v>0.000105395976729608</v>
      </c>
      <c r="H310" s="126">
        <f t="shared" si="13"/>
        <v>6576.60000000005</v>
      </c>
      <c r="I310" s="126" t="str">
        <f t="shared" si="14"/>
        <v>0y 0d 1h 49m</v>
      </c>
      <c r="J310" s="91">
        <f>H310/60</f>
        <v>109.610000000001</v>
      </c>
    </row>
    <row r="311" s="91" customFormat="1" spans="1:9">
      <c r="A311" s="91" t="str">
        <f t="shared" si="12"/>
        <v>Ar-42</v>
      </c>
      <c r="B311" s="91" t="s">
        <v>878</v>
      </c>
      <c r="C311" s="91" t="s">
        <v>866</v>
      </c>
      <c r="D311" s="91">
        <v>18</v>
      </c>
      <c r="E311" s="91">
        <v>42</v>
      </c>
      <c r="F311" s="91">
        <v>0</v>
      </c>
      <c r="G311" s="126">
        <v>6.67611057606496e-10</v>
      </c>
      <c r="H311" s="126">
        <f t="shared" si="13"/>
        <v>1038250000</v>
      </c>
      <c r="I311" s="126" t="str">
        <f t="shared" si="14"/>
        <v>32y 336d 18h 46m</v>
      </c>
    </row>
    <row r="312" s="91" customFormat="1" spans="1:9">
      <c r="A312" s="91" t="str">
        <f t="shared" si="12"/>
        <v>Ar-43</v>
      </c>
      <c r="B312" s="91" t="s">
        <v>879</v>
      </c>
      <c r="C312" s="91" t="s">
        <v>866</v>
      </c>
      <c r="D312" s="91">
        <v>18</v>
      </c>
      <c r="E312" s="91">
        <v>43</v>
      </c>
      <c r="F312" s="91">
        <v>0</v>
      </c>
      <c r="G312" s="126">
        <v>0.00215129478758518</v>
      </c>
      <c r="H312" s="126">
        <f t="shared" si="13"/>
        <v>322.2</v>
      </c>
      <c r="I312" s="126" t="str">
        <f t="shared" si="14"/>
        <v>0y 0d 0h 5m</v>
      </c>
    </row>
    <row r="313" s="91" customFormat="1" spans="1:9">
      <c r="A313" s="91" t="str">
        <f t="shared" si="12"/>
        <v>Ar-44</v>
      </c>
      <c r="B313" s="91" t="s">
        <v>880</v>
      </c>
      <c r="C313" s="91" t="s">
        <v>866</v>
      </c>
      <c r="D313" s="91">
        <v>18</v>
      </c>
      <c r="E313" s="91">
        <v>44</v>
      </c>
      <c r="F313" s="91">
        <v>0</v>
      </c>
      <c r="G313" s="126">
        <v>0.00097324793675926</v>
      </c>
      <c r="H313" s="126">
        <f t="shared" si="13"/>
        <v>712.2</v>
      </c>
      <c r="I313" s="126" t="str">
        <f t="shared" si="14"/>
        <v>0y 0d 0h 11m</v>
      </c>
    </row>
    <row r="314" s="91" customFormat="1" spans="1:9">
      <c r="A314" s="91" t="str">
        <f t="shared" si="12"/>
        <v>Ar-45</v>
      </c>
      <c r="B314" s="91" t="s">
        <v>881</v>
      </c>
      <c r="C314" s="91" t="s">
        <v>866</v>
      </c>
      <c r="D314" s="91">
        <v>18</v>
      </c>
      <c r="E314" s="91">
        <v>45</v>
      </c>
      <c r="F314" s="91">
        <v>0</v>
      </c>
      <c r="G314" s="126">
        <v>0.0322694218137777</v>
      </c>
      <c r="H314" s="126">
        <f t="shared" si="13"/>
        <v>21.48</v>
      </c>
      <c r="I314" s="126" t="str">
        <f t="shared" si="14"/>
        <v>0y 0d 0h 0m</v>
      </c>
    </row>
    <row r="315" s="91" customFormat="1" spans="1:9">
      <c r="A315" s="91" t="str">
        <f t="shared" si="12"/>
        <v>Ar-46</v>
      </c>
      <c r="B315" s="91" t="s">
        <v>882</v>
      </c>
      <c r="C315" s="91" t="s">
        <v>866</v>
      </c>
      <c r="D315" s="91">
        <v>18</v>
      </c>
      <c r="E315" s="91">
        <v>46</v>
      </c>
      <c r="F315" s="91">
        <v>0</v>
      </c>
      <c r="G315" s="126">
        <v>0.0825175214952315</v>
      </c>
      <c r="H315" s="126">
        <f t="shared" si="13"/>
        <v>8.40000000000001</v>
      </c>
      <c r="I315" s="126" t="str">
        <f t="shared" si="14"/>
        <v>0y 0d 0h 0m</v>
      </c>
    </row>
    <row r="316" s="91" customFormat="1" spans="1:9">
      <c r="A316" s="91" t="str">
        <f t="shared" si="12"/>
        <v>Ar-47</v>
      </c>
      <c r="B316" s="91" t="s">
        <v>883</v>
      </c>
      <c r="C316" s="91" t="s">
        <v>866</v>
      </c>
      <c r="D316" s="91">
        <v>18</v>
      </c>
      <c r="E316" s="91">
        <v>47</v>
      </c>
      <c r="F316" s="91">
        <v>0</v>
      </c>
      <c r="G316" s="126">
        <v>0.563534293138166</v>
      </c>
      <c r="H316" s="126">
        <f t="shared" si="13"/>
        <v>1.23</v>
      </c>
      <c r="I316" s="126" t="str">
        <f t="shared" si="14"/>
        <v>0y 0d 0h 0m</v>
      </c>
    </row>
    <row r="317" s="91" customFormat="1" spans="1:9">
      <c r="A317" s="91" t="str">
        <f t="shared" si="12"/>
        <v>Ar-48</v>
      </c>
      <c r="B317" s="91" t="s">
        <v>884</v>
      </c>
      <c r="C317" s="91" t="s">
        <v>866</v>
      </c>
      <c r="D317" s="91">
        <v>18</v>
      </c>
      <c r="E317" s="91">
        <v>48</v>
      </c>
      <c r="F317" s="91">
        <v>0</v>
      </c>
      <c r="G317" s="126">
        <v>1.45925722223146</v>
      </c>
      <c r="H317" s="126">
        <f t="shared" si="13"/>
        <v>0.475000000000001</v>
      </c>
      <c r="I317" s="126" t="str">
        <f t="shared" si="14"/>
        <v>0y 0d 0h 0m</v>
      </c>
    </row>
    <row r="318" s="91" customFormat="1" spans="1:9">
      <c r="A318" s="91" t="str">
        <f t="shared" si="12"/>
        <v>Ar-49</v>
      </c>
      <c r="B318" s="91" t="s">
        <v>885</v>
      </c>
      <c r="C318" s="91" t="s">
        <v>866</v>
      </c>
      <c r="D318" s="91">
        <v>18</v>
      </c>
      <c r="E318" s="91">
        <v>49</v>
      </c>
      <c r="F318" s="91">
        <v>0</v>
      </c>
      <c r="G318" s="126">
        <v>4.07733635623497</v>
      </c>
      <c r="H318" s="126">
        <f t="shared" si="13"/>
        <v>0.17</v>
      </c>
      <c r="I318" s="126" t="str">
        <f t="shared" si="14"/>
        <v>0y 0d 0h 0m</v>
      </c>
    </row>
    <row r="319" s="91" customFormat="1" spans="1:9">
      <c r="A319" s="91" t="str">
        <f t="shared" si="12"/>
        <v>Ar-50</v>
      </c>
      <c r="B319" s="91" t="s">
        <v>886</v>
      </c>
      <c r="C319" s="91" t="s">
        <v>866</v>
      </c>
      <c r="D319" s="91">
        <v>18</v>
      </c>
      <c r="E319" s="91">
        <v>50</v>
      </c>
      <c r="F319" s="91">
        <v>0</v>
      </c>
      <c r="G319" s="126">
        <v>8.15467271246994</v>
      </c>
      <c r="H319" s="126">
        <f t="shared" si="13"/>
        <v>0.085</v>
      </c>
      <c r="I319" s="126" t="str">
        <f t="shared" si="14"/>
        <v>0y 0d 0h 0m</v>
      </c>
    </row>
    <row r="320" s="91" customFormat="1" spans="1:9">
      <c r="A320" s="91" t="str">
        <f t="shared" si="12"/>
        <v>Ar-51</v>
      </c>
      <c r="B320" s="91" t="s">
        <v>887</v>
      </c>
      <c r="C320" s="91" t="s">
        <v>866</v>
      </c>
      <c r="D320" s="91">
        <v>18</v>
      </c>
      <c r="E320" s="91">
        <v>51</v>
      </c>
      <c r="F320" s="91">
        <v>0</v>
      </c>
      <c r="G320" s="126">
        <v>3465735.90279972</v>
      </c>
      <c r="H320" s="126">
        <f t="shared" si="13"/>
        <v>2e-7</v>
      </c>
      <c r="I320" s="126" t="str">
        <f t="shared" si="14"/>
        <v>0y 0d 0h 0m</v>
      </c>
    </row>
    <row r="321" s="91" customFormat="1" spans="1:9">
      <c r="A321" s="91" t="str">
        <f t="shared" si="12"/>
        <v>Ar-52</v>
      </c>
      <c r="B321" s="91" t="s">
        <v>888</v>
      </c>
      <c r="C321" s="91" t="s">
        <v>866</v>
      </c>
      <c r="D321" s="91">
        <v>18</v>
      </c>
      <c r="E321" s="91">
        <v>52</v>
      </c>
      <c r="F321" s="91">
        <v>0</v>
      </c>
      <c r="G321" s="126">
        <v>69.3147180559945</v>
      </c>
      <c r="H321" s="126">
        <f t="shared" si="13"/>
        <v>0.01</v>
      </c>
      <c r="I321" s="126" t="str">
        <f t="shared" si="14"/>
        <v>0y 0d 0h 0m</v>
      </c>
    </row>
    <row r="322" s="91" customFormat="1" spans="1:9">
      <c r="A322" s="91" t="str">
        <f t="shared" ref="A322:A385" si="15">C322&amp;"-"&amp;E322&amp;_xlfn.IFS(F322=0,"",F322=1,"m",F322&gt;1,"m"&amp;F322)</f>
        <v>Ar-53</v>
      </c>
      <c r="B322" s="91" t="s">
        <v>889</v>
      </c>
      <c r="C322" s="91" t="s">
        <v>866</v>
      </c>
      <c r="D322" s="91">
        <v>18</v>
      </c>
      <c r="E322" s="91">
        <v>53</v>
      </c>
      <c r="F322" s="91">
        <v>0</v>
      </c>
      <c r="G322" s="126">
        <v>231.049060186648</v>
      </c>
      <c r="H322" s="126">
        <f t="shared" ref="H322:H385" si="16">IF(G322&gt;0,LN(2)/G322,0)</f>
        <v>0.00300000000000001</v>
      </c>
      <c r="I322" s="126" t="str">
        <f t="shared" si="14"/>
        <v>0y 0d 0h 0m</v>
      </c>
    </row>
    <row r="323" s="91" customFormat="1" spans="1:9">
      <c r="A323" s="91" t="str">
        <f t="shared" si="15"/>
        <v>K-32</v>
      </c>
      <c r="B323" s="91" t="s">
        <v>890</v>
      </c>
      <c r="C323" s="91" t="s">
        <v>891</v>
      </c>
      <c r="D323" s="91">
        <v>19</v>
      </c>
      <c r="E323" s="91">
        <v>32</v>
      </c>
      <c r="F323" s="91">
        <v>0</v>
      </c>
      <c r="G323" s="126">
        <v>210.04460016968</v>
      </c>
      <c r="H323" s="126">
        <f t="shared" si="16"/>
        <v>0.00330000000000001</v>
      </c>
      <c r="I323" s="126" t="str">
        <f t="shared" ref="I323:I386" si="17">INT(H323/31536000)&amp;"y "&amp;INT(MOD(H323,31536000)/86400)&amp;"d "&amp;INT(MOD(MOD(H323,31536000),86400)/3600)&amp;"h "&amp;INT(MOD(MOD(MOD(H323,31536000),86400),3600)/60)&amp;"m"</f>
        <v>0y 0d 0h 0m</v>
      </c>
    </row>
    <row r="324" s="91" customFormat="1" spans="1:9">
      <c r="A324" s="91" t="str">
        <f t="shared" si="15"/>
        <v>K-33</v>
      </c>
      <c r="B324" s="91" t="s">
        <v>892</v>
      </c>
      <c r="C324" s="91" t="s">
        <v>891</v>
      </c>
      <c r="D324" s="91">
        <v>19</v>
      </c>
      <c r="E324" s="91">
        <v>33</v>
      </c>
      <c r="F324" s="91">
        <v>0</v>
      </c>
      <c r="G324" s="126">
        <v>27725887.2223978</v>
      </c>
      <c r="H324" s="126">
        <f t="shared" si="16"/>
        <v>2.5e-8</v>
      </c>
      <c r="I324" s="126" t="str">
        <f t="shared" si="17"/>
        <v>0y 0d 0h 0m</v>
      </c>
    </row>
    <row r="325" s="91" customFormat="1" spans="1:9">
      <c r="A325" s="91" t="str">
        <f t="shared" si="15"/>
        <v>K-34</v>
      </c>
      <c r="B325" s="91" t="s">
        <v>893</v>
      </c>
      <c r="C325" s="91" t="s">
        <v>891</v>
      </c>
      <c r="D325" s="91">
        <v>19</v>
      </c>
      <c r="E325" s="91">
        <v>34</v>
      </c>
      <c r="F325" s="91">
        <v>0</v>
      </c>
      <c r="G325" s="126">
        <v>27725887.2223978</v>
      </c>
      <c r="H325" s="126">
        <f t="shared" si="16"/>
        <v>2.5e-8</v>
      </c>
      <c r="I325" s="126" t="str">
        <f t="shared" si="17"/>
        <v>0y 0d 0h 0m</v>
      </c>
    </row>
    <row r="326" s="91" customFormat="1" spans="1:9">
      <c r="A326" s="91" t="str">
        <f t="shared" si="15"/>
        <v>K-35</v>
      </c>
      <c r="B326" s="91" t="s">
        <v>894</v>
      </c>
      <c r="C326" s="91" t="s">
        <v>891</v>
      </c>
      <c r="D326" s="91">
        <v>19</v>
      </c>
      <c r="E326" s="91">
        <v>35</v>
      </c>
      <c r="F326" s="91">
        <v>0</v>
      </c>
      <c r="G326" s="126">
        <v>3.89408528404463</v>
      </c>
      <c r="H326" s="126">
        <f t="shared" si="16"/>
        <v>0.178</v>
      </c>
      <c r="I326" s="126" t="str">
        <f t="shared" si="17"/>
        <v>0y 0d 0h 0m</v>
      </c>
    </row>
    <row r="327" s="91" customFormat="1" spans="1:9">
      <c r="A327" s="91" t="str">
        <f t="shared" si="15"/>
        <v>K-36</v>
      </c>
      <c r="B327" s="91" t="s">
        <v>895</v>
      </c>
      <c r="C327" s="91" t="s">
        <v>891</v>
      </c>
      <c r="D327" s="91">
        <v>19</v>
      </c>
      <c r="E327" s="91">
        <v>36</v>
      </c>
      <c r="F327" s="91">
        <v>0</v>
      </c>
      <c r="G327" s="126">
        <v>2.02674614198814</v>
      </c>
      <c r="H327" s="126">
        <f t="shared" si="16"/>
        <v>0.342000000000001</v>
      </c>
      <c r="I327" s="126" t="str">
        <f t="shared" si="17"/>
        <v>0y 0d 0h 0m</v>
      </c>
    </row>
    <row r="328" s="91" customFormat="1" spans="1:9">
      <c r="A328" s="91" t="str">
        <f t="shared" si="15"/>
        <v>K-37</v>
      </c>
      <c r="B328" s="91" t="s">
        <v>896</v>
      </c>
      <c r="C328" s="91" t="s">
        <v>891</v>
      </c>
      <c r="D328" s="91">
        <v>19</v>
      </c>
      <c r="E328" s="91">
        <v>37</v>
      </c>
      <c r="F328" s="91">
        <v>0</v>
      </c>
      <c r="G328" s="126">
        <v>0.565372904208764</v>
      </c>
      <c r="H328" s="126">
        <f t="shared" si="16"/>
        <v>1.226</v>
      </c>
      <c r="I328" s="126" t="str">
        <f t="shared" si="17"/>
        <v>0y 0d 0h 0m</v>
      </c>
    </row>
    <row r="329" s="91" customFormat="1" spans="1:9">
      <c r="A329" s="91" t="str">
        <f t="shared" si="15"/>
        <v>K-38</v>
      </c>
      <c r="B329" s="91" t="s">
        <v>897</v>
      </c>
      <c r="C329" s="91" t="s">
        <v>891</v>
      </c>
      <c r="D329" s="91">
        <v>19</v>
      </c>
      <c r="E329" s="91">
        <v>38</v>
      </c>
      <c r="F329" s="91">
        <v>0</v>
      </c>
      <c r="G329" s="126">
        <v>0.00151289326994924</v>
      </c>
      <c r="H329" s="126">
        <f t="shared" si="16"/>
        <v>458.160000000001</v>
      </c>
      <c r="I329" s="126" t="str">
        <f t="shared" si="17"/>
        <v>0y 0d 0h 7m</v>
      </c>
    </row>
    <row r="330" s="91" customFormat="1" spans="1:9">
      <c r="A330" s="91" t="str">
        <f t="shared" si="15"/>
        <v>K-38m</v>
      </c>
      <c r="B330" s="91" t="s">
        <v>898</v>
      </c>
      <c r="C330" s="91" t="s">
        <v>891</v>
      </c>
      <c r="D330" s="91">
        <v>19</v>
      </c>
      <c r="E330" s="91">
        <v>38</v>
      </c>
      <c r="F330" s="91">
        <v>1</v>
      </c>
      <c r="G330" s="126">
        <v>0.750159286320287</v>
      </c>
      <c r="H330" s="126">
        <f t="shared" si="16"/>
        <v>0.924</v>
      </c>
      <c r="I330" s="126" t="str">
        <f t="shared" si="17"/>
        <v>0y 0d 0h 0m</v>
      </c>
    </row>
    <row r="331" s="91" customFormat="1" spans="1:9">
      <c r="A331" s="91" t="str">
        <f t="shared" si="15"/>
        <v>K-39</v>
      </c>
      <c r="B331" s="91" t="s">
        <v>899</v>
      </c>
      <c r="C331" s="91" t="s">
        <v>891</v>
      </c>
      <c r="D331" s="91">
        <v>19</v>
      </c>
      <c r="E331" s="91">
        <v>39</v>
      </c>
      <c r="F331" s="91">
        <v>0</v>
      </c>
      <c r="G331" s="126">
        <v>0</v>
      </c>
      <c r="H331" s="126">
        <f t="shared" si="16"/>
        <v>0</v>
      </c>
      <c r="I331" s="126" t="str">
        <f t="shared" si="17"/>
        <v>0y 0d 0h 0m</v>
      </c>
    </row>
    <row r="332" s="91" customFormat="1" spans="1:9">
      <c r="A332" s="91" t="str">
        <f t="shared" si="15"/>
        <v>K-40</v>
      </c>
      <c r="B332" s="91" t="s">
        <v>900</v>
      </c>
      <c r="C332" s="91" t="s">
        <v>891</v>
      </c>
      <c r="D332" s="91">
        <v>19</v>
      </c>
      <c r="E332" s="91">
        <v>40</v>
      </c>
      <c r="F332" s="91">
        <v>0</v>
      </c>
      <c r="G332" s="126">
        <v>1.75997598145421e-17</v>
      </c>
      <c r="H332" s="126">
        <f t="shared" si="16"/>
        <v>3.93839e+16</v>
      </c>
      <c r="I332" s="126" t="str">
        <f t="shared" si="17"/>
        <v>1248855276y 185d 22h 14m</v>
      </c>
    </row>
    <row r="333" s="91" customFormat="1" spans="1:9">
      <c r="A333" s="91" t="str">
        <f t="shared" si="15"/>
        <v>K-41</v>
      </c>
      <c r="B333" s="91" t="s">
        <v>901</v>
      </c>
      <c r="C333" s="91" t="s">
        <v>891</v>
      </c>
      <c r="D333" s="91">
        <v>19</v>
      </c>
      <c r="E333" s="91">
        <v>41</v>
      </c>
      <c r="F333" s="91">
        <v>0</v>
      </c>
      <c r="G333" s="126">
        <v>0</v>
      </c>
      <c r="H333" s="126">
        <f t="shared" si="16"/>
        <v>0</v>
      </c>
      <c r="I333" s="126" t="str">
        <f t="shared" si="17"/>
        <v>0y 0d 0h 0m</v>
      </c>
    </row>
    <row r="334" s="91" customFormat="1" spans="1:9">
      <c r="A334" s="91" t="str">
        <f t="shared" si="15"/>
        <v>K-42</v>
      </c>
      <c r="B334" s="91" t="s">
        <v>902</v>
      </c>
      <c r="C334" s="91" t="s">
        <v>891</v>
      </c>
      <c r="D334" s="91">
        <v>19</v>
      </c>
      <c r="E334" s="91">
        <v>42</v>
      </c>
      <c r="F334" s="91">
        <v>0</v>
      </c>
      <c r="G334" s="126">
        <v>1.55777413825949e-5</v>
      </c>
      <c r="H334" s="126">
        <f t="shared" si="16"/>
        <v>44496.0000000002</v>
      </c>
      <c r="I334" s="126" t="str">
        <f t="shared" si="17"/>
        <v>0y 0d 12h 21m</v>
      </c>
    </row>
    <row r="335" s="91" customFormat="1" spans="1:9">
      <c r="A335" s="91" t="str">
        <f t="shared" si="15"/>
        <v>K-43</v>
      </c>
      <c r="B335" s="91" t="s">
        <v>903</v>
      </c>
      <c r="C335" s="91" t="s">
        <v>891</v>
      </c>
      <c r="D335" s="91">
        <v>19</v>
      </c>
      <c r="E335" s="91">
        <v>43</v>
      </c>
      <c r="F335" s="91">
        <v>0</v>
      </c>
      <c r="G335" s="126">
        <v>8.63412033582393e-6</v>
      </c>
      <c r="H335" s="126">
        <f t="shared" si="16"/>
        <v>80280</v>
      </c>
      <c r="I335" s="126" t="str">
        <f t="shared" si="17"/>
        <v>0y 0d 22h 18m</v>
      </c>
    </row>
    <row r="336" s="91" customFormat="1" spans="1:9">
      <c r="A336" s="91" t="str">
        <f t="shared" si="15"/>
        <v>K-44</v>
      </c>
      <c r="B336" s="91" t="s">
        <v>904</v>
      </c>
      <c r="C336" s="91" t="s">
        <v>891</v>
      </c>
      <c r="D336" s="91">
        <v>19</v>
      </c>
      <c r="E336" s="91">
        <v>44</v>
      </c>
      <c r="F336" s="91">
        <v>0</v>
      </c>
      <c r="G336" s="126">
        <v>0.000522026796625956</v>
      </c>
      <c r="H336" s="126">
        <f t="shared" si="16"/>
        <v>1327.8</v>
      </c>
      <c r="I336" s="126" t="str">
        <f t="shared" si="17"/>
        <v>0y 0d 0h 22m</v>
      </c>
    </row>
    <row r="337" s="91" customFormat="1" spans="1:9">
      <c r="A337" s="91" t="str">
        <f t="shared" si="15"/>
        <v>K-45</v>
      </c>
      <c r="B337" s="91" t="s">
        <v>905</v>
      </c>
      <c r="C337" s="91" t="s">
        <v>891</v>
      </c>
      <c r="D337" s="91">
        <v>19</v>
      </c>
      <c r="E337" s="91">
        <v>45</v>
      </c>
      <c r="F337" s="91">
        <v>0</v>
      </c>
      <c r="G337" s="126">
        <v>0.000648649804005189</v>
      </c>
      <c r="H337" s="126">
        <f t="shared" si="16"/>
        <v>1068.6</v>
      </c>
      <c r="I337" s="126" t="str">
        <f t="shared" si="17"/>
        <v>0y 0d 0h 17m</v>
      </c>
    </row>
    <row r="338" s="91" customFormat="1" spans="1:9">
      <c r="A338" s="91" t="str">
        <f t="shared" si="15"/>
        <v>K-46</v>
      </c>
      <c r="B338" s="91" t="s">
        <v>906</v>
      </c>
      <c r="C338" s="91" t="s">
        <v>891</v>
      </c>
      <c r="D338" s="91">
        <v>19</v>
      </c>
      <c r="E338" s="91">
        <v>46</v>
      </c>
      <c r="F338" s="91">
        <v>0</v>
      </c>
      <c r="G338" s="126">
        <v>0.00660140171961852</v>
      </c>
      <c r="H338" s="126">
        <f t="shared" si="16"/>
        <v>105</v>
      </c>
      <c r="I338" s="126" t="str">
        <f t="shared" si="17"/>
        <v>0y 0d 0h 1m</v>
      </c>
    </row>
    <row r="339" s="91" customFormat="1" spans="1:9">
      <c r="A339" s="91" t="str">
        <f t="shared" si="15"/>
        <v>K-47</v>
      </c>
      <c r="B339" s="91" t="s">
        <v>907</v>
      </c>
      <c r="C339" s="91" t="s">
        <v>891</v>
      </c>
      <c r="D339" s="91">
        <v>19</v>
      </c>
      <c r="E339" s="91">
        <v>47</v>
      </c>
      <c r="F339" s="91">
        <v>0</v>
      </c>
      <c r="G339" s="126">
        <v>0.0396084103177111</v>
      </c>
      <c r="H339" s="126">
        <f t="shared" si="16"/>
        <v>17.5</v>
      </c>
      <c r="I339" s="126" t="str">
        <f t="shared" si="17"/>
        <v>0y 0d 0h 0m</v>
      </c>
    </row>
    <row r="340" s="91" customFormat="1" spans="1:9">
      <c r="A340" s="91" t="str">
        <f t="shared" si="15"/>
        <v>K-48</v>
      </c>
      <c r="B340" s="91" t="s">
        <v>908</v>
      </c>
      <c r="C340" s="91" t="s">
        <v>891</v>
      </c>
      <c r="D340" s="91">
        <v>19</v>
      </c>
      <c r="E340" s="91">
        <v>48</v>
      </c>
      <c r="F340" s="91">
        <v>0</v>
      </c>
      <c r="G340" s="126">
        <v>0.101933408905874</v>
      </c>
      <c r="H340" s="126">
        <f t="shared" si="16"/>
        <v>6.80000000000002</v>
      </c>
      <c r="I340" s="126" t="str">
        <f t="shared" si="17"/>
        <v>0y 0d 0h 0m</v>
      </c>
    </row>
    <row r="341" s="91" customFormat="1" spans="1:9">
      <c r="A341" s="91" t="str">
        <f t="shared" si="15"/>
        <v>K-49</v>
      </c>
      <c r="B341" s="91" t="s">
        <v>909</v>
      </c>
      <c r="C341" s="91" t="s">
        <v>891</v>
      </c>
      <c r="D341" s="91">
        <v>19</v>
      </c>
      <c r="E341" s="91">
        <v>49</v>
      </c>
      <c r="F341" s="91">
        <v>0</v>
      </c>
      <c r="G341" s="126">
        <v>0.55011680996821</v>
      </c>
      <c r="H341" s="126">
        <f t="shared" si="16"/>
        <v>1.26</v>
      </c>
      <c r="I341" s="126" t="str">
        <f t="shared" si="17"/>
        <v>0y 0d 0h 0m</v>
      </c>
    </row>
    <row r="342" s="91" customFormat="1" spans="1:9">
      <c r="A342" s="91" t="str">
        <f t="shared" si="15"/>
        <v>K-50</v>
      </c>
      <c r="B342" s="91" t="s">
        <v>910</v>
      </c>
      <c r="C342" s="91" t="s">
        <v>891</v>
      </c>
      <c r="D342" s="91">
        <v>19</v>
      </c>
      <c r="E342" s="91">
        <v>50</v>
      </c>
      <c r="F342" s="91">
        <v>0</v>
      </c>
      <c r="G342" s="126">
        <v>1.46853216220327</v>
      </c>
      <c r="H342" s="126">
        <f t="shared" si="16"/>
        <v>0.472000000000001</v>
      </c>
      <c r="I342" s="126" t="str">
        <f t="shared" si="17"/>
        <v>0y 0d 0h 0m</v>
      </c>
    </row>
    <row r="343" s="91" customFormat="1" spans="1:9">
      <c r="A343" s="91" t="str">
        <f t="shared" si="15"/>
        <v>K-51</v>
      </c>
      <c r="B343" s="91" t="s">
        <v>911</v>
      </c>
      <c r="C343" s="91" t="s">
        <v>891</v>
      </c>
      <c r="D343" s="91">
        <v>19</v>
      </c>
      <c r="E343" s="91">
        <v>51</v>
      </c>
      <c r="F343" s="91">
        <v>0</v>
      </c>
      <c r="G343" s="126">
        <v>1.89903337139711</v>
      </c>
      <c r="H343" s="126">
        <f t="shared" si="16"/>
        <v>0.365</v>
      </c>
      <c r="I343" s="126" t="str">
        <f t="shared" si="17"/>
        <v>0y 0d 0h 0m</v>
      </c>
    </row>
    <row r="344" s="91" customFormat="1" spans="1:9">
      <c r="A344" s="91" t="str">
        <f t="shared" si="15"/>
        <v>K-52</v>
      </c>
      <c r="B344" s="91" t="s">
        <v>912</v>
      </c>
      <c r="C344" s="91" t="s">
        <v>891</v>
      </c>
      <c r="D344" s="91">
        <v>19</v>
      </c>
      <c r="E344" s="91">
        <v>52</v>
      </c>
      <c r="F344" s="91">
        <v>0</v>
      </c>
      <c r="G344" s="126">
        <v>6.60140171961852</v>
      </c>
      <c r="H344" s="126">
        <f t="shared" si="16"/>
        <v>0.105</v>
      </c>
      <c r="I344" s="126" t="str">
        <f t="shared" si="17"/>
        <v>0y 0d 0h 0m</v>
      </c>
    </row>
    <row r="345" s="91" customFormat="1" spans="1:9">
      <c r="A345" s="91" t="str">
        <f t="shared" si="15"/>
        <v>K-53</v>
      </c>
      <c r="B345" s="91" t="s">
        <v>913</v>
      </c>
      <c r="C345" s="91" t="s">
        <v>891</v>
      </c>
      <c r="D345" s="91">
        <v>19</v>
      </c>
      <c r="E345" s="91">
        <v>53</v>
      </c>
      <c r="F345" s="91">
        <v>0</v>
      </c>
      <c r="G345" s="126">
        <v>23.1049060186648</v>
      </c>
      <c r="H345" s="126">
        <f t="shared" si="16"/>
        <v>0.0300000000000001</v>
      </c>
      <c r="I345" s="126" t="str">
        <f t="shared" si="17"/>
        <v>0y 0d 0h 0m</v>
      </c>
    </row>
    <row r="346" s="91" customFormat="1" spans="1:9">
      <c r="A346" s="91" t="str">
        <f t="shared" si="15"/>
        <v>K-54</v>
      </c>
      <c r="B346" s="91" t="s">
        <v>914</v>
      </c>
      <c r="C346" s="91" t="s">
        <v>891</v>
      </c>
      <c r="D346" s="91">
        <v>19</v>
      </c>
      <c r="E346" s="91">
        <v>54</v>
      </c>
      <c r="F346" s="91">
        <v>0</v>
      </c>
      <c r="G346" s="126">
        <v>69.3147180559945</v>
      </c>
      <c r="H346" s="126">
        <f t="shared" si="16"/>
        <v>0.01</v>
      </c>
      <c r="I346" s="126" t="str">
        <f t="shared" si="17"/>
        <v>0y 0d 0h 0m</v>
      </c>
    </row>
    <row r="347" s="91" customFormat="1" spans="1:9">
      <c r="A347" s="91" t="str">
        <f t="shared" si="15"/>
        <v>K-55</v>
      </c>
      <c r="B347" s="91" t="s">
        <v>915</v>
      </c>
      <c r="C347" s="91" t="s">
        <v>891</v>
      </c>
      <c r="D347" s="91">
        <v>19</v>
      </c>
      <c r="E347" s="91">
        <v>55</v>
      </c>
      <c r="F347" s="91">
        <v>0</v>
      </c>
      <c r="G347" s="126">
        <v>231.049060186648</v>
      </c>
      <c r="H347" s="126">
        <f t="shared" si="16"/>
        <v>0.00300000000000001</v>
      </c>
      <c r="I347" s="126" t="str">
        <f t="shared" si="17"/>
        <v>0y 0d 0h 0m</v>
      </c>
    </row>
    <row r="348" s="91" customFormat="1" spans="1:9">
      <c r="A348" s="91" t="str">
        <f t="shared" si="15"/>
        <v>Ca-34</v>
      </c>
      <c r="B348" s="91" t="s">
        <v>916</v>
      </c>
      <c r="C348" s="91" t="s">
        <v>917</v>
      </c>
      <c r="D348" s="91">
        <v>20</v>
      </c>
      <c r="E348" s="91">
        <v>34</v>
      </c>
      <c r="F348" s="91">
        <v>0</v>
      </c>
      <c r="G348" s="126">
        <v>19804205.1588555</v>
      </c>
      <c r="H348" s="126">
        <f t="shared" si="16"/>
        <v>3.50000000000001e-8</v>
      </c>
      <c r="I348" s="126" t="str">
        <f t="shared" si="17"/>
        <v>0y 0d 0h 0m</v>
      </c>
    </row>
    <row r="349" s="91" customFormat="1" spans="1:9">
      <c r="A349" s="91" t="str">
        <f t="shared" si="15"/>
        <v>Ca-35</v>
      </c>
      <c r="B349" s="91" t="s">
        <v>918</v>
      </c>
      <c r="C349" s="91" t="s">
        <v>917</v>
      </c>
      <c r="D349" s="91">
        <v>20</v>
      </c>
      <c r="E349" s="91">
        <v>35</v>
      </c>
      <c r="F349" s="91">
        <v>0</v>
      </c>
      <c r="G349" s="126">
        <v>26.9707074147838</v>
      </c>
      <c r="H349" s="126">
        <f t="shared" si="16"/>
        <v>0.0257000000000001</v>
      </c>
      <c r="I349" s="126" t="str">
        <f t="shared" si="17"/>
        <v>0y 0d 0h 0m</v>
      </c>
    </row>
    <row r="350" s="91" customFormat="1" spans="1:9">
      <c r="A350" s="91" t="str">
        <f t="shared" si="15"/>
        <v>Ca-36</v>
      </c>
      <c r="B350" s="91" t="s">
        <v>919</v>
      </c>
      <c r="C350" s="91" t="s">
        <v>917</v>
      </c>
      <c r="D350" s="91">
        <v>20</v>
      </c>
      <c r="E350" s="91">
        <v>36</v>
      </c>
      <c r="F350" s="91">
        <v>0</v>
      </c>
      <c r="G350" s="126">
        <v>6.79556059372495</v>
      </c>
      <c r="H350" s="126">
        <f t="shared" si="16"/>
        <v>0.102</v>
      </c>
      <c r="I350" s="126" t="str">
        <f t="shared" si="17"/>
        <v>0y 0d 0h 0m</v>
      </c>
    </row>
    <row r="351" s="91" customFormat="1" spans="1:9">
      <c r="A351" s="91" t="str">
        <f t="shared" si="15"/>
        <v>Ca-37</v>
      </c>
      <c r="B351" s="91" t="s">
        <v>920</v>
      </c>
      <c r="C351" s="91" t="s">
        <v>917</v>
      </c>
      <c r="D351" s="91">
        <v>20</v>
      </c>
      <c r="E351" s="91">
        <v>37</v>
      </c>
      <c r="F351" s="91">
        <v>0</v>
      </c>
      <c r="G351" s="126">
        <v>3.82742783302012</v>
      </c>
      <c r="H351" s="126">
        <f t="shared" si="16"/>
        <v>0.1811</v>
      </c>
      <c r="I351" s="126" t="str">
        <f t="shared" si="17"/>
        <v>0y 0d 0h 0m</v>
      </c>
    </row>
    <row r="352" s="91" customFormat="1" spans="1:9">
      <c r="A352" s="91" t="str">
        <f t="shared" si="15"/>
        <v>Ca-38</v>
      </c>
      <c r="B352" s="91" t="s">
        <v>921</v>
      </c>
      <c r="C352" s="91" t="s">
        <v>917</v>
      </c>
      <c r="D352" s="91">
        <v>20</v>
      </c>
      <c r="E352" s="91">
        <v>38</v>
      </c>
      <c r="F352" s="91">
        <v>0</v>
      </c>
      <c r="G352" s="126">
        <v>1.5753345012726</v>
      </c>
      <c r="H352" s="126">
        <f t="shared" si="16"/>
        <v>0.440000000000001</v>
      </c>
      <c r="I352" s="126" t="str">
        <f t="shared" si="17"/>
        <v>0y 0d 0h 0m</v>
      </c>
    </row>
    <row r="353" s="91" customFormat="1" spans="1:9">
      <c r="A353" s="91" t="str">
        <f t="shared" si="15"/>
        <v>Ca-39</v>
      </c>
      <c r="B353" s="91" t="s">
        <v>922</v>
      </c>
      <c r="C353" s="91" t="s">
        <v>917</v>
      </c>
      <c r="D353" s="91">
        <v>20</v>
      </c>
      <c r="E353" s="91">
        <v>39</v>
      </c>
      <c r="F353" s="91">
        <v>0</v>
      </c>
      <c r="G353" s="126">
        <v>0.806360144904543</v>
      </c>
      <c r="H353" s="126">
        <f t="shared" si="16"/>
        <v>0.8596</v>
      </c>
      <c r="I353" s="126" t="str">
        <f t="shared" si="17"/>
        <v>0y 0d 0h 0m</v>
      </c>
    </row>
    <row r="354" s="91" customFormat="1" spans="1:9">
      <c r="A354" s="91" t="str">
        <f t="shared" si="15"/>
        <v>Ca-40</v>
      </c>
      <c r="B354" s="91" t="s">
        <v>923</v>
      </c>
      <c r="C354" s="91" t="s">
        <v>917</v>
      </c>
      <c r="D354" s="91">
        <v>20</v>
      </c>
      <c r="E354" s="91">
        <v>40</v>
      </c>
      <c r="F354" s="91">
        <v>0</v>
      </c>
      <c r="G354" s="126">
        <v>0</v>
      </c>
      <c r="H354" s="126">
        <f t="shared" si="16"/>
        <v>0</v>
      </c>
      <c r="I354" s="126" t="str">
        <f t="shared" si="17"/>
        <v>0y 0d 0h 0m</v>
      </c>
    </row>
    <row r="355" s="91" customFormat="1" spans="1:9">
      <c r="A355" s="91" t="str">
        <f t="shared" si="15"/>
        <v>Ca-41</v>
      </c>
      <c r="B355" s="91" t="s">
        <v>924</v>
      </c>
      <c r="C355" s="91" t="s">
        <v>917</v>
      </c>
      <c r="D355" s="91">
        <v>20</v>
      </c>
      <c r="E355" s="91">
        <v>41</v>
      </c>
      <c r="F355" s="91">
        <v>0</v>
      </c>
      <c r="G355" s="126">
        <v>2.15337999726595e-13</v>
      </c>
      <c r="H355" s="126">
        <f t="shared" si="16"/>
        <v>3218880000000.01</v>
      </c>
      <c r="I355" s="126" t="str">
        <f t="shared" si="17"/>
        <v>102070y 5d 13h 20m</v>
      </c>
    </row>
    <row r="356" s="91" customFormat="1" spans="1:9">
      <c r="A356" s="91" t="str">
        <f t="shared" si="15"/>
        <v>Ca-42</v>
      </c>
      <c r="B356" s="91" t="s">
        <v>925</v>
      </c>
      <c r="C356" s="91" t="s">
        <v>917</v>
      </c>
      <c r="D356" s="91">
        <v>20</v>
      </c>
      <c r="E356" s="91">
        <v>42</v>
      </c>
      <c r="F356" s="91">
        <v>0</v>
      </c>
      <c r="G356" s="126">
        <v>0</v>
      </c>
      <c r="H356" s="126">
        <f t="shared" si="16"/>
        <v>0</v>
      </c>
      <c r="I356" s="126" t="str">
        <f t="shared" si="17"/>
        <v>0y 0d 0h 0m</v>
      </c>
    </row>
    <row r="357" s="91" customFormat="1" spans="1:9">
      <c r="A357" s="91" t="str">
        <f t="shared" si="15"/>
        <v>Ca-43</v>
      </c>
      <c r="B357" s="91" t="s">
        <v>926</v>
      </c>
      <c r="C357" s="91" t="s">
        <v>917</v>
      </c>
      <c r="D357" s="91">
        <v>20</v>
      </c>
      <c r="E357" s="91">
        <v>43</v>
      </c>
      <c r="F357" s="91">
        <v>0</v>
      </c>
      <c r="G357" s="126">
        <v>0</v>
      </c>
      <c r="H357" s="126">
        <f t="shared" si="16"/>
        <v>0</v>
      </c>
      <c r="I357" s="126" t="str">
        <f t="shared" si="17"/>
        <v>0y 0d 0h 0m</v>
      </c>
    </row>
    <row r="358" s="91" customFormat="1" spans="1:9">
      <c r="A358" s="91" t="str">
        <f t="shared" si="15"/>
        <v>Ca-44</v>
      </c>
      <c r="B358" s="91" t="s">
        <v>927</v>
      </c>
      <c r="C358" s="91" t="s">
        <v>917</v>
      </c>
      <c r="D358" s="91">
        <v>20</v>
      </c>
      <c r="E358" s="91">
        <v>44</v>
      </c>
      <c r="F358" s="91">
        <v>0</v>
      </c>
      <c r="G358" s="126">
        <v>0</v>
      </c>
      <c r="H358" s="126">
        <f t="shared" si="16"/>
        <v>0</v>
      </c>
      <c r="I358" s="126" t="str">
        <f t="shared" si="17"/>
        <v>0y 0d 0h 0m</v>
      </c>
    </row>
    <row r="359" s="91" customFormat="1" spans="1:9">
      <c r="A359" s="91" t="str">
        <f t="shared" si="15"/>
        <v>Ca-45</v>
      </c>
      <c r="B359" s="91" t="s">
        <v>928</v>
      </c>
      <c r="C359" s="91" t="s">
        <v>917</v>
      </c>
      <c r="D359" s="91">
        <v>20</v>
      </c>
      <c r="E359" s="91">
        <v>45</v>
      </c>
      <c r="F359" s="91">
        <v>0</v>
      </c>
      <c r="G359" s="126">
        <v>4.9336074633257e-8</v>
      </c>
      <c r="H359" s="126">
        <f t="shared" si="16"/>
        <v>14049500</v>
      </c>
      <c r="I359" s="126" t="str">
        <f t="shared" si="17"/>
        <v>0y 162d 14h 38m</v>
      </c>
    </row>
    <row r="360" s="91" customFormat="1" spans="1:9">
      <c r="A360" s="91" t="str">
        <f t="shared" si="15"/>
        <v>Ca-46</v>
      </c>
      <c r="B360" s="91" t="s">
        <v>929</v>
      </c>
      <c r="C360" s="91" t="s">
        <v>917</v>
      </c>
      <c r="D360" s="91">
        <v>20</v>
      </c>
      <c r="E360" s="91">
        <v>46</v>
      </c>
      <c r="F360" s="91">
        <v>0</v>
      </c>
      <c r="G360" s="126">
        <v>0</v>
      </c>
      <c r="H360" s="126">
        <f t="shared" si="16"/>
        <v>0</v>
      </c>
      <c r="I360" s="126" t="str">
        <f t="shared" si="17"/>
        <v>0y 0d 0h 0m</v>
      </c>
    </row>
    <row r="361" s="91" customFormat="1" spans="1:9">
      <c r="A361" s="91" t="str">
        <f t="shared" si="15"/>
        <v>Ca-47</v>
      </c>
      <c r="B361" s="91" t="s">
        <v>930</v>
      </c>
      <c r="C361" s="91" t="s">
        <v>917</v>
      </c>
      <c r="D361" s="91">
        <v>20</v>
      </c>
      <c r="E361" s="91">
        <v>47</v>
      </c>
      <c r="F361" s="91">
        <v>0</v>
      </c>
      <c r="G361" s="126">
        <v>1.76863686332372e-6</v>
      </c>
      <c r="H361" s="126">
        <f t="shared" si="16"/>
        <v>391910.4</v>
      </c>
      <c r="I361" s="126" t="str">
        <f t="shared" si="17"/>
        <v>0y 4d 12h 51m</v>
      </c>
    </row>
    <row r="362" s="91" customFormat="1" spans="1:9">
      <c r="A362" s="91" t="str">
        <f t="shared" si="15"/>
        <v>Ca-48</v>
      </c>
      <c r="B362" s="91" t="s">
        <v>931</v>
      </c>
      <c r="C362" s="91" t="s">
        <v>917</v>
      </c>
      <c r="D362" s="91">
        <v>20</v>
      </c>
      <c r="E362" s="91">
        <v>48</v>
      </c>
      <c r="F362" s="91">
        <v>0</v>
      </c>
      <c r="G362" s="126">
        <v>9.54979692818018e-28</v>
      </c>
      <c r="H362" s="126">
        <f t="shared" si="16"/>
        <v>7.25824e+26</v>
      </c>
      <c r="I362" s="126" t="str">
        <f t="shared" si="17"/>
        <v>2.3015728056824E+19y 0d 0h 0m</v>
      </c>
    </row>
    <row r="363" s="91" customFormat="1" spans="1:9">
      <c r="A363" s="91" t="str">
        <f t="shared" si="15"/>
        <v>Ca-49</v>
      </c>
      <c r="B363" s="91" t="s">
        <v>932</v>
      </c>
      <c r="C363" s="91" t="s">
        <v>917</v>
      </c>
      <c r="D363" s="91">
        <v>20</v>
      </c>
      <c r="E363" s="91">
        <v>49</v>
      </c>
      <c r="F363" s="91">
        <v>0</v>
      </c>
      <c r="G363" s="126">
        <v>0.00132512652091447</v>
      </c>
      <c r="H363" s="126">
        <f t="shared" si="16"/>
        <v>523.080000000003</v>
      </c>
      <c r="I363" s="126" t="str">
        <f t="shared" si="17"/>
        <v>0y 0d 0h 8m</v>
      </c>
    </row>
    <row r="364" s="91" customFormat="1" spans="1:9">
      <c r="A364" s="91" t="str">
        <f t="shared" si="15"/>
        <v>Ca-50</v>
      </c>
      <c r="B364" s="91" t="s">
        <v>933</v>
      </c>
      <c r="C364" s="91" t="s">
        <v>917</v>
      </c>
      <c r="D364" s="91">
        <v>20</v>
      </c>
      <c r="E364" s="91">
        <v>50</v>
      </c>
      <c r="F364" s="91">
        <v>0</v>
      </c>
      <c r="G364" s="126">
        <v>0.0498667036374061</v>
      </c>
      <c r="H364" s="126">
        <f t="shared" si="16"/>
        <v>13.9</v>
      </c>
      <c r="I364" s="126" t="str">
        <f t="shared" si="17"/>
        <v>0y 0d 0h 0m</v>
      </c>
    </row>
    <row r="365" s="91" customFormat="1" spans="1:9">
      <c r="A365" s="91" t="str">
        <f t="shared" si="15"/>
        <v>Ca-51</v>
      </c>
      <c r="B365" s="91" t="s">
        <v>934</v>
      </c>
      <c r="C365" s="91" t="s">
        <v>917</v>
      </c>
      <c r="D365" s="91">
        <v>20</v>
      </c>
      <c r="E365" s="91">
        <v>51</v>
      </c>
      <c r="F365" s="91">
        <v>0</v>
      </c>
      <c r="G365" s="126">
        <v>0.0693147180559945</v>
      </c>
      <c r="H365" s="126">
        <f t="shared" si="16"/>
        <v>10</v>
      </c>
      <c r="I365" s="126" t="str">
        <f t="shared" si="17"/>
        <v>0y 0d 0h 0m</v>
      </c>
    </row>
    <row r="366" s="91" customFormat="1" spans="1:9">
      <c r="A366" s="91" t="str">
        <f t="shared" si="15"/>
        <v>Ca-52</v>
      </c>
      <c r="B366" s="91" t="s">
        <v>935</v>
      </c>
      <c r="C366" s="91" t="s">
        <v>917</v>
      </c>
      <c r="D366" s="91">
        <v>20</v>
      </c>
      <c r="E366" s="91">
        <v>52</v>
      </c>
      <c r="F366" s="91">
        <v>0</v>
      </c>
      <c r="G366" s="126">
        <v>0.150684169686944</v>
      </c>
      <c r="H366" s="126">
        <f t="shared" si="16"/>
        <v>4.60000000000002</v>
      </c>
      <c r="I366" s="126" t="str">
        <f t="shared" si="17"/>
        <v>0y 0d 0h 0m</v>
      </c>
    </row>
    <row r="367" s="91" customFormat="1" spans="1:9">
      <c r="A367" s="91" t="str">
        <f t="shared" si="15"/>
        <v>Ca-53</v>
      </c>
      <c r="B367" s="91" t="s">
        <v>936</v>
      </c>
      <c r="C367" s="91" t="s">
        <v>917</v>
      </c>
      <c r="D367" s="91">
        <v>20</v>
      </c>
      <c r="E367" s="91">
        <v>53</v>
      </c>
      <c r="F367" s="91">
        <v>0</v>
      </c>
      <c r="G367" s="126">
        <v>7.70163533955494</v>
      </c>
      <c r="H367" s="126">
        <f t="shared" si="16"/>
        <v>0.0900000000000001</v>
      </c>
      <c r="I367" s="126" t="str">
        <f t="shared" si="17"/>
        <v>0y 0d 0h 0m</v>
      </c>
    </row>
    <row r="368" s="91" customFormat="1" spans="1:9">
      <c r="A368" s="91" t="str">
        <f t="shared" si="15"/>
        <v>Ca-54</v>
      </c>
      <c r="B368" s="91" t="s">
        <v>937</v>
      </c>
      <c r="C368" s="91" t="s">
        <v>917</v>
      </c>
      <c r="D368" s="91">
        <v>20</v>
      </c>
      <c r="E368" s="91">
        <v>54</v>
      </c>
      <c r="F368" s="91">
        <v>0</v>
      </c>
      <c r="G368" s="126">
        <v>8.05985093674355</v>
      </c>
      <c r="H368" s="126">
        <f t="shared" si="16"/>
        <v>0.086</v>
      </c>
      <c r="I368" s="126" t="str">
        <f t="shared" si="17"/>
        <v>0y 0d 0h 0m</v>
      </c>
    </row>
    <row r="369" s="91" customFormat="1" spans="1:9">
      <c r="A369" s="91" t="str">
        <f t="shared" si="15"/>
        <v>Ca-55</v>
      </c>
      <c r="B369" s="91" t="s">
        <v>938</v>
      </c>
      <c r="C369" s="91" t="s">
        <v>917</v>
      </c>
      <c r="D369" s="91">
        <v>20</v>
      </c>
      <c r="E369" s="91">
        <v>55</v>
      </c>
      <c r="F369" s="91">
        <v>0</v>
      </c>
      <c r="G369" s="126">
        <v>31.506690025452</v>
      </c>
      <c r="H369" s="126">
        <f t="shared" si="16"/>
        <v>0.022</v>
      </c>
      <c r="I369" s="126" t="str">
        <f t="shared" si="17"/>
        <v>0y 0d 0h 0m</v>
      </c>
    </row>
    <row r="370" s="91" customFormat="1" spans="1:9">
      <c r="A370" s="91" t="str">
        <f t="shared" si="15"/>
        <v>Ca-56</v>
      </c>
      <c r="B370" s="91" t="s">
        <v>939</v>
      </c>
      <c r="C370" s="91" t="s">
        <v>917</v>
      </c>
      <c r="D370" s="91">
        <v>20</v>
      </c>
      <c r="E370" s="91">
        <v>56</v>
      </c>
      <c r="F370" s="91">
        <v>0</v>
      </c>
      <c r="G370" s="126">
        <v>69.3147180559945</v>
      </c>
      <c r="H370" s="126">
        <f t="shared" si="16"/>
        <v>0.01</v>
      </c>
      <c r="I370" s="126" t="str">
        <f t="shared" si="17"/>
        <v>0y 0d 0h 0m</v>
      </c>
    </row>
    <row r="371" s="91" customFormat="1" spans="1:9">
      <c r="A371" s="91" t="str">
        <f t="shared" si="15"/>
        <v>Ca-57</v>
      </c>
      <c r="B371" s="91" t="s">
        <v>940</v>
      </c>
      <c r="C371" s="91" t="s">
        <v>917</v>
      </c>
      <c r="D371" s="91">
        <v>20</v>
      </c>
      <c r="E371" s="91">
        <v>57</v>
      </c>
      <c r="F371" s="91">
        <v>0</v>
      </c>
      <c r="G371" s="126">
        <v>138.629436111989</v>
      </c>
      <c r="H371" s="126">
        <f t="shared" si="16"/>
        <v>0.005</v>
      </c>
      <c r="I371" s="126" t="str">
        <f t="shared" si="17"/>
        <v>0y 0d 0h 0m</v>
      </c>
    </row>
    <row r="372" s="91" customFormat="1" spans="1:9">
      <c r="A372" s="91" t="str">
        <f t="shared" si="15"/>
        <v>Sc-36</v>
      </c>
      <c r="B372" s="91" t="s">
        <v>941</v>
      </c>
      <c r="C372" s="91" t="s">
        <v>942</v>
      </c>
      <c r="D372" s="91">
        <v>21</v>
      </c>
      <c r="E372" s="91">
        <v>36</v>
      </c>
      <c r="F372" s="91">
        <v>0</v>
      </c>
      <c r="G372" s="126">
        <v>78.7667250636301</v>
      </c>
      <c r="H372" s="126">
        <f t="shared" si="16"/>
        <v>0.0088</v>
      </c>
      <c r="I372" s="126" t="str">
        <f t="shared" si="17"/>
        <v>0y 0d 0h 0m</v>
      </c>
    </row>
    <row r="373" s="91" customFormat="1" spans="1:9">
      <c r="A373" s="91" t="str">
        <f t="shared" si="15"/>
        <v>Sc-37</v>
      </c>
      <c r="B373" s="91" t="s">
        <v>943</v>
      </c>
      <c r="C373" s="91" t="s">
        <v>942</v>
      </c>
      <c r="D373" s="91">
        <v>21</v>
      </c>
      <c r="E373" s="91">
        <v>37</v>
      </c>
      <c r="F373" s="91">
        <v>0</v>
      </c>
      <c r="G373" s="126">
        <v>12.3776282242847</v>
      </c>
      <c r="H373" s="126">
        <f t="shared" si="16"/>
        <v>0.0560000000000002</v>
      </c>
      <c r="I373" s="126" t="str">
        <f t="shared" si="17"/>
        <v>0y 0d 0h 0m</v>
      </c>
    </row>
    <row r="374" s="91" customFormat="1" spans="1:9">
      <c r="A374" s="91" t="str">
        <f t="shared" si="15"/>
        <v>Sc-38</v>
      </c>
      <c r="B374" s="91" t="s">
        <v>944</v>
      </c>
      <c r="C374" s="91" t="s">
        <v>942</v>
      </c>
      <c r="D374" s="91">
        <v>21</v>
      </c>
      <c r="E374" s="91">
        <v>38</v>
      </c>
      <c r="F374" s="91">
        <v>0</v>
      </c>
      <c r="G374" s="126">
        <v>16.3864581692658</v>
      </c>
      <c r="H374" s="126">
        <f t="shared" si="16"/>
        <v>0.0423000000000001</v>
      </c>
      <c r="I374" s="126" t="str">
        <f t="shared" si="17"/>
        <v>0y 0d 0h 0m</v>
      </c>
    </row>
    <row r="375" s="91" customFormat="1" spans="1:9">
      <c r="A375" s="91" t="str">
        <f t="shared" si="15"/>
        <v>Sc-39</v>
      </c>
      <c r="B375" s="91" t="s">
        <v>945</v>
      </c>
      <c r="C375" s="91" t="s">
        <v>942</v>
      </c>
      <c r="D375" s="91">
        <v>21</v>
      </c>
      <c r="E375" s="91">
        <v>39</v>
      </c>
      <c r="F375" s="91">
        <v>0</v>
      </c>
      <c r="G375" s="126">
        <v>2310490.60186648</v>
      </c>
      <c r="H375" s="126">
        <f t="shared" si="16"/>
        <v>3.00000000000001e-7</v>
      </c>
      <c r="I375" s="126" t="str">
        <f t="shared" si="17"/>
        <v>0y 0d 0h 0m</v>
      </c>
    </row>
    <row r="376" s="91" customFormat="1" spans="1:9">
      <c r="A376" s="91" t="str">
        <f t="shared" si="15"/>
        <v>Sc-40</v>
      </c>
      <c r="B376" s="91" t="s">
        <v>946</v>
      </c>
      <c r="C376" s="91" t="s">
        <v>942</v>
      </c>
      <c r="D376" s="91">
        <v>21</v>
      </c>
      <c r="E376" s="91">
        <v>40</v>
      </c>
      <c r="F376" s="91">
        <v>0</v>
      </c>
      <c r="G376" s="126">
        <v>3.80223357410831</v>
      </c>
      <c r="H376" s="126">
        <f t="shared" si="16"/>
        <v>0.1823</v>
      </c>
      <c r="I376" s="126" t="str">
        <f t="shared" si="17"/>
        <v>0y 0d 0h 0m</v>
      </c>
    </row>
    <row r="377" s="91" customFormat="1" spans="1:9">
      <c r="A377" s="91" t="str">
        <f t="shared" si="15"/>
        <v>Sc-41</v>
      </c>
      <c r="B377" s="91" t="s">
        <v>947</v>
      </c>
      <c r="C377" s="91" t="s">
        <v>942</v>
      </c>
      <c r="D377" s="91">
        <v>21</v>
      </c>
      <c r="E377" s="91">
        <v>41</v>
      </c>
      <c r="F377" s="91">
        <v>0</v>
      </c>
      <c r="G377" s="126">
        <v>1.16241351762526</v>
      </c>
      <c r="H377" s="126">
        <f t="shared" si="16"/>
        <v>0.596300000000002</v>
      </c>
      <c r="I377" s="126" t="str">
        <f t="shared" si="17"/>
        <v>0y 0d 0h 0m</v>
      </c>
    </row>
    <row r="378" s="91" customFormat="1" spans="1:9">
      <c r="A378" s="91" t="str">
        <f t="shared" si="15"/>
        <v>Sc-42</v>
      </c>
      <c r="B378" s="91" t="s">
        <v>948</v>
      </c>
      <c r="C378" s="91" t="s">
        <v>942</v>
      </c>
      <c r="D378" s="91">
        <v>21</v>
      </c>
      <c r="E378" s="91">
        <v>42</v>
      </c>
      <c r="F378" s="91">
        <v>0</v>
      </c>
      <c r="G378" s="126">
        <v>1.01813628166854</v>
      </c>
      <c r="H378" s="126">
        <f t="shared" si="16"/>
        <v>0.680800000000003</v>
      </c>
      <c r="I378" s="126" t="str">
        <f t="shared" si="17"/>
        <v>0y 0d 0h 0m</v>
      </c>
    </row>
    <row r="379" s="91" customFormat="1" spans="1:9">
      <c r="A379" s="91" t="str">
        <f t="shared" si="15"/>
        <v>Sc-42m</v>
      </c>
      <c r="B379" s="91" t="s">
        <v>949</v>
      </c>
      <c r="C379" s="91" t="s">
        <v>942</v>
      </c>
      <c r="D379" s="91">
        <v>21</v>
      </c>
      <c r="E379" s="91">
        <v>42</v>
      </c>
      <c r="F379" s="91">
        <v>1</v>
      </c>
      <c r="G379" s="126">
        <v>0.0111797932348378</v>
      </c>
      <c r="H379" s="126">
        <f t="shared" si="16"/>
        <v>62.0000000000001</v>
      </c>
      <c r="I379" s="126" t="str">
        <f t="shared" si="17"/>
        <v>0y 0d 0h 1m</v>
      </c>
    </row>
    <row r="380" s="91" customFormat="1" spans="1:9">
      <c r="A380" s="91" t="str">
        <f t="shared" si="15"/>
        <v>Sc-43</v>
      </c>
      <c r="B380" s="91" t="s">
        <v>950</v>
      </c>
      <c r="C380" s="91" t="s">
        <v>942</v>
      </c>
      <c r="D380" s="91">
        <v>21</v>
      </c>
      <c r="E380" s="91">
        <v>43</v>
      </c>
      <c r="F380" s="91">
        <v>0</v>
      </c>
      <c r="G380" s="126">
        <v>4.9483650344095e-5</v>
      </c>
      <c r="H380" s="126">
        <f t="shared" si="16"/>
        <v>14007.6</v>
      </c>
      <c r="I380" s="126" t="str">
        <f t="shared" si="17"/>
        <v>0y 0d 3h 53m</v>
      </c>
    </row>
    <row r="381" s="91" customFormat="1" spans="1:9">
      <c r="A381" s="91" t="str">
        <f t="shared" si="15"/>
        <v>Sc-44</v>
      </c>
      <c r="B381" s="91" t="s">
        <v>951</v>
      </c>
      <c r="C381" s="91" t="s">
        <v>942</v>
      </c>
      <c r="D381" s="91">
        <v>21</v>
      </c>
      <c r="E381" s="91">
        <v>44</v>
      </c>
      <c r="F381" s="91">
        <v>0</v>
      </c>
      <c r="G381" s="126">
        <v>4.84989630954341e-5</v>
      </c>
      <c r="H381" s="126">
        <f t="shared" si="16"/>
        <v>14292</v>
      </c>
      <c r="I381" s="126" t="str">
        <f t="shared" si="17"/>
        <v>0y 0d 3h 58m</v>
      </c>
    </row>
    <row r="382" s="91" customFormat="1" spans="1:9">
      <c r="A382" s="91" t="str">
        <f t="shared" si="15"/>
        <v>Sc-44m</v>
      </c>
      <c r="B382" s="91" t="s">
        <v>952</v>
      </c>
      <c r="C382" s="91" t="s">
        <v>942</v>
      </c>
      <c r="D382" s="91">
        <v>21</v>
      </c>
      <c r="E382" s="91">
        <v>44</v>
      </c>
      <c r="F382" s="91">
        <v>1</v>
      </c>
      <c r="G382" s="126">
        <v>3.28512000492874e-6</v>
      </c>
      <c r="H382" s="126">
        <f t="shared" si="16"/>
        <v>210996</v>
      </c>
      <c r="I382" s="126" t="str">
        <f t="shared" si="17"/>
        <v>0y 2d 10h 36m</v>
      </c>
    </row>
    <row r="383" s="91" customFormat="1" spans="1:9">
      <c r="A383" s="91" t="str">
        <f t="shared" si="15"/>
        <v>Sc-45</v>
      </c>
      <c r="B383" s="91" t="s">
        <v>953</v>
      </c>
      <c r="C383" s="91" t="s">
        <v>942</v>
      </c>
      <c r="D383" s="91">
        <v>21</v>
      </c>
      <c r="E383" s="91">
        <v>45</v>
      </c>
      <c r="F383" s="91">
        <v>0</v>
      </c>
      <c r="G383" s="126">
        <v>0</v>
      </c>
      <c r="H383" s="126">
        <f t="shared" si="16"/>
        <v>0</v>
      </c>
      <c r="I383" s="126" t="str">
        <f t="shared" si="17"/>
        <v>0y 0d 0h 0m</v>
      </c>
    </row>
    <row r="384" s="91" customFormat="1" spans="1:9">
      <c r="A384" s="91" t="str">
        <f t="shared" si="15"/>
        <v>Sc-45m</v>
      </c>
      <c r="B384" s="91" t="s">
        <v>954</v>
      </c>
      <c r="C384" s="91" t="s">
        <v>942</v>
      </c>
      <c r="D384" s="91">
        <v>21</v>
      </c>
      <c r="E384" s="91">
        <v>45</v>
      </c>
      <c r="F384" s="91">
        <v>1</v>
      </c>
      <c r="G384" s="126">
        <v>2.17970811496838</v>
      </c>
      <c r="H384" s="126">
        <f t="shared" si="16"/>
        <v>0.318</v>
      </c>
      <c r="I384" s="126" t="str">
        <f t="shared" si="17"/>
        <v>0y 0d 0h 0m</v>
      </c>
    </row>
    <row r="385" s="91" customFormat="1" spans="1:9">
      <c r="A385" s="91" t="str">
        <f t="shared" si="15"/>
        <v>Sc-46</v>
      </c>
      <c r="B385" s="91" t="s">
        <v>955</v>
      </c>
      <c r="C385" s="91" t="s">
        <v>942</v>
      </c>
      <c r="D385" s="91">
        <v>21</v>
      </c>
      <c r="E385" s="91">
        <v>46</v>
      </c>
      <c r="F385" s="91">
        <v>0</v>
      </c>
      <c r="G385" s="126">
        <v>9.57457550069984e-8</v>
      </c>
      <c r="H385" s="126">
        <f t="shared" si="16"/>
        <v>7239456.00000001</v>
      </c>
      <c r="I385" s="126" t="str">
        <f t="shared" si="17"/>
        <v>0y 83d 18h 57m</v>
      </c>
    </row>
    <row r="386" s="91" customFormat="1" spans="1:9">
      <c r="A386" s="91" t="str">
        <f t="shared" ref="A386:A449" si="18">C386&amp;"-"&amp;E386&amp;_xlfn.IFS(F386=0,"",F386=1,"m",F386&gt;1,"m"&amp;F386)</f>
        <v>Sc-46m</v>
      </c>
      <c r="B386" s="91" t="s">
        <v>956</v>
      </c>
      <c r="C386" s="91" t="s">
        <v>942</v>
      </c>
      <c r="D386" s="91">
        <v>21</v>
      </c>
      <c r="E386" s="91">
        <v>46</v>
      </c>
      <c r="F386" s="91">
        <v>1</v>
      </c>
      <c r="G386" s="126">
        <v>0.0369678496298637</v>
      </c>
      <c r="H386" s="126">
        <f t="shared" ref="H386:H449" si="19">IF(G386&gt;0,LN(2)/G386,0)</f>
        <v>18.75</v>
      </c>
      <c r="I386" s="126" t="str">
        <f t="shared" si="17"/>
        <v>0y 0d 0h 0m</v>
      </c>
    </row>
    <row r="387" s="91" customFormat="1" spans="1:9">
      <c r="A387" s="91" t="str">
        <f t="shared" si="18"/>
        <v>Sc-47</v>
      </c>
      <c r="B387" s="91" t="s">
        <v>957</v>
      </c>
      <c r="C387" s="91" t="s">
        <v>942</v>
      </c>
      <c r="D387" s="91">
        <v>21</v>
      </c>
      <c r="E387" s="91">
        <v>47</v>
      </c>
      <c r="F387" s="91">
        <v>0</v>
      </c>
      <c r="G387" s="126">
        <v>2.39535896857612e-6</v>
      </c>
      <c r="H387" s="126">
        <f t="shared" si="19"/>
        <v>289370.900000001</v>
      </c>
      <c r="I387" s="126" t="str">
        <f t="shared" ref="I387:I450" si="20">INT(H387/31536000)&amp;"y "&amp;INT(MOD(H387,31536000)/86400)&amp;"d "&amp;INT(MOD(MOD(H387,31536000),86400)/3600)&amp;"h "&amp;INT(MOD(MOD(MOD(H387,31536000),86400),3600)/60)&amp;"m"</f>
        <v>0y 3d 8h 22m</v>
      </c>
    </row>
    <row r="388" s="91" customFormat="1" spans="1:9">
      <c r="A388" s="91" t="str">
        <f t="shared" si="18"/>
        <v>Sc-48</v>
      </c>
      <c r="B388" s="91" t="s">
        <v>958</v>
      </c>
      <c r="C388" s="91" t="s">
        <v>942</v>
      </c>
      <c r="D388" s="91">
        <v>21</v>
      </c>
      <c r="E388" s="91">
        <v>48</v>
      </c>
      <c r="F388" s="91">
        <v>0</v>
      </c>
      <c r="G388" s="126">
        <v>4.40899664503947e-6</v>
      </c>
      <c r="H388" s="126">
        <f t="shared" si="19"/>
        <v>157212</v>
      </c>
      <c r="I388" s="126" t="str">
        <f t="shared" si="20"/>
        <v>0y 1d 19h 40m</v>
      </c>
    </row>
    <row r="389" s="91" customFormat="1" spans="1:9">
      <c r="A389" s="91" t="str">
        <f t="shared" si="18"/>
        <v>Sc-49</v>
      </c>
      <c r="B389" s="91" t="s">
        <v>959</v>
      </c>
      <c r="C389" s="91" t="s">
        <v>942</v>
      </c>
      <c r="D389" s="91">
        <v>21</v>
      </c>
      <c r="E389" s="91">
        <v>49</v>
      </c>
      <c r="F389" s="91">
        <v>0</v>
      </c>
      <c r="G389" s="126">
        <v>0.000202036603870801</v>
      </c>
      <c r="H389" s="126">
        <f t="shared" si="19"/>
        <v>3430.80000000001</v>
      </c>
      <c r="I389" s="126" t="str">
        <f t="shared" si="20"/>
        <v>0y 0d 0h 57m</v>
      </c>
    </row>
    <row r="390" s="91" customFormat="1" spans="1:9">
      <c r="A390" s="91" t="str">
        <f t="shared" si="18"/>
        <v>Sc-50</v>
      </c>
      <c r="B390" s="91" t="s">
        <v>960</v>
      </c>
      <c r="C390" s="91" t="s">
        <v>942</v>
      </c>
      <c r="D390" s="91">
        <v>21</v>
      </c>
      <c r="E390" s="91">
        <v>50</v>
      </c>
      <c r="F390" s="91">
        <v>0</v>
      </c>
      <c r="G390" s="126">
        <v>0.006762411517658</v>
      </c>
      <c r="H390" s="126">
        <f t="shared" si="19"/>
        <v>102.5</v>
      </c>
      <c r="I390" s="126" t="str">
        <f t="shared" si="20"/>
        <v>0y 0d 0h 1m</v>
      </c>
    </row>
    <row r="391" s="91" customFormat="1" spans="1:9">
      <c r="A391" s="91" t="str">
        <f t="shared" si="18"/>
        <v>Sc-50m</v>
      </c>
      <c r="B391" s="91" t="s">
        <v>961</v>
      </c>
      <c r="C391" s="91" t="s">
        <v>942</v>
      </c>
      <c r="D391" s="91">
        <v>21</v>
      </c>
      <c r="E391" s="91">
        <v>50</v>
      </c>
      <c r="F391" s="91">
        <v>1</v>
      </c>
      <c r="G391" s="126">
        <v>1.98042051588555</v>
      </c>
      <c r="H391" s="126">
        <f t="shared" si="19"/>
        <v>0.350000000000001</v>
      </c>
      <c r="I391" s="126" t="str">
        <f t="shared" si="20"/>
        <v>0y 0d 0h 0m</v>
      </c>
    </row>
    <row r="392" s="91" customFormat="1" spans="1:9">
      <c r="A392" s="91" t="str">
        <f t="shared" si="18"/>
        <v>Sc-51</v>
      </c>
      <c r="B392" s="91" t="s">
        <v>962</v>
      </c>
      <c r="C392" s="91" t="s">
        <v>942</v>
      </c>
      <c r="D392" s="91">
        <v>21</v>
      </c>
      <c r="E392" s="91">
        <v>51</v>
      </c>
      <c r="F392" s="91">
        <v>0</v>
      </c>
      <c r="G392" s="126">
        <v>0.0558989661741891</v>
      </c>
      <c r="H392" s="126">
        <f t="shared" si="19"/>
        <v>12.4</v>
      </c>
      <c r="I392" s="126" t="str">
        <f t="shared" si="20"/>
        <v>0y 0d 0h 0m</v>
      </c>
    </row>
    <row r="393" s="91" customFormat="1" spans="1:9">
      <c r="A393" s="91" t="str">
        <f t="shared" si="18"/>
        <v>Sc-52</v>
      </c>
      <c r="B393" s="91" t="s">
        <v>963</v>
      </c>
      <c r="C393" s="91" t="s">
        <v>942</v>
      </c>
      <c r="D393" s="91">
        <v>21</v>
      </c>
      <c r="E393" s="91">
        <v>52</v>
      </c>
      <c r="F393" s="91">
        <v>0</v>
      </c>
      <c r="G393" s="126">
        <v>0.084530143970725</v>
      </c>
      <c r="H393" s="126">
        <f t="shared" si="19"/>
        <v>8.2</v>
      </c>
      <c r="I393" s="126" t="str">
        <f t="shared" si="20"/>
        <v>0y 0d 0h 0m</v>
      </c>
    </row>
    <row r="394" s="91" customFormat="1" spans="1:9">
      <c r="A394" s="91" t="str">
        <f t="shared" si="18"/>
        <v>Sc-53</v>
      </c>
      <c r="B394" s="91" t="s">
        <v>964</v>
      </c>
      <c r="C394" s="91" t="s">
        <v>942</v>
      </c>
      <c r="D394" s="91">
        <v>21</v>
      </c>
      <c r="E394" s="91">
        <v>53</v>
      </c>
      <c r="F394" s="91">
        <v>0</v>
      </c>
      <c r="G394" s="126">
        <v>0.231049060186648</v>
      </c>
      <c r="H394" s="126">
        <f t="shared" si="19"/>
        <v>3.00000000000001</v>
      </c>
      <c r="I394" s="126" t="str">
        <f t="shared" si="20"/>
        <v>0y 0d 0h 0m</v>
      </c>
    </row>
    <row r="395" s="91" customFormat="1" spans="1:9">
      <c r="A395" s="91" t="str">
        <f t="shared" si="18"/>
        <v>Sc-54</v>
      </c>
      <c r="B395" s="91" t="s">
        <v>965</v>
      </c>
      <c r="C395" s="91" t="s">
        <v>942</v>
      </c>
      <c r="D395" s="91">
        <v>21</v>
      </c>
      <c r="E395" s="91">
        <v>54</v>
      </c>
      <c r="F395" s="91">
        <v>0</v>
      </c>
      <c r="G395" s="126">
        <v>1.92540883488873</v>
      </c>
      <c r="H395" s="126">
        <f t="shared" si="19"/>
        <v>0.360000000000001</v>
      </c>
      <c r="I395" s="126" t="str">
        <f t="shared" si="20"/>
        <v>0y 0d 0h 0m</v>
      </c>
    </row>
    <row r="396" s="91" customFormat="1" spans="1:9">
      <c r="A396" s="91" t="str">
        <f t="shared" si="18"/>
        <v>Sc-55</v>
      </c>
      <c r="B396" s="91" t="s">
        <v>966</v>
      </c>
      <c r="C396" s="91" t="s">
        <v>942</v>
      </c>
      <c r="D396" s="91">
        <v>21</v>
      </c>
      <c r="E396" s="91">
        <v>55</v>
      </c>
      <c r="F396" s="91">
        <v>0</v>
      </c>
      <c r="G396" s="126">
        <v>6.60140171961852</v>
      </c>
      <c r="H396" s="126">
        <f t="shared" si="19"/>
        <v>0.105</v>
      </c>
      <c r="I396" s="126" t="str">
        <f t="shared" si="20"/>
        <v>0y 0d 0h 0m</v>
      </c>
    </row>
    <row r="397" s="91" customFormat="1" spans="1:9">
      <c r="A397" s="91" t="str">
        <f t="shared" si="18"/>
        <v>Sc-56</v>
      </c>
      <c r="B397" s="91" t="s">
        <v>967</v>
      </c>
      <c r="C397" s="91" t="s">
        <v>942</v>
      </c>
      <c r="D397" s="91">
        <v>21</v>
      </c>
      <c r="E397" s="91">
        <v>56</v>
      </c>
      <c r="F397" s="91">
        <v>0</v>
      </c>
      <c r="G397" s="126">
        <v>11.5524530093324</v>
      </c>
      <c r="H397" s="126">
        <f t="shared" si="19"/>
        <v>0.0600000000000001</v>
      </c>
      <c r="I397" s="126" t="str">
        <f t="shared" si="20"/>
        <v>0y 0d 0h 0m</v>
      </c>
    </row>
    <row r="398" s="91" customFormat="1" spans="1:9">
      <c r="A398" s="91" t="str">
        <f t="shared" si="18"/>
        <v>Sc-57</v>
      </c>
      <c r="B398" s="91" t="s">
        <v>968</v>
      </c>
      <c r="C398" s="91" t="s">
        <v>942</v>
      </c>
      <c r="D398" s="91">
        <v>21</v>
      </c>
      <c r="E398" s="91">
        <v>57</v>
      </c>
      <c r="F398" s="91">
        <v>0</v>
      </c>
      <c r="G398" s="126">
        <v>53.3190138892265</v>
      </c>
      <c r="H398" s="126">
        <f t="shared" si="19"/>
        <v>0.013</v>
      </c>
      <c r="I398" s="126" t="str">
        <f t="shared" si="20"/>
        <v>0y 0d 0h 0m</v>
      </c>
    </row>
    <row r="399" s="91" customFormat="1" spans="1:9">
      <c r="A399" s="91" t="str">
        <f t="shared" si="18"/>
        <v>Sc-58</v>
      </c>
      <c r="B399" s="91" t="s">
        <v>969</v>
      </c>
      <c r="C399" s="91" t="s">
        <v>942</v>
      </c>
      <c r="D399" s="91">
        <v>21</v>
      </c>
      <c r="E399" s="91">
        <v>58</v>
      </c>
      <c r="F399" s="91">
        <v>0</v>
      </c>
      <c r="G399" s="126">
        <v>57.7622650466621</v>
      </c>
      <c r="H399" s="126">
        <f t="shared" si="19"/>
        <v>0.012</v>
      </c>
      <c r="I399" s="126" t="str">
        <f t="shared" si="20"/>
        <v>0y 0d 0h 0m</v>
      </c>
    </row>
    <row r="400" s="91" customFormat="1" spans="1:9">
      <c r="A400" s="91" t="str">
        <f t="shared" si="18"/>
        <v>Sc-59</v>
      </c>
      <c r="B400" s="91" t="s">
        <v>970</v>
      </c>
      <c r="C400" s="91" t="s">
        <v>942</v>
      </c>
      <c r="D400" s="91">
        <v>21</v>
      </c>
      <c r="E400" s="91">
        <v>59</v>
      </c>
      <c r="F400" s="91">
        <v>0</v>
      </c>
      <c r="G400" s="126">
        <v>69.3147180559945</v>
      </c>
      <c r="H400" s="126">
        <f t="shared" si="19"/>
        <v>0.01</v>
      </c>
      <c r="I400" s="126" t="str">
        <f t="shared" si="20"/>
        <v>0y 0d 0h 0m</v>
      </c>
    </row>
    <row r="401" s="91" customFormat="1" spans="1:9">
      <c r="A401" s="91" t="str">
        <f t="shared" si="18"/>
        <v>Sc-60</v>
      </c>
      <c r="B401" s="91" t="s">
        <v>971</v>
      </c>
      <c r="C401" s="91" t="s">
        <v>942</v>
      </c>
      <c r="D401" s="91">
        <v>21</v>
      </c>
      <c r="E401" s="91">
        <v>60</v>
      </c>
      <c r="F401" s="91">
        <v>0</v>
      </c>
      <c r="G401" s="126">
        <v>231.049060186648</v>
      </c>
      <c r="H401" s="126">
        <f t="shared" si="19"/>
        <v>0.00300000000000001</v>
      </c>
      <c r="I401" s="126" t="str">
        <f t="shared" si="20"/>
        <v>0y 0d 0h 0m</v>
      </c>
    </row>
    <row r="402" s="91" customFormat="1" spans="1:9">
      <c r="A402" s="91" t="str">
        <f t="shared" si="18"/>
        <v>Ti-38</v>
      </c>
      <c r="B402" s="91" t="s">
        <v>972</v>
      </c>
      <c r="C402" s="91" t="s">
        <v>973</v>
      </c>
      <c r="D402" s="91">
        <v>22</v>
      </c>
      <c r="E402" s="91">
        <v>38</v>
      </c>
      <c r="F402" s="91">
        <v>0</v>
      </c>
      <c r="G402" s="126">
        <v>5776226.50466621</v>
      </c>
      <c r="H402" s="126">
        <f t="shared" si="19"/>
        <v>1.2e-7</v>
      </c>
      <c r="I402" s="126" t="str">
        <f t="shared" si="20"/>
        <v>0y 0d 0h 0m</v>
      </c>
    </row>
    <row r="403" s="91" customFormat="1" spans="1:9">
      <c r="A403" s="91" t="str">
        <f t="shared" si="18"/>
        <v>Ti-39</v>
      </c>
      <c r="B403" s="91" t="s">
        <v>974</v>
      </c>
      <c r="C403" s="91" t="s">
        <v>973</v>
      </c>
      <c r="D403" s="91">
        <v>22</v>
      </c>
      <c r="E403" s="91">
        <v>39</v>
      </c>
      <c r="F403" s="91">
        <v>0</v>
      </c>
      <c r="G403" s="126">
        <v>21.6608493924982</v>
      </c>
      <c r="H403" s="126">
        <f t="shared" si="19"/>
        <v>0.0320000000000001</v>
      </c>
      <c r="I403" s="126" t="str">
        <f t="shared" si="20"/>
        <v>0y 0d 0h 0m</v>
      </c>
    </row>
    <row r="404" s="91" customFormat="1" spans="1:9">
      <c r="A404" s="91" t="str">
        <f t="shared" si="18"/>
        <v>Ti-40</v>
      </c>
      <c r="B404" s="91" t="s">
        <v>975</v>
      </c>
      <c r="C404" s="91" t="s">
        <v>973</v>
      </c>
      <c r="D404" s="91">
        <v>22</v>
      </c>
      <c r="E404" s="91">
        <v>40</v>
      </c>
      <c r="F404" s="91">
        <v>0</v>
      </c>
      <c r="G404" s="126">
        <v>13.0046375339576</v>
      </c>
      <c r="H404" s="126">
        <f t="shared" si="19"/>
        <v>0.0533000000000004</v>
      </c>
      <c r="I404" s="126" t="str">
        <f t="shared" si="20"/>
        <v>0y 0d 0h 0m</v>
      </c>
    </row>
    <row r="405" s="91" customFormat="1" spans="1:9">
      <c r="A405" s="91" t="str">
        <f t="shared" si="18"/>
        <v>Ti-41</v>
      </c>
      <c r="B405" s="91" t="s">
        <v>976</v>
      </c>
      <c r="C405" s="91" t="s">
        <v>973</v>
      </c>
      <c r="D405" s="91">
        <v>22</v>
      </c>
      <c r="E405" s="91">
        <v>41</v>
      </c>
      <c r="F405" s="91">
        <v>0</v>
      </c>
      <c r="G405" s="126">
        <v>8.62123358905404</v>
      </c>
      <c r="H405" s="126">
        <f t="shared" si="19"/>
        <v>0.0804000000000001</v>
      </c>
      <c r="I405" s="126" t="str">
        <f t="shared" si="20"/>
        <v>0y 0d 0h 0m</v>
      </c>
    </row>
    <row r="406" s="91" customFormat="1" spans="1:9">
      <c r="A406" s="91" t="str">
        <f t="shared" si="18"/>
        <v>Ti-42</v>
      </c>
      <c r="B406" s="91" t="s">
        <v>977</v>
      </c>
      <c r="C406" s="91" t="s">
        <v>973</v>
      </c>
      <c r="D406" s="91">
        <v>22</v>
      </c>
      <c r="E406" s="91">
        <v>42</v>
      </c>
      <c r="F406" s="91">
        <v>0</v>
      </c>
      <c r="G406" s="126">
        <v>3.48315166110525</v>
      </c>
      <c r="H406" s="126">
        <f t="shared" si="19"/>
        <v>0.199</v>
      </c>
      <c r="I406" s="126" t="str">
        <f t="shared" si="20"/>
        <v>0y 0d 0h 0m</v>
      </c>
    </row>
    <row r="407" s="91" customFormat="1" spans="1:9">
      <c r="A407" s="91" t="str">
        <f t="shared" si="18"/>
        <v>Ti-43</v>
      </c>
      <c r="B407" s="91" t="s">
        <v>978</v>
      </c>
      <c r="C407" s="91" t="s">
        <v>973</v>
      </c>
      <c r="D407" s="91">
        <v>22</v>
      </c>
      <c r="E407" s="91">
        <v>43</v>
      </c>
      <c r="F407" s="91">
        <v>0</v>
      </c>
      <c r="G407" s="126">
        <v>1.36178228007847</v>
      </c>
      <c r="H407" s="126">
        <f t="shared" si="19"/>
        <v>0.509000000000003</v>
      </c>
      <c r="I407" s="126" t="str">
        <f t="shared" si="20"/>
        <v>0y 0d 0h 0m</v>
      </c>
    </row>
    <row r="408" s="91" customFormat="1" spans="1:9">
      <c r="A408" s="91" t="str">
        <f t="shared" si="18"/>
        <v>Ti-44</v>
      </c>
      <c r="B408" s="91" t="s">
        <v>979</v>
      </c>
      <c r="C408" s="91" t="s">
        <v>973</v>
      </c>
      <c r="D408" s="91">
        <v>22</v>
      </c>
      <c r="E408" s="91">
        <v>44</v>
      </c>
      <c r="F408" s="91">
        <v>0</v>
      </c>
      <c r="G408" s="126">
        <v>3.66074372080712e-10</v>
      </c>
      <c r="H408" s="126">
        <f t="shared" si="19"/>
        <v>1893460000</v>
      </c>
      <c r="I408" s="126" t="str">
        <f t="shared" si="20"/>
        <v>60y 15d 1h 6m</v>
      </c>
    </row>
    <row r="409" s="91" customFormat="1" spans="1:9">
      <c r="A409" s="91" t="str">
        <f t="shared" si="18"/>
        <v>Ti-45</v>
      </c>
      <c r="B409" s="91" t="s">
        <v>980</v>
      </c>
      <c r="C409" s="91" t="s">
        <v>973</v>
      </c>
      <c r="D409" s="91">
        <v>22</v>
      </c>
      <c r="E409" s="91">
        <v>45</v>
      </c>
      <c r="F409" s="91">
        <v>0</v>
      </c>
      <c r="G409" s="126">
        <v>6.25132738600239e-5</v>
      </c>
      <c r="H409" s="126">
        <f t="shared" si="19"/>
        <v>11088</v>
      </c>
      <c r="I409" s="126" t="str">
        <f t="shared" si="20"/>
        <v>0y 0d 3h 4m</v>
      </c>
    </row>
    <row r="410" s="91" customFormat="1" spans="1:9">
      <c r="A410" s="91" t="str">
        <f t="shared" si="18"/>
        <v>Ti-46</v>
      </c>
      <c r="B410" s="91" t="s">
        <v>981</v>
      </c>
      <c r="C410" s="91" t="s">
        <v>973</v>
      </c>
      <c r="D410" s="91">
        <v>22</v>
      </c>
      <c r="E410" s="91">
        <v>46</v>
      </c>
      <c r="F410" s="91">
        <v>0</v>
      </c>
      <c r="G410" s="126">
        <v>0</v>
      </c>
      <c r="H410" s="126">
        <f t="shared" si="19"/>
        <v>0</v>
      </c>
      <c r="I410" s="126" t="str">
        <f t="shared" si="20"/>
        <v>0y 0d 0h 0m</v>
      </c>
    </row>
    <row r="411" s="91" customFormat="1" spans="1:9">
      <c r="A411" s="91" t="str">
        <f t="shared" si="18"/>
        <v>Ti-47</v>
      </c>
      <c r="B411" s="91" t="s">
        <v>982</v>
      </c>
      <c r="C411" s="91" t="s">
        <v>973</v>
      </c>
      <c r="D411" s="91">
        <v>22</v>
      </c>
      <c r="E411" s="91">
        <v>47</v>
      </c>
      <c r="F411" s="91">
        <v>0</v>
      </c>
      <c r="G411" s="126">
        <v>0</v>
      </c>
      <c r="H411" s="126">
        <f t="shared" si="19"/>
        <v>0</v>
      </c>
      <c r="I411" s="126" t="str">
        <f t="shared" si="20"/>
        <v>0y 0d 0h 0m</v>
      </c>
    </row>
    <row r="412" s="91" customFormat="1" spans="1:9">
      <c r="A412" s="91" t="str">
        <f t="shared" si="18"/>
        <v>Ti-48</v>
      </c>
      <c r="B412" s="91" t="s">
        <v>983</v>
      </c>
      <c r="C412" s="91" t="s">
        <v>973</v>
      </c>
      <c r="D412" s="91">
        <v>22</v>
      </c>
      <c r="E412" s="91">
        <v>48</v>
      </c>
      <c r="F412" s="91">
        <v>0</v>
      </c>
      <c r="G412" s="126">
        <v>0</v>
      </c>
      <c r="H412" s="126">
        <f t="shared" si="19"/>
        <v>0</v>
      </c>
      <c r="I412" s="126" t="str">
        <f t="shared" si="20"/>
        <v>0y 0d 0h 0m</v>
      </c>
    </row>
    <row r="413" s="91" customFormat="1" spans="1:9">
      <c r="A413" s="91" t="str">
        <f t="shared" si="18"/>
        <v>Ti-49</v>
      </c>
      <c r="B413" s="91" t="s">
        <v>984</v>
      </c>
      <c r="C413" s="91" t="s">
        <v>973</v>
      </c>
      <c r="D413" s="91">
        <v>22</v>
      </c>
      <c r="E413" s="91">
        <v>49</v>
      </c>
      <c r="F413" s="91">
        <v>0</v>
      </c>
      <c r="G413" s="126">
        <v>0</v>
      </c>
      <c r="H413" s="126">
        <f t="shared" si="19"/>
        <v>0</v>
      </c>
      <c r="I413" s="126" t="str">
        <f t="shared" si="20"/>
        <v>0y 0d 0h 0m</v>
      </c>
    </row>
    <row r="414" s="91" customFormat="1" spans="1:9">
      <c r="A414" s="91" t="str">
        <f t="shared" si="18"/>
        <v>Ti-50</v>
      </c>
      <c r="B414" s="91" t="s">
        <v>985</v>
      </c>
      <c r="C414" s="91" t="s">
        <v>973</v>
      </c>
      <c r="D414" s="91">
        <v>22</v>
      </c>
      <c r="E414" s="91">
        <v>50</v>
      </c>
      <c r="F414" s="91">
        <v>0</v>
      </c>
      <c r="G414" s="126">
        <v>0</v>
      </c>
      <c r="H414" s="126">
        <f t="shared" si="19"/>
        <v>0</v>
      </c>
      <c r="I414" s="126" t="str">
        <f t="shared" si="20"/>
        <v>0y 0d 0h 0m</v>
      </c>
    </row>
    <row r="415" s="91" customFormat="1" spans="1:9">
      <c r="A415" s="91" t="str">
        <f t="shared" si="18"/>
        <v>Ti-51</v>
      </c>
      <c r="B415" s="91" t="s">
        <v>986</v>
      </c>
      <c r="C415" s="91" t="s">
        <v>973</v>
      </c>
      <c r="D415" s="91">
        <v>22</v>
      </c>
      <c r="E415" s="91">
        <v>51</v>
      </c>
      <c r="F415" s="91">
        <v>0</v>
      </c>
      <c r="G415" s="126">
        <v>0.0020056342030091</v>
      </c>
      <c r="H415" s="126">
        <f t="shared" si="19"/>
        <v>345.6</v>
      </c>
      <c r="I415" s="126" t="str">
        <f t="shared" si="20"/>
        <v>0y 0d 0h 5m</v>
      </c>
    </row>
    <row r="416" s="91" customFormat="1" spans="1:9">
      <c r="A416" s="91" t="str">
        <f t="shared" si="18"/>
        <v>Ti-52</v>
      </c>
      <c r="B416" s="91" t="s">
        <v>987</v>
      </c>
      <c r="C416" s="91" t="s">
        <v>973</v>
      </c>
      <c r="D416" s="91">
        <v>22</v>
      </c>
      <c r="E416" s="91">
        <v>52</v>
      </c>
      <c r="F416" s="91">
        <v>0</v>
      </c>
      <c r="G416" s="126">
        <v>0.00679556059372495</v>
      </c>
      <c r="H416" s="126">
        <f t="shared" si="19"/>
        <v>102</v>
      </c>
      <c r="I416" s="126" t="str">
        <f t="shared" si="20"/>
        <v>0y 0d 0h 1m</v>
      </c>
    </row>
    <row r="417" s="91" customFormat="1" spans="1:9">
      <c r="A417" s="91" t="str">
        <f t="shared" si="18"/>
        <v>Ti-53</v>
      </c>
      <c r="B417" s="91" t="s">
        <v>988</v>
      </c>
      <c r="C417" s="91" t="s">
        <v>973</v>
      </c>
      <c r="D417" s="91">
        <v>22</v>
      </c>
      <c r="E417" s="91">
        <v>53</v>
      </c>
      <c r="F417" s="91">
        <v>0</v>
      </c>
      <c r="G417" s="126">
        <v>0.0211971614850136</v>
      </c>
      <c r="H417" s="126">
        <f t="shared" si="19"/>
        <v>32.7</v>
      </c>
      <c r="I417" s="126" t="str">
        <f t="shared" si="20"/>
        <v>0y 0d 0h 0m</v>
      </c>
    </row>
    <row r="418" s="91" customFormat="1" spans="1:9">
      <c r="A418" s="91" t="str">
        <f t="shared" si="18"/>
        <v>Ti-54</v>
      </c>
      <c r="B418" s="91" t="s">
        <v>989</v>
      </c>
      <c r="C418" s="91" t="s">
        <v>973</v>
      </c>
      <c r="D418" s="91">
        <v>22</v>
      </c>
      <c r="E418" s="91">
        <v>54</v>
      </c>
      <c r="F418" s="91">
        <v>0</v>
      </c>
      <c r="G418" s="126">
        <v>0.462098120373296</v>
      </c>
      <c r="H418" s="126">
        <f t="shared" si="19"/>
        <v>1.5</v>
      </c>
      <c r="I418" s="126" t="str">
        <f t="shared" si="20"/>
        <v>0y 0d 0h 0m</v>
      </c>
    </row>
    <row r="419" s="91" customFormat="1" spans="1:9">
      <c r="A419" s="91" t="str">
        <f t="shared" si="18"/>
        <v>Ti-55</v>
      </c>
      <c r="B419" s="91" t="s">
        <v>990</v>
      </c>
      <c r="C419" s="91" t="s">
        <v>973</v>
      </c>
      <c r="D419" s="91">
        <v>22</v>
      </c>
      <c r="E419" s="91">
        <v>55</v>
      </c>
      <c r="F419" s="91">
        <v>0</v>
      </c>
      <c r="G419" s="126">
        <v>0.533190138892265</v>
      </c>
      <c r="H419" s="126">
        <f t="shared" si="19"/>
        <v>1.3</v>
      </c>
      <c r="I419" s="126" t="str">
        <f t="shared" si="20"/>
        <v>0y 0d 0h 0m</v>
      </c>
    </row>
    <row r="420" s="91" customFormat="1" spans="1:9">
      <c r="A420" s="91" t="str">
        <f t="shared" si="18"/>
        <v>Ti-56</v>
      </c>
      <c r="B420" s="91" t="s">
        <v>991</v>
      </c>
      <c r="C420" s="91" t="s">
        <v>973</v>
      </c>
      <c r="D420" s="91">
        <v>22</v>
      </c>
      <c r="E420" s="91">
        <v>56</v>
      </c>
      <c r="F420" s="91">
        <v>0</v>
      </c>
      <c r="G420" s="126">
        <v>3.46573590279972</v>
      </c>
      <c r="H420" s="126">
        <f t="shared" si="19"/>
        <v>0.2</v>
      </c>
      <c r="I420" s="126" t="str">
        <f t="shared" si="20"/>
        <v>0y 0d 0h 0m</v>
      </c>
    </row>
    <row r="421" s="91" customFormat="1" spans="1:9">
      <c r="A421" s="91" t="str">
        <f t="shared" si="18"/>
        <v>Ti-57</v>
      </c>
      <c r="B421" s="91" t="s">
        <v>992</v>
      </c>
      <c r="C421" s="91" t="s">
        <v>973</v>
      </c>
      <c r="D421" s="91">
        <v>22</v>
      </c>
      <c r="E421" s="91">
        <v>57</v>
      </c>
      <c r="F421" s="91">
        <v>0</v>
      </c>
      <c r="G421" s="126">
        <v>11.5524530093324</v>
      </c>
      <c r="H421" s="126">
        <f t="shared" si="19"/>
        <v>0.0600000000000001</v>
      </c>
      <c r="I421" s="126" t="str">
        <f t="shared" si="20"/>
        <v>0y 0d 0h 0m</v>
      </c>
    </row>
    <row r="422" s="91" customFormat="1" spans="1:9">
      <c r="A422" s="91" t="str">
        <f t="shared" si="18"/>
        <v>Ti-58</v>
      </c>
      <c r="B422" s="91" t="s">
        <v>993</v>
      </c>
      <c r="C422" s="91" t="s">
        <v>973</v>
      </c>
      <c r="D422" s="91">
        <v>22</v>
      </c>
      <c r="E422" s="91">
        <v>58</v>
      </c>
      <c r="F422" s="91">
        <v>0</v>
      </c>
      <c r="G422" s="126">
        <v>11.7482572976261</v>
      </c>
      <c r="H422" s="126">
        <f t="shared" si="19"/>
        <v>0.0590000000000005</v>
      </c>
      <c r="I422" s="126" t="str">
        <f t="shared" si="20"/>
        <v>0y 0d 0h 0m</v>
      </c>
    </row>
    <row r="423" s="91" customFormat="1" spans="1:9">
      <c r="A423" s="91" t="str">
        <f t="shared" si="18"/>
        <v>Ti-59</v>
      </c>
      <c r="B423" s="91" t="s">
        <v>994</v>
      </c>
      <c r="C423" s="91" t="s">
        <v>973</v>
      </c>
      <c r="D423" s="91">
        <v>22</v>
      </c>
      <c r="E423" s="91">
        <v>59</v>
      </c>
      <c r="F423" s="91">
        <v>0</v>
      </c>
      <c r="G423" s="126">
        <v>23.1049060186648</v>
      </c>
      <c r="H423" s="126">
        <f t="shared" si="19"/>
        <v>0.0300000000000001</v>
      </c>
      <c r="I423" s="126" t="str">
        <f t="shared" si="20"/>
        <v>0y 0d 0h 0m</v>
      </c>
    </row>
    <row r="424" s="91" customFormat="1" spans="1:9">
      <c r="A424" s="91" t="str">
        <f t="shared" si="18"/>
        <v>Ti-60</v>
      </c>
      <c r="B424" s="91" t="s">
        <v>995</v>
      </c>
      <c r="C424" s="91" t="s">
        <v>973</v>
      </c>
      <c r="D424" s="91">
        <v>22</v>
      </c>
      <c r="E424" s="91">
        <v>60</v>
      </c>
      <c r="F424" s="91">
        <v>0</v>
      </c>
      <c r="G424" s="126">
        <v>31.506690025452</v>
      </c>
      <c r="H424" s="126">
        <f t="shared" si="19"/>
        <v>0.022</v>
      </c>
      <c r="I424" s="126" t="str">
        <f t="shared" si="20"/>
        <v>0y 0d 0h 0m</v>
      </c>
    </row>
    <row r="425" s="91" customFormat="1" spans="1:9">
      <c r="A425" s="91" t="str">
        <f t="shared" si="18"/>
        <v>Ti-61</v>
      </c>
      <c r="B425" s="91" t="s">
        <v>996</v>
      </c>
      <c r="C425" s="91" t="s">
        <v>973</v>
      </c>
      <c r="D425" s="91">
        <v>22</v>
      </c>
      <c r="E425" s="91">
        <v>61</v>
      </c>
      <c r="F425" s="91">
        <v>0</v>
      </c>
      <c r="G425" s="126">
        <v>2310490.60186648</v>
      </c>
      <c r="H425" s="126">
        <f t="shared" si="19"/>
        <v>3.00000000000001e-7</v>
      </c>
      <c r="I425" s="126" t="str">
        <f t="shared" si="20"/>
        <v>0y 0d 0h 0m</v>
      </c>
    </row>
    <row r="426" s="91" customFormat="1" spans="1:9">
      <c r="A426" s="91" t="str">
        <f t="shared" si="18"/>
        <v>Ti-62</v>
      </c>
      <c r="B426" s="91" t="s">
        <v>997</v>
      </c>
      <c r="C426" s="91" t="s">
        <v>973</v>
      </c>
      <c r="D426" s="91">
        <v>22</v>
      </c>
      <c r="E426" s="91">
        <v>62</v>
      </c>
      <c r="F426" s="91">
        <v>0</v>
      </c>
      <c r="G426" s="126">
        <v>69.3147180559945</v>
      </c>
      <c r="H426" s="126">
        <f t="shared" si="19"/>
        <v>0.01</v>
      </c>
      <c r="I426" s="126" t="str">
        <f t="shared" si="20"/>
        <v>0y 0d 0h 0m</v>
      </c>
    </row>
    <row r="427" s="91" customFormat="1" spans="1:9">
      <c r="A427" s="91" t="str">
        <f t="shared" si="18"/>
        <v>Ti-63</v>
      </c>
      <c r="B427" s="91" t="s">
        <v>998</v>
      </c>
      <c r="C427" s="91" t="s">
        <v>973</v>
      </c>
      <c r="D427" s="91">
        <v>22</v>
      </c>
      <c r="E427" s="91">
        <v>63</v>
      </c>
      <c r="F427" s="91">
        <v>0</v>
      </c>
      <c r="G427" s="126">
        <v>231.049060186648</v>
      </c>
      <c r="H427" s="126">
        <f t="shared" si="19"/>
        <v>0.00300000000000001</v>
      </c>
      <c r="I427" s="126" t="str">
        <f t="shared" si="20"/>
        <v>0y 0d 0h 0m</v>
      </c>
    </row>
    <row r="428" s="91" customFormat="1" spans="1:9">
      <c r="A428" s="91" t="str">
        <f t="shared" si="18"/>
        <v>V-40</v>
      </c>
      <c r="B428" s="91" t="s">
        <v>999</v>
      </c>
      <c r="C428" s="91" t="s">
        <v>1000</v>
      </c>
      <c r="D428" s="91">
        <v>23</v>
      </c>
      <c r="E428" s="91">
        <v>40</v>
      </c>
      <c r="F428" s="91">
        <v>0</v>
      </c>
      <c r="G428" s="126">
        <v>90.0191143584344</v>
      </c>
      <c r="H428" s="126">
        <f t="shared" si="19"/>
        <v>0.00770000000000001</v>
      </c>
      <c r="I428" s="126" t="str">
        <f t="shared" si="20"/>
        <v>0y 0d 0h 0m</v>
      </c>
    </row>
    <row r="429" s="91" customFormat="1" spans="1:9">
      <c r="A429" s="91" t="str">
        <f t="shared" si="18"/>
        <v>V-41</v>
      </c>
      <c r="B429" s="91" t="s">
        <v>1001</v>
      </c>
      <c r="C429" s="91" t="s">
        <v>1000</v>
      </c>
      <c r="D429" s="91">
        <v>23</v>
      </c>
      <c r="E429" s="91">
        <v>41</v>
      </c>
      <c r="F429" s="91">
        <v>0</v>
      </c>
      <c r="G429" s="126">
        <v>28.4076713344239</v>
      </c>
      <c r="H429" s="126">
        <f t="shared" si="19"/>
        <v>0.0244000000000001</v>
      </c>
      <c r="I429" s="126" t="str">
        <f t="shared" si="20"/>
        <v>0y 0d 0h 0m</v>
      </c>
    </row>
    <row r="430" s="91" customFormat="1" spans="1:9">
      <c r="A430" s="91" t="str">
        <f t="shared" si="18"/>
        <v>V-42</v>
      </c>
      <c r="B430" s="91" t="s">
        <v>1002</v>
      </c>
      <c r="C430" s="91" t="s">
        <v>1000</v>
      </c>
      <c r="D430" s="91">
        <v>23</v>
      </c>
      <c r="E430" s="91">
        <v>42</v>
      </c>
      <c r="F430" s="91">
        <v>0</v>
      </c>
      <c r="G430" s="126">
        <v>12602676.0101808</v>
      </c>
      <c r="H430" s="126">
        <f t="shared" si="19"/>
        <v>5.50000000000001e-8</v>
      </c>
      <c r="I430" s="126" t="str">
        <f t="shared" si="20"/>
        <v>0y 0d 0h 0m</v>
      </c>
    </row>
    <row r="431" s="91" customFormat="1" spans="1:9">
      <c r="A431" s="91" t="str">
        <f t="shared" si="18"/>
        <v>V-43</v>
      </c>
      <c r="B431" s="91" t="s">
        <v>1003</v>
      </c>
      <c r="C431" s="91" t="s">
        <v>1000</v>
      </c>
      <c r="D431" s="91">
        <v>23</v>
      </c>
      <c r="E431" s="91">
        <v>43</v>
      </c>
      <c r="F431" s="91">
        <v>0</v>
      </c>
      <c r="G431" s="126">
        <v>0.866433975699931</v>
      </c>
      <c r="H431" s="126">
        <f t="shared" si="19"/>
        <v>0.800000000000001</v>
      </c>
      <c r="I431" s="126" t="str">
        <f t="shared" si="20"/>
        <v>0y 0d 0h 0m</v>
      </c>
    </row>
    <row r="432" s="91" customFormat="1" spans="1:9">
      <c r="A432" s="91" t="str">
        <f t="shared" si="18"/>
        <v>V-44</v>
      </c>
      <c r="B432" s="91" t="s">
        <v>1004</v>
      </c>
      <c r="C432" s="91" t="s">
        <v>1000</v>
      </c>
      <c r="D432" s="91">
        <v>23</v>
      </c>
      <c r="E432" s="91">
        <v>44</v>
      </c>
      <c r="F432" s="91">
        <v>0</v>
      </c>
      <c r="G432" s="126">
        <v>6.24456919423374</v>
      </c>
      <c r="H432" s="126">
        <f t="shared" si="19"/>
        <v>0.111</v>
      </c>
      <c r="I432" s="126" t="str">
        <f t="shared" si="20"/>
        <v>0y 0d 0h 0m</v>
      </c>
    </row>
    <row r="433" s="91" customFormat="1" spans="1:9">
      <c r="A433" s="91" t="str">
        <f t="shared" si="18"/>
        <v>V-44m</v>
      </c>
      <c r="B433" s="91" t="s">
        <v>1005</v>
      </c>
      <c r="C433" s="91" t="s">
        <v>1000</v>
      </c>
      <c r="D433" s="91">
        <v>23</v>
      </c>
      <c r="E433" s="91">
        <v>44</v>
      </c>
      <c r="F433" s="91">
        <v>1</v>
      </c>
      <c r="G433" s="126">
        <v>4.62098120373296</v>
      </c>
      <c r="H433" s="126">
        <f t="shared" si="19"/>
        <v>0.15</v>
      </c>
      <c r="I433" s="126" t="str">
        <f t="shared" si="20"/>
        <v>0y 0d 0h 0m</v>
      </c>
    </row>
    <row r="434" s="91" customFormat="1" spans="1:9">
      <c r="A434" s="91" t="str">
        <f t="shared" si="18"/>
        <v>V-45</v>
      </c>
      <c r="B434" s="91" t="s">
        <v>1006</v>
      </c>
      <c r="C434" s="91" t="s">
        <v>1000</v>
      </c>
      <c r="D434" s="91">
        <v>23</v>
      </c>
      <c r="E434" s="91">
        <v>45</v>
      </c>
      <c r="F434" s="91">
        <v>0</v>
      </c>
      <c r="G434" s="126">
        <v>1.26717948914066</v>
      </c>
      <c r="H434" s="126">
        <f t="shared" si="19"/>
        <v>0.547000000000003</v>
      </c>
      <c r="I434" s="126" t="str">
        <f t="shared" si="20"/>
        <v>0y 0d 0h 0m</v>
      </c>
    </row>
    <row r="435" s="91" customFormat="1" spans="1:9">
      <c r="A435" s="91" t="str">
        <f t="shared" si="18"/>
        <v>V-46</v>
      </c>
      <c r="B435" s="91" t="s">
        <v>1007</v>
      </c>
      <c r="C435" s="91" t="s">
        <v>1000</v>
      </c>
      <c r="D435" s="91">
        <v>23</v>
      </c>
      <c r="E435" s="91">
        <v>46</v>
      </c>
      <c r="F435" s="91">
        <v>0</v>
      </c>
      <c r="G435" s="126">
        <v>1.64058504274543</v>
      </c>
      <c r="H435" s="126">
        <f t="shared" si="19"/>
        <v>0.422500000000001</v>
      </c>
      <c r="I435" s="126" t="str">
        <f t="shared" si="20"/>
        <v>0y 0d 0h 0m</v>
      </c>
    </row>
    <row r="436" s="91" customFormat="1" spans="1:9">
      <c r="A436" s="91" t="str">
        <f t="shared" si="18"/>
        <v>V-46m</v>
      </c>
      <c r="B436" s="91" t="s">
        <v>1008</v>
      </c>
      <c r="C436" s="91" t="s">
        <v>1000</v>
      </c>
      <c r="D436" s="91">
        <v>23</v>
      </c>
      <c r="E436" s="91">
        <v>46</v>
      </c>
      <c r="F436" s="91">
        <v>1</v>
      </c>
      <c r="G436" s="126">
        <v>679.556059372495</v>
      </c>
      <c r="H436" s="126">
        <f t="shared" si="19"/>
        <v>0.00102</v>
      </c>
      <c r="I436" s="126" t="str">
        <f t="shared" si="20"/>
        <v>0y 0d 0h 0m</v>
      </c>
    </row>
    <row r="437" s="91" customFormat="1" spans="1:9">
      <c r="A437" s="91" t="str">
        <f t="shared" si="18"/>
        <v>V-47</v>
      </c>
      <c r="B437" s="91" t="s">
        <v>1009</v>
      </c>
      <c r="C437" s="91" t="s">
        <v>1000</v>
      </c>
      <c r="D437" s="91">
        <v>23</v>
      </c>
      <c r="E437" s="91">
        <v>47</v>
      </c>
      <c r="F437" s="91">
        <v>0</v>
      </c>
      <c r="G437" s="126">
        <v>0.00035436972421265</v>
      </c>
      <c r="H437" s="126">
        <f t="shared" si="19"/>
        <v>1956.00000000001</v>
      </c>
      <c r="I437" s="126" t="str">
        <f t="shared" si="20"/>
        <v>0y 0d 0h 32m</v>
      </c>
    </row>
    <row r="438" s="91" customFormat="1" spans="1:9">
      <c r="A438" s="91" t="str">
        <f t="shared" si="18"/>
        <v>V-48</v>
      </c>
      <c r="B438" s="91" t="s">
        <v>1010</v>
      </c>
      <c r="C438" s="91" t="s">
        <v>1000</v>
      </c>
      <c r="D438" s="91">
        <v>23</v>
      </c>
      <c r="E438" s="91">
        <v>48</v>
      </c>
      <c r="F438" s="91">
        <v>0</v>
      </c>
      <c r="G438" s="126">
        <v>5.02240531957557e-7</v>
      </c>
      <c r="H438" s="126">
        <f t="shared" si="19"/>
        <v>1380110</v>
      </c>
      <c r="I438" s="126" t="str">
        <f t="shared" si="20"/>
        <v>0y 15d 23h 21m</v>
      </c>
    </row>
    <row r="439" s="91" customFormat="1" spans="1:9">
      <c r="A439" s="91" t="str">
        <f t="shared" si="18"/>
        <v>V-49</v>
      </c>
      <c r="B439" s="91" t="s">
        <v>1011</v>
      </c>
      <c r="C439" s="91" t="s">
        <v>1000</v>
      </c>
      <c r="D439" s="91">
        <v>23</v>
      </c>
      <c r="E439" s="91">
        <v>49</v>
      </c>
      <c r="F439" s="91">
        <v>0</v>
      </c>
      <c r="G439" s="126">
        <v>2.43107176122315e-8</v>
      </c>
      <c r="H439" s="126">
        <f t="shared" si="19"/>
        <v>28512000</v>
      </c>
      <c r="I439" s="126" t="str">
        <f t="shared" si="20"/>
        <v>0y 330d 0h 0m</v>
      </c>
    </row>
    <row r="440" s="91" customFormat="1" spans="1:9">
      <c r="A440" s="91" t="str">
        <f t="shared" si="18"/>
        <v>V-50</v>
      </c>
      <c r="B440" s="91" t="s">
        <v>1012</v>
      </c>
      <c r="C440" s="91" t="s">
        <v>1000</v>
      </c>
      <c r="D440" s="91">
        <v>23</v>
      </c>
      <c r="E440" s="91">
        <v>50</v>
      </c>
      <c r="F440" s="91">
        <v>0</v>
      </c>
      <c r="G440" s="126">
        <v>1.5688949008387e-25</v>
      </c>
      <c r="H440" s="126">
        <f t="shared" si="19"/>
        <v>4.41806000000002e+24</v>
      </c>
      <c r="I440" s="126" t="str">
        <f t="shared" si="20"/>
        <v>140095763571791000y 0d 0h 0m</v>
      </c>
    </row>
    <row r="441" s="91" customFormat="1" spans="1:9">
      <c r="A441" s="91" t="str">
        <f t="shared" si="18"/>
        <v>V-51</v>
      </c>
      <c r="B441" s="91" t="s">
        <v>1013</v>
      </c>
      <c r="C441" s="91" t="s">
        <v>1000</v>
      </c>
      <c r="D441" s="91">
        <v>23</v>
      </c>
      <c r="E441" s="91">
        <v>51</v>
      </c>
      <c r="F441" s="91">
        <v>0</v>
      </c>
      <c r="G441" s="126">
        <v>0</v>
      </c>
      <c r="H441" s="126">
        <f t="shared" si="19"/>
        <v>0</v>
      </c>
      <c r="I441" s="126" t="str">
        <f t="shared" si="20"/>
        <v>0y 0d 0h 0m</v>
      </c>
    </row>
    <row r="442" s="91" customFormat="1" spans="1:9">
      <c r="A442" s="91" t="str">
        <f t="shared" si="18"/>
        <v>V-52</v>
      </c>
      <c r="B442" s="91" t="s">
        <v>1014</v>
      </c>
      <c r="C442" s="91" t="s">
        <v>1000</v>
      </c>
      <c r="D442" s="91">
        <v>23</v>
      </c>
      <c r="E442" s="91">
        <v>52</v>
      </c>
      <c r="F442" s="91">
        <v>0</v>
      </c>
      <c r="G442" s="126">
        <v>0.00308641544465199</v>
      </c>
      <c r="H442" s="126">
        <f t="shared" si="19"/>
        <v>224.58</v>
      </c>
      <c r="I442" s="126" t="str">
        <f t="shared" si="20"/>
        <v>0y 0d 0h 3m</v>
      </c>
    </row>
    <row r="443" s="91" customFormat="1" spans="1:9">
      <c r="A443" s="91" t="str">
        <f t="shared" si="18"/>
        <v>V-53</v>
      </c>
      <c r="B443" s="91" t="s">
        <v>1015</v>
      </c>
      <c r="C443" s="91" t="s">
        <v>1000</v>
      </c>
      <c r="D443" s="91">
        <v>23</v>
      </c>
      <c r="E443" s="91">
        <v>53</v>
      </c>
      <c r="F443" s="91">
        <v>0</v>
      </c>
      <c r="G443" s="126">
        <v>0.00748700778310591</v>
      </c>
      <c r="H443" s="126">
        <f t="shared" si="19"/>
        <v>92.58</v>
      </c>
      <c r="I443" s="126" t="str">
        <f t="shared" si="20"/>
        <v>0y 0d 0h 1m</v>
      </c>
    </row>
    <row r="444" s="91" customFormat="1" spans="1:9">
      <c r="A444" s="91" t="str">
        <f t="shared" si="18"/>
        <v>V-54</v>
      </c>
      <c r="B444" s="91" t="s">
        <v>1016</v>
      </c>
      <c r="C444" s="91" t="s">
        <v>1000</v>
      </c>
      <c r="D444" s="91">
        <v>23</v>
      </c>
      <c r="E444" s="91">
        <v>54</v>
      </c>
      <c r="F444" s="91">
        <v>0</v>
      </c>
      <c r="G444" s="126">
        <v>0.013918618083533</v>
      </c>
      <c r="H444" s="126">
        <f t="shared" si="19"/>
        <v>49.8000000000001</v>
      </c>
      <c r="I444" s="126" t="str">
        <f t="shared" si="20"/>
        <v>0y 0d 0h 0m</v>
      </c>
    </row>
    <row r="445" s="91" customFormat="1" spans="1:9">
      <c r="A445" s="91" t="str">
        <f t="shared" si="18"/>
        <v>V-55</v>
      </c>
      <c r="B445" s="91" t="s">
        <v>1017</v>
      </c>
      <c r="C445" s="91" t="s">
        <v>1000</v>
      </c>
      <c r="D445" s="91">
        <v>23</v>
      </c>
      <c r="E445" s="91">
        <v>55</v>
      </c>
      <c r="F445" s="91">
        <v>0</v>
      </c>
      <c r="G445" s="126">
        <v>0.105985807425068</v>
      </c>
      <c r="H445" s="126">
        <f t="shared" si="19"/>
        <v>6.54000000000001</v>
      </c>
      <c r="I445" s="126" t="str">
        <f t="shared" si="20"/>
        <v>0y 0d 0h 0m</v>
      </c>
    </row>
    <row r="446" s="91" customFormat="1" spans="1:9">
      <c r="A446" s="91" t="str">
        <f t="shared" si="18"/>
        <v>V-56</v>
      </c>
      <c r="B446" s="91" t="s">
        <v>1018</v>
      </c>
      <c r="C446" s="91" t="s">
        <v>1000</v>
      </c>
      <c r="D446" s="91">
        <v>23</v>
      </c>
      <c r="E446" s="91">
        <v>56</v>
      </c>
      <c r="F446" s="91">
        <v>0</v>
      </c>
      <c r="G446" s="126">
        <v>3.20901472481456</v>
      </c>
      <c r="H446" s="126">
        <f t="shared" si="19"/>
        <v>0.216</v>
      </c>
      <c r="I446" s="126" t="str">
        <f t="shared" si="20"/>
        <v>0y 0d 0h 0m</v>
      </c>
    </row>
    <row r="447" s="91" customFormat="1" spans="1:9">
      <c r="A447" s="91" t="str">
        <f t="shared" si="18"/>
        <v>V-57</v>
      </c>
      <c r="B447" s="91" t="s">
        <v>1019</v>
      </c>
      <c r="C447" s="91" t="s">
        <v>1000</v>
      </c>
      <c r="D447" s="91">
        <v>23</v>
      </c>
      <c r="E447" s="91">
        <v>57</v>
      </c>
      <c r="F447" s="91">
        <v>0</v>
      </c>
      <c r="G447" s="126">
        <v>1.98042051588555</v>
      </c>
      <c r="H447" s="126">
        <f t="shared" si="19"/>
        <v>0.350000000000001</v>
      </c>
      <c r="I447" s="126" t="str">
        <f t="shared" si="20"/>
        <v>0y 0d 0h 0m</v>
      </c>
    </row>
    <row r="448" s="91" customFormat="1" spans="1:9">
      <c r="A448" s="91" t="str">
        <f t="shared" si="18"/>
        <v>V-58</v>
      </c>
      <c r="B448" s="91" t="s">
        <v>1020</v>
      </c>
      <c r="C448" s="91" t="s">
        <v>1000</v>
      </c>
      <c r="D448" s="91">
        <v>23</v>
      </c>
      <c r="E448" s="91">
        <v>58</v>
      </c>
      <c r="F448" s="91">
        <v>0</v>
      </c>
      <c r="G448" s="126">
        <v>3.74674151654024</v>
      </c>
      <c r="H448" s="126">
        <f t="shared" si="19"/>
        <v>0.185</v>
      </c>
      <c r="I448" s="126" t="str">
        <f t="shared" si="20"/>
        <v>0y 0d 0h 0m</v>
      </c>
    </row>
    <row r="449" s="91" customFormat="1" spans="1:9">
      <c r="A449" s="91" t="str">
        <f t="shared" si="18"/>
        <v>V-59</v>
      </c>
      <c r="B449" s="91" t="s">
        <v>1021</v>
      </c>
      <c r="C449" s="91" t="s">
        <v>1000</v>
      </c>
      <c r="D449" s="91">
        <v>23</v>
      </c>
      <c r="E449" s="91">
        <v>59</v>
      </c>
      <c r="F449" s="91">
        <v>0</v>
      </c>
      <c r="G449" s="126">
        <v>9.24196240746593</v>
      </c>
      <c r="H449" s="126">
        <f t="shared" si="19"/>
        <v>0.0750000000000001</v>
      </c>
      <c r="I449" s="126" t="str">
        <f t="shared" si="20"/>
        <v>0y 0d 0h 0m</v>
      </c>
    </row>
    <row r="450" s="91" customFormat="1" spans="1:9">
      <c r="A450" s="91" t="str">
        <f t="shared" ref="A450:A513" si="21">C450&amp;"-"&amp;E450&amp;_xlfn.IFS(F450=0,"",F450=1,"m",F450&gt;1,"m"&amp;F450)</f>
        <v>V-60</v>
      </c>
      <c r="B450" s="91" t="s">
        <v>1022</v>
      </c>
      <c r="C450" s="91" t="s">
        <v>1000</v>
      </c>
      <c r="D450" s="91">
        <v>23</v>
      </c>
      <c r="E450" s="91">
        <v>60</v>
      </c>
      <c r="F450" s="91">
        <v>0</v>
      </c>
      <c r="G450" s="126">
        <v>10.1933408905874</v>
      </c>
      <c r="H450" s="126">
        <f t="shared" ref="H450:H513" si="22">IF(G450&gt;0,LN(2)/G450,0)</f>
        <v>0.0680000000000002</v>
      </c>
      <c r="I450" s="126" t="str">
        <f t="shared" si="20"/>
        <v>0y 0d 0h 0m</v>
      </c>
    </row>
    <row r="451" s="91" customFormat="1" spans="1:9">
      <c r="A451" s="91" t="str">
        <f t="shared" si="21"/>
        <v>V-61</v>
      </c>
      <c r="B451" s="91" t="s">
        <v>1023</v>
      </c>
      <c r="C451" s="91" t="s">
        <v>1000</v>
      </c>
      <c r="D451" s="91">
        <v>23</v>
      </c>
      <c r="E451" s="91">
        <v>61</v>
      </c>
      <c r="F451" s="91">
        <v>0</v>
      </c>
      <c r="G451" s="126">
        <v>14.7478123523392</v>
      </c>
      <c r="H451" s="126">
        <f t="shared" si="22"/>
        <v>0.0470000000000002</v>
      </c>
      <c r="I451" s="126" t="str">
        <f t="shared" ref="I451:I514" si="23">INT(H451/31536000)&amp;"y "&amp;INT(MOD(H451,31536000)/86400)&amp;"d "&amp;INT(MOD(MOD(H451,31536000),86400)/3600)&amp;"h "&amp;INT(MOD(MOD(MOD(H451,31536000),86400),3600)/60)&amp;"m"</f>
        <v>0y 0d 0h 0m</v>
      </c>
    </row>
    <row r="452" s="91" customFormat="1" spans="1:9">
      <c r="A452" s="91" t="str">
        <f t="shared" si="21"/>
        <v>V-62</v>
      </c>
      <c r="B452" s="91" t="s">
        <v>1024</v>
      </c>
      <c r="C452" s="91" t="s">
        <v>1000</v>
      </c>
      <c r="D452" s="91">
        <v>23</v>
      </c>
      <c r="E452" s="91">
        <v>62</v>
      </c>
      <c r="F452" s="91">
        <v>0</v>
      </c>
      <c r="G452" s="126">
        <v>4620981.20373296</v>
      </c>
      <c r="H452" s="126">
        <f t="shared" si="22"/>
        <v>1.5e-7</v>
      </c>
      <c r="I452" s="126" t="str">
        <f t="shared" si="23"/>
        <v>0y 0d 0h 0m</v>
      </c>
    </row>
    <row r="453" s="91" customFormat="1" spans="1:9">
      <c r="A453" s="91" t="str">
        <f t="shared" si="21"/>
        <v>V-63</v>
      </c>
      <c r="B453" s="91" t="s">
        <v>1025</v>
      </c>
      <c r="C453" s="91" t="s">
        <v>1000</v>
      </c>
      <c r="D453" s="91">
        <v>23</v>
      </c>
      <c r="E453" s="91">
        <v>63</v>
      </c>
      <c r="F453" s="91">
        <v>0</v>
      </c>
      <c r="G453" s="126">
        <v>40.7733635623497</v>
      </c>
      <c r="H453" s="126">
        <f t="shared" si="22"/>
        <v>0.017</v>
      </c>
      <c r="I453" s="126" t="str">
        <f t="shared" si="23"/>
        <v>0y 0d 0h 0m</v>
      </c>
    </row>
    <row r="454" s="91" customFormat="1" spans="1:9">
      <c r="A454" s="91" t="str">
        <f t="shared" si="21"/>
        <v>V-64</v>
      </c>
      <c r="B454" s="91" t="s">
        <v>1026</v>
      </c>
      <c r="C454" s="91" t="s">
        <v>1000</v>
      </c>
      <c r="D454" s="91">
        <v>23</v>
      </c>
      <c r="E454" s="91">
        <v>64</v>
      </c>
      <c r="F454" s="91">
        <v>0</v>
      </c>
      <c r="G454" s="126">
        <v>36.4814305557865</v>
      </c>
      <c r="H454" s="126">
        <f t="shared" si="22"/>
        <v>0.019</v>
      </c>
      <c r="I454" s="126" t="str">
        <f t="shared" si="23"/>
        <v>0y 0d 0h 0m</v>
      </c>
    </row>
    <row r="455" s="91" customFormat="1" spans="1:9">
      <c r="A455" s="91" t="str">
        <f t="shared" si="21"/>
        <v>V-65</v>
      </c>
      <c r="B455" s="91" t="s">
        <v>1027</v>
      </c>
      <c r="C455" s="91" t="s">
        <v>1000</v>
      </c>
      <c r="D455" s="91">
        <v>23</v>
      </c>
      <c r="E455" s="91">
        <v>65</v>
      </c>
      <c r="F455" s="91">
        <v>0</v>
      </c>
      <c r="G455" s="126">
        <v>69.3147180559945</v>
      </c>
      <c r="H455" s="126">
        <f t="shared" si="22"/>
        <v>0.01</v>
      </c>
      <c r="I455" s="126" t="str">
        <f t="shared" si="23"/>
        <v>0y 0d 0h 0m</v>
      </c>
    </row>
    <row r="456" s="91" customFormat="1" spans="1:9">
      <c r="A456" s="91" t="str">
        <f t="shared" si="21"/>
        <v>Cr-42</v>
      </c>
      <c r="B456" s="91" t="s">
        <v>1028</v>
      </c>
      <c r="C456" s="91" t="s">
        <v>1029</v>
      </c>
      <c r="D456" s="91">
        <v>24</v>
      </c>
      <c r="E456" s="91">
        <v>42</v>
      </c>
      <c r="F456" s="91">
        <v>0</v>
      </c>
      <c r="G456" s="126">
        <v>49.5105128971389</v>
      </c>
      <c r="H456" s="126">
        <f t="shared" si="22"/>
        <v>0.014</v>
      </c>
      <c r="I456" s="126" t="str">
        <f t="shared" si="23"/>
        <v>0y 0d 0h 0m</v>
      </c>
    </row>
    <row r="457" s="91" customFormat="1" spans="1:9">
      <c r="A457" s="91" t="str">
        <f t="shared" si="21"/>
        <v>Cr-43</v>
      </c>
      <c r="B457" s="91" t="s">
        <v>1030</v>
      </c>
      <c r="C457" s="91" t="s">
        <v>1029</v>
      </c>
      <c r="D457" s="91">
        <v>24</v>
      </c>
      <c r="E457" s="91">
        <v>43</v>
      </c>
      <c r="F457" s="91">
        <v>0</v>
      </c>
      <c r="G457" s="126">
        <v>32.0901472481456</v>
      </c>
      <c r="H457" s="126">
        <f t="shared" si="22"/>
        <v>0.0216</v>
      </c>
      <c r="I457" s="126" t="str">
        <f t="shared" si="23"/>
        <v>0y 0d 0h 0m</v>
      </c>
    </row>
    <row r="458" s="91" customFormat="1" spans="1:9">
      <c r="A458" s="91" t="str">
        <f t="shared" si="21"/>
        <v>Cr-44</v>
      </c>
      <c r="B458" s="91" t="s">
        <v>1031</v>
      </c>
      <c r="C458" s="91" t="s">
        <v>1029</v>
      </c>
      <c r="D458" s="91">
        <v>24</v>
      </c>
      <c r="E458" s="91">
        <v>44</v>
      </c>
      <c r="F458" s="91">
        <v>0</v>
      </c>
      <c r="G458" s="126">
        <v>12.956022066541</v>
      </c>
      <c r="H458" s="126">
        <f t="shared" si="22"/>
        <v>0.0535000000000001</v>
      </c>
      <c r="I458" s="126" t="str">
        <f t="shared" si="23"/>
        <v>0y 0d 0h 0m</v>
      </c>
    </row>
    <row r="459" s="91" customFormat="1" spans="1:9">
      <c r="A459" s="91" t="str">
        <f t="shared" si="21"/>
        <v>Cr-45</v>
      </c>
      <c r="B459" s="91" t="s">
        <v>1032</v>
      </c>
      <c r="C459" s="91" t="s">
        <v>1029</v>
      </c>
      <c r="D459" s="91">
        <v>24</v>
      </c>
      <c r="E459" s="91">
        <v>45</v>
      </c>
      <c r="F459" s="91">
        <v>0</v>
      </c>
      <c r="G459" s="126">
        <v>11.3817271027905</v>
      </c>
      <c r="H459" s="126">
        <f t="shared" si="22"/>
        <v>0.0609000000000003</v>
      </c>
      <c r="I459" s="126" t="str">
        <f t="shared" si="23"/>
        <v>0y 0d 0h 0m</v>
      </c>
    </row>
    <row r="460" s="91" customFormat="1" spans="1:9">
      <c r="A460" s="91" t="str">
        <f t="shared" si="21"/>
        <v>Cr-46</v>
      </c>
      <c r="B460" s="91" t="s">
        <v>1033</v>
      </c>
      <c r="C460" s="91" t="s">
        <v>1029</v>
      </c>
      <c r="D460" s="91">
        <v>24</v>
      </c>
      <c r="E460" s="91">
        <v>46</v>
      </c>
      <c r="F460" s="91">
        <v>0</v>
      </c>
      <c r="G460" s="126">
        <v>2.66595069446132</v>
      </c>
      <c r="H460" s="126">
        <f t="shared" si="22"/>
        <v>0.260000000000001</v>
      </c>
      <c r="I460" s="126" t="str">
        <f t="shared" si="23"/>
        <v>0y 0d 0h 0m</v>
      </c>
    </row>
    <row r="461" s="91" customFormat="1" spans="1:9">
      <c r="A461" s="91" t="str">
        <f t="shared" si="21"/>
        <v>Cr-47</v>
      </c>
      <c r="B461" s="91" t="s">
        <v>1034</v>
      </c>
      <c r="C461" s="91" t="s">
        <v>1029</v>
      </c>
      <c r="D461" s="91">
        <v>24</v>
      </c>
      <c r="E461" s="91">
        <v>47</v>
      </c>
      <c r="F461" s="91">
        <v>0</v>
      </c>
      <c r="G461" s="126">
        <v>1.38629436111989</v>
      </c>
      <c r="H461" s="126">
        <f t="shared" si="22"/>
        <v>0.5</v>
      </c>
      <c r="I461" s="126" t="str">
        <f t="shared" si="23"/>
        <v>0y 0d 0h 0m</v>
      </c>
    </row>
    <row r="462" s="91" customFormat="1" spans="1:9">
      <c r="A462" s="91" t="str">
        <f t="shared" si="21"/>
        <v>Cr-48</v>
      </c>
      <c r="B462" s="91" t="s">
        <v>1035</v>
      </c>
      <c r="C462" s="91" t="s">
        <v>1029</v>
      </c>
      <c r="D462" s="91">
        <v>24</v>
      </c>
      <c r="E462" s="91">
        <v>48</v>
      </c>
      <c r="F462" s="91">
        <v>0</v>
      </c>
      <c r="G462" s="126">
        <v>8.93046769428913e-6</v>
      </c>
      <c r="H462" s="126">
        <f t="shared" si="22"/>
        <v>77616</v>
      </c>
      <c r="I462" s="126" t="str">
        <f t="shared" si="23"/>
        <v>0y 0d 21h 33m</v>
      </c>
    </row>
    <row r="463" s="91" customFormat="1" spans="1:9">
      <c r="A463" s="91" t="str">
        <f t="shared" si="21"/>
        <v>Cr-49</v>
      </c>
      <c r="B463" s="91" t="s">
        <v>1036</v>
      </c>
      <c r="C463" s="91" t="s">
        <v>1029</v>
      </c>
      <c r="D463" s="91">
        <v>24</v>
      </c>
      <c r="E463" s="91">
        <v>49</v>
      </c>
      <c r="F463" s="91">
        <v>0</v>
      </c>
      <c r="G463" s="126">
        <v>0.00027310763615443</v>
      </c>
      <c r="H463" s="126">
        <f t="shared" si="22"/>
        <v>2538.00000000001</v>
      </c>
      <c r="I463" s="126" t="str">
        <f t="shared" si="23"/>
        <v>0y 0d 0h 42m</v>
      </c>
    </row>
    <row r="464" s="91" customFormat="1" spans="1:9">
      <c r="A464" s="91" t="str">
        <f t="shared" si="21"/>
        <v>Cr-50</v>
      </c>
      <c r="B464" s="91" t="s">
        <v>1037</v>
      </c>
      <c r="C464" s="91" t="s">
        <v>1029</v>
      </c>
      <c r="D464" s="91">
        <v>24</v>
      </c>
      <c r="E464" s="91">
        <v>50</v>
      </c>
      <c r="F464" s="91">
        <v>0</v>
      </c>
      <c r="G464" s="126">
        <v>0</v>
      </c>
      <c r="H464" s="126">
        <f t="shared" si="22"/>
        <v>0</v>
      </c>
      <c r="I464" s="126" t="str">
        <f t="shared" si="23"/>
        <v>0y 0d 0h 0m</v>
      </c>
    </row>
    <row r="465" s="91" customFormat="1" spans="1:9">
      <c r="A465" s="91" t="str">
        <f t="shared" si="21"/>
        <v>Cr-51</v>
      </c>
      <c r="B465" s="91" t="s">
        <v>1038</v>
      </c>
      <c r="C465" s="91" t="s">
        <v>1029</v>
      </c>
      <c r="D465" s="91">
        <v>24</v>
      </c>
      <c r="E465" s="91">
        <v>51</v>
      </c>
      <c r="F465" s="91">
        <v>0</v>
      </c>
      <c r="G465" s="126">
        <v>2.89611860684887e-7</v>
      </c>
      <c r="H465" s="126">
        <f t="shared" si="22"/>
        <v>2393366</v>
      </c>
      <c r="I465" s="126" t="str">
        <f t="shared" si="23"/>
        <v>0y 27d 16h 49m</v>
      </c>
    </row>
    <row r="466" s="91" customFormat="1" spans="1:9">
      <c r="A466" s="91" t="str">
        <f t="shared" si="21"/>
        <v>Cr-52</v>
      </c>
      <c r="B466" s="91" t="s">
        <v>1039</v>
      </c>
      <c r="C466" s="91" t="s">
        <v>1029</v>
      </c>
      <c r="D466" s="91">
        <v>24</v>
      </c>
      <c r="E466" s="91">
        <v>52</v>
      </c>
      <c r="F466" s="91">
        <v>0</v>
      </c>
      <c r="G466" s="126">
        <v>0</v>
      </c>
      <c r="H466" s="126">
        <f t="shared" si="22"/>
        <v>0</v>
      </c>
      <c r="I466" s="126" t="str">
        <f t="shared" si="23"/>
        <v>0y 0d 0h 0m</v>
      </c>
    </row>
    <row r="467" s="91" customFormat="1" spans="1:9">
      <c r="A467" s="91" t="str">
        <f t="shared" si="21"/>
        <v>Cr-53</v>
      </c>
      <c r="B467" s="91" t="s">
        <v>1040</v>
      </c>
      <c r="C467" s="91" t="s">
        <v>1029</v>
      </c>
      <c r="D467" s="91">
        <v>24</v>
      </c>
      <c r="E467" s="91">
        <v>53</v>
      </c>
      <c r="F467" s="91">
        <v>0</v>
      </c>
      <c r="G467" s="126">
        <v>0</v>
      </c>
      <c r="H467" s="126">
        <f t="shared" si="22"/>
        <v>0</v>
      </c>
      <c r="I467" s="126" t="str">
        <f t="shared" si="23"/>
        <v>0y 0d 0h 0m</v>
      </c>
    </row>
    <row r="468" s="91" customFormat="1" spans="1:9">
      <c r="A468" s="91" t="str">
        <f t="shared" si="21"/>
        <v>Cr-54</v>
      </c>
      <c r="B468" s="91" t="s">
        <v>1041</v>
      </c>
      <c r="C468" s="91" t="s">
        <v>1029</v>
      </c>
      <c r="D468" s="91">
        <v>24</v>
      </c>
      <c r="E468" s="91">
        <v>54</v>
      </c>
      <c r="F468" s="91">
        <v>0</v>
      </c>
      <c r="G468" s="126">
        <v>0</v>
      </c>
      <c r="H468" s="126">
        <f t="shared" si="22"/>
        <v>0</v>
      </c>
      <c r="I468" s="126" t="str">
        <f t="shared" si="23"/>
        <v>0y 0d 0h 0m</v>
      </c>
    </row>
    <row r="469" s="91" customFormat="1" spans="1:9">
      <c r="A469" s="91" t="str">
        <f t="shared" si="21"/>
        <v>Cr-55</v>
      </c>
      <c r="B469" s="91" t="s">
        <v>1042</v>
      </c>
      <c r="C469" s="91" t="s">
        <v>1029</v>
      </c>
      <c r="D469" s="91">
        <v>24</v>
      </c>
      <c r="E469" s="91">
        <v>55</v>
      </c>
      <c r="F469" s="91">
        <v>0</v>
      </c>
      <c r="G469" s="126">
        <v>0.00330353245905988</v>
      </c>
      <c r="H469" s="126">
        <f t="shared" si="22"/>
        <v>209.82</v>
      </c>
      <c r="I469" s="126" t="str">
        <f t="shared" si="23"/>
        <v>0y 0d 0h 3m</v>
      </c>
    </row>
    <row r="470" s="91" customFormat="1" spans="1:9">
      <c r="A470" s="91" t="str">
        <f t="shared" si="21"/>
        <v>Cr-56</v>
      </c>
      <c r="B470" s="91" t="s">
        <v>1043</v>
      </c>
      <c r="C470" s="91" t="s">
        <v>1029</v>
      </c>
      <c r="D470" s="91">
        <v>24</v>
      </c>
      <c r="E470" s="91">
        <v>56</v>
      </c>
      <c r="F470" s="91">
        <v>0</v>
      </c>
      <c r="G470" s="126">
        <v>0.00194485740897852</v>
      </c>
      <c r="H470" s="126">
        <f t="shared" si="22"/>
        <v>356.4</v>
      </c>
      <c r="I470" s="126" t="str">
        <f t="shared" si="23"/>
        <v>0y 0d 0h 5m</v>
      </c>
    </row>
    <row r="471" s="91" customFormat="1" spans="1:9">
      <c r="A471" s="91" t="str">
        <f t="shared" si="21"/>
        <v>Cr-57</v>
      </c>
      <c r="B471" s="91" t="s">
        <v>1044</v>
      </c>
      <c r="C471" s="91" t="s">
        <v>1029</v>
      </c>
      <c r="D471" s="91">
        <v>24</v>
      </c>
      <c r="E471" s="91">
        <v>57</v>
      </c>
      <c r="F471" s="91">
        <v>0</v>
      </c>
      <c r="G471" s="126">
        <v>0.0328505772777225</v>
      </c>
      <c r="H471" s="126">
        <f t="shared" si="22"/>
        <v>21.1</v>
      </c>
      <c r="I471" s="126" t="str">
        <f t="shared" si="23"/>
        <v>0y 0d 0h 0m</v>
      </c>
    </row>
    <row r="472" s="91" customFormat="1" spans="1:9">
      <c r="A472" s="91" t="str">
        <f t="shared" si="21"/>
        <v>Cr-58</v>
      </c>
      <c r="B472" s="91" t="s">
        <v>1045</v>
      </c>
      <c r="C472" s="91" t="s">
        <v>1029</v>
      </c>
      <c r="D472" s="91">
        <v>24</v>
      </c>
      <c r="E472" s="91">
        <v>58</v>
      </c>
      <c r="F472" s="91">
        <v>0</v>
      </c>
      <c r="G472" s="126">
        <v>0.0990210257942778</v>
      </c>
      <c r="H472" s="126">
        <f t="shared" si="22"/>
        <v>7.00000000000001</v>
      </c>
      <c r="I472" s="126" t="str">
        <f t="shared" si="23"/>
        <v>0y 0d 0h 0m</v>
      </c>
    </row>
    <row r="473" s="91" customFormat="1" spans="1:9">
      <c r="A473" s="91" t="str">
        <f t="shared" si="21"/>
        <v>Cr-59</v>
      </c>
      <c r="B473" s="91" t="s">
        <v>1046</v>
      </c>
      <c r="C473" s="91" t="s">
        <v>1029</v>
      </c>
      <c r="D473" s="91">
        <v>24</v>
      </c>
      <c r="E473" s="91">
        <v>59</v>
      </c>
      <c r="F473" s="91">
        <v>0</v>
      </c>
      <c r="G473" s="126">
        <v>1.50684169686944</v>
      </c>
      <c r="H473" s="126">
        <f t="shared" si="22"/>
        <v>0.460000000000002</v>
      </c>
      <c r="I473" s="126" t="str">
        <f t="shared" si="23"/>
        <v>0y 0d 0h 0m</v>
      </c>
    </row>
    <row r="474" s="91" customFormat="1" spans="1:9">
      <c r="A474" s="91" t="str">
        <f t="shared" si="21"/>
        <v>Cr-60</v>
      </c>
      <c r="B474" s="91" t="s">
        <v>1047</v>
      </c>
      <c r="C474" s="91" t="s">
        <v>1029</v>
      </c>
      <c r="D474" s="91">
        <v>24</v>
      </c>
      <c r="E474" s="91">
        <v>60</v>
      </c>
      <c r="F474" s="91">
        <v>0</v>
      </c>
      <c r="G474" s="126">
        <v>1.41458608277539</v>
      </c>
      <c r="H474" s="126">
        <f t="shared" si="22"/>
        <v>0.490000000000003</v>
      </c>
      <c r="I474" s="126" t="str">
        <f t="shared" si="23"/>
        <v>0y 0d 0h 0m</v>
      </c>
    </row>
    <row r="475" s="91" customFormat="1" spans="1:9">
      <c r="A475" s="91" t="str">
        <f t="shared" si="21"/>
        <v>Cr-61</v>
      </c>
      <c r="B475" s="91" t="s">
        <v>1048</v>
      </c>
      <c r="C475" s="91" t="s">
        <v>1029</v>
      </c>
      <c r="D475" s="91">
        <v>24</v>
      </c>
      <c r="E475" s="91">
        <v>61</v>
      </c>
      <c r="F475" s="91">
        <v>0</v>
      </c>
      <c r="G475" s="126">
        <v>2.56721177985164</v>
      </c>
      <c r="H475" s="126">
        <f t="shared" si="22"/>
        <v>0.270000000000001</v>
      </c>
      <c r="I475" s="126" t="str">
        <f t="shared" si="23"/>
        <v>0y 0d 0h 0m</v>
      </c>
    </row>
    <row r="476" s="91" customFormat="1" spans="1:9">
      <c r="A476" s="91" t="str">
        <f t="shared" si="21"/>
        <v>Cr-62</v>
      </c>
      <c r="B476" s="91" t="s">
        <v>1049</v>
      </c>
      <c r="C476" s="91" t="s">
        <v>1029</v>
      </c>
      <c r="D476" s="91">
        <v>24</v>
      </c>
      <c r="E476" s="91">
        <v>62</v>
      </c>
      <c r="F476" s="91">
        <v>0</v>
      </c>
      <c r="G476" s="126">
        <v>3.64814305557865</v>
      </c>
      <c r="H476" s="126">
        <f t="shared" si="22"/>
        <v>0.190000000000001</v>
      </c>
      <c r="I476" s="126" t="str">
        <f t="shared" si="23"/>
        <v>0y 0d 0h 0m</v>
      </c>
    </row>
    <row r="477" s="91" customFormat="1" spans="1:9">
      <c r="A477" s="91" t="str">
        <f t="shared" si="21"/>
        <v>Cr-63</v>
      </c>
      <c r="B477" s="91" t="s">
        <v>1050</v>
      </c>
      <c r="C477" s="91" t="s">
        <v>1029</v>
      </c>
      <c r="D477" s="91">
        <v>24</v>
      </c>
      <c r="E477" s="91">
        <v>63</v>
      </c>
      <c r="F477" s="91">
        <v>0</v>
      </c>
      <c r="G477" s="126">
        <v>5.37323395782903</v>
      </c>
      <c r="H477" s="126">
        <f t="shared" si="22"/>
        <v>0.129</v>
      </c>
      <c r="I477" s="126" t="str">
        <f t="shared" si="23"/>
        <v>0y 0d 0h 0m</v>
      </c>
    </row>
    <row r="478" s="91" customFormat="1" spans="1:9">
      <c r="A478" s="91" t="str">
        <f t="shared" si="21"/>
        <v>Cr-64</v>
      </c>
      <c r="B478" s="91" t="s">
        <v>1051</v>
      </c>
      <c r="C478" s="91" t="s">
        <v>1029</v>
      </c>
      <c r="D478" s="91">
        <v>24</v>
      </c>
      <c r="E478" s="91">
        <v>64</v>
      </c>
      <c r="F478" s="91">
        <v>0</v>
      </c>
      <c r="G478" s="126">
        <v>16.1197018734871</v>
      </c>
      <c r="H478" s="126">
        <f t="shared" si="22"/>
        <v>0.043</v>
      </c>
      <c r="I478" s="126" t="str">
        <f t="shared" si="23"/>
        <v>0y 0d 0h 0m</v>
      </c>
    </row>
    <row r="479" s="91" customFormat="1" spans="1:9">
      <c r="A479" s="91" t="str">
        <f t="shared" si="21"/>
        <v>Cr-65</v>
      </c>
      <c r="B479" s="91" t="s">
        <v>1052</v>
      </c>
      <c r="C479" s="91" t="s">
        <v>1029</v>
      </c>
      <c r="D479" s="91">
        <v>24</v>
      </c>
      <c r="E479" s="91">
        <v>65</v>
      </c>
      <c r="F479" s="91">
        <v>0</v>
      </c>
      <c r="G479" s="126">
        <v>25.6721177985164</v>
      </c>
      <c r="H479" s="126">
        <f t="shared" si="22"/>
        <v>0.0270000000000001</v>
      </c>
      <c r="I479" s="126" t="str">
        <f t="shared" si="23"/>
        <v>0y 0d 0h 0m</v>
      </c>
    </row>
    <row r="480" s="91" customFormat="1" spans="1:9">
      <c r="A480" s="91" t="str">
        <f t="shared" si="21"/>
        <v>Cr-66</v>
      </c>
      <c r="B480" s="91" t="s">
        <v>1053</v>
      </c>
      <c r="C480" s="91" t="s">
        <v>1029</v>
      </c>
      <c r="D480" s="91">
        <v>24</v>
      </c>
      <c r="E480" s="91">
        <v>66</v>
      </c>
      <c r="F480" s="91">
        <v>0</v>
      </c>
      <c r="G480" s="126">
        <v>69.3147180559945</v>
      </c>
      <c r="H480" s="126">
        <f t="shared" si="22"/>
        <v>0.01</v>
      </c>
      <c r="I480" s="126" t="str">
        <f t="shared" si="23"/>
        <v>0y 0d 0h 0m</v>
      </c>
    </row>
    <row r="481" s="91" customFormat="1" spans="1:9">
      <c r="A481" s="91" t="str">
        <f t="shared" si="21"/>
        <v>Cr-67</v>
      </c>
      <c r="B481" s="91" t="s">
        <v>1054</v>
      </c>
      <c r="C481" s="91" t="s">
        <v>1029</v>
      </c>
      <c r="D481" s="91">
        <v>24</v>
      </c>
      <c r="E481" s="91">
        <v>67</v>
      </c>
      <c r="F481" s="91">
        <v>0</v>
      </c>
      <c r="G481" s="126">
        <v>13.8629436111989</v>
      </c>
      <c r="H481" s="126">
        <f t="shared" si="22"/>
        <v>0.05</v>
      </c>
      <c r="I481" s="126" t="str">
        <f t="shared" si="23"/>
        <v>0y 0d 0h 0m</v>
      </c>
    </row>
    <row r="482" s="91" customFormat="1" spans="1:9">
      <c r="A482" s="91" t="str">
        <f t="shared" si="21"/>
        <v>Mn-44</v>
      </c>
      <c r="B482" s="91" t="s">
        <v>1055</v>
      </c>
      <c r="C482" s="91" t="s">
        <v>1056</v>
      </c>
      <c r="D482" s="91">
        <v>25</v>
      </c>
      <c r="E482" s="91">
        <v>44</v>
      </c>
      <c r="F482" s="91">
        <v>0</v>
      </c>
      <c r="G482" s="126">
        <v>6601401.71961852</v>
      </c>
      <c r="H482" s="126">
        <f t="shared" si="22"/>
        <v>1.05e-7</v>
      </c>
      <c r="I482" s="126" t="str">
        <f t="shared" si="23"/>
        <v>0y 0d 0h 0m</v>
      </c>
    </row>
    <row r="483" s="91" customFormat="1" spans="1:9">
      <c r="A483" s="91" t="str">
        <f t="shared" si="21"/>
        <v>Mn-45</v>
      </c>
      <c r="B483" s="91" t="s">
        <v>1057</v>
      </c>
      <c r="C483" s="91" t="s">
        <v>1056</v>
      </c>
      <c r="D483" s="91">
        <v>25</v>
      </c>
      <c r="E483" s="91">
        <v>45</v>
      </c>
      <c r="F483" s="91">
        <v>0</v>
      </c>
      <c r="G483" s="126">
        <v>9902102.57942779</v>
      </c>
      <c r="H483" s="126">
        <f t="shared" si="22"/>
        <v>7e-8</v>
      </c>
      <c r="I483" s="126" t="str">
        <f t="shared" si="23"/>
        <v>0y 0d 0h 0m</v>
      </c>
    </row>
    <row r="484" s="91" customFormat="1" spans="1:9">
      <c r="A484" s="91" t="str">
        <f t="shared" si="21"/>
        <v>Mn-46</v>
      </c>
      <c r="B484" s="91" t="s">
        <v>1058</v>
      </c>
      <c r="C484" s="91" t="s">
        <v>1056</v>
      </c>
      <c r="D484" s="91">
        <v>25</v>
      </c>
      <c r="E484" s="91">
        <v>46</v>
      </c>
      <c r="F484" s="91">
        <v>0</v>
      </c>
      <c r="G484" s="126">
        <v>20.0912226249259</v>
      </c>
      <c r="H484" s="126">
        <f t="shared" si="22"/>
        <v>0.0345000000000001</v>
      </c>
      <c r="I484" s="126" t="str">
        <f t="shared" si="23"/>
        <v>0y 0d 0h 0m</v>
      </c>
    </row>
    <row r="485" s="91" customFormat="1" spans="1:9">
      <c r="A485" s="91" t="str">
        <f t="shared" si="21"/>
        <v>Mn-47</v>
      </c>
      <c r="B485" s="91" t="s">
        <v>1059</v>
      </c>
      <c r="C485" s="91" t="s">
        <v>1056</v>
      </c>
      <c r="D485" s="91">
        <v>25</v>
      </c>
      <c r="E485" s="91">
        <v>47</v>
      </c>
      <c r="F485" s="91">
        <v>0</v>
      </c>
      <c r="G485" s="126">
        <v>6.93147180559945</v>
      </c>
      <c r="H485" s="126">
        <f t="shared" si="22"/>
        <v>0.1</v>
      </c>
      <c r="I485" s="126" t="str">
        <f t="shared" si="23"/>
        <v>0y 0d 0h 0m</v>
      </c>
    </row>
    <row r="486" s="91" customFormat="1" spans="1:9">
      <c r="A486" s="91" t="str">
        <f t="shared" si="21"/>
        <v>Mn-48</v>
      </c>
      <c r="B486" s="91" t="s">
        <v>1060</v>
      </c>
      <c r="C486" s="91" t="s">
        <v>1056</v>
      </c>
      <c r="D486" s="91">
        <v>25</v>
      </c>
      <c r="E486" s="91">
        <v>48</v>
      </c>
      <c r="F486" s="91">
        <v>0</v>
      </c>
      <c r="G486" s="126">
        <v>4.38423264111287</v>
      </c>
      <c r="H486" s="126">
        <f t="shared" si="22"/>
        <v>0.1581</v>
      </c>
      <c r="I486" s="126" t="str">
        <f t="shared" si="23"/>
        <v>0y 0d 0h 0m</v>
      </c>
    </row>
    <row r="487" s="91" customFormat="1" spans="1:9">
      <c r="A487" s="91" t="str">
        <f t="shared" si="21"/>
        <v>Mn-49</v>
      </c>
      <c r="B487" s="91" t="s">
        <v>1061</v>
      </c>
      <c r="C487" s="91" t="s">
        <v>1056</v>
      </c>
      <c r="D487" s="91">
        <v>25</v>
      </c>
      <c r="E487" s="91">
        <v>49</v>
      </c>
      <c r="F487" s="91">
        <v>0</v>
      </c>
      <c r="G487" s="126">
        <v>1.81452141507839</v>
      </c>
      <c r="H487" s="126">
        <f t="shared" si="22"/>
        <v>0.382</v>
      </c>
      <c r="I487" s="126" t="str">
        <f t="shared" si="23"/>
        <v>0y 0d 0h 0m</v>
      </c>
    </row>
    <row r="488" s="91" customFormat="1" spans="1:9">
      <c r="A488" s="91" t="str">
        <f t="shared" si="21"/>
        <v>Mn-50</v>
      </c>
      <c r="B488" s="91" t="s">
        <v>1062</v>
      </c>
      <c r="C488" s="91" t="s">
        <v>1056</v>
      </c>
      <c r="D488" s="91">
        <v>25</v>
      </c>
      <c r="E488" s="91">
        <v>50</v>
      </c>
      <c r="F488" s="91">
        <v>0</v>
      </c>
      <c r="G488" s="126">
        <v>2.44764003163934</v>
      </c>
      <c r="H488" s="126">
        <f t="shared" si="22"/>
        <v>0.28319</v>
      </c>
      <c r="I488" s="126" t="str">
        <f t="shared" si="23"/>
        <v>0y 0d 0h 0m</v>
      </c>
    </row>
    <row r="489" s="91" customFormat="1" spans="1:9">
      <c r="A489" s="91" t="str">
        <f t="shared" si="21"/>
        <v>Mn-50m</v>
      </c>
      <c r="B489" s="91" t="s">
        <v>1063</v>
      </c>
      <c r="C489" s="91" t="s">
        <v>1056</v>
      </c>
      <c r="D489" s="91">
        <v>25</v>
      </c>
      <c r="E489" s="91">
        <v>50</v>
      </c>
      <c r="F489" s="91">
        <v>1</v>
      </c>
      <c r="G489" s="126">
        <v>0.00660140171961852</v>
      </c>
      <c r="H489" s="126">
        <f t="shared" si="22"/>
        <v>105</v>
      </c>
      <c r="I489" s="126" t="str">
        <f t="shared" si="23"/>
        <v>0y 0d 0h 1m</v>
      </c>
    </row>
    <row r="490" s="91" customFormat="1" spans="1:9">
      <c r="A490" s="91" t="str">
        <f t="shared" si="21"/>
        <v>Mn-51</v>
      </c>
      <c r="B490" s="91" t="s">
        <v>1064</v>
      </c>
      <c r="C490" s="91" t="s">
        <v>1056</v>
      </c>
      <c r="D490" s="91">
        <v>25</v>
      </c>
      <c r="E490" s="91">
        <v>51</v>
      </c>
      <c r="F490" s="91">
        <v>0</v>
      </c>
      <c r="G490" s="126">
        <v>0.000250053095440095</v>
      </c>
      <c r="H490" s="126">
        <f t="shared" si="22"/>
        <v>2772.00000000001</v>
      </c>
      <c r="I490" s="126" t="str">
        <f t="shared" si="23"/>
        <v>0y 0d 0h 46m</v>
      </c>
    </row>
    <row r="491" s="91" customFormat="1" spans="1:9">
      <c r="A491" s="91" t="str">
        <f t="shared" si="21"/>
        <v>Mn-52</v>
      </c>
      <c r="B491" s="91" t="s">
        <v>1065</v>
      </c>
      <c r="C491" s="91" t="s">
        <v>1056</v>
      </c>
      <c r="D491" s="91">
        <v>25</v>
      </c>
      <c r="E491" s="91">
        <v>52</v>
      </c>
      <c r="F491" s="91">
        <v>0</v>
      </c>
      <c r="G491" s="126">
        <v>1.43490195171461e-6</v>
      </c>
      <c r="H491" s="126">
        <f t="shared" si="22"/>
        <v>483062.400000001</v>
      </c>
      <c r="I491" s="126" t="str">
        <f t="shared" si="23"/>
        <v>0y 5d 14h 11m</v>
      </c>
    </row>
    <row r="492" s="91" customFormat="1" spans="1:9">
      <c r="A492" s="91" t="str">
        <f t="shared" si="21"/>
        <v>Mn-52m</v>
      </c>
      <c r="B492" s="91" t="s">
        <v>1066</v>
      </c>
      <c r="C492" s="91" t="s">
        <v>1056</v>
      </c>
      <c r="D492" s="91">
        <v>25</v>
      </c>
      <c r="E492" s="91">
        <v>52</v>
      </c>
      <c r="F492" s="91">
        <v>1</v>
      </c>
      <c r="G492" s="126">
        <v>0.000547509621295375</v>
      </c>
      <c r="H492" s="126">
        <f t="shared" si="22"/>
        <v>1266</v>
      </c>
      <c r="I492" s="126" t="str">
        <f t="shared" si="23"/>
        <v>0y 0d 0h 21m</v>
      </c>
    </row>
    <row r="493" s="91" customFormat="1" spans="1:9">
      <c r="A493" s="91" t="str">
        <f t="shared" si="21"/>
        <v>Mn-53</v>
      </c>
      <c r="B493" s="91" t="s">
        <v>1067</v>
      </c>
      <c r="C493" s="91" t="s">
        <v>1056</v>
      </c>
      <c r="D493" s="91">
        <v>25</v>
      </c>
      <c r="E493" s="91">
        <v>53</v>
      </c>
      <c r="F493" s="91">
        <v>0</v>
      </c>
      <c r="G493" s="126">
        <v>5.93635981055595e-15</v>
      </c>
      <c r="H493" s="126">
        <f t="shared" si="22"/>
        <v>116763000000000</v>
      </c>
      <c r="I493" s="126" t="str">
        <f t="shared" si="23"/>
        <v>3702530y 161d 2h 40m</v>
      </c>
    </row>
    <row r="494" s="91" customFormat="1" spans="1:9">
      <c r="A494" s="91" t="str">
        <f t="shared" si="21"/>
        <v>Mn-54</v>
      </c>
      <c r="B494" s="91" t="s">
        <v>1068</v>
      </c>
      <c r="C494" s="91" t="s">
        <v>1056</v>
      </c>
      <c r="D494" s="91">
        <v>25</v>
      </c>
      <c r="E494" s="91">
        <v>54</v>
      </c>
      <c r="F494" s="91">
        <v>0</v>
      </c>
      <c r="G494" s="126">
        <v>2.57091389586169e-8</v>
      </c>
      <c r="H494" s="126">
        <f t="shared" si="22"/>
        <v>26961120</v>
      </c>
      <c r="I494" s="126" t="str">
        <f t="shared" si="23"/>
        <v>0y 312d 1h 12m</v>
      </c>
    </row>
    <row r="495" s="91" customFormat="1" spans="1:9">
      <c r="A495" s="91" t="str">
        <f t="shared" si="21"/>
        <v>Mn-55</v>
      </c>
      <c r="B495" s="91" t="s">
        <v>1069</v>
      </c>
      <c r="C495" s="91" t="s">
        <v>1056</v>
      </c>
      <c r="D495" s="91">
        <v>25</v>
      </c>
      <c r="E495" s="91">
        <v>55</v>
      </c>
      <c r="F495" s="91">
        <v>0</v>
      </c>
      <c r="G495" s="126">
        <v>0</v>
      </c>
      <c r="H495" s="126">
        <f t="shared" si="22"/>
        <v>0</v>
      </c>
      <c r="I495" s="126" t="str">
        <f t="shared" si="23"/>
        <v>0y 0d 0h 0m</v>
      </c>
    </row>
    <row r="496" s="91" customFormat="1" spans="1:9">
      <c r="A496" s="91" t="str">
        <f t="shared" si="21"/>
        <v>Mn-56</v>
      </c>
      <c r="B496" s="91" t="s">
        <v>1070</v>
      </c>
      <c r="C496" s="91" t="s">
        <v>1056</v>
      </c>
      <c r="D496" s="91">
        <v>25</v>
      </c>
      <c r="E496" s="91">
        <v>56</v>
      </c>
      <c r="F496" s="91">
        <v>0</v>
      </c>
      <c r="G496" s="126">
        <v>7.46600812318716e-5</v>
      </c>
      <c r="H496" s="126">
        <f t="shared" si="22"/>
        <v>9284.04</v>
      </c>
      <c r="I496" s="126" t="str">
        <f t="shared" si="23"/>
        <v>0y 0d 2h 34m</v>
      </c>
    </row>
    <row r="497" s="91" customFormat="1" spans="1:9">
      <c r="A497" s="91" t="str">
        <f t="shared" si="21"/>
        <v>Mn-57</v>
      </c>
      <c r="B497" s="91" t="s">
        <v>1071</v>
      </c>
      <c r="C497" s="91" t="s">
        <v>1056</v>
      </c>
      <c r="D497" s="91">
        <v>25</v>
      </c>
      <c r="E497" s="91">
        <v>57</v>
      </c>
      <c r="F497" s="91">
        <v>0</v>
      </c>
      <c r="G497" s="126">
        <v>0.00811647752412114</v>
      </c>
      <c r="H497" s="126">
        <f t="shared" si="22"/>
        <v>85.4</v>
      </c>
      <c r="I497" s="126" t="str">
        <f t="shared" si="23"/>
        <v>0y 0d 0h 1m</v>
      </c>
    </row>
    <row r="498" s="91" customFormat="1" spans="1:9">
      <c r="A498" s="91" t="str">
        <f t="shared" si="21"/>
        <v>Mn-58</v>
      </c>
      <c r="B498" s="91" t="s">
        <v>1072</v>
      </c>
      <c r="C498" s="91" t="s">
        <v>1056</v>
      </c>
      <c r="D498" s="91">
        <v>25</v>
      </c>
      <c r="E498" s="91">
        <v>58</v>
      </c>
      <c r="F498" s="91">
        <v>0</v>
      </c>
      <c r="G498" s="126">
        <v>0.231049060186648</v>
      </c>
      <c r="H498" s="126">
        <f t="shared" si="22"/>
        <v>3.00000000000001</v>
      </c>
      <c r="I498" s="126" t="str">
        <f t="shared" si="23"/>
        <v>0y 0d 0h 0m</v>
      </c>
    </row>
    <row r="499" s="91" customFormat="1" spans="1:9">
      <c r="A499" s="91" t="str">
        <f t="shared" si="21"/>
        <v>Mn-58m</v>
      </c>
      <c r="B499" s="91" t="s">
        <v>1073</v>
      </c>
      <c r="C499" s="91" t="s">
        <v>1056</v>
      </c>
      <c r="D499" s="91">
        <v>25</v>
      </c>
      <c r="E499" s="91">
        <v>58</v>
      </c>
      <c r="F499" s="91">
        <v>1</v>
      </c>
      <c r="G499" s="126">
        <v>0.0105985807425068</v>
      </c>
      <c r="H499" s="126">
        <f t="shared" si="22"/>
        <v>65.4</v>
      </c>
      <c r="I499" s="126" t="str">
        <f t="shared" si="23"/>
        <v>0y 0d 0h 1m</v>
      </c>
    </row>
    <row r="500" s="91" customFormat="1" spans="1:9">
      <c r="A500" s="91" t="str">
        <f t="shared" si="21"/>
        <v>Mn-59</v>
      </c>
      <c r="B500" s="91" t="s">
        <v>1074</v>
      </c>
      <c r="C500" s="91" t="s">
        <v>1056</v>
      </c>
      <c r="D500" s="91">
        <v>25</v>
      </c>
      <c r="E500" s="91">
        <v>59</v>
      </c>
      <c r="F500" s="91">
        <v>0</v>
      </c>
      <c r="G500" s="126">
        <v>0.151012457638332</v>
      </c>
      <c r="H500" s="126">
        <f t="shared" si="22"/>
        <v>4.59000000000001</v>
      </c>
      <c r="I500" s="126" t="str">
        <f t="shared" si="23"/>
        <v>0y 0d 0h 0m</v>
      </c>
    </row>
    <row r="501" s="91" customFormat="1" spans="1:9">
      <c r="A501" s="91" t="str">
        <f t="shared" si="21"/>
        <v>Mn-60</v>
      </c>
      <c r="B501" s="91" t="s">
        <v>1075</v>
      </c>
      <c r="C501" s="91" t="s">
        <v>1056</v>
      </c>
      <c r="D501" s="91">
        <v>25</v>
      </c>
      <c r="E501" s="91">
        <v>60</v>
      </c>
      <c r="F501" s="91">
        <v>0</v>
      </c>
      <c r="G501" s="126">
        <v>0.0135911211874499</v>
      </c>
      <c r="H501" s="126">
        <f t="shared" si="22"/>
        <v>51</v>
      </c>
      <c r="I501" s="126" t="str">
        <f t="shared" si="23"/>
        <v>0y 0d 0h 0m</v>
      </c>
    </row>
    <row r="502" s="91" customFormat="1" spans="1:9">
      <c r="A502" s="91" t="str">
        <f t="shared" si="21"/>
        <v>Mn-60m</v>
      </c>
      <c r="B502" s="91" t="s">
        <v>1076</v>
      </c>
      <c r="C502" s="91" t="s">
        <v>1056</v>
      </c>
      <c r="D502" s="91">
        <v>25</v>
      </c>
      <c r="E502" s="91">
        <v>60</v>
      </c>
      <c r="F502" s="91">
        <v>1</v>
      </c>
      <c r="G502" s="126">
        <v>0.391608576587539</v>
      </c>
      <c r="H502" s="126">
        <f t="shared" si="22"/>
        <v>1.77</v>
      </c>
      <c r="I502" s="126" t="str">
        <f t="shared" si="23"/>
        <v>0y 0d 0h 0m</v>
      </c>
    </row>
    <row r="503" s="91" customFormat="1" spans="1:9">
      <c r="A503" s="91" t="str">
        <f t="shared" si="21"/>
        <v>Mn-61</v>
      </c>
      <c r="B503" s="91" t="s">
        <v>1077</v>
      </c>
      <c r="C503" s="91" t="s">
        <v>1056</v>
      </c>
      <c r="D503" s="91">
        <v>25</v>
      </c>
      <c r="E503" s="91">
        <v>61</v>
      </c>
      <c r="F503" s="91">
        <v>0</v>
      </c>
      <c r="G503" s="126">
        <v>1.03454803068648</v>
      </c>
      <c r="H503" s="126">
        <f t="shared" si="22"/>
        <v>0.670000000000003</v>
      </c>
      <c r="I503" s="126" t="str">
        <f t="shared" si="23"/>
        <v>0y 0d 0h 0m</v>
      </c>
    </row>
    <row r="504" s="91" customFormat="1" spans="1:9">
      <c r="A504" s="91" t="str">
        <f t="shared" si="21"/>
        <v>Mn-62</v>
      </c>
      <c r="B504" s="91" t="s">
        <v>1078</v>
      </c>
      <c r="C504" s="91" t="s">
        <v>1056</v>
      </c>
      <c r="D504" s="91">
        <v>25</v>
      </c>
      <c r="E504" s="91">
        <v>62</v>
      </c>
      <c r="F504" s="91">
        <v>0</v>
      </c>
      <c r="G504" s="126">
        <v>1.03300623034269</v>
      </c>
      <c r="H504" s="126">
        <f t="shared" si="22"/>
        <v>0.671</v>
      </c>
      <c r="I504" s="126" t="str">
        <f t="shared" si="23"/>
        <v>0y 0d 0h 0m</v>
      </c>
    </row>
    <row r="505" s="91" customFormat="1" spans="1:9">
      <c r="A505" s="91" t="str">
        <f t="shared" si="21"/>
        <v>Mn-62m</v>
      </c>
      <c r="B505" s="91" t="s">
        <v>1079</v>
      </c>
      <c r="C505" s="91" t="s">
        <v>1056</v>
      </c>
      <c r="D505" s="91">
        <v>25</v>
      </c>
      <c r="E505" s="91">
        <v>62</v>
      </c>
      <c r="F505" s="91">
        <v>1</v>
      </c>
      <c r="G505" s="126">
        <v>7.53420848434723</v>
      </c>
      <c r="H505" s="126">
        <f t="shared" si="22"/>
        <v>0.092</v>
      </c>
      <c r="I505" s="126" t="str">
        <f t="shared" si="23"/>
        <v>0y 0d 0h 0m</v>
      </c>
    </row>
    <row r="506" s="91" customFormat="1" spans="1:9">
      <c r="A506" s="91" t="str">
        <f t="shared" si="21"/>
        <v>Mn-63</v>
      </c>
      <c r="B506" s="91" t="s">
        <v>1080</v>
      </c>
      <c r="C506" s="91" t="s">
        <v>1056</v>
      </c>
      <c r="D506" s="91">
        <v>25</v>
      </c>
      <c r="E506" s="91">
        <v>63</v>
      </c>
      <c r="F506" s="91">
        <v>0</v>
      </c>
      <c r="G506" s="126">
        <v>2.39016269158601</v>
      </c>
      <c r="H506" s="126">
        <f t="shared" si="22"/>
        <v>0.290000000000001</v>
      </c>
      <c r="I506" s="126" t="str">
        <f t="shared" si="23"/>
        <v>0y 0d 0h 0m</v>
      </c>
    </row>
    <row r="507" s="91" customFormat="1" spans="1:9">
      <c r="A507" s="91" t="str">
        <f t="shared" si="21"/>
        <v>Mn-64</v>
      </c>
      <c r="B507" s="91" t="s">
        <v>1081</v>
      </c>
      <c r="C507" s="91" t="s">
        <v>1056</v>
      </c>
      <c r="D507" s="91">
        <v>25</v>
      </c>
      <c r="E507" s="91">
        <v>64</v>
      </c>
      <c r="F507" s="91">
        <v>0</v>
      </c>
      <c r="G507" s="126">
        <v>7.70163533955494</v>
      </c>
      <c r="H507" s="126">
        <f t="shared" si="22"/>
        <v>0.0900000000000001</v>
      </c>
      <c r="I507" s="126" t="str">
        <f t="shared" si="23"/>
        <v>0y 0d 0h 0m</v>
      </c>
    </row>
    <row r="508" s="91" customFormat="1" spans="1:9">
      <c r="A508" s="91" t="str">
        <f t="shared" si="21"/>
        <v>Mn-65</v>
      </c>
      <c r="B508" s="91" t="s">
        <v>1082</v>
      </c>
      <c r="C508" s="91" t="s">
        <v>1056</v>
      </c>
      <c r="D508" s="91">
        <v>25</v>
      </c>
      <c r="E508" s="91">
        <v>65</v>
      </c>
      <c r="F508" s="91">
        <v>0</v>
      </c>
      <c r="G508" s="126">
        <v>7.53420848434723</v>
      </c>
      <c r="H508" s="126">
        <f t="shared" si="22"/>
        <v>0.092</v>
      </c>
      <c r="I508" s="126" t="str">
        <f t="shared" si="23"/>
        <v>0y 0d 0h 0m</v>
      </c>
    </row>
    <row r="509" s="91" customFormat="1" spans="1:9">
      <c r="A509" s="91" t="str">
        <f t="shared" si="21"/>
        <v>Mn-66</v>
      </c>
      <c r="B509" s="91" t="s">
        <v>1083</v>
      </c>
      <c r="C509" s="91" t="s">
        <v>1056</v>
      </c>
      <c r="D509" s="91">
        <v>25</v>
      </c>
      <c r="E509" s="91">
        <v>66</v>
      </c>
      <c r="F509" s="91">
        <v>0</v>
      </c>
      <c r="G509" s="126">
        <v>10.8304246962491</v>
      </c>
      <c r="H509" s="126">
        <f t="shared" si="22"/>
        <v>0.0640000000000003</v>
      </c>
      <c r="I509" s="126" t="str">
        <f t="shared" si="23"/>
        <v>0y 0d 0h 0m</v>
      </c>
    </row>
    <row r="510" s="91" customFormat="1" spans="1:9">
      <c r="A510" s="91" t="str">
        <f t="shared" si="21"/>
        <v>Mn-67</v>
      </c>
      <c r="B510" s="91" t="s">
        <v>1084</v>
      </c>
      <c r="C510" s="91" t="s">
        <v>1056</v>
      </c>
      <c r="D510" s="91">
        <v>25</v>
      </c>
      <c r="E510" s="91">
        <v>67</v>
      </c>
      <c r="F510" s="91">
        <v>0</v>
      </c>
      <c r="G510" s="126">
        <v>14.7478123523392</v>
      </c>
      <c r="H510" s="126">
        <f t="shared" si="22"/>
        <v>0.0470000000000002</v>
      </c>
      <c r="I510" s="126" t="str">
        <f t="shared" si="23"/>
        <v>0y 0d 0h 0m</v>
      </c>
    </row>
    <row r="511" s="91" customFormat="1" spans="1:9">
      <c r="A511" s="91" t="str">
        <f t="shared" si="21"/>
        <v>Mn-68</v>
      </c>
      <c r="B511" s="91" t="s">
        <v>1085</v>
      </c>
      <c r="C511" s="91" t="s">
        <v>1056</v>
      </c>
      <c r="D511" s="91">
        <v>25</v>
      </c>
      <c r="E511" s="91">
        <v>68</v>
      </c>
      <c r="F511" s="91">
        <v>0</v>
      </c>
      <c r="G511" s="126">
        <v>24.7552564485694</v>
      </c>
      <c r="H511" s="126">
        <f t="shared" si="22"/>
        <v>0.0280000000000001</v>
      </c>
      <c r="I511" s="126" t="str">
        <f t="shared" si="23"/>
        <v>0y 0d 0h 0m</v>
      </c>
    </row>
    <row r="512" s="91" customFormat="1" spans="1:9">
      <c r="A512" s="91" t="str">
        <f t="shared" si="21"/>
        <v>Mn-69</v>
      </c>
      <c r="B512" s="91" t="s">
        <v>1086</v>
      </c>
      <c r="C512" s="91" t="s">
        <v>1056</v>
      </c>
      <c r="D512" s="91">
        <v>25</v>
      </c>
      <c r="E512" s="91">
        <v>69</v>
      </c>
      <c r="F512" s="91">
        <v>0</v>
      </c>
      <c r="G512" s="126">
        <v>49.5105128971389</v>
      </c>
      <c r="H512" s="126">
        <f t="shared" si="22"/>
        <v>0.014</v>
      </c>
      <c r="I512" s="126" t="str">
        <f t="shared" si="23"/>
        <v>0y 0d 0h 0m</v>
      </c>
    </row>
    <row r="513" s="91" customFormat="1" spans="1:9">
      <c r="A513" s="91" t="str">
        <f t="shared" si="21"/>
        <v>Fe-45</v>
      </c>
      <c r="B513" s="91" t="s">
        <v>1087</v>
      </c>
      <c r="C513" s="91" t="s">
        <v>1088</v>
      </c>
      <c r="D513" s="91">
        <v>26</v>
      </c>
      <c r="E513" s="91">
        <v>45</v>
      </c>
      <c r="F513" s="91">
        <v>0</v>
      </c>
      <c r="G513" s="126">
        <v>341.451813083716</v>
      </c>
      <c r="H513" s="126">
        <f t="shared" si="22"/>
        <v>0.00203000000000001</v>
      </c>
      <c r="I513" s="126" t="str">
        <f t="shared" si="23"/>
        <v>0y 0d 0h 0m</v>
      </c>
    </row>
    <row r="514" s="91" customFormat="1" spans="1:9">
      <c r="A514" s="91" t="str">
        <f t="shared" ref="A514:A577" si="24">C514&amp;"-"&amp;E514&amp;_xlfn.IFS(F514=0,"",F514=1,"m",F514&gt;1,"m"&amp;F514)</f>
        <v>Fe-46</v>
      </c>
      <c r="B514" s="91" t="s">
        <v>1089</v>
      </c>
      <c r="C514" s="91" t="s">
        <v>1088</v>
      </c>
      <c r="D514" s="91">
        <v>26</v>
      </c>
      <c r="E514" s="91">
        <v>46</v>
      </c>
      <c r="F514" s="91">
        <v>0</v>
      </c>
      <c r="G514" s="126">
        <v>53.3190138892265</v>
      </c>
      <c r="H514" s="126">
        <f t="shared" ref="H514:H577" si="25">IF(G514&gt;0,LN(2)/G514,0)</f>
        <v>0.013</v>
      </c>
      <c r="I514" s="126" t="str">
        <f t="shared" si="23"/>
        <v>0y 0d 0h 0m</v>
      </c>
    </row>
    <row r="515" s="91" customFormat="1" spans="1:9">
      <c r="A515" s="91" t="str">
        <f t="shared" si="24"/>
        <v>Fe-47</v>
      </c>
      <c r="B515" s="91" t="s">
        <v>1090</v>
      </c>
      <c r="C515" s="91" t="s">
        <v>1088</v>
      </c>
      <c r="D515" s="91">
        <v>26</v>
      </c>
      <c r="E515" s="91">
        <v>47</v>
      </c>
      <c r="F515" s="91">
        <v>0</v>
      </c>
      <c r="G515" s="126">
        <v>31.6505561899518</v>
      </c>
      <c r="H515" s="126">
        <f t="shared" si="25"/>
        <v>0.0219</v>
      </c>
      <c r="I515" s="126" t="str">
        <f t="shared" ref="I515:I578" si="26">INT(H515/31536000)&amp;"y "&amp;INT(MOD(H515,31536000)/86400)&amp;"d "&amp;INT(MOD(MOD(H515,31536000),86400)/3600)&amp;"h "&amp;INT(MOD(MOD(MOD(H515,31536000),86400),3600)/60)&amp;"m"</f>
        <v>0y 0d 0h 0m</v>
      </c>
    </row>
    <row r="516" s="91" customFormat="1" spans="1:9">
      <c r="A516" s="91" t="str">
        <f t="shared" si="24"/>
        <v>Fe-48</v>
      </c>
      <c r="B516" s="91" t="s">
        <v>1091</v>
      </c>
      <c r="C516" s="91" t="s">
        <v>1088</v>
      </c>
      <c r="D516" s="91">
        <v>26</v>
      </c>
      <c r="E516" s="91">
        <v>48</v>
      </c>
      <c r="F516" s="91">
        <v>0</v>
      </c>
      <c r="G516" s="126">
        <v>15.753345012726</v>
      </c>
      <c r="H516" s="126">
        <f t="shared" si="25"/>
        <v>0.0440000000000001</v>
      </c>
      <c r="I516" s="126" t="str">
        <f t="shared" si="26"/>
        <v>0y 0d 0h 0m</v>
      </c>
    </row>
    <row r="517" s="91" customFormat="1" spans="1:9">
      <c r="A517" s="91" t="str">
        <f t="shared" si="24"/>
        <v>Fe-49</v>
      </c>
      <c r="B517" s="91" t="s">
        <v>1092</v>
      </c>
      <c r="C517" s="91" t="s">
        <v>1088</v>
      </c>
      <c r="D517" s="91">
        <v>26</v>
      </c>
      <c r="E517" s="91">
        <v>49</v>
      </c>
      <c r="F517" s="91">
        <v>0</v>
      </c>
      <c r="G517" s="126">
        <v>10.7132485403391</v>
      </c>
      <c r="H517" s="126">
        <f t="shared" si="25"/>
        <v>0.0647000000000005</v>
      </c>
      <c r="I517" s="126" t="str">
        <f t="shared" si="26"/>
        <v>0y 0d 0h 0m</v>
      </c>
    </row>
    <row r="518" s="91" customFormat="1" spans="1:9">
      <c r="A518" s="91" t="str">
        <f t="shared" si="24"/>
        <v>Fe-50</v>
      </c>
      <c r="B518" s="91" t="s">
        <v>1093</v>
      </c>
      <c r="C518" s="91" t="s">
        <v>1088</v>
      </c>
      <c r="D518" s="91">
        <v>26</v>
      </c>
      <c r="E518" s="91">
        <v>50</v>
      </c>
      <c r="F518" s="91">
        <v>0</v>
      </c>
      <c r="G518" s="126">
        <v>4.47191729393513</v>
      </c>
      <c r="H518" s="126">
        <f t="shared" si="25"/>
        <v>0.155</v>
      </c>
      <c r="I518" s="126" t="str">
        <f t="shared" si="26"/>
        <v>0y 0d 0h 0m</v>
      </c>
    </row>
    <row r="519" s="91" customFormat="1" spans="1:9">
      <c r="A519" s="91" t="str">
        <f t="shared" si="24"/>
        <v>Fe-51</v>
      </c>
      <c r="B519" s="91" t="s">
        <v>1094</v>
      </c>
      <c r="C519" s="91" t="s">
        <v>1088</v>
      </c>
      <c r="D519" s="91">
        <v>26</v>
      </c>
      <c r="E519" s="91">
        <v>51</v>
      </c>
      <c r="F519" s="91">
        <v>0</v>
      </c>
      <c r="G519" s="126">
        <v>2.27261370675391</v>
      </c>
      <c r="H519" s="126">
        <f t="shared" si="25"/>
        <v>0.305000000000001</v>
      </c>
      <c r="I519" s="126" t="str">
        <f t="shared" si="26"/>
        <v>0y 0d 0h 0m</v>
      </c>
    </row>
    <row r="520" s="91" customFormat="1" spans="1:9">
      <c r="A520" s="91" t="str">
        <f t="shared" si="24"/>
        <v>Fe-52</v>
      </c>
      <c r="B520" s="91" t="s">
        <v>1095</v>
      </c>
      <c r="C520" s="91" t="s">
        <v>1088</v>
      </c>
      <c r="D520" s="91">
        <v>26</v>
      </c>
      <c r="E520" s="91">
        <v>52</v>
      </c>
      <c r="F520" s="91">
        <v>0</v>
      </c>
      <c r="G520" s="126">
        <v>2.32677804820391e-5</v>
      </c>
      <c r="H520" s="126">
        <f t="shared" si="25"/>
        <v>29790</v>
      </c>
      <c r="I520" s="126" t="str">
        <f t="shared" si="26"/>
        <v>0y 0d 8h 16m</v>
      </c>
    </row>
    <row r="521" s="91" customFormat="1" spans="1:9">
      <c r="A521" s="91" t="str">
        <f t="shared" si="24"/>
        <v>Fe-52m</v>
      </c>
      <c r="B521" s="91" t="s">
        <v>1096</v>
      </c>
      <c r="C521" s="91" t="s">
        <v>1088</v>
      </c>
      <c r="D521" s="91">
        <v>26</v>
      </c>
      <c r="E521" s="91">
        <v>52</v>
      </c>
      <c r="F521" s="91">
        <v>1</v>
      </c>
      <c r="G521" s="126">
        <v>0.0151012457638332</v>
      </c>
      <c r="H521" s="126">
        <f t="shared" si="25"/>
        <v>45.9000000000001</v>
      </c>
      <c r="I521" s="126" t="str">
        <f t="shared" si="26"/>
        <v>0y 0d 0h 0m</v>
      </c>
    </row>
    <row r="522" s="91" customFormat="1" spans="1:9">
      <c r="A522" s="91" t="str">
        <f t="shared" si="24"/>
        <v>Fe-53</v>
      </c>
      <c r="B522" s="91" t="s">
        <v>1097</v>
      </c>
      <c r="C522" s="91" t="s">
        <v>1088</v>
      </c>
      <c r="D522" s="91">
        <v>26</v>
      </c>
      <c r="E522" s="91">
        <v>53</v>
      </c>
      <c r="F522" s="91">
        <v>0</v>
      </c>
      <c r="G522" s="126">
        <v>0.00135751504222472</v>
      </c>
      <c r="H522" s="126">
        <f t="shared" si="25"/>
        <v>510.600000000002</v>
      </c>
      <c r="I522" s="126" t="str">
        <f t="shared" si="26"/>
        <v>0y 0d 0h 8m</v>
      </c>
    </row>
    <row r="523" s="91" customFormat="1" spans="1:9">
      <c r="A523" s="91" t="str">
        <f t="shared" si="24"/>
        <v>Fe-53m</v>
      </c>
      <c r="B523" s="91" t="s">
        <v>1098</v>
      </c>
      <c r="C523" s="91" t="s">
        <v>1088</v>
      </c>
      <c r="D523" s="91">
        <v>26</v>
      </c>
      <c r="E523" s="91">
        <v>53</v>
      </c>
      <c r="F523" s="91">
        <v>1</v>
      </c>
      <c r="G523" s="126">
        <v>0.00454820984619386</v>
      </c>
      <c r="H523" s="126">
        <f t="shared" si="25"/>
        <v>152.4</v>
      </c>
      <c r="I523" s="126" t="str">
        <f t="shared" si="26"/>
        <v>0y 0d 0h 2m</v>
      </c>
    </row>
    <row r="524" s="91" customFormat="1" spans="1:9">
      <c r="A524" s="91" t="str">
        <f t="shared" si="24"/>
        <v>Fe-54</v>
      </c>
      <c r="B524" s="91" t="s">
        <v>1099</v>
      </c>
      <c r="C524" s="91" t="s">
        <v>1088</v>
      </c>
      <c r="D524" s="91">
        <v>26</v>
      </c>
      <c r="E524" s="91">
        <v>54</v>
      </c>
      <c r="F524" s="91">
        <v>0</v>
      </c>
      <c r="G524" s="126">
        <v>0</v>
      </c>
      <c r="H524" s="126">
        <f t="shared" si="25"/>
        <v>0</v>
      </c>
      <c r="I524" s="126" t="str">
        <f t="shared" si="26"/>
        <v>0y 0d 0h 0m</v>
      </c>
    </row>
    <row r="525" s="91" customFormat="1" spans="1:9">
      <c r="A525" s="91" t="str">
        <f t="shared" si="24"/>
        <v>Fe-55</v>
      </c>
      <c r="B525" s="91" t="s">
        <v>1100</v>
      </c>
      <c r="C525" s="91" t="s">
        <v>1088</v>
      </c>
      <c r="D525" s="91">
        <v>26</v>
      </c>
      <c r="E525" s="91">
        <v>55</v>
      </c>
      <c r="F525" s="91">
        <v>0</v>
      </c>
      <c r="G525" s="126">
        <v>8.00455898020643e-9</v>
      </c>
      <c r="H525" s="126">
        <f t="shared" si="25"/>
        <v>86594050.0000001</v>
      </c>
      <c r="I525" s="126" t="str">
        <f t="shared" si="26"/>
        <v>2y 272d 5h 54m</v>
      </c>
    </row>
    <row r="526" s="91" customFormat="1" spans="1:9">
      <c r="A526" s="91" t="str">
        <f t="shared" si="24"/>
        <v>Fe-56</v>
      </c>
      <c r="B526" s="91" t="s">
        <v>1101</v>
      </c>
      <c r="C526" s="91" t="s">
        <v>1088</v>
      </c>
      <c r="D526" s="91">
        <v>26</v>
      </c>
      <c r="E526" s="91">
        <v>56</v>
      </c>
      <c r="F526" s="91">
        <v>0</v>
      </c>
      <c r="G526" s="126">
        <v>0</v>
      </c>
      <c r="H526" s="126">
        <f t="shared" si="25"/>
        <v>0</v>
      </c>
      <c r="I526" s="126" t="str">
        <f t="shared" si="26"/>
        <v>0y 0d 0h 0m</v>
      </c>
    </row>
    <row r="527" s="91" customFormat="1" spans="1:9">
      <c r="A527" s="91" t="str">
        <f t="shared" si="24"/>
        <v>Fe-57</v>
      </c>
      <c r="B527" s="91" t="s">
        <v>1102</v>
      </c>
      <c r="C527" s="91" t="s">
        <v>1088</v>
      </c>
      <c r="D527" s="91">
        <v>26</v>
      </c>
      <c r="E527" s="91">
        <v>57</v>
      </c>
      <c r="F527" s="91">
        <v>0</v>
      </c>
      <c r="G527" s="126">
        <v>0</v>
      </c>
      <c r="H527" s="126">
        <f t="shared" si="25"/>
        <v>0</v>
      </c>
      <c r="I527" s="126" t="str">
        <f t="shared" si="26"/>
        <v>0y 0d 0h 0m</v>
      </c>
    </row>
    <row r="528" s="91" customFormat="1" spans="1:9">
      <c r="A528" s="91" t="str">
        <f t="shared" si="24"/>
        <v>Fe-58</v>
      </c>
      <c r="B528" s="91" t="s">
        <v>1103</v>
      </c>
      <c r="C528" s="91" t="s">
        <v>1088</v>
      </c>
      <c r="D528" s="91">
        <v>26</v>
      </c>
      <c r="E528" s="91">
        <v>58</v>
      </c>
      <c r="F528" s="91">
        <v>0</v>
      </c>
      <c r="G528" s="126">
        <v>0</v>
      </c>
      <c r="H528" s="126">
        <f t="shared" si="25"/>
        <v>0</v>
      </c>
      <c r="I528" s="126" t="str">
        <f t="shared" si="26"/>
        <v>0y 0d 0h 0m</v>
      </c>
    </row>
    <row r="529" s="91" customFormat="1" spans="1:9">
      <c r="A529" s="91" t="str">
        <f t="shared" si="24"/>
        <v>Fe-59</v>
      </c>
      <c r="B529" s="91" t="s">
        <v>1104</v>
      </c>
      <c r="C529" s="91" t="s">
        <v>1088</v>
      </c>
      <c r="D529" s="91">
        <v>26</v>
      </c>
      <c r="E529" s="91">
        <v>59</v>
      </c>
      <c r="F529" s="91">
        <v>0</v>
      </c>
      <c r="G529" s="126">
        <v>1.80301984763151e-7</v>
      </c>
      <c r="H529" s="126">
        <f t="shared" si="25"/>
        <v>3844368</v>
      </c>
      <c r="I529" s="126" t="str">
        <f t="shared" si="26"/>
        <v>0y 44d 11h 52m</v>
      </c>
    </row>
    <row r="530" s="91" customFormat="1" spans="1:9">
      <c r="A530" s="91" t="str">
        <f t="shared" si="24"/>
        <v>Fe-60</v>
      </c>
      <c r="B530" s="91" t="s">
        <v>1105</v>
      </c>
      <c r="C530" s="91" t="s">
        <v>1088</v>
      </c>
      <c r="D530" s="91">
        <v>26</v>
      </c>
      <c r="E530" s="91">
        <v>60</v>
      </c>
      <c r="F530" s="91">
        <v>0</v>
      </c>
      <c r="G530" s="126">
        <v>1.46430058170867e-14</v>
      </c>
      <c r="H530" s="126">
        <f t="shared" si="25"/>
        <v>47336400000000.2</v>
      </c>
      <c r="I530" s="126" t="str">
        <f t="shared" si="26"/>
        <v>1501027y 145d 0h 0m</v>
      </c>
    </row>
    <row r="531" s="91" customFormat="1" spans="1:9">
      <c r="A531" s="91" t="str">
        <f t="shared" si="24"/>
        <v>Fe-61</v>
      </c>
      <c r="B531" s="91" t="s">
        <v>1106</v>
      </c>
      <c r="C531" s="91" t="s">
        <v>1088</v>
      </c>
      <c r="D531" s="91">
        <v>26</v>
      </c>
      <c r="E531" s="91">
        <v>61</v>
      </c>
      <c r="F531" s="91">
        <v>0</v>
      </c>
      <c r="G531" s="126">
        <v>0.0019318483293198</v>
      </c>
      <c r="H531" s="126">
        <f t="shared" si="25"/>
        <v>358.800000000001</v>
      </c>
      <c r="I531" s="126" t="str">
        <f t="shared" si="26"/>
        <v>0y 0d 0h 5m</v>
      </c>
    </row>
    <row r="532" s="91" customFormat="1" spans="1:9">
      <c r="A532" s="91" t="str">
        <f t="shared" si="24"/>
        <v>Fe-62</v>
      </c>
      <c r="B532" s="91" t="s">
        <v>1107</v>
      </c>
      <c r="C532" s="91" t="s">
        <v>1088</v>
      </c>
      <c r="D532" s="91">
        <v>26</v>
      </c>
      <c r="E532" s="91">
        <v>62</v>
      </c>
      <c r="F532" s="91">
        <v>0</v>
      </c>
      <c r="G532" s="126">
        <v>0.0101933408905874</v>
      </c>
      <c r="H532" s="126">
        <f t="shared" si="25"/>
        <v>68.0000000000002</v>
      </c>
      <c r="I532" s="126" t="str">
        <f t="shared" si="26"/>
        <v>0y 0d 0h 1m</v>
      </c>
    </row>
    <row r="533" s="91" customFormat="1" spans="1:9">
      <c r="A533" s="91" t="str">
        <f t="shared" si="24"/>
        <v>Fe-63</v>
      </c>
      <c r="B533" s="91" t="s">
        <v>1108</v>
      </c>
      <c r="C533" s="91" t="s">
        <v>1088</v>
      </c>
      <c r="D533" s="91">
        <v>26</v>
      </c>
      <c r="E533" s="91">
        <v>63</v>
      </c>
      <c r="F533" s="91">
        <v>0</v>
      </c>
      <c r="G533" s="126">
        <v>0.113630685337695</v>
      </c>
      <c r="H533" s="126">
        <f t="shared" si="25"/>
        <v>6.10000000000005</v>
      </c>
      <c r="I533" s="126" t="str">
        <f t="shared" si="26"/>
        <v>0y 0d 0h 0m</v>
      </c>
    </row>
    <row r="534" s="91" customFormat="1" spans="1:9">
      <c r="A534" s="91" t="str">
        <f t="shared" si="24"/>
        <v>Fe-64</v>
      </c>
      <c r="B534" s="91" t="s">
        <v>1109</v>
      </c>
      <c r="C534" s="91" t="s">
        <v>1088</v>
      </c>
      <c r="D534" s="91">
        <v>26</v>
      </c>
      <c r="E534" s="91">
        <v>64</v>
      </c>
      <c r="F534" s="91">
        <v>0</v>
      </c>
      <c r="G534" s="126">
        <v>0.346573590279972</v>
      </c>
      <c r="H534" s="126">
        <f t="shared" si="25"/>
        <v>2</v>
      </c>
      <c r="I534" s="126" t="str">
        <f t="shared" si="26"/>
        <v>0y 0d 0h 0m</v>
      </c>
    </row>
    <row r="535" s="91" customFormat="1" spans="1:9">
      <c r="A535" s="91" t="str">
        <f t="shared" si="24"/>
        <v>Fe-65</v>
      </c>
      <c r="B535" s="91" t="s">
        <v>1110</v>
      </c>
      <c r="C535" s="91" t="s">
        <v>1088</v>
      </c>
      <c r="D535" s="91">
        <v>26</v>
      </c>
      <c r="E535" s="91">
        <v>65</v>
      </c>
      <c r="F535" s="91">
        <v>0</v>
      </c>
      <c r="G535" s="126">
        <v>0.855737259950549</v>
      </c>
      <c r="H535" s="126">
        <f t="shared" si="25"/>
        <v>0.810000000000001</v>
      </c>
      <c r="I535" s="126" t="str">
        <f t="shared" si="26"/>
        <v>0y 0d 0h 0m</v>
      </c>
    </row>
    <row r="536" s="91" customFormat="1" spans="1:9">
      <c r="A536" s="91" t="str">
        <f t="shared" si="24"/>
        <v>Fe-65m</v>
      </c>
      <c r="B536" s="91" t="s">
        <v>1111</v>
      </c>
      <c r="C536" s="91" t="s">
        <v>1088</v>
      </c>
      <c r="D536" s="91">
        <v>26</v>
      </c>
      <c r="E536" s="91">
        <v>65</v>
      </c>
      <c r="F536" s="91">
        <v>1</v>
      </c>
      <c r="G536" s="126">
        <v>0.618881411214236</v>
      </c>
      <c r="H536" s="126">
        <f t="shared" si="25"/>
        <v>1.12</v>
      </c>
      <c r="I536" s="126" t="str">
        <f t="shared" si="26"/>
        <v>0y 0d 0h 0m</v>
      </c>
    </row>
    <row r="537" s="91" customFormat="1" spans="1:9">
      <c r="A537" s="91" t="str">
        <f t="shared" si="24"/>
        <v>Fe-66</v>
      </c>
      <c r="B537" s="91" t="s">
        <v>1112</v>
      </c>
      <c r="C537" s="91" t="s">
        <v>1088</v>
      </c>
      <c r="D537" s="91">
        <v>26</v>
      </c>
      <c r="E537" s="91">
        <v>66</v>
      </c>
      <c r="F537" s="91">
        <v>0</v>
      </c>
      <c r="G537" s="126">
        <v>1.5753345012726</v>
      </c>
      <c r="H537" s="126">
        <f t="shared" si="25"/>
        <v>0.440000000000001</v>
      </c>
      <c r="I537" s="126" t="str">
        <f t="shared" si="26"/>
        <v>0y 0d 0h 0m</v>
      </c>
    </row>
    <row r="538" s="91" customFormat="1" spans="1:9">
      <c r="A538" s="91" t="str">
        <f t="shared" si="24"/>
        <v>Fe-67</v>
      </c>
      <c r="B538" s="91" t="s">
        <v>1113</v>
      </c>
      <c r="C538" s="91" t="s">
        <v>1088</v>
      </c>
      <c r="D538" s="91">
        <v>26</v>
      </c>
      <c r="E538" s="91">
        <v>67</v>
      </c>
      <c r="F538" s="91">
        <v>0</v>
      </c>
      <c r="G538" s="126">
        <v>1.66621918403833</v>
      </c>
      <c r="H538" s="126">
        <f t="shared" si="25"/>
        <v>0.416</v>
      </c>
      <c r="I538" s="126" t="str">
        <f t="shared" si="26"/>
        <v>0y 0d 0h 0m</v>
      </c>
    </row>
    <row r="539" s="91" customFormat="1" spans="1:9">
      <c r="A539" s="91" t="str">
        <f t="shared" si="24"/>
        <v>Fe-68</v>
      </c>
      <c r="B539" s="91" t="s">
        <v>1114</v>
      </c>
      <c r="C539" s="91" t="s">
        <v>1088</v>
      </c>
      <c r="D539" s="91">
        <v>26</v>
      </c>
      <c r="E539" s="91">
        <v>68</v>
      </c>
      <c r="F539" s="91">
        <v>0</v>
      </c>
      <c r="G539" s="126">
        <v>3.70666941475906</v>
      </c>
      <c r="H539" s="126">
        <f t="shared" si="25"/>
        <v>0.187</v>
      </c>
      <c r="I539" s="126" t="str">
        <f t="shared" si="26"/>
        <v>0y 0d 0h 0m</v>
      </c>
    </row>
    <row r="540" s="91" customFormat="1" spans="1:9">
      <c r="A540" s="91" t="str">
        <f t="shared" si="24"/>
        <v>Fe-69</v>
      </c>
      <c r="B540" s="91" t="s">
        <v>1115</v>
      </c>
      <c r="C540" s="91" t="s">
        <v>1088</v>
      </c>
      <c r="D540" s="91">
        <v>26</v>
      </c>
      <c r="E540" s="91">
        <v>69</v>
      </c>
      <c r="F540" s="91">
        <v>0</v>
      </c>
      <c r="G540" s="126">
        <v>6.35914844550408</v>
      </c>
      <c r="H540" s="126">
        <f t="shared" si="25"/>
        <v>0.109</v>
      </c>
      <c r="I540" s="126" t="str">
        <f t="shared" si="26"/>
        <v>0y 0d 0h 0m</v>
      </c>
    </row>
    <row r="541" s="91" customFormat="1" spans="1:9">
      <c r="A541" s="91" t="str">
        <f t="shared" si="24"/>
        <v>Fe-70</v>
      </c>
      <c r="B541" s="91" t="s">
        <v>1116</v>
      </c>
      <c r="C541" s="91" t="s">
        <v>1088</v>
      </c>
      <c r="D541" s="91">
        <v>26</v>
      </c>
      <c r="E541" s="91">
        <v>70</v>
      </c>
      <c r="F541" s="91">
        <v>0</v>
      </c>
      <c r="G541" s="126">
        <v>7.37390617616963</v>
      </c>
      <c r="H541" s="126">
        <f t="shared" si="25"/>
        <v>0.094</v>
      </c>
      <c r="I541" s="126" t="str">
        <f t="shared" si="26"/>
        <v>0y 0d 0h 0m</v>
      </c>
    </row>
    <row r="542" s="91" customFormat="1" spans="1:9">
      <c r="A542" s="91" t="str">
        <f t="shared" si="24"/>
        <v>Fe-71</v>
      </c>
      <c r="B542" s="91" t="s">
        <v>1117</v>
      </c>
      <c r="C542" s="91" t="s">
        <v>1088</v>
      </c>
      <c r="D542" s="91">
        <v>26</v>
      </c>
      <c r="E542" s="91">
        <v>71</v>
      </c>
      <c r="F542" s="91">
        <v>0</v>
      </c>
      <c r="G542" s="126">
        <v>24.7552564485694</v>
      </c>
      <c r="H542" s="126">
        <f t="shared" si="25"/>
        <v>0.0280000000000001</v>
      </c>
      <c r="I542" s="126" t="str">
        <f t="shared" si="26"/>
        <v>0y 0d 0h 0m</v>
      </c>
    </row>
    <row r="543" s="91" customFormat="1" spans="1:9">
      <c r="A543" s="91" t="str">
        <f t="shared" si="24"/>
        <v>Fe-72</v>
      </c>
      <c r="B543" s="91" t="s">
        <v>1118</v>
      </c>
      <c r="C543" s="91" t="s">
        <v>1088</v>
      </c>
      <c r="D543" s="91">
        <v>26</v>
      </c>
      <c r="E543" s="91">
        <v>72</v>
      </c>
      <c r="F543" s="91">
        <v>0</v>
      </c>
      <c r="G543" s="126">
        <v>4620981.20373296</v>
      </c>
      <c r="H543" s="126">
        <f t="shared" si="25"/>
        <v>1.5e-7</v>
      </c>
      <c r="I543" s="126" t="str">
        <f t="shared" si="26"/>
        <v>0y 0d 0h 0m</v>
      </c>
    </row>
    <row r="544" s="91" customFormat="1" spans="1:9">
      <c r="A544" s="91" t="str">
        <f t="shared" si="24"/>
        <v>Co-49</v>
      </c>
      <c r="B544" s="91" t="s">
        <v>1119</v>
      </c>
      <c r="C544" s="91" t="s">
        <v>1120</v>
      </c>
      <c r="D544" s="91">
        <v>27</v>
      </c>
      <c r="E544" s="91">
        <v>49</v>
      </c>
      <c r="F544" s="91">
        <v>0</v>
      </c>
      <c r="G544" s="126">
        <v>19804205.1588555</v>
      </c>
      <c r="H544" s="126">
        <f t="shared" si="25"/>
        <v>3.50000000000001e-8</v>
      </c>
      <c r="I544" s="126" t="str">
        <f t="shared" si="26"/>
        <v>0y 0d 0h 0m</v>
      </c>
    </row>
    <row r="545" s="91" customFormat="1" spans="1:9">
      <c r="A545" s="91" t="str">
        <f t="shared" si="24"/>
        <v>Co-50</v>
      </c>
      <c r="B545" s="91" t="s">
        <v>1121</v>
      </c>
      <c r="C545" s="91" t="s">
        <v>1120</v>
      </c>
      <c r="D545" s="91">
        <v>27</v>
      </c>
      <c r="E545" s="91">
        <v>50</v>
      </c>
      <c r="F545" s="91">
        <v>0</v>
      </c>
      <c r="G545" s="126">
        <v>15.753345012726</v>
      </c>
      <c r="H545" s="126">
        <f t="shared" si="25"/>
        <v>0.0440000000000001</v>
      </c>
      <c r="I545" s="126" t="str">
        <f t="shared" si="26"/>
        <v>0y 0d 0h 0m</v>
      </c>
    </row>
    <row r="546" s="91" customFormat="1" spans="1:9">
      <c r="A546" s="91" t="str">
        <f t="shared" si="24"/>
        <v>Co-51</v>
      </c>
      <c r="B546" s="91" t="s">
        <v>1122</v>
      </c>
      <c r="C546" s="91" t="s">
        <v>1120</v>
      </c>
      <c r="D546" s="91">
        <v>27</v>
      </c>
      <c r="E546" s="91">
        <v>51</v>
      </c>
      <c r="F546" s="91">
        <v>0</v>
      </c>
      <c r="G546" s="126">
        <v>3465735.90279972</v>
      </c>
      <c r="H546" s="126">
        <f t="shared" si="25"/>
        <v>2e-7</v>
      </c>
      <c r="I546" s="126" t="str">
        <f t="shared" si="26"/>
        <v>0y 0d 0h 0m</v>
      </c>
    </row>
    <row r="547" s="91" customFormat="1" spans="1:9">
      <c r="A547" s="91" t="str">
        <f t="shared" si="24"/>
        <v>Co-52</v>
      </c>
      <c r="B547" s="91" t="s">
        <v>1123</v>
      </c>
      <c r="C547" s="91" t="s">
        <v>1120</v>
      </c>
      <c r="D547" s="91">
        <v>27</v>
      </c>
      <c r="E547" s="91">
        <v>52</v>
      </c>
      <c r="F547" s="91">
        <v>0</v>
      </c>
      <c r="G547" s="126">
        <v>6.02736678747778</v>
      </c>
      <c r="H547" s="126">
        <f t="shared" si="25"/>
        <v>0.115</v>
      </c>
      <c r="I547" s="126" t="str">
        <f t="shared" si="26"/>
        <v>0y 0d 0h 0m</v>
      </c>
    </row>
    <row r="548" s="91" customFormat="1" spans="1:9">
      <c r="A548" s="91" t="str">
        <f t="shared" si="24"/>
        <v>Co-53</v>
      </c>
      <c r="B548" s="91" t="s">
        <v>1124</v>
      </c>
      <c r="C548" s="91" t="s">
        <v>1120</v>
      </c>
      <c r="D548" s="91">
        <v>27</v>
      </c>
      <c r="E548" s="91">
        <v>53</v>
      </c>
      <c r="F548" s="91">
        <v>0</v>
      </c>
      <c r="G548" s="126">
        <v>2.8881132523331</v>
      </c>
      <c r="H548" s="126">
        <f t="shared" si="25"/>
        <v>0.24</v>
      </c>
      <c r="I548" s="126" t="str">
        <f t="shared" si="26"/>
        <v>0y 0d 0h 0m</v>
      </c>
    </row>
    <row r="549" s="91" customFormat="1" spans="1:9">
      <c r="A549" s="91" t="str">
        <f t="shared" si="24"/>
        <v>Co-53m</v>
      </c>
      <c r="B549" s="91" t="s">
        <v>1125</v>
      </c>
      <c r="C549" s="91" t="s">
        <v>1120</v>
      </c>
      <c r="D549" s="91">
        <v>27</v>
      </c>
      <c r="E549" s="91">
        <v>53</v>
      </c>
      <c r="F549" s="91">
        <v>1</v>
      </c>
      <c r="G549" s="126">
        <v>2.80626388890666</v>
      </c>
      <c r="H549" s="126">
        <f t="shared" si="25"/>
        <v>0.247</v>
      </c>
      <c r="I549" s="126" t="str">
        <f t="shared" si="26"/>
        <v>0y 0d 0h 0m</v>
      </c>
    </row>
    <row r="550" s="91" customFormat="1" spans="1:9">
      <c r="A550" s="91" t="str">
        <f t="shared" si="24"/>
        <v>Co-54</v>
      </c>
      <c r="B550" s="91" t="s">
        <v>1126</v>
      </c>
      <c r="C550" s="91" t="s">
        <v>1120</v>
      </c>
      <c r="D550" s="91">
        <v>27</v>
      </c>
      <c r="E550" s="91">
        <v>54</v>
      </c>
      <c r="F550" s="91">
        <v>0</v>
      </c>
      <c r="G550" s="126">
        <v>3.58623334312885</v>
      </c>
      <c r="H550" s="126">
        <f t="shared" si="25"/>
        <v>0.19328</v>
      </c>
      <c r="I550" s="126" t="str">
        <f t="shared" si="26"/>
        <v>0y 0d 0h 0m</v>
      </c>
    </row>
    <row r="551" s="91" customFormat="1" spans="1:9">
      <c r="A551" s="91" t="str">
        <f t="shared" si="24"/>
        <v>Co-54m</v>
      </c>
      <c r="B551" s="91" t="s">
        <v>1127</v>
      </c>
      <c r="C551" s="91" t="s">
        <v>1120</v>
      </c>
      <c r="D551" s="91">
        <v>27</v>
      </c>
      <c r="E551" s="91">
        <v>54</v>
      </c>
      <c r="F551" s="91">
        <v>1</v>
      </c>
      <c r="G551" s="126">
        <v>0.00780571149279217</v>
      </c>
      <c r="H551" s="126">
        <f t="shared" si="25"/>
        <v>88.8000000000001</v>
      </c>
      <c r="I551" s="126" t="str">
        <f t="shared" si="26"/>
        <v>0y 0d 0h 1m</v>
      </c>
    </row>
    <row r="552" s="91" customFormat="1" spans="1:9">
      <c r="A552" s="91" t="str">
        <f t="shared" si="24"/>
        <v>Co-55</v>
      </c>
      <c r="B552" s="91" t="s">
        <v>1128</v>
      </c>
      <c r="C552" s="91" t="s">
        <v>1120</v>
      </c>
      <c r="D552" s="91">
        <v>27</v>
      </c>
      <c r="E552" s="91">
        <v>55</v>
      </c>
      <c r="F552" s="91">
        <v>0</v>
      </c>
      <c r="G552" s="126">
        <v>1.09835073296562e-5</v>
      </c>
      <c r="H552" s="126">
        <f t="shared" si="25"/>
        <v>63108.0000000002</v>
      </c>
      <c r="I552" s="126" t="str">
        <f t="shared" si="26"/>
        <v>0y 0d 17h 31m</v>
      </c>
    </row>
    <row r="553" s="91" customFormat="1" spans="1:9">
      <c r="A553" s="91" t="str">
        <f t="shared" si="24"/>
        <v>Co-56</v>
      </c>
      <c r="B553" s="91" t="s">
        <v>1129</v>
      </c>
      <c r="C553" s="91" t="s">
        <v>1120</v>
      </c>
      <c r="D553" s="91">
        <v>27</v>
      </c>
      <c r="E553" s="91">
        <v>56</v>
      </c>
      <c r="F553" s="91">
        <v>0</v>
      </c>
      <c r="G553" s="126">
        <v>1.03874471436906e-7</v>
      </c>
      <c r="H553" s="126">
        <f t="shared" si="25"/>
        <v>6672931.00000001</v>
      </c>
      <c r="I553" s="126" t="str">
        <f t="shared" si="26"/>
        <v>0y 77d 5h 35m</v>
      </c>
    </row>
    <row r="554" s="91" customFormat="1" spans="1:9">
      <c r="A554" s="91" t="str">
        <f t="shared" si="24"/>
        <v>Co-57</v>
      </c>
      <c r="B554" s="91" t="s">
        <v>1130</v>
      </c>
      <c r="C554" s="91" t="s">
        <v>1120</v>
      </c>
      <c r="D554" s="91">
        <v>27</v>
      </c>
      <c r="E554" s="91">
        <v>57</v>
      </c>
      <c r="F554" s="91">
        <v>0</v>
      </c>
      <c r="G554" s="126">
        <v>2.95228359654023e-8</v>
      </c>
      <c r="H554" s="126">
        <f t="shared" si="25"/>
        <v>23478340.0000001</v>
      </c>
      <c r="I554" s="126" t="str">
        <f t="shared" si="26"/>
        <v>0y 271d 17h 45m</v>
      </c>
    </row>
    <row r="555" s="91" customFormat="1" spans="1:9">
      <c r="A555" s="91" t="str">
        <f t="shared" si="24"/>
        <v>Co-58</v>
      </c>
      <c r="B555" s="91" t="s">
        <v>1131</v>
      </c>
      <c r="C555" s="91" t="s">
        <v>1120</v>
      </c>
      <c r="D555" s="91">
        <v>27</v>
      </c>
      <c r="E555" s="91">
        <v>58</v>
      </c>
      <c r="F555" s="91">
        <v>0</v>
      </c>
      <c r="G555" s="126">
        <v>1.13216720463398e-7</v>
      </c>
      <c r="H555" s="126">
        <f t="shared" si="25"/>
        <v>6122304.00000002</v>
      </c>
      <c r="I555" s="126" t="str">
        <f t="shared" si="26"/>
        <v>0y 70d 20h 38m</v>
      </c>
    </row>
    <row r="556" s="91" customFormat="1" spans="1:9">
      <c r="A556" s="91" t="str">
        <f t="shared" si="24"/>
        <v>Co-58m</v>
      </c>
      <c r="B556" s="91" t="s">
        <v>1132</v>
      </c>
      <c r="C556" s="91" t="s">
        <v>1120</v>
      </c>
      <c r="D556" s="91">
        <v>27</v>
      </c>
      <c r="E556" s="91">
        <v>58</v>
      </c>
      <c r="F556" s="91">
        <v>1</v>
      </c>
      <c r="G556" s="126">
        <v>2.11583388449311e-5</v>
      </c>
      <c r="H556" s="126">
        <f t="shared" si="25"/>
        <v>32760.0000000001</v>
      </c>
      <c r="I556" s="126" t="str">
        <f t="shared" si="26"/>
        <v>0y 0d 9h 6m</v>
      </c>
    </row>
    <row r="557" s="91" customFormat="1" spans="1:9">
      <c r="A557" s="91" t="str">
        <f t="shared" si="24"/>
        <v>Co-59</v>
      </c>
      <c r="B557" s="91" t="s">
        <v>1133</v>
      </c>
      <c r="C557" s="91" t="s">
        <v>1120</v>
      </c>
      <c r="D557" s="91">
        <v>27</v>
      </c>
      <c r="E557" s="91">
        <v>59</v>
      </c>
      <c r="F557" s="91">
        <v>0</v>
      </c>
      <c r="G557" s="126">
        <v>0</v>
      </c>
      <c r="H557" s="126">
        <f t="shared" si="25"/>
        <v>0</v>
      </c>
      <c r="I557" s="126" t="str">
        <f t="shared" si="26"/>
        <v>0y 0d 0h 0m</v>
      </c>
    </row>
    <row r="558" s="91" customFormat="1" spans="1:9">
      <c r="A558" s="91" t="str">
        <f t="shared" si="24"/>
        <v>Co-60</v>
      </c>
      <c r="B558" s="91" t="s">
        <v>1134</v>
      </c>
      <c r="C558" s="91" t="s">
        <v>1120</v>
      </c>
      <c r="D558" s="91">
        <v>27</v>
      </c>
      <c r="E558" s="91">
        <v>60</v>
      </c>
      <c r="F558" s="91">
        <v>0</v>
      </c>
      <c r="G558" s="126">
        <v>4.16694528910503e-9</v>
      </c>
      <c r="H558" s="126">
        <f t="shared" si="25"/>
        <v>166344200</v>
      </c>
      <c r="I558" s="126" t="str">
        <f t="shared" si="26"/>
        <v>5y 100d 6h 43m</v>
      </c>
    </row>
    <row r="559" s="91" customFormat="1" spans="1:9">
      <c r="A559" s="91" t="str">
        <f t="shared" si="24"/>
        <v>Co-60m</v>
      </c>
      <c r="B559" s="91" t="s">
        <v>1135</v>
      </c>
      <c r="C559" s="91" t="s">
        <v>1120</v>
      </c>
      <c r="D559" s="91">
        <v>27</v>
      </c>
      <c r="E559" s="91">
        <v>60</v>
      </c>
      <c r="F559" s="91">
        <v>1</v>
      </c>
      <c r="G559" s="126">
        <v>0.0011037023989044</v>
      </c>
      <c r="H559" s="126">
        <f t="shared" si="25"/>
        <v>628.020000000004</v>
      </c>
      <c r="I559" s="126" t="str">
        <f t="shared" si="26"/>
        <v>0y 0d 0h 10m</v>
      </c>
    </row>
    <row r="560" s="91" customFormat="1" spans="1:9">
      <c r="A560" s="91" t="str">
        <f t="shared" si="24"/>
        <v>Co-61</v>
      </c>
      <c r="B560" s="91" t="s">
        <v>1136</v>
      </c>
      <c r="C560" s="91" t="s">
        <v>1120</v>
      </c>
      <c r="D560" s="91">
        <v>27</v>
      </c>
      <c r="E560" s="91">
        <v>61</v>
      </c>
      <c r="F560" s="91">
        <v>0</v>
      </c>
      <c r="G560" s="126">
        <v>0.000116691444538711</v>
      </c>
      <c r="H560" s="126">
        <f t="shared" si="25"/>
        <v>5940.00000000002</v>
      </c>
      <c r="I560" s="126" t="str">
        <f t="shared" si="26"/>
        <v>0y 0d 1h 39m</v>
      </c>
    </row>
    <row r="561" s="91" customFormat="1" spans="1:9">
      <c r="A561" s="91" t="str">
        <f t="shared" si="24"/>
        <v>Co-62</v>
      </c>
      <c r="B561" s="91" t="s">
        <v>1137</v>
      </c>
      <c r="C561" s="91" t="s">
        <v>1120</v>
      </c>
      <c r="D561" s="91">
        <v>27</v>
      </c>
      <c r="E561" s="91">
        <v>62</v>
      </c>
      <c r="F561" s="91">
        <v>0</v>
      </c>
      <c r="G561" s="126">
        <v>0.00770163533955494</v>
      </c>
      <c r="H561" s="126">
        <f t="shared" si="25"/>
        <v>90.0000000000001</v>
      </c>
      <c r="I561" s="126" t="str">
        <f t="shared" si="26"/>
        <v>0y 0d 0h 1m</v>
      </c>
    </row>
    <row r="562" s="91" customFormat="1" spans="1:9">
      <c r="A562" s="91" t="str">
        <f t="shared" si="24"/>
        <v>Co-62m</v>
      </c>
      <c r="B562" s="91" t="s">
        <v>1138</v>
      </c>
      <c r="C562" s="91" t="s">
        <v>1120</v>
      </c>
      <c r="D562" s="91">
        <v>27</v>
      </c>
      <c r="E562" s="91">
        <v>62</v>
      </c>
      <c r="F562" s="91">
        <v>1</v>
      </c>
      <c r="G562" s="126">
        <v>0.000830514235034681</v>
      </c>
      <c r="H562" s="126">
        <f t="shared" si="25"/>
        <v>834.600000000001</v>
      </c>
      <c r="I562" s="126" t="str">
        <f t="shared" si="26"/>
        <v>0y 0d 0h 13m</v>
      </c>
    </row>
    <row r="563" s="91" customFormat="1" spans="1:9">
      <c r="A563" s="91" t="str">
        <f t="shared" si="24"/>
        <v>Co-63</v>
      </c>
      <c r="B563" s="91" t="s">
        <v>1139</v>
      </c>
      <c r="C563" s="91" t="s">
        <v>1120</v>
      </c>
      <c r="D563" s="91">
        <v>27</v>
      </c>
      <c r="E563" s="91">
        <v>63</v>
      </c>
      <c r="F563" s="91">
        <v>0</v>
      </c>
      <c r="G563" s="126">
        <v>0.0252973423562023</v>
      </c>
      <c r="H563" s="126">
        <f t="shared" si="25"/>
        <v>27.4000000000001</v>
      </c>
      <c r="I563" s="126" t="str">
        <f t="shared" si="26"/>
        <v>0y 0d 0h 0m</v>
      </c>
    </row>
    <row r="564" s="91" customFormat="1" spans="1:9">
      <c r="A564" s="91" t="str">
        <f t="shared" si="24"/>
        <v>Co-64</v>
      </c>
      <c r="B564" s="91" t="s">
        <v>1140</v>
      </c>
      <c r="C564" s="91" t="s">
        <v>1120</v>
      </c>
      <c r="D564" s="91">
        <v>27</v>
      </c>
      <c r="E564" s="91">
        <v>64</v>
      </c>
      <c r="F564" s="91">
        <v>0</v>
      </c>
      <c r="G564" s="126">
        <v>2.31049060186648</v>
      </c>
      <c r="H564" s="126">
        <f t="shared" si="25"/>
        <v>0.300000000000001</v>
      </c>
      <c r="I564" s="126" t="str">
        <f t="shared" si="26"/>
        <v>0y 0d 0h 0m</v>
      </c>
    </row>
    <row r="565" s="91" customFormat="1" spans="1:9">
      <c r="A565" s="91" t="str">
        <f t="shared" si="24"/>
        <v>Co-65</v>
      </c>
      <c r="B565" s="91" t="s">
        <v>1141</v>
      </c>
      <c r="C565" s="91" t="s">
        <v>1120</v>
      </c>
      <c r="D565" s="91">
        <v>27</v>
      </c>
      <c r="E565" s="91">
        <v>65</v>
      </c>
      <c r="F565" s="91">
        <v>0</v>
      </c>
      <c r="G565" s="126">
        <v>0.597540672896504</v>
      </c>
      <c r="H565" s="126">
        <f t="shared" si="25"/>
        <v>1.16</v>
      </c>
      <c r="I565" s="126" t="str">
        <f t="shared" si="26"/>
        <v>0y 0d 0h 0m</v>
      </c>
    </row>
    <row r="566" s="91" customFormat="1" spans="1:9">
      <c r="A566" s="91" t="str">
        <f t="shared" si="24"/>
        <v>Co-66</v>
      </c>
      <c r="B566" s="91" t="s">
        <v>1142</v>
      </c>
      <c r="C566" s="91" t="s">
        <v>1120</v>
      </c>
      <c r="D566" s="91">
        <v>27</v>
      </c>
      <c r="E566" s="91">
        <v>66</v>
      </c>
      <c r="F566" s="91">
        <v>0</v>
      </c>
      <c r="G566" s="126">
        <v>3.46573590279972</v>
      </c>
      <c r="H566" s="126">
        <f t="shared" si="25"/>
        <v>0.2</v>
      </c>
      <c r="I566" s="126" t="str">
        <f t="shared" si="26"/>
        <v>0y 0d 0h 0m</v>
      </c>
    </row>
    <row r="567" s="91" customFormat="1" spans="1:9">
      <c r="A567" s="91" t="str">
        <f t="shared" si="24"/>
        <v>Co-67</v>
      </c>
      <c r="B567" s="91" t="s">
        <v>1143</v>
      </c>
      <c r="C567" s="91" t="s">
        <v>1120</v>
      </c>
      <c r="D567" s="91">
        <v>27</v>
      </c>
      <c r="E567" s="91">
        <v>67</v>
      </c>
      <c r="F567" s="91">
        <v>0</v>
      </c>
      <c r="G567" s="126">
        <v>1.63093454249398</v>
      </c>
      <c r="H567" s="126">
        <f t="shared" si="25"/>
        <v>0.425000000000002</v>
      </c>
      <c r="I567" s="126" t="str">
        <f t="shared" si="26"/>
        <v>0y 0d 0h 0m</v>
      </c>
    </row>
    <row r="568" s="91" customFormat="1" spans="1:9">
      <c r="A568" s="91" t="str">
        <f t="shared" si="24"/>
        <v>Co-68</v>
      </c>
      <c r="B568" s="91" t="s">
        <v>1144</v>
      </c>
      <c r="C568" s="91" t="s">
        <v>1120</v>
      </c>
      <c r="D568" s="91">
        <v>27</v>
      </c>
      <c r="E568" s="91">
        <v>68</v>
      </c>
      <c r="F568" s="91">
        <v>0</v>
      </c>
      <c r="G568" s="126">
        <v>3.48315166110525</v>
      </c>
      <c r="H568" s="126">
        <f t="shared" si="25"/>
        <v>0.199</v>
      </c>
      <c r="I568" s="126" t="str">
        <f t="shared" si="26"/>
        <v>0y 0d 0h 0m</v>
      </c>
    </row>
    <row r="569" s="91" customFormat="1" spans="1:9">
      <c r="A569" s="91" t="str">
        <f t="shared" si="24"/>
        <v>Co-68m</v>
      </c>
      <c r="B569" s="91" t="s">
        <v>1145</v>
      </c>
      <c r="C569" s="91" t="s">
        <v>1120</v>
      </c>
      <c r="D569" s="91">
        <v>27</v>
      </c>
      <c r="E569" s="91">
        <v>68</v>
      </c>
      <c r="F569" s="91">
        <v>1</v>
      </c>
      <c r="G569" s="126">
        <v>0.433216987849965</v>
      </c>
      <c r="H569" s="126">
        <f t="shared" si="25"/>
        <v>1.6</v>
      </c>
      <c r="I569" s="126" t="str">
        <f t="shared" si="26"/>
        <v>0y 0d 0h 0m</v>
      </c>
    </row>
    <row r="570" s="91" customFormat="1" spans="1:9">
      <c r="A570" s="91" t="str">
        <f t="shared" si="24"/>
        <v>Co-69</v>
      </c>
      <c r="B570" s="91" t="s">
        <v>1146</v>
      </c>
      <c r="C570" s="91" t="s">
        <v>1120</v>
      </c>
      <c r="D570" s="91">
        <v>27</v>
      </c>
      <c r="E570" s="91">
        <v>69</v>
      </c>
      <c r="F570" s="91">
        <v>0</v>
      </c>
      <c r="G570" s="126">
        <v>3.1506690025452</v>
      </c>
      <c r="H570" s="126">
        <f t="shared" si="25"/>
        <v>0.22</v>
      </c>
      <c r="I570" s="126" t="str">
        <f t="shared" si="26"/>
        <v>0y 0d 0h 0m</v>
      </c>
    </row>
    <row r="571" s="91" customFormat="1" spans="1:9">
      <c r="A571" s="91" t="str">
        <f t="shared" si="24"/>
        <v>Co-70</v>
      </c>
      <c r="B571" s="91" t="s">
        <v>1147</v>
      </c>
      <c r="C571" s="91" t="s">
        <v>1120</v>
      </c>
      <c r="D571" s="91">
        <v>27</v>
      </c>
      <c r="E571" s="91">
        <v>70</v>
      </c>
      <c r="F571" s="91">
        <v>0</v>
      </c>
      <c r="G571" s="126">
        <v>5.82476622319281</v>
      </c>
      <c r="H571" s="126">
        <f t="shared" si="25"/>
        <v>0.119</v>
      </c>
      <c r="I571" s="126" t="str">
        <f t="shared" si="26"/>
        <v>0y 0d 0h 0m</v>
      </c>
    </row>
    <row r="572" s="91" customFormat="1" spans="1:9">
      <c r="A572" s="91" t="str">
        <f t="shared" si="24"/>
        <v>Co-70m</v>
      </c>
      <c r="B572" s="91" t="s">
        <v>1148</v>
      </c>
      <c r="C572" s="91" t="s">
        <v>1120</v>
      </c>
      <c r="D572" s="91">
        <v>27</v>
      </c>
      <c r="E572" s="91">
        <v>70</v>
      </c>
      <c r="F572" s="91">
        <v>1</v>
      </c>
      <c r="G572" s="126">
        <v>1.38629436111989</v>
      </c>
      <c r="H572" s="126">
        <f t="shared" si="25"/>
        <v>0.5</v>
      </c>
      <c r="I572" s="126" t="str">
        <f t="shared" si="26"/>
        <v>0y 0d 0h 0m</v>
      </c>
    </row>
    <row r="573" s="91" customFormat="1" spans="1:9">
      <c r="A573" s="91" t="str">
        <f t="shared" si="24"/>
        <v>Co-71</v>
      </c>
      <c r="B573" s="91" t="s">
        <v>1149</v>
      </c>
      <c r="C573" s="91" t="s">
        <v>1120</v>
      </c>
      <c r="D573" s="91">
        <v>27</v>
      </c>
      <c r="E573" s="91">
        <v>71</v>
      </c>
      <c r="F573" s="91">
        <v>0</v>
      </c>
      <c r="G573" s="126">
        <v>8.77401494379677</v>
      </c>
      <c r="H573" s="126">
        <f t="shared" si="25"/>
        <v>0.0790000000000001</v>
      </c>
      <c r="I573" s="126" t="str">
        <f t="shared" si="26"/>
        <v>0y 0d 0h 0m</v>
      </c>
    </row>
    <row r="574" s="91" customFormat="1" spans="1:9">
      <c r="A574" s="91" t="str">
        <f t="shared" si="24"/>
        <v>Co-72</v>
      </c>
      <c r="B574" s="91" t="s">
        <v>1150</v>
      </c>
      <c r="C574" s="91" t="s">
        <v>1120</v>
      </c>
      <c r="D574" s="91">
        <v>27</v>
      </c>
      <c r="E574" s="91">
        <v>72</v>
      </c>
      <c r="F574" s="91">
        <v>0</v>
      </c>
      <c r="G574" s="126">
        <v>11.5717392414014</v>
      </c>
      <c r="H574" s="126">
        <f t="shared" si="25"/>
        <v>0.0599000000000001</v>
      </c>
      <c r="I574" s="126" t="str">
        <f t="shared" si="26"/>
        <v>0y 0d 0h 0m</v>
      </c>
    </row>
    <row r="575" s="91" customFormat="1" spans="1:9">
      <c r="A575" s="91" t="str">
        <f t="shared" si="24"/>
        <v>Co-73</v>
      </c>
      <c r="B575" s="91" t="s">
        <v>1151</v>
      </c>
      <c r="C575" s="91" t="s">
        <v>1120</v>
      </c>
      <c r="D575" s="91">
        <v>27</v>
      </c>
      <c r="E575" s="91">
        <v>73</v>
      </c>
      <c r="F575" s="91">
        <v>0</v>
      </c>
      <c r="G575" s="126">
        <v>16.906028794145</v>
      </c>
      <c r="H575" s="126">
        <f t="shared" si="25"/>
        <v>0.041</v>
      </c>
      <c r="I575" s="126" t="str">
        <f t="shared" si="26"/>
        <v>0y 0d 0h 0m</v>
      </c>
    </row>
    <row r="576" s="91" customFormat="1" spans="1:9">
      <c r="A576" s="91" t="str">
        <f t="shared" si="24"/>
        <v>Co-74</v>
      </c>
      <c r="B576" s="91" t="s">
        <v>1152</v>
      </c>
      <c r="C576" s="91" t="s">
        <v>1120</v>
      </c>
      <c r="D576" s="91">
        <v>27</v>
      </c>
      <c r="E576" s="91">
        <v>74</v>
      </c>
      <c r="F576" s="91">
        <v>0</v>
      </c>
      <c r="G576" s="126">
        <v>23.1049060186648</v>
      </c>
      <c r="H576" s="126">
        <f t="shared" si="25"/>
        <v>0.0300000000000001</v>
      </c>
      <c r="I576" s="126" t="str">
        <f t="shared" si="26"/>
        <v>0y 0d 0h 0m</v>
      </c>
    </row>
    <row r="577" s="91" customFormat="1" spans="1:9">
      <c r="A577" s="91" t="str">
        <f t="shared" si="24"/>
        <v>Co-75</v>
      </c>
      <c r="B577" s="91" t="s">
        <v>1153</v>
      </c>
      <c r="C577" s="91" t="s">
        <v>1120</v>
      </c>
      <c r="D577" s="91">
        <v>27</v>
      </c>
      <c r="E577" s="91">
        <v>75</v>
      </c>
      <c r="F577" s="91">
        <v>0</v>
      </c>
      <c r="G577" s="126">
        <v>20.3866817811748</v>
      </c>
      <c r="H577" s="126">
        <f t="shared" si="25"/>
        <v>0.0340000000000001</v>
      </c>
      <c r="I577" s="126" t="str">
        <f t="shared" si="26"/>
        <v>0y 0d 0h 0m</v>
      </c>
    </row>
    <row r="578" s="91" customFormat="1" spans="1:9">
      <c r="A578" s="91" t="str">
        <f t="shared" ref="A578:A641" si="27">C578&amp;"-"&amp;E578&amp;_xlfn.IFS(F578=0,"",F578=1,"m",F578&gt;1,"m"&amp;F578)</f>
        <v>Ni-48</v>
      </c>
      <c r="B578" s="91" t="s">
        <v>1154</v>
      </c>
      <c r="C578" s="91" t="s">
        <v>1155</v>
      </c>
      <c r="D578" s="91">
        <v>28</v>
      </c>
      <c r="E578" s="91">
        <v>48</v>
      </c>
      <c r="F578" s="91">
        <v>0</v>
      </c>
      <c r="G578" s="126">
        <v>330.070085980926</v>
      </c>
      <c r="H578" s="126">
        <f t="shared" ref="H578:H641" si="28">IF(G578&gt;0,LN(2)/G578,0)</f>
        <v>0.0021</v>
      </c>
      <c r="I578" s="126" t="str">
        <f t="shared" si="26"/>
        <v>0y 0d 0h 0m</v>
      </c>
    </row>
    <row r="579" s="91" customFormat="1" spans="1:9">
      <c r="A579" s="91" t="str">
        <f t="shared" si="27"/>
        <v>Ni-49</v>
      </c>
      <c r="B579" s="91" t="s">
        <v>1156</v>
      </c>
      <c r="C579" s="91" t="s">
        <v>1155</v>
      </c>
      <c r="D579" s="91">
        <v>28</v>
      </c>
      <c r="E579" s="91">
        <v>49</v>
      </c>
      <c r="F579" s="91">
        <v>0</v>
      </c>
      <c r="G579" s="126">
        <v>92.4196240746593</v>
      </c>
      <c r="H579" s="126">
        <f t="shared" si="28"/>
        <v>0.00750000000000001</v>
      </c>
      <c r="I579" s="126" t="str">
        <f t="shared" ref="I579:I642" si="29">INT(H579/31536000)&amp;"y "&amp;INT(MOD(H579,31536000)/86400)&amp;"d "&amp;INT(MOD(MOD(H579,31536000),86400)/3600)&amp;"h "&amp;INT(MOD(MOD(MOD(H579,31536000),86400),3600)/60)&amp;"m"</f>
        <v>0y 0d 0h 0m</v>
      </c>
    </row>
    <row r="580" s="91" customFormat="1" spans="1:9">
      <c r="A580" s="91" t="str">
        <f t="shared" si="27"/>
        <v>Ni-50</v>
      </c>
      <c r="B580" s="91" t="s">
        <v>1157</v>
      </c>
      <c r="C580" s="91" t="s">
        <v>1155</v>
      </c>
      <c r="D580" s="91">
        <v>28</v>
      </c>
      <c r="E580" s="91">
        <v>50</v>
      </c>
      <c r="F580" s="91">
        <v>0</v>
      </c>
      <c r="G580" s="126">
        <v>57.7622650466621</v>
      </c>
      <c r="H580" s="126">
        <f t="shared" si="28"/>
        <v>0.012</v>
      </c>
      <c r="I580" s="126" t="str">
        <f t="shared" si="29"/>
        <v>0y 0d 0h 0m</v>
      </c>
    </row>
    <row r="581" s="91" customFormat="1" spans="1:9">
      <c r="A581" s="91" t="str">
        <f t="shared" si="27"/>
        <v>Ni-51</v>
      </c>
      <c r="B581" s="91" t="s">
        <v>1158</v>
      </c>
      <c r="C581" s="91" t="s">
        <v>1155</v>
      </c>
      <c r="D581" s="91">
        <v>28</v>
      </c>
      <c r="E581" s="91">
        <v>51</v>
      </c>
      <c r="F581" s="91">
        <v>0</v>
      </c>
      <c r="G581" s="126">
        <v>3465735.90279972</v>
      </c>
      <c r="H581" s="126">
        <f t="shared" si="28"/>
        <v>2e-7</v>
      </c>
      <c r="I581" s="126" t="str">
        <f t="shared" si="29"/>
        <v>0y 0d 0h 0m</v>
      </c>
    </row>
    <row r="582" s="91" customFormat="1" spans="1:9">
      <c r="A582" s="91" t="str">
        <f t="shared" si="27"/>
        <v>Ni-52</v>
      </c>
      <c r="B582" s="91" t="s">
        <v>1159</v>
      </c>
      <c r="C582" s="91" t="s">
        <v>1155</v>
      </c>
      <c r="D582" s="91">
        <v>28</v>
      </c>
      <c r="E582" s="91">
        <v>52</v>
      </c>
      <c r="F582" s="91">
        <v>0</v>
      </c>
      <c r="G582" s="126">
        <v>18.2407152778932</v>
      </c>
      <c r="H582" s="126">
        <f t="shared" si="28"/>
        <v>0.0380000000000002</v>
      </c>
      <c r="I582" s="126" t="str">
        <f t="shared" si="29"/>
        <v>0y 0d 0h 0m</v>
      </c>
    </row>
    <row r="583" s="91" customFormat="1" spans="1:9">
      <c r="A583" s="91" t="str">
        <f t="shared" si="27"/>
        <v>Ni-53</v>
      </c>
      <c r="B583" s="91" t="s">
        <v>1160</v>
      </c>
      <c r="C583" s="91" t="s">
        <v>1155</v>
      </c>
      <c r="D583" s="91">
        <v>28</v>
      </c>
      <c r="E583" s="91">
        <v>53</v>
      </c>
      <c r="F583" s="91">
        <v>0</v>
      </c>
      <c r="G583" s="126">
        <v>15.4032706791098</v>
      </c>
      <c r="H583" s="126">
        <f t="shared" si="28"/>
        <v>0.0450000000000003</v>
      </c>
      <c r="I583" s="126" t="str">
        <f t="shared" si="29"/>
        <v>0y 0d 0h 0m</v>
      </c>
    </row>
    <row r="584" s="91" customFormat="1" spans="1:9">
      <c r="A584" s="91" t="str">
        <f t="shared" si="27"/>
        <v>Ni-54</v>
      </c>
      <c r="B584" s="91" t="s">
        <v>1161</v>
      </c>
      <c r="C584" s="91" t="s">
        <v>1155</v>
      </c>
      <c r="D584" s="91">
        <v>28</v>
      </c>
      <c r="E584" s="91">
        <v>54</v>
      </c>
      <c r="F584" s="91">
        <v>0</v>
      </c>
      <c r="G584" s="126">
        <v>6.66487673615332</v>
      </c>
      <c r="H584" s="126">
        <f t="shared" si="28"/>
        <v>0.104</v>
      </c>
      <c r="I584" s="126" t="str">
        <f t="shared" si="29"/>
        <v>0y 0d 0h 0m</v>
      </c>
    </row>
    <row r="585" s="91" customFormat="1" spans="1:9">
      <c r="A585" s="91" t="str">
        <f t="shared" si="27"/>
        <v>Ni-55</v>
      </c>
      <c r="B585" s="91" t="s">
        <v>1162</v>
      </c>
      <c r="C585" s="91" t="s">
        <v>1155</v>
      </c>
      <c r="D585" s="91">
        <v>28</v>
      </c>
      <c r="E585" s="91">
        <v>55</v>
      </c>
      <c r="F585" s="91">
        <v>0</v>
      </c>
      <c r="G585" s="126">
        <v>3.38616111656055</v>
      </c>
      <c r="H585" s="126">
        <f t="shared" si="28"/>
        <v>0.2047</v>
      </c>
      <c r="I585" s="126" t="str">
        <f t="shared" si="29"/>
        <v>0y 0d 0h 0m</v>
      </c>
    </row>
    <row r="586" s="91" customFormat="1" spans="1:9">
      <c r="A586" s="91" t="str">
        <f t="shared" si="27"/>
        <v>Ni-56</v>
      </c>
      <c r="B586" s="91" t="s">
        <v>1163</v>
      </c>
      <c r="C586" s="91" t="s">
        <v>1155</v>
      </c>
      <c r="D586" s="91">
        <v>28</v>
      </c>
      <c r="E586" s="91">
        <v>56</v>
      </c>
      <c r="F586" s="91">
        <v>0</v>
      </c>
      <c r="G586" s="126">
        <v>1.32058219128171e-6</v>
      </c>
      <c r="H586" s="126">
        <f t="shared" si="28"/>
        <v>524880.000000001</v>
      </c>
      <c r="I586" s="126" t="str">
        <f t="shared" si="29"/>
        <v>0y 6d 1h 48m</v>
      </c>
    </row>
    <row r="587" s="91" customFormat="1" spans="1:9">
      <c r="A587" s="91" t="str">
        <f t="shared" si="27"/>
        <v>Ni-57</v>
      </c>
      <c r="B587" s="91" t="s">
        <v>1164</v>
      </c>
      <c r="C587" s="91" t="s">
        <v>1155</v>
      </c>
      <c r="D587" s="91">
        <v>28</v>
      </c>
      <c r="E587" s="91">
        <v>57</v>
      </c>
      <c r="F587" s="91">
        <v>0</v>
      </c>
      <c r="G587" s="126">
        <v>5.40845178339532e-6</v>
      </c>
      <c r="H587" s="126">
        <f t="shared" si="28"/>
        <v>128160</v>
      </c>
      <c r="I587" s="126" t="str">
        <f t="shared" si="29"/>
        <v>0y 1d 11h 36m</v>
      </c>
    </row>
    <row r="588" s="91" customFormat="1" spans="1:9">
      <c r="A588" s="91" t="str">
        <f t="shared" si="27"/>
        <v>Ni-58</v>
      </c>
      <c r="B588" s="91" t="s">
        <v>1165</v>
      </c>
      <c r="C588" s="91" t="s">
        <v>1155</v>
      </c>
      <c r="D588" s="91">
        <v>28</v>
      </c>
      <c r="E588" s="91">
        <v>58</v>
      </c>
      <c r="F588" s="91">
        <v>0</v>
      </c>
      <c r="G588" s="126">
        <v>0</v>
      </c>
      <c r="H588" s="126">
        <f t="shared" si="28"/>
        <v>0</v>
      </c>
      <c r="I588" s="126" t="str">
        <f t="shared" si="29"/>
        <v>0y 0d 0h 0m</v>
      </c>
    </row>
    <row r="589" s="91" customFormat="1" spans="1:9">
      <c r="A589" s="91" t="str">
        <f t="shared" si="27"/>
        <v>Ni-59</v>
      </c>
      <c r="B589" s="91" t="s">
        <v>1166</v>
      </c>
      <c r="C589" s="91" t="s">
        <v>1155</v>
      </c>
      <c r="D589" s="91">
        <v>28</v>
      </c>
      <c r="E589" s="91">
        <v>59</v>
      </c>
      <c r="F589" s="91">
        <v>0</v>
      </c>
      <c r="G589" s="126">
        <v>2.89006404556386e-13</v>
      </c>
      <c r="H589" s="126">
        <f t="shared" si="28"/>
        <v>2398380000000</v>
      </c>
      <c r="I589" s="126" t="str">
        <f t="shared" si="29"/>
        <v>76052y 47d 18h 40m</v>
      </c>
    </row>
    <row r="590" s="91" customFormat="1" spans="1:9">
      <c r="A590" s="91" t="str">
        <f t="shared" si="27"/>
        <v>Ni-60</v>
      </c>
      <c r="B590" s="91" t="s">
        <v>1167</v>
      </c>
      <c r="C590" s="91" t="s">
        <v>1155</v>
      </c>
      <c r="D590" s="91">
        <v>28</v>
      </c>
      <c r="E590" s="91">
        <v>60</v>
      </c>
      <c r="F590" s="91">
        <v>0</v>
      </c>
      <c r="G590" s="126">
        <v>0</v>
      </c>
      <c r="H590" s="126">
        <f t="shared" si="28"/>
        <v>0</v>
      </c>
      <c r="I590" s="126" t="str">
        <f t="shared" si="29"/>
        <v>0y 0d 0h 0m</v>
      </c>
    </row>
    <row r="591" s="91" customFormat="1" spans="1:9">
      <c r="A591" s="91" t="str">
        <f t="shared" si="27"/>
        <v>Ni-61</v>
      </c>
      <c r="B591" s="91" t="s">
        <v>1168</v>
      </c>
      <c r="C591" s="91" t="s">
        <v>1155</v>
      </c>
      <c r="D591" s="91">
        <v>28</v>
      </c>
      <c r="E591" s="91">
        <v>61</v>
      </c>
      <c r="F591" s="91">
        <v>0</v>
      </c>
      <c r="G591" s="126">
        <v>0</v>
      </c>
      <c r="H591" s="126">
        <f t="shared" si="28"/>
        <v>0</v>
      </c>
      <c r="I591" s="126" t="str">
        <f t="shared" si="29"/>
        <v>0y 0d 0h 0m</v>
      </c>
    </row>
    <row r="592" s="91" customFormat="1" spans="1:9">
      <c r="A592" s="91" t="str">
        <f t="shared" si="27"/>
        <v>Ni-62</v>
      </c>
      <c r="B592" s="91" t="s">
        <v>1169</v>
      </c>
      <c r="C592" s="91" t="s">
        <v>1155</v>
      </c>
      <c r="D592" s="91">
        <v>28</v>
      </c>
      <c r="E592" s="91">
        <v>62</v>
      </c>
      <c r="F592" s="91">
        <v>0</v>
      </c>
      <c r="G592" s="126">
        <v>0</v>
      </c>
      <c r="H592" s="126">
        <f t="shared" si="28"/>
        <v>0</v>
      </c>
      <c r="I592" s="126" t="str">
        <f t="shared" si="29"/>
        <v>0y 0d 0h 0m</v>
      </c>
    </row>
    <row r="593" s="91" customFormat="1" spans="1:9">
      <c r="A593" s="91" t="str">
        <f t="shared" si="27"/>
        <v>Ni-63</v>
      </c>
      <c r="B593" s="91" t="s">
        <v>1170</v>
      </c>
      <c r="C593" s="91" t="s">
        <v>1155</v>
      </c>
      <c r="D593" s="91">
        <v>28</v>
      </c>
      <c r="E593" s="91">
        <v>63</v>
      </c>
      <c r="F593" s="91">
        <v>0</v>
      </c>
      <c r="G593" s="126">
        <v>2.17040540250418e-10</v>
      </c>
      <c r="H593" s="126">
        <f t="shared" si="28"/>
        <v>3193630000.00001</v>
      </c>
      <c r="I593" s="126" t="str">
        <f t="shared" si="29"/>
        <v>101y 98d 7h 26m</v>
      </c>
    </row>
    <row r="594" s="91" customFormat="1" spans="1:9">
      <c r="A594" s="91" t="str">
        <f t="shared" si="27"/>
        <v>Ni-64</v>
      </c>
      <c r="B594" s="91" t="s">
        <v>1171</v>
      </c>
      <c r="C594" s="91" t="s">
        <v>1155</v>
      </c>
      <c r="D594" s="91">
        <v>28</v>
      </c>
      <c r="E594" s="91">
        <v>64</v>
      </c>
      <c r="F594" s="91">
        <v>0</v>
      </c>
      <c r="G594" s="126">
        <v>0</v>
      </c>
      <c r="H594" s="126">
        <f t="shared" si="28"/>
        <v>0</v>
      </c>
      <c r="I594" s="126" t="str">
        <f t="shared" si="29"/>
        <v>0y 0d 0h 0m</v>
      </c>
    </row>
    <row r="595" s="91" customFormat="1" spans="1:9">
      <c r="A595" s="91" t="str">
        <f t="shared" si="27"/>
        <v>Ni-65</v>
      </c>
      <c r="B595" s="91" t="s">
        <v>1172</v>
      </c>
      <c r="C595" s="91" t="s">
        <v>1155</v>
      </c>
      <c r="D595" s="91">
        <v>28</v>
      </c>
      <c r="E595" s="91">
        <v>65</v>
      </c>
      <c r="F595" s="91">
        <v>0</v>
      </c>
      <c r="G595" s="126">
        <v>7.64904053682374e-5</v>
      </c>
      <c r="H595" s="126">
        <f t="shared" si="28"/>
        <v>9061.88400000001</v>
      </c>
      <c r="I595" s="126" t="str">
        <f t="shared" si="29"/>
        <v>0y 0d 2h 31m</v>
      </c>
    </row>
    <row r="596" s="91" customFormat="1" spans="1:9">
      <c r="A596" s="91" t="str">
        <f t="shared" si="27"/>
        <v>Ni-66</v>
      </c>
      <c r="B596" s="91" t="s">
        <v>1173</v>
      </c>
      <c r="C596" s="91" t="s">
        <v>1155</v>
      </c>
      <c r="D596" s="91">
        <v>28</v>
      </c>
      <c r="E596" s="91">
        <v>66</v>
      </c>
      <c r="F596" s="91">
        <v>0</v>
      </c>
      <c r="G596" s="126">
        <v>3.52638980748852e-6</v>
      </c>
      <c r="H596" s="126">
        <f t="shared" si="28"/>
        <v>196560</v>
      </c>
      <c r="I596" s="126" t="str">
        <f t="shared" si="29"/>
        <v>0y 2d 6h 36m</v>
      </c>
    </row>
    <row r="597" s="91" customFormat="1" spans="1:9">
      <c r="A597" s="91" t="str">
        <f t="shared" si="27"/>
        <v>Ni-67</v>
      </c>
      <c r="B597" s="91" t="s">
        <v>1174</v>
      </c>
      <c r="C597" s="91" t="s">
        <v>1155</v>
      </c>
      <c r="D597" s="91">
        <v>28</v>
      </c>
      <c r="E597" s="91">
        <v>67</v>
      </c>
      <c r="F597" s="91">
        <v>0</v>
      </c>
      <c r="G597" s="126">
        <v>0.0330070085980926</v>
      </c>
      <c r="H597" s="126">
        <f t="shared" si="28"/>
        <v>21</v>
      </c>
      <c r="I597" s="126" t="str">
        <f t="shared" si="29"/>
        <v>0y 0d 0h 0m</v>
      </c>
    </row>
    <row r="598" s="91" customFormat="1" spans="1:9">
      <c r="A598" s="91" t="str">
        <f t="shared" si="27"/>
        <v>Ni-68</v>
      </c>
      <c r="B598" s="91" t="s">
        <v>1175</v>
      </c>
      <c r="C598" s="91" t="s">
        <v>1155</v>
      </c>
      <c r="D598" s="91">
        <v>28</v>
      </c>
      <c r="E598" s="91">
        <v>68</v>
      </c>
      <c r="F598" s="91">
        <v>0</v>
      </c>
      <c r="G598" s="126">
        <v>0.0239016269158601</v>
      </c>
      <c r="H598" s="126">
        <f t="shared" si="28"/>
        <v>29.0000000000001</v>
      </c>
      <c r="I598" s="126" t="str">
        <f t="shared" si="29"/>
        <v>0y 0d 0h 0m</v>
      </c>
    </row>
    <row r="599" s="91" customFormat="1" spans="1:9">
      <c r="A599" s="91" t="str">
        <f t="shared" si="27"/>
        <v>Ni-69</v>
      </c>
      <c r="B599" s="91" t="s">
        <v>1176</v>
      </c>
      <c r="C599" s="91" t="s">
        <v>1155</v>
      </c>
      <c r="D599" s="91">
        <v>28</v>
      </c>
      <c r="E599" s="91">
        <v>69</v>
      </c>
      <c r="F599" s="91">
        <v>0</v>
      </c>
      <c r="G599" s="126">
        <v>0.0608023842596443</v>
      </c>
      <c r="H599" s="126">
        <f t="shared" si="28"/>
        <v>11.4</v>
      </c>
      <c r="I599" s="126" t="str">
        <f t="shared" si="29"/>
        <v>0y 0d 0h 0m</v>
      </c>
    </row>
    <row r="600" s="91" customFormat="1" spans="1:9">
      <c r="A600" s="91" t="str">
        <f t="shared" si="27"/>
        <v>Ni-69m</v>
      </c>
      <c r="B600" s="91" t="s">
        <v>1177</v>
      </c>
      <c r="C600" s="91" t="s">
        <v>1155</v>
      </c>
      <c r="D600" s="91">
        <v>28</v>
      </c>
      <c r="E600" s="91">
        <v>69</v>
      </c>
      <c r="F600" s="91">
        <v>1</v>
      </c>
      <c r="G600" s="126">
        <v>0.198042051588555</v>
      </c>
      <c r="H600" s="126">
        <f t="shared" si="28"/>
        <v>3.50000000000001</v>
      </c>
      <c r="I600" s="126" t="str">
        <f t="shared" si="29"/>
        <v>0y 0d 0h 0m</v>
      </c>
    </row>
    <row r="601" s="91" customFormat="1" spans="1:9">
      <c r="A601" s="91" t="str">
        <f t="shared" si="27"/>
        <v>Ni-70</v>
      </c>
      <c r="B601" s="91" t="s">
        <v>1178</v>
      </c>
      <c r="C601" s="91" t="s">
        <v>1155</v>
      </c>
      <c r="D601" s="91">
        <v>28</v>
      </c>
      <c r="E601" s="91">
        <v>70</v>
      </c>
      <c r="F601" s="91">
        <v>0</v>
      </c>
      <c r="G601" s="126">
        <v>0.115524530093324</v>
      </c>
      <c r="H601" s="126">
        <f t="shared" si="28"/>
        <v>6.00000000000001</v>
      </c>
      <c r="I601" s="126" t="str">
        <f t="shared" si="29"/>
        <v>0y 0d 0h 0m</v>
      </c>
    </row>
    <row r="602" s="91" customFormat="1" spans="1:9">
      <c r="A602" s="91" t="str">
        <f t="shared" si="27"/>
        <v>Ni-71</v>
      </c>
      <c r="B602" s="91" t="s">
        <v>1179</v>
      </c>
      <c r="C602" s="91" t="s">
        <v>1155</v>
      </c>
      <c r="D602" s="91">
        <v>28</v>
      </c>
      <c r="E602" s="91">
        <v>71</v>
      </c>
      <c r="F602" s="91">
        <v>0</v>
      </c>
      <c r="G602" s="126">
        <v>0.270760617406228</v>
      </c>
      <c r="H602" s="126">
        <f t="shared" si="28"/>
        <v>2.56000000000001</v>
      </c>
      <c r="I602" s="126" t="str">
        <f t="shared" si="29"/>
        <v>0y 0d 0h 0m</v>
      </c>
    </row>
    <row r="603" s="91" customFormat="1" spans="1:9">
      <c r="A603" s="91" t="str">
        <f t="shared" si="27"/>
        <v>Ni-72</v>
      </c>
      <c r="B603" s="91" t="s">
        <v>1180</v>
      </c>
      <c r="C603" s="91" t="s">
        <v>1155</v>
      </c>
      <c r="D603" s="91">
        <v>28</v>
      </c>
      <c r="E603" s="91">
        <v>72</v>
      </c>
      <c r="F603" s="91">
        <v>0</v>
      </c>
      <c r="G603" s="126">
        <v>0.441495019464933</v>
      </c>
      <c r="H603" s="126">
        <f t="shared" si="28"/>
        <v>1.57</v>
      </c>
      <c r="I603" s="126" t="str">
        <f t="shared" si="29"/>
        <v>0y 0d 0h 0m</v>
      </c>
    </row>
    <row r="604" s="91" customFormat="1" spans="1:9">
      <c r="A604" s="91" t="str">
        <f t="shared" si="27"/>
        <v>Ni-73</v>
      </c>
      <c r="B604" s="91" t="s">
        <v>1181</v>
      </c>
      <c r="C604" s="91" t="s">
        <v>1155</v>
      </c>
      <c r="D604" s="91">
        <v>28</v>
      </c>
      <c r="E604" s="91">
        <v>73</v>
      </c>
      <c r="F604" s="91">
        <v>0</v>
      </c>
      <c r="G604" s="126">
        <v>0.825175214952315</v>
      </c>
      <c r="H604" s="126">
        <f t="shared" si="28"/>
        <v>0.840000000000001</v>
      </c>
      <c r="I604" s="126" t="str">
        <f t="shared" si="29"/>
        <v>0y 0d 0h 0m</v>
      </c>
    </row>
    <row r="605" s="91" customFormat="1" spans="1:9">
      <c r="A605" s="91" t="str">
        <f t="shared" si="27"/>
        <v>Ni-74</v>
      </c>
      <c r="B605" s="91" t="s">
        <v>1182</v>
      </c>
      <c r="C605" s="91" t="s">
        <v>1155</v>
      </c>
      <c r="D605" s="91">
        <v>28</v>
      </c>
      <c r="E605" s="91">
        <v>74</v>
      </c>
      <c r="F605" s="91">
        <v>0</v>
      </c>
      <c r="G605" s="126">
        <v>1.01933408905874</v>
      </c>
      <c r="H605" s="126">
        <f t="shared" si="28"/>
        <v>0.680000000000002</v>
      </c>
      <c r="I605" s="126" t="str">
        <f t="shared" si="29"/>
        <v>0y 0d 0h 0m</v>
      </c>
    </row>
    <row r="606" s="91" customFormat="1" spans="1:9">
      <c r="A606" s="91" t="str">
        <f t="shared" si="27"/>
        <v>Ni-75</v>
      </c>
      <c r="B606" s="91" t="s">
        <v>1183</v>
      </c>
      <c r="C606" s="91" t="s">
        <v>1155</v>
      </c>
      <c r="D606" s="91">
        <v>28</v>
      </c>
      <c r="E606" s="91">
        <v>75</v>
      </c>
      <c r="F606" s="91">
        <v>0</v>
      </c>
      <c r="G606" s="126">
        <v>1.15524530093324</v>
      </c>
      <c r="H606" s="126">
        <f t="shared" si="28"/>
        <v>0.600000000000001</v>
      </c>
      <c r="I606" s="126" t="str">
        <f t="shared" si="29"/>
        <v>0y 0d 0h 0m</v>
      </c>
    </row>
    <row r="607" s="91" customFormat="1" spans="1:9">
      <c r="A607" s="91" t="str">
        <f t="shared" si="27"/>
        <v>Ni-76</v>
      </c>
      <c r="B607" s="91" t="s">
        <v>1184</v>
      </c>
      <c r="C607" s="91" t="s">
        <v>1155</v>
      </c>
      <c r="D607" s="91">
        <v>28</v>
      </c>
      <c r="E607" s="91">
        <v>76</v>
      </c>
      <c r="F607" s="91">
        <v>0</v>
      </c>
      <c r="G607" s="126">
        <v>2.9123831115964</v>
      </c>
      <c r="H607" s="126">
        <f t="shared" si="28"/>
        <v>0.238000000000001</v>
      </c>
      <c r="I607" s="126" t="str">
        <f t="shared" si="29"/>
        <v>0y 0d 0h 0m</v>
      </c>
    </row>
    <row r="608" s="91" customFormat="1" spans="1:9">
      <c r="A608" s="91" t="str">
        <f t="shared" si="27"/>
        <v>Ni-77</v>
      </c>
      <c r="B608" s="91" t="s">
        <v>1185</v>
      </c>
      <c r="C608" s="91" t="s">
        <v>1155</v>
      </c>
      <c r="D608" s="91">
        <v>28</v>
      </c>
      <c r="E608" s="91">
        <v>77</v>
      </c>
      <c r="F608" s="91">
        <v>0</v>
      </c>
      <c r="G608" s="126">
        <v>11.3630685337695</v>
      </c>
      <c r="H608" s="126">
        <f t="shared" si="28"/>
        <v>0.0610000000000005</v>
      </c>
      <c r="I608" s="126" t="str">
        <f t="shared" si="29"/>
        <v>0y 0d 0h 0m</v>
      </c>
    </row>
    <row r="609" s="91" customFormat="1" spans="1:9">
      <c r="A609" s="91" t="str">
        <f t="shared" si="27"/>
        <v>Ni-78</v>
      </c>
      <c r="B609" s="91" t="s">
        <v>1186</v>
      </c>
      <c r="C609" s="91" t="s">
        <v>1155</v>
      </c>
      <c r="D609" s="91">
        <v>28</v>
      </c>
      <c r="E609" s="91">
        <v>78</v>
      </c>
      <c r="F609" s="91">
        <v>0</v>
      </c>
      <c r="G609" s="126">
        <v>6.30133800509041</v>
      </c>
      <c r="H609" s="126">
        <f t="shared" si="28"/>
        <v>0.11</v>
      </c>
      <c r="I609" s="126" t="str">
        <f t="shared" si="29"/>
        <v>0y 0d 0h 0m</v>
      </c>
    </row>
    <row r="610" s="91" customFormat="1" spans="1:9">
      <c r="A610" s="91" t="str">
        <f t="shared" si="27"/>
        <v>Cu-52</v>
      </c>
      <c r="B610" s="91" t="s">
        <v>1187</v>
      </c>
      <c r="C610" s="91" t="s">
        <v>1188</v>
      </c>
      <c r="D610" s="91">
        <v>29</v>
      </c>
      <c r="E610" s="91">
        <v>52</v>
      </c>
      <c r="F610" s="91">
        <v>0</v>
      </c>
      <c r="G610" s="126">
        <v>100.456113124629</v>
      </c>
      <c r="H610" s="126">
        <f t="shared" si="28"/>
        <v>0.00690000000000005</v>
      </c>
      <c r="I610" s="126" t="str">
        <f t="shared" si="29"/>
        <v>0y 0d 0h 0m</v>
      </c>
    </row>
    <row r="611" s="91" customFormat="1" spans="1:9">
      <c r="A611" s="91" t="str">
        <f t="shared" si="27"/>
        <v>Cu-53</v>
      </c>
      <c r="B611" s="91" t="s">
        <v>1189</v>
      </c>
      <c r="C611" s="91" t="s">
        <v>1188</v>
      </c>
      <c r="D611" s="91">
        <v>29</v>
      </c>
      <c r="E611" s="91">
        <v>53</v>
      </c>
      <c r="F611" s="91">
        <v>0</v>
      </c>
      <c r="G611" s="126">
        <v>2310490.60186648</v>
      </c>
      <c r="H611" s="126">
        <f t="shared" si="28"/>
        <v>3.00000000000001e-7</v>
      </c>
      <c r="I611" s="126" t="str">
        <f t="shared" si="29"/>
        <v>0y 0d 0h 0m</v>
      </c>
    </row>
    <row r="612" s="91" customFormat="1" spans="1:9">
      <c r="A612" s="91" t="str">
        <f t="shared" si="27"/>
        <v>Cu-54</v>
      </c>
      <c r="B612" s="91" t="s">
        <v>1190</v>
      </c>
      <c r="C612" s="91" t="s">
        <v>1188</v>
      </c>
      <c r="D612" s="91">
        <v>29</v>
      </c>
      <c r="E612" s="91">
        <v>54</v>
      </c>
      <c r="F612" s="91">
        <v>0</v>
      </c>
      <c r="G612" s="126">
        <v>9241962.40746593</v>
      </c>
      <c r="H612" s="126">
        <f t="shared" si="28"/>
        <v>7.50000000000001e-8</v>
      </c>
      <c r="I612" s="126" t="str">
        <f t="shared" si="29"/>
        <v>0y 0d 0h 0m</v>
      </c>
    </row>
    <row r="613" s="91" customFormat="1" spans="1:9">
      <c r="A613" s="91" t="str">
        <f t="shared" si="27"/>
        <v>Cu-55</v>
      </c>
      <c r="B613" s="91" t="s">
        <v>1191</v>
      </c>
      <c r="C613" s="91" t="s">
        <v>1188</v>
      </c>
      <c r="D613" s="91">
        <v>29</v>
      </c>
      <c r="E613" s="91">
        <v>55</v>
      </c>
      <c r="F613" s="91">
        <v>0</v>
      </c>
      <c r="G613" s="126">
        <v>17.3286795139986</v>
      </c>
      <c r="H613" s="126">
        <f t="shared" si="28"/>
        <v>0.0400000000000001</v>
      </c>
      <c r="I613" s="126" t="str">
        <f t="shared" si="29"/>
        <v>0y 0d 0h 0m</v>
      </c>
    </row>
    <row r="614" s="91" customFormat="1" spans="1:9">
      <c r="A614" s="91" t="str">
        <f t="shared" si="27"/>
        <v>Cu-56</v>
      </c>
      <c r="B614" s="91" t="s">
        <v>1192</v>
      </c>
      <c r="C614" s="91" t="s">
        <v>1188</v>
      </c>
      <c r="D614" s="91">
        <v>29</v>
      </c>
      <c r="E614" s="91">
        <v>56</v>
      </c>
      <c r="F614" s="91">
        <v>0</v>
      </c>
      <c r="G614" s="126">
        <v>7.37390617616963</v>
      </c>
      <c r="H614" s="126">
        <f t="shared" si="28"/>
        <v>0.094</v>
      </c>
      <c r="I614" s="126" t="str">
        <f t="shared" si="29"/>
        <v>0y 0d 0h 0m</v>
      </c>
    </row>
    <row r="615" s="91" customFormat="1" spans="1:9">
      <c r="A615" s="91" t="str">
        <f t="shared" si="27"/>
        <v>Cu-57</v>
      </c>
      <c r="B615" s="91" t="s">
        <v>1193</v>
      </c>
      <c r="C615" s="91" t="s">
        <v>1188</v>
      </c>
      <c r="D615" s="91">
        <v>29</v>
      </c>
      <c r="E615" s="91">
        <v>57</v>
      </c>
      <c r="F615" s="91">
        <v>0</v>
      </c>
      <c r="G615" s="126">
        <v>3.53106052246533</v>
      </c>
      <c r="H615" s="126">
        <f t="shared" si="28"/>
        <v>0.1963</v>
      </c>
      <c r="I615" s="126" t="str">
        <f t="shared" si="29"/>
        <v>0y 0d 0h 0m</v>
      </c>
    </row>
    <row r="616" s="91" customFormat="1" spans="1:9">
      <c r="A616" s="91" t="str">
        <f t="shared" si="27"/>
        <v>Cu-58</v>
      </c>
      <c r="B616" s="91" t="s">
        <v>1194</v>
      </c>
      <c r="C616" s="91" t="s">
        <v>1188</v>
      </c>
      <c r="D616" s="91">
        <v>29</v>
      </c>
      <c r="E616" s="91">
        <v>58</v>
      </c>
      <c r="F616" s="91">
        <v>0</v>
      </c>
      <c r="G616" s="126">
        <v>0.216338071335813</v>
      </c>
      <c r="H616" s="126">
        <f t="shared" si="28"/>
        <v>3.204</v>
      </c>
      <c r="I616" s="126" t="str">
        <f t="shared" si="29"/>
        <v>0y 0d 0h 0m</v>
      </c>
    </row>
    <row r="617" s="91" customFormat="1" spans="1:9">
      <c r="A617" s="91" t="str">
        <f t="shared" si="27"/>
        <v>Cu-59</v>
      </c>
      <c r="B617" s="91" t="s">
        <v>1195</v>
      </c>
      <c r="C617" s="91" t="s">
        <v>1188</v>
      </c>
      <c r="D617" s="91">
        <v>29</v>
      </c>
      <c r="E617" s="91">
        <v>59</v>
      </c>
      <c r="F617" s="91">
        <v>0</v>
      </c>
      <c r="G617" s="126">
        <v>0.00850487338110362</v>
      </c>
      <c r="H617" s="126">
        <f t="shared" si="28"/>
        <v>81.5</v>
      </c>
      <c r="I617" s="126" t="str">
        <f t="shared" si="29"/>
        <v>0y 0d 0h 1m</v>
      </c>
    </row>
    <row r="618" s="91" customFormat="1" spans="1:9">
      <c r="A618" s="91" t="str">
        <f t="shared" si="27"/>
        <v>Cu-60</v>
      </c>
      <c r="B618" s="91" t="s">
        <v>1196</v>
      </c>
      <c r="C618" s="91" t="s">
        <v>1188</v>
      </c>
      <c r="D618" s="91">
        <v>29</v>
      </c>
      <c r="E618" s="91">
        <v>60</v>
      </c>
      <c r="F618" s="91">
        <v>0</v>
      </c>
      <c r="G618" s="126">
        <v>0.000487445274655376</v>
      </c>
      <c r="H618" s="126">
        <f t="shared" si="28"/>
        <v>1422</v>
      </c>
      <c r="I618" s="126" t="str">
        <f t="shared" si="29"/>
        <v>0y 0d 0h 23m</v>
      </c>
    </row>
    <row r="619" s="91" customFormat="1" spans="1:9">
      <c r="A619" s="91" t="str">
        <f t="shared" si="27"/>
        <v>Cu-61</v>
      </c>
      <c r="B619" s="91" t="s">
        <v>1197</v>
      </c>
      <c r="C619" s="91" t="s">
        <v>1188</v>
      </c>
      <c r="D619" s="91">
        <v>29</v>
      </c>
      <c r="E619" s="91">
        <v>61</v>
      </c>
      <c r="F619" s="91">
        <v>0</v>
      </c>
      <c r="G619" s="126">
        <v>5.77680418508471e-5</v>
      </c>
      <c r="H619" s="126">
        <f t="shared" si="28"/>
        <v>11998.8</v>
      </c>
      <c r="I619" s="126" t="str">
        <f t="shared" si="29"/>
        <v>0y 0d 3h 19m</v>
      </c>
    </row>
    <row r="620" s="91" customFormat="1" spans="1:9">
      <c r="A620" s="91" t="str">
        <f t="shared" si="27"/>
        <v>Cu-62</v>
      </c>
      <c r="B620" s="91" t="s">
        <v>1198</v>
      </c>
      <c r="C620" s="91" t="s">
        <v>1188</v>
      </c>
      <c r="D620" s="91">
        <v>29</v>
      </c>
      <c r="E620" s="91">
        <v>62</v>
      </c>
      <c r="F620" s="91">
        <v>0</v>
      </c>
      <c r="G620" s="126">
        <v>0.00119429887411686</v>
      </c>
      <c r="H620" s="126">
        <f t="shared" si="28"/>
        <v>580.380000000002</v>
      </c>
      <c r="I620" s="126" t="str">
        <f t="shared" si="29"/>
        <v>0y 0d 0h 9m</v>
      </c>
    </row>
    <row r="621" s="91" customFormat="1" spans="1:9">
      <c r="A621" s="91" t="str">
        <f t="shared" si="27"/>
        <v>Cu-63</v>
      </c>
      <c r="B621" s="91" t="s">
        <v>1199</v>
      </c>
      <c r="C621" s="91" t="s">
        <v>1188</v>
      </c>
      <c r="D621" s="91">
        <v>29</v>
      </c>
      <c r="E621" s="91">
        <v>63</v>
      </c>
      <c r="F621" s="91">
        <v>0</v>
      </c>
      <c r="G621" s="126">
        <v>0</v>
      </c>
      <c r="H621" s="126">
        <f t="shared" si="28"/>
        <v>0</v>
      </c>
      <c r="I621" s="126" t="str">
        <f t="shared" si="29"/>
        <v>0y 0d 0h 0m</v>
      </c>
    </row>
    <row r="622" s="91" customFormat="1" spans="1:9">
      <c r="A622" s="91" t="str">
        <f t="shared" si="27"/>
        <v>Cu-64</v>
      </c>
      <c r="B622" s="91" t="s">
        <v>1200</v>
      </c>
      <c r="C622" s="91" t="s">
        <v>1188</v>
      </c>
      <c r="D622" s="91">
        <v>29</v>
      </c>
      <c r="E622" s="91">
        <v>64</v>
      </c>
      <c r="F622" s="91">
        <v>0</v>
      </c>
      <c r="G622" s="126">
        <v>1.51595058254368e-5</v>
      </c>
      <c r="H622" s="126">
        <f t="shared" si="28"/>
        <v>45723.6000000002</v>
      </c>
      <c r="I622" s="126" t="str">
        <f t="shared" si="29"/>
        <v>0y 0d 12h 42m</v>
      </c>
    </row>
    <row r="623" s="91" customFormat="1" spans="1:9">
      <c r="A623" s="91" t="str">
        <f t="shared" si="27"/>
        <v>Cu-65</v>
      </c>
      <c r="B623" s="91" t="s">
        <v>1201</v>
      </c>
      <c r="C623" s="91" t="s">
        <v>1188</v>
      </c>
      <c r="D623" s="91">
        <v>29</v>
      </c>
      <c r="E623" s="91">
        <v>65</v>
      </c>
      <c r="F623" s="91">
        <v>0</v>
      </c>
      <c r="G623" s="126">
        <v>0</v>
      </c>
      <c r="H623" s="126">
        <f t="shared" si="28"/>
        <v>0</v>
      </c>
      <c r="I623" s="126" t="str">
        <f t="shared" si="29"/>
        <v>0y 0d 0h 0m</v>
      </c>
    </row>
    <row r="624" s="91" customFormat="1" spans="1:9">
      <c r="A624" s="91" t="str">
        <f t="shared" si="27"/>
        <v>Cu-66</v>
      </c>
      <c r="B624" s="91" t="s">
        <v>1202</v>
      </c>
      <c r="C624" s="91" t="s">
        <v>1188</v>
      </c>
      <c r="D624" s="91">
        <v>29</v>
      </c>
      <c r="E624" s="91">
        <v>66</v>
      </c>
      <c r="F624" s="91">
        <v>0</v>
      </c>
      <c r="G624" s="126">
        <v>0.00225633847838523</v>
      </c>
      <c r="H624" s="126">
        <f t="shared" si="28"/>
        <v>307.200000000001</v>
      </c>
      <c r="I624" s="126" t="str">
        <f t="shared" si="29"/>
        <v>0y 0d 0h 5m</v>
      </c>
    </row>
    <row r="625" s="91" customFormat="1" spans="1:9">
      <c r="A625" s="91" t="str">
        <f t="shared" si="27"/>
        <v>Cu-67</v>
      </c>
      <c r="B625" s="91" t="s">
        <v>1203</v>
      </c>
      <c r="C625" s="91" t="s">
        <v>1188</v>
      </c>
      <c r="D625" s="91">
        <v>29</v>
      </c>
      <c r="E625" s="91">
        <v>67</v>
      </c>
      <c r="F625" s="91">
        <v>0</v>
      </c>
      <c r="G625" s="126">
        <v>3.11403660826255e-6</v>
      </c>
      <c r="H625" s="126">
        <f t="shared" si="28"/>
        <v>222588</v>
      </c>
      <c r="I625" s="126" t="str">
        <f t="shared" si="29"/>
        <v>0y 2d 13h 49m</v>
      </c>
    </row>
    <row r="626" s="91" customFormat="1" spans="1:9">
      <c r="A626" s="91" t="str">
        <f t="shared" si="27"/>
        <v>Cu-68</v>
      </c>
      <c r="B626" s="91" t="s">
        <v>1204</v>
      </c>
      <c r="C626" s="91" t="s">
        <v>1188</v>
      </c>
      <c r="D626" s="91">
        <v>29</v>
      </c>
      <c r="E626" s="91">
        <v>68</v>
      </c>
      <c r="F626" s="91">
        <v>0</v>
      </c>
      <c r="G626" s="126">
        <v>0.0222876906932458</v>
      </c>
      <c r="H626" s="126">
        <f t="shared" si="28"/>
        <v>31.1</v>
      </c>
      <c r="I626" s="126" t="str">
        <f t="shared" si="29"/>
        <v>0y 0d 0h 0m</v>
      </c>
    </row>
    <row r="627" s="91" customFormat="1" spans="1:9">
      <c r="A627" s="91" t="str">
        <f t="shared" si="27"/>
        <v>Cu-68m</v>
      </c>
      <c r="B627" s="91" t="s">
        <v>1205</v>
      </c>
      <c r="C627" s="91" t="s">
        <v>1188</v>
      </c>
      <c r="D627" s="91">
        <v>29</v>
      </c>
      <c r="E627" s="91">
        <v>68</v>
      </c>
      <c r="F627" s="91">
        <v>1</v>
      </c>
      <c r="G627" s="126">
        <v>0.00308065413582197</v>
      </c>
      <c r="H627" s="126">
        <f t="shared" si="28"/>
        <v>225.000000000001</v>
      </c>
      <c r="I627" s="126" t="str">
        <f t="shared" si="29"/>
        <v>0y 0d 0h 3m</v>
      </c>
    </row>
    <row r="628" s="91" customFormat="1" spans="1:9">
      <c r="A628" s="91" t="str">
        <f t="shared" si="27"/>
        <v>Cu-69</v>
      </c>
      <c r="B628" s="91" t="s">
        <v>1206</v>
      </c>
      <c r="C628" s="91" t="s">
        <v>1188</v>
      </c>
      <c r="D628" s="91">
        <v>29</v>
      </c>
      <c r="E628" s="91">
        <v>69</v>
      </c>
      <c r="F628" s="91">
        <v>0</v>
      </c>
      <c r="G628" s="126">
        <v>0.00405349228397628</v>
      </c>
      <c r="H628" s="126">
        <f t="shared" si="28"/>
        <v>171</v>
      </c>
      <c r="I628" s="126" t="str">
        <f t="shared" si="29"/>
        <v>0y 0d 0h 2m</v>
      </c>
    </row>
    <row r="629" s="91" customFormat="1" spans="1:9">
      <c r="A629" s="91" t="str">
        <f t="shared" si="27"/>
        <v>Cu-70</v>
      </c>
      <c r="B629" s="91" t="s">
        <v>1207</v>
      </c>
      <c r="C629" s="91" t="s">
        <v>1188</v>
      </c>
      <c r="D629" s="91">
        <v>29</v>
      </c>
      <c r="E629" s="91">
        <v>70</v>
      </c>
      <c r="F629" s="91">
        <v>0</v>
      </c>
      <c r="G629" s="126">
        <v>0.0155763411361785</v>
      </c>
      <c r="H629" s="126">
        <f t="shared" si="28"/>
        <v>44.5000000000001</v>
      </c>
      <c r="I629" s="126" t="str">
        <f t="shared" si="29"/>
        <v>0y 0d 0h 0m</v>
      </c>
    </row>
    <row r="630" s="91" customFormat="1" spans="1:9">
      <c r="A630" s="91" t="str">
        <f t="shared" si="27"/>
        <v>Cu-70m</v>
      </c>
      <c r="B630" s="91" t="s">
        <v>1208</v>
      </c>
      <c r="C630" s="91" t="s">
        <v>1188</v>
      </c>
      <c r="D630" s="91">
        <v>29</v>
      </c>
      <c r="E630" s="91">
        <v>70</v>
      </c>
      <c r="F630" s="91">
        <v>1</v>
      </c>
      <c r="G630" s="126">
        <v>0.021004460016968</v>
      </c>
      <c r="H630" s="126">
        <f t="shared" si="28"/>
        <v>33.0000000000001</v>
      </c>
      <c r="I630" s="126" t="str">
        <f t="shared" si="29"/>
        <v>0y 0d 0h 0m</v>
      </c>
    </row>
    <row r="631" s="91" customFormat="1" spans="1:9">
      <c r="A631" s="91" t="str">
        <f t="shared" si="27"/>
        <v>Cu-70m2</v>
      </c>
      <c r="B631" s="91" t="s">
        <v>1209</v>
      </c>
      <c r="C631" s="91" t="s">
        <v>1188</v>
      </c>
      <c r="D631" s="91">
        <v>29</v>
      </c>
      <c r="E631" s="91">
        <v>70</v>
      </c>
      <c r="F631" s="91">
        <v>2</v>
      </c>
      <c r="G631" s="126">
        <v>0.10502230008484</v>
      </c>
      <c r="H631" s="126">
        <f t="shared" si="28"/>
        <v>6.60000000000001</v>
      </c>
      <c r="I631" s="126" t="str">
        <f t="shared" si="29"/>
        <v>0y 0d 0h 0m</v>
      </c>
    </row>
    <row r="632" s="91" customFormat="1" spans="1:9">
      <c r="A632" s="91" t="str">
        <f t="shared" si="27"/>
        <v>Cu-71</v>
      </c>
      <c r="B632" s="91" t="s">
        <v>1210</v>
      </c>
      <c r="C632" s="91" t="s">
        <v>1188</v>
      </c>
      <c r="D632" s="91">
        <v>29</v>
      </c>
      <c r="E632" s="91">
        <v>71</v>
      </c>
      <c r="F632" s="91">
        <v>0</v>
      </c>
      <c r="G632" s="126">
        <v>0.0355460092594843</v>
      </c>
      <c r="H632" s="126">
        <f t="shared" si="28"/>
        <v>19.5</v>
      </c>
      <c r="I632" s="126" t="str">
        <f t="shared" si="29"/>
        <v>0y 0d 0h 0m</v>
      </c>
    </row>
    <row r="633" s="91" customFormat="1" spans="1:9">
      <c r="A633" s="91" t="str">
        <f t="shared" si="27"/>
        <v>Cu-72</v>
      </c>
      <c r="B633" s="91" t="s">
        <v>1211</v>
      </c>
      <c r="C633" s="91" t="s">
        <v>1188</v>
      </c>
      <c r="D633" s="91">
        <v>29</v>
      </c>
      <c r="E633" s="91">
        <v>72</v>
      </c>
      <c r="F633" s="91">
        <v>0</v>
      </c>
      <c r="G633" s="126">
        <v>0.104547086057306</v>
      </c>
      <c r="H633" s="126">
        <f t="shared" si="28"/>
        <v>6.63000000000006</v>
      </c>
      <c r="I633" s="126" t="str">
        <f t="shared" si="29"/>
        <v>0y 0d 0h 0m</v>
      </c>
    </row>
    <row r="634" s="91" customFormat="1" spans="1:9">
      <c r="A634" s="91" t="str">
        <f t="shared" si="27"/>
        <v>Cu-73</v>
      </c>
      <c r="B634" s="91" t="s">
        <v>1212</v>
      </c>
      <c r="C634" s="91" t="s">
        <v>1188</v>
      </c>
      <c r="D634" s="91">
        <v>29</v>
      </c>
      <c r="E634" s="91">
        <v>73</v>
      </c>
      <c r="F634" s="91">
        <v>0</v>
      </c>
      <c r="G634" s="126">
        <v>0.165035042990463</v>
      </c>
      <c r="H634" s="126">
        <f t="shared" si="28"/>
        <v>4.2</v>
      </c>
      <c r="I634" s="126" t="str">
        <f t="shared" si="29"/>
        <v>0y 0d 0h 0m</v>
      </c>
    </row>
    <row r="635" s="91" customFormat="1" spans="1:9">
      <c r="A635" s="91" t="str">
        <f t="shared" si="27"/>
        <v>Cu-74</v>
      </c>
      <c r="B635" s="91" t="s">
        <v>1213</v>
      </c>
      <c r="C635" s="91" t="s">
        <v>1188</v>
      </c>
      <c r="D635" s="91">
        <v>29</v>
      </c>
      <c r="E635" s="91">
        <v>74</v>
      </c>
      <c r="F635" s="91">
        <v>0</v>
      </c>
      <c r="G635" s="126">
        <v>0.396084103177111</v>
      </c>
      <c r="H635" s="126">
        <f t="shared" si="28"/>
        <v>1.75</v>
      </c>
      <c r="I635" s="126" t="str">
        <f t="shared" si="29"/>
        <v>0y 0d 0h 0m</v>
      </c>
    </row>
    <row r="636" s="91" customFormat="1" spans="1:9">
      <c r="A636" s="91" t="str">
        <f t="shared" si="27"/>
        <v>Cu-75</v>
      </c>
      <c r="B636" s="91" t="s">
        <v>1214</v>
      </c>
      <c r="C636" s="91" t="s">
        <v>1188</v>
      </c>
      <c r="D636" s="91">
        <v>29</v>
      </c>
      <c r="E636" s="91">
        <v>75</v>
      </c>
      <c r="F636" s="91">
        <v>0</v>
      </c>
      <c r="G636" s="126">
        <v>0.566296716143746</v>
      </c>
      <c r="H636" s="126">
        <f t="shared" si="28"/>
        <v>1.224</v>
      </c>
      <c r="I636" s="126" t="str">
        <f t="shared" si="29"/>
        <v>0y 0d 0h 0m</v>
      </c>
    </row>
    <row r="637" s="91" customFormat="1" spans="1:9">
      <c r="A637" s="91" t="str">
        <f t="shared" si="27"/>
        <v>Cu-76</v>
      </c>
      <c r="B637" s="91" t="s">
        <v>1215</v>
      </c>
      <c r="C637" s="91" t="s">
        <v>1188</v>
      </c>
      <c r="D637" s="91">
        <v>29</v>
      </c>
      <c r="E637" s="91">
        <v>76</v>
      </c>
      <c r="F637" s="91">
        <v>0</v>
      </c>
      <c r="G637" s="126">
        <v>1.06148113408873</v>
      </c>
      <c r="H637" s="126">
        <f t="shared" si="28"/>
        <v>0.653000000000004</v>
      </c>
      <c r="I637" s="126" t="str">
        <f t="shared" si="29"/>
        <v>0y 0d 0h 0m</v>
      </c>
    </row>
    <row r="638" s="91" customFormat="1" spans="1:9">
      <c r="A638" s="91" t="str">
        <f t="shared" si="27"/>
        <v>Cu-76m</v>
      </c>
      <c r="B638" s="91" t="s">
        <v>1216</v>
      </c>
      <c r="C638" s="91" t="s">
        <v>1188</v>
      </c>
      <c r="D638" s="91">
        <v>29</v>
      </c>
      <c r="E638" s="91">
        <v>76</v>
      </c>
      <c r="F638" s="91">
        <v>1</v>
      </c>
      <c r="G638" s="126">
        <v>0.545785181543263</v>
      </c>
      <c r="H638" s="126">
        <f t="shared" si="28"/>
        <v>1.27</v>
      </c>
      <c r="I638" s="126" t="str">
        <f t="shared" si="29"/>
        <v>0y 0d 0h 0m</v>
      </c>
    </row>
    <row r="639" s="91" customFormat="1" spans="1:9">
      <c r="A639" s="91" t="str">
        <f t="shared" si="27"/>
        <v>Cu-77</v>
      </c>
      <c r="B639" s="91" t="s">
        <v>1217</v>
      </c>
      <c r="C639" s="91" t="s">
        <v>1188</v>
      </c>
      <c r="D639" s="91">
        <v>29</v>
      </c>
      <c r="E639" s="91">
        <v>77</v>
      </c>
      <c r="F639" s="91">
        <v>0</v>
      </c>
      <c r="G639" s="126">
        <v>1.47792575812355</v>
      </c>
      <c r="H639" s="126">
        <f t="shared" si="28"/>
        <v>0.469</v>
      </c>
      <c r="I639" s="126" t="str">
        <f t="shared" si="29"/>
        <v>0y 0d 0h 0m</v>
      </c>
    </row>
    <row r="640" s="91" customFormat="1" spans="1:9">
      <c r="A640" s="91" t="str">
        <f t="shared" si="27"/>
        <v>Cu-78</v>
      </c>
      <c r="B640" s="91" t="s">
        <v>1218</v>
      </c>
      <c r="C640" s="91" t="s">
        <v>1188</v>
      </c>
      <c r="D640" s="91">
        <v>29</v>
      </c>
      <c r="E640" s="91">
        <v>78</v>
      </c>
      <c r="F640" s="91">
        <v>0</v>
      </c>
      <c r="G640" s="126">
        <v>2.06909606137297</v>
      </c>
      <c r="H640" s="126">
        <f t="shared" si="28"/>
        <v>0.335</v>
      </c>
      <c r="I640" s="126" t="str">
        <f t="shared" si="29"/>
        <v>0y 0d 0h 0m</v>
      </c>
    </row>
    <row r="641" s="91" customFormat="1" spans="1:9">
      <c r="A641" s="91" t="str">
        <f t="shared" si="27"/>
        <v>Cu-79</v>
      </c>
      <c r="B641" s="91" t="s">
        <v>1219</v>
      </c>
      <c r="C641" s="91" t="s">
        <v>1188</v>
      </c>
      <c r="D641" s="91">
        <v>29</v>
      </c>
      <c r="E641" s="91">
        <v>79</v>
      </c>
      <c r="F641" s="91">
        <v>0</v>
      </c>
      <c r="G641" s="126">
        <v>3.68695308808481</v>
      </c>
      <c r="H641" s="126">
        <f t="shared" si="28"/>
        <v>0.188</v>
      </c>
      <c r="I641" s="126" t="str">
        <f t="shared" si="29"/>
        <v>0y 0d 0h 0m</v>
      </c>
    </row>
    <row r="642" s="91" customFormat="1" spans="1:9">
      <c r="A642" s="91" t="str">
        <f t="shared" ref="A642:A705" si="30">C642&amp;"-"&amp;E642&amp;_xlfn.IFS(F642=0,"",F642=1,"m",F642&gt;1,"m"&amp;F642)</f>
        <v>Cu-80</v>
      </c>
      <c r="B642" s="91" t="s">
        <v>1220</v>
      </c>
      <c r="C642" s="91" t="s">
        <v>1188</v>
      </c>
      <c r="D642" s="91">
        <v>29</v>
      </c>
      <c r="E642" s="91">
        <v>80</v>
      </c>
      <c r="F642" s="91">
        <v>0</v>
      </c>
      <c r="G642" s="126">
        <v>4.07733635623497</v>
      </c>
      <c r="H642" s="126">
        <f t="shared" ref="H642:H705" si="31">IF(G642&gt;0,LN(2)/G642,0)</f>
        <v>0.17</v>
      </c>
      <c r="I642" s="126" t="str">
        <f t="shared" si="29"/>
        <v>0y 0d 0h 0m</v>
      </c>
    </row>
    <row r="643" s="91" customFormat="1" spans="1:9">
      <c r="A643" s="91" t="str">
        <f t="shared" si="30"/>
        <v>Cu-81</v>
      </c>
      <c r="B643" s="91" t="s">
        <v>1221</v>
      </c>
      <c r="C643" s="91" t="s">
        <v>1188</v>
      </c>
      <c r="D643" s="91">
        <v>29</v>
      </c>
      <c r="E643" s="91">
        <v>81</v>
      </c>
      <c r="F643" s="91">
        <v>0</v>
      </c>
      <c r="G643" s="126">
        <v>24.7552564485694</v>
      </c>
      <c r="H643" s="126">
        <f t="shared" si="31"/>
        <v>0.0280000000000001</v>
      </c>
      <c r="I643" s="126" t="str">
        <f t="shared" ref="I643:I706" si="32">INT(H643/31536000)&amp;"y "&amp;INT(MOD(H643,31536000)/86400)&amp;"d "&amp;INT(MOD(MOD(H643,31536000),86400)/3600)&amp;"h "&amp;INT(MOD(MOD(MOD(H643,31536000),86400),3600)/60)&amp;"m"</f>
        <v>0y 0d 0h 0m</v>
      </c>
    </row>
    <row r="644" s="91" customFormat="1" spans="1:9">
      <c r="A644" s="91" t="str">
        <f t="shared" si="30"/>
        <v>Zn-54</v>
      </c>
      <c r="B644" s="91" t="s">
        <v>1222</v>
      </c>
      <c r="C644" s="91" t="s">
        <v>1223</v>
      </c>
      <c r="D644" s="91">
        <v>30</v>
      </c>
      <c r="E644" s="91">
        <v>54</v>
      </c>
      <c r="F644" s="91">
        <v>0</v>
      </c>
      <c r="G644" s="126">
        <v>187.337075827012</v>
      </c>
      <c r="H644" s="126">
        <f t="shared" si="31"/>
        <v>0.0037</v>
      </c>
      <c r="I644" s="126" t="str">
        <f t="shared" si="32"/>
        <v>0y 0d 0h 0m</v>
      </c>
    </row>
    <row r="645" s="91" customFormat="1" spans="1:9">
      <c r="A645" s="91" t="str">
        <f t="shared" si="30"/>
        <v>Zn-55</v>
      </c>
      <c r="B645" s="91" t="s">
        <v>1224</v>
      </c>
      <c r="C645" s="91" t="s">
        <v>1223</v>
      </c>
      <c r="D645" s="91">
        <v>30</v>
      </c>
      <c r="E645" s="91">
        <v>55</v>
      </c>
      <c r="F645" s="91">
        <v>0</v>
      </c>
      <c r="G645" s="126">
        <v>34.6573590279972</v>
      </c>
      <c r="H645" s="126">
        <f t="shared" si="31"/>
        <v>0.02</v>
      </c>
      <c r="I645" s="126" t="str">
        <f t="shared" si="32"/>
        <v>0y 0d 0h 0m</v>
      </c>
    </row>
    <row r="646" s="91" customFormat="1" spans="1:9">
      <c r="A646" s="91" t="str">
        <f t="shared" si="30"/>
        <v>Zn-56</v>
      </c>
      <c r="B646" s="91" t="s">
        <v>1225</v>
      </c>
      <c r="C646" s="91" t="s">
        <v>1223</v>
      </c>
      <c r="D646" s="91">
        <v>30</v>
      </c>
      <c r="E646" s="91">
        <v>56</v>
      </c>
      <c r="F646" s="91">
        <v>0</v>
      </c>
      <c r="G646" s="126">
        <v>1386294.36111989</v>
      </c>
      <c r="H646" s="126">
        <f t="shared" si="31"/>
        <v>5e-7</v>
      </c>
      <c r="I646" s="126" t="str">
        <f t="shared" si="32"/>
        <v>0y 0d 0h 0m</v>
      </c>
    </row>
    <row r="647" s="91" customFormat="1" spans="1:9">
      <c r="A647" s="91" t="str">
        <f t="shared" si="30"/>
        <v>Zn-57</v>
      </c>
      <c r="B647" s="91" t="s">
        <v>1226</v>
      </c>
      <c r="C647" s="91" t="s">
        <v>1223</v>
      </c>
      <c r="D647" s="91">
        <v>30</v>
      </c>
      <c r="E647" s="91">
        <v>57</v>
      </c>
      <c r="F647" s="91">
        <v>0</v>
      </c>
      <c r="G647" s="126">
        <v>18.2407152778932</v>
      </c>
      <c r="H647" s="126">
        <f t="shared" si="31"/>
        <v>0.0380000000000002</v>
      </c>
      <c r="I647" s="126" t="str">
        <f t="shared" si="32"/>
        <v>0y 0d 0h 0m</v>
      </c>
    </row>
    <row r="648" s="91" customFormat="1" spans="1:9">
      <c r="A648" s="91" t="str">
        <f t="shared" si="30"/>
        <v>Zn-58</v>
      </c>
      <c r="B648" s="91" t="s">
        <v>1227</v>
      </c>
      <c r="C648" s="91" t="s">
        <v>1223</v>
      </c>
      <c r="D648" s="91">
        <v>30</v>
      </c>
      <c r="E648" s="91">
        <v>58</v>
      </c>
      <c r="F648" s="91">
        <v>0</v>
      </c>
      <c r="G648" s="126">
        <v>8.25175214952315</v>
      </c>
      <c r="H648" s="126">
        <f t="shared" si="31"/>
        <v>0.0840000000000001</v>
      </c>
      <c r="I648" s="126" t="str">
        <f t="shared" si="32"/>
        <v>0y 0d 0h 0m</v>
      </c>
    </row>
    <row r="649" s="91" customFormat="1" spans="1:9">
      <c r="A649" s="91" t="str">
        <f t="shared" si="30"/>
        <v>Zn-59</v>
      </c>
      <c r="B649" s="91" t="s">
        <v>1228</v>
      </c>
      <c r="C649" s="91" t="s">
        <v>1223</v>
      </c>
      <c r="D649" s="91">
        <v>30</v>
      </c>
      <c r="E649" s="91">
        <v>59</v>
      </c>
      <c r="F649" s="91">
        <v>0</v>
      </c>
      <c r="G649" s="126">
        <v>3.80850099208761</v>
      </c>
      <c r="H649" s="126">
        <f t="shared" si="31"/>
        <v>0.182</v>
      </c>
      <c r="I649" s="126" t="str">
        <f t="shared" si="32"/>
        <v>0y 0d 0h 0m</v>
      </c>
    </row>
    <row r="650" s="91" customFormat="1" spans="1:9">
      <c r="A650" s="91" t="str">
        <f t="shared" si="30"/>
        <v>Zn-60</v>
      </c>
      <c r="B650" s="91" t="s">
        <v>1229</v>
      </c>
      <c r="C650" s="91" t="s">
        <v>1223</v>
      </c>
      <c r="D650" s="91">
        <v>30</v>
      </c>
      <c r="E650" s="91">
        <v>60</v>
      </c>
      <c r="F650" s="91">
        <v>0</v>
      </c>
      <c r="G650" s="126">
        <v>0.00485397185266068</v>
      </c>
      <c r="H650" s="126">
        <f t="shared" si="31"/>
        <v>142.8</v>
      </c>
      <c r="I650" s="126" t="str">
        <f t="shared" si="32"/>
        <v>0y 0d 0h 2m</v>
      </c>
    </row>
    <row r="651" s="91" customFormat="1" spans="1:9">
      <c r="A651" s="91" t="str">
        <f t="shared" si="30"/>
        <v>Zn-61</v>
      </c>
      <c r="B651" s="91" t="s">
        <v>1230</v>
      </c>
      <c r="C651" s="91" t="s">
        <v>1223</v>
      </c>
      <c r="D651" s="91">
        <v>30</v>
      </c>
      <c r="E651" s="91">
        <v>61</v>
      </c>
      <c r="F651" s="91">
        <v>0</v>
      </c>
      <c r="G651" s="126">
        <v>0.00777942963591408</v>
      </c>
      <c r="H651" s="126">
        <f t="shared" si="31"/>
        <v>89.1000000000001</v>
      </c>
      <c r="I651" s="126" t="str">
        <f t="shared" si="32"/>
        <v>0y 0d 0h 1m</v>
      </c>
    </row>
    <row r="652" s="91" customFormat="1" spans="1:9">
      <c r="A652" s="91" t="str">
        <f t="shared" si="30"/>
        <v>Zn-61m</v>
      </c>
      <c r="B652" s="91" t="s">
        <v>1231</v>
      </c>
      <c r="C652" s="91" t="s">
        <v>1223</v>
      </c>
      <c r="D652" s="91">
        <v>30</v>
      </c>
      <c r="E652" s="91">
        <v>61</v>
      </c>
      <c r="F652" s="91">
        <v>1</v>
      </c>
      <c r="G652" s="126">
        <v>1.61197018734871</v>
      </c>
      <c r="H652" s="126">
        <f t="shared" si="31"/>
        <v>0.43</v>
      </c>
      <c r="I652" s="126" t="str">
        <f t="shared" si="32"/>
        <v>0y 0d 0h 0m</v>
      </c>
    </row>
    <row r="653" s="91" customFormat="1" spans="1:9">
      <c r="A653" s="91" t="str">
        <f t="shared" si="30"/>
        <v>Zn-61m2</v>
      </c>
      <c r="B653" s="91" t="s">
        <v>1232</v>
      </c>
      <c r="C653" s="91" t="s">
        <v>1223</v>
      </c>
      <c r="D653" s="91">
        <v>30</v>
      </c>
      <c r="E653" s="91">
        <v>61</v>
      </c>
      <c r="F653" s="91">
        <v>2</v>
      </c>
      <c r="G653" s="126">
        <v>4.95105128971389</v>
      </c>
      <c r="H653" s="126">
        <f t="shared" si="31"/>
        <v>0.14</v>
      </c>
      <c r="I653" s="126" t="str">
        <f t="shared" si="32"/>
        <v>0y 0d 0h 0m</v>
      </c>
    </row>
    <row r="654" s="91" customFormat="1" spans="1:9">
      <c r="A654" s="91" t="str">
        <f t="shared" si="30"/>
        <v>Zn-62</v>
      </c>
      <c r="B654" s="91" t="s">
        <v>1233</v>
      </c>
      <c r="C654" s="91" t="s">
        <v>1223</v>
      </c>
      <c r="D654" s="91">
        <v>30</v>
      </c>
      <c r="E654" s="91">
        <v>62</v>
      </c>
      <c r="F654" s="91">
        <v>0</v>
      </c>
      <c r="G654" s="126">
        <v>2.07927519966386e-5</v>
      </c>
      <c r="H654" s="126">
        <f t="shared" si="31"/>
        <v>33336</v>
      </c>
      <c r="I654" s="126" t="str">
        <f t="shared" si="32"/>
        <v>0y 0d 9h 15m</v>
      </c>
    </row>
    <row r="655" s="91" customFormat="1" spans="1:9">
      <c r="A655" s="91" t="str">
        <f t="shared" si="30"/>
        <v>Zn-63</v>
      </c>
      <c r="B655" s="91" t="s">
        <v>1234</v>
      </c>
      <c r="C655" s="91" t="s">
        <v>1223</v>
      </c>
      <c r="D655" s="91">
        <v>30</v>
      </c>
      <c r="E655" s="91">
        <v>63</v>
      </c>
      <c r="F655" s="91">
        <v>0</v>
      </c>
      <c r="G655" s="126">
        <v>0.000300297712745838</v>
      </c>
      <c r="H655" s="126">
        <f t="shared" si="31"/>
        <v>2308.20000000001</v>
      </c>
      <c r="I655" s="126" t="str">
        <f t="shared" si="32"/>
        <v>0y 0d 0h 38m</v>
      </c>
    </row>
    <row r="656" s="91" customFormat="1" spans="1:9">
      <c r="A656" s="91" t="str">
        <f t="shared" si="30"/>
        <v>Zn-64</v>
      </c>
      <c r="B656" s="91" t="s">
        <v>1235</v>
      </c>
      <c r="C656" s="91" t="s">
        <v>1223</v>
      </c>
      <c r="D656" s="91">
        <v>30</v>
      </c>
      <c r="E656" s="91">
        <v>64</v>
      </c>
      <c r="F656" s="91">
        <v>0</v>
      </c>
      <c r="G656" s="126">
        <v>0</v>
      </c>
      <c r="H656" s="126">
        <f t="shared" si="31"/>
        <v>0</v>
      </c>
      <c r="I656" s="126" t="str">
        <f t="shared" si="32"/>
        <v>0y 0d 0h 0m</v>
      </c>
    </row>
    <row r="657" s="91" customFormat="1" spans="1:9">
      <c r="A657" s="91" t="str">
        <f t="shared" si="30"/>
        <v>Zn-65</v>
      </c>
      <c r="B657" s="91" t="s">
        <v>1236</v>
      </c>
      <c r="C657" s="91" t="s">
        <v>1223</v>
      </c>
      <c r="D657" s="91">
        <v>30</v>
      </c>
      <c r="E657" s="91">
        <v>65</v>
      </c>
      <c r="F657" s="91">
        <v>0</v>
      </c>
      <c r="G657" s="126">
        <v>3.28886876290272e-8</v>
      </c>
      <c r="H657" s="126">
        <f t="shared" si="31"/>
        <v>21075550</v>
      </c>
      <c r="I657" s="126" t="str">
        <f t="shared" si="32"/>
        <v>0y 243d 22h 19m</v>
      </c>
    </row>
    <row r="658" s="91" customFormat="1" spans="1:9">
      <c r="A658" s="91" t="str">
        <f t="shared" si="30"/>
        <v>Zn-66</v>
      </c>
      <c r="B658" s="91" t="s">
        <v>1237</v>
      </c>
      <c r="C658" s="91" t="s">
        <v>1223</v>
      </c>
      <c r="D658" s="91">
        <v>30</v>
      </c>
      <c r="E658" s="91">
        <v>66</v>
      </c>
      <c r="F658" s="91">
        <v>0</v>
      </c>
      <c r="G658" s="126">
        <v>0</v>
      </c>
      <c r="H658" s="126">
        <f t="shared" si="31"/>
        <v>0</v>
      </c>
      <c r="I658" s="126" t="str">
        <f t="shared" si="32"/>
        <v>0y 0d 0h 0m</v>
      </c>
    </row>
    <row r="659" s="91" customFormat="1" spans="1:9">
      <c r="A659" s="91" t="str">
        <f t="shared" si="30"/>
        <v>Zn-67</v>
      </c>
      <c r="B659" s="91" t="s">
        <v>1238</v>
      </c>
      <c r="C659" s="91" t="s">
        <v>1223</v>
      </c>
      <c r="D659" s="91">
        <v>30</v>
      </c>
      <c r="E659" s="91">
        <v>67</v>
      </c>
      <c r="F659" s="91">
        <v>0</v>
      </c>
      <c r="G659" s="126">
        <v>0</v>
      </c>
      <c r="H659" s="126">
        <f t="shared" si="31"/>
        <v>0</v>
      </c>
      <c r="I659" s="126" t="str">
        <f t="shared" si="32"/>
        <v>0y 0d 0h 0m</v>
      </c>
    </row>
    <row r="660" s="91" customFormat="1" spans="1:9">
      <c r="A660" s="91" t="str">
        <f t="shared" si="30"/>
        <v>Zn-68</v>
      </c>
      <c r="B660" s="91" t="s">
        <v>1239</v>
      </c>
      <c r="C660" s="91" t="s">
        <v>1223</v>
      </c>
      <c r="D660" s="91">
        <v>30</v>
      </c>
      <c r="E660" s="91">
        <v>68</v>
      </c>
      <c r="F660" s="91">
        <v>0</v>
      </c>
      <c r="G660" s="126">
        <v>0</v>
      </c>
      <c r="H660" s="126">
        <f t="shared" si="31"/>
        <v>0</v>
      </c>
      <c r="I660" s="126" t="str">
        <f t="shared" si="32"/>
        <v>0y 0d 0h 0m</v>
      </c>
    </row>
    <row r="661" s="91" customFormat="1" spans="1:9">
      <c r="A661" s="91" t="str">
        <f t="shared" si="30"/>
        <v>Zn-69</v>
      </c>
      <c r="B661" s="91" t="s">
        <v>1240</v>
      </c>
      <c r="C661" s="91" t="s">
        <v>1223</v>
      </c>
      <c r="D661" s="91">
        <v>30</v>
      </c>
      <c r="E661" s="91">
        <v>69</v>
      </c>
      <c r="F661" s="91">
        <v>0</v>
      </c>
      <c r="G661" s="126">
        <v>0.000204830727115823</v>
      </c>
      <c r="H661" s="126">
        <f t="shared" si="31"/>
        <v>3384</v>
      </c>
      <c r="I661" s="126" t="str">
        <f t="shared" si="32"/>
        <v>0y 0d 0h 56m</v>
      </c>
    </row>
    <row r="662" s="91" customFormat="1" spans="1:9">
      <c r="A662" s="91" t="str">
        <f t="shared" si="30"/>
        <v>Zn-69m</v>
      </c>
      <c r="B662" s="91" t="s">
        <v>1241</v>
      </c>
      <c r="C662" s="91" t="s">
        <v>1223</v>
      </c>
      <c r="D662" s="91">
        <v>30</v>
      </c>
      <c r="E662" s="91">
        <v>69</v>
      </c>
      <c r="F662" s="91">
        <v>1</v>
      </c>
      <c r="G662" s="126">
        <v>1.39927967651797e-5</v>
      </c>
      <c r="H662" s="126">
        <f t="shared" si="31"/>
        <v>49536.0000000003</v>
      </c>
      <c r="I662" s="126" t="str">
        <f t="shared" si="32"/>
        <v>0y 0d 13h 45m</v>
      </c>
    </row>
    <row r="663" s="91" customFormat="1" spans="1:9">
      <c r="A663" s="91" t="str">
        <f t="shared" si="30"/>
        <v>Zn-70</v>
      </c>
      <c r="B663" s="91" t="s">
        <v>1242</v>
      </c>
      <c r="C663" s="91" t="s">
        <v>1223</v>
      </c>
      <c r="D663" s="91">
        <v>30</v>
      </c>
      <c r="E663" s="91">
        <v>70</v>
      </c>
      <c r="F663" s="91">
        <v>0</v>
      </c>
      <c r="G663" s="126">
        <v>0</v>
      </c>
      <c r="H663" s="126">
        <f t="shared" si="31"/>
        <v>0</v>
      </c>
      <c r="I663" s="126" t="str">
        <f t="shared" si="32"/>
        <v>0y 0d 0h 0m</v>
      </c>
    </row>
    <row r="664" s="91" customFormat="1" spans="1:9">
      <c r="A664" s="91" t="str">
        <f t="shared" si="30"/>
        <v>Zn-71</v>
      </c>
      <c r="B664" s="91" t="s">
        <v>1243</v>
      </c>
      <c r="C664" s="91" t="s">
        <v>1223</v>
      </c>
      <c r="D664" s="91">
        <v>30</v>
      </c>
      <c r="E664" s="91">
        <v>71</v>
      </c>
      <c r="F664" s="91">
        <v>0</v>
      </c>
      <c r="G664" s="126">
        <v>0.00471528694258466</v>
      </c>
      <c r="H664" s="126">
        <f t="shared" si="31"/>
        <v>147</v>
      </c>
      <c r="I664" s="126" t="str">
        <f t="shared" si="32"/>
        <v>0y 0d 0h 2m</v>
      </c>
    </row>
    <row r="665" s="91" customFormat="1" spans="1:9">
      <c r="A665" s="91" t="str">
        <f t="shared" si="30"/>
        <v>Zn-71m</v>
      </c>
      <c r="B665" s="91" t="s">
        <v>1244</v>
      </c>
      <c r="C665" s="91" t="s">
        <v>1223</v>
      </c>
      <c r="D665" s="91">
        <v>30</v>
      </c>
      <c r="E665" s="91">
        <v>71</v>
      </c>
      <c r="F665" s="91">
        <v>1</v>
      </c>
      <c r="G665" s="126">
        <v>4.8621435224463e-5</v>
      </c>
      <c r="H665" s="126">
        <f t="shared" si="31"/>
        <v>14256</v>
      </c>
      <c r="I665" s="126" t="str">
        <f t="shared" si="32"/>
        <v>0y 0d 3h 57m</v>
      </c>
    </row>
    <row r="666" s="91" customFormat="1" spans="1:9">
      <c r="A666" s="91" t="str">
        <f t="shared" si="30"/>
        <v>Zn-72</v>
      </c>
      <c r="B666" s="91" t="s">
        <v>1245</v>
      </c>
      <c r="C666" s="91" t="s">
        <v>1223</v>
      </c>
      <c r="D666" s="91">
        <v>30</v>
      </c>
      <c r="E666" s="91">
        <v>72</v>
      </c>
      <c r="F666" s="91">
        <v>0</v>
      </c>
      <c r="G666" s="126">
        <v>4.14066416105104e-6</v>
      </c>
      <c r="H666" s="126">
        <f t="shared" si="31"/>
        <v>167400</v>
      </c>
      <c r="I666" s="126" t="str">
        <f t="shared" si="32"/>
        <v>0y 1d 22h 30m</v>
      </c>
    </row>
    <row r="667" s="91" customFormat="1" spans="1:9">
      <c r="A667" s="91" t="str">
        <f t="shared" si="30"/>
        <v>Zn-73</v>
      </c>
      <c r="B667" s="91" t="s">
        <v>1246</v>
      </c>
      <c r="C667" s="91" t="s">
        <v>1223</v>
      </c>
      <c r="D667" s="91">
        <v>30</v>
      </c>
      <c r="E667" s="91">
        <v>73</v>
      </c>
      <c r="F667" s="91">
        <v>0</v>
      </c>
      <c r="G667" s="126">
        <v>0.0294956247046785</v>
      </c>
      <c r="H667" s="126">
        <f t="shared" si="31"/>
        <v>23.5</v>
      </c>
      <c r="I667" s="126" t="str">
        <f t="shared" si="32"/>
        <v>0y 0d 0h 0m</v>
      </c>
    </row>
    <row r="668" s="91" customFormat="1" spans="1:9">
      <c r="A668" s="91" t="str">
        <f t="shared" si="30"/>
        <v>Zn-73m</v>
      </c>
      <c r="B668" s="91" t="s">
        <v>1247</v>
      </c>
      <c r="C668" s="91" t="s">
        <v>1223</v>
      </c>
      <c r="D668" s="91">
        <v>30</v>
      </c>
      <c r="E668" s="91">
        <v>73</v>
      </c>
      <c r="F668" s="91">
        <v>1</v>
      </c>
      <c r="G668" s="126">
        <v>0.1195081345793</v>
      </c>
      <c r="H668" s="126">
        <f t="shared" si="31"/>
        <v>5.80000000000004</v>
      </c>
      <c r="I668" s="126" t="str">
        <f t="shared" si="32"/>
        <v>0y 0d 0h 0m</v>
      </c>
    </row>
    <row r="669" s="91" customFormat="1" spans="1:9">
      <c r="A669" s="91" t="str">
        <f t="shared" si="30"/>
        <v>Zn-73m2</v>
      </c>
      <c r="B669" s="91" t="s">
        <v>1248</v>
      </c>
      <c r="C669" s="91" t="s">
        <v>1223</v>
      </c>
      <c r="D669" s="91">
        <v>30</v>
      </c>
      <c r="E669" s="91">
        <v>73</v>
      </c>
      <c r="F669" s="91">
        <v>2</v>
      </c>
      <c r="G669" s="126">
        <v>53.3190138892265</v>
      </c>
      <c r="H669" s="126">
        <f t="shared" si="31"/>
        <v>0.013</v>
      </c>
      <c r="I669" s="126" t="str">
        <f t="shared" si="32"/>
        <v>0y 0d 0h 0m</v>
      </c>
    </row>
    <row r="670" s="91" customFormat="1" spans="1:9">
      <c r="A670" s="91" t="str">
        <f t="shared" si="30"/>
        <v>Zn-74</v>
      </c>
      <c r="B670" s="91" t="s">
        <v>1249</v>
      </c>
      <c r="C670" s="91" t="s">
        <v>1223</v>
      </c>
      <c r="D670" s="91">
        <v>30</v>
      </c>
      <c r="E670" s="91">
        <v>74</v>
      </c>
      <c r="F670" s="91">
        <v>0</v>
      </c>
      <c r="G670" s="126">
        <v>0.00725049352050152</v>
      </c>
      <c r="H670" s="126">
        <f t="shared" si="31"/>
        <v>95.6</v>
      </c>
      <c r="I670" s="126" t="str">
        <f t="shared" si="32"/>
        <v>0y 0d 0h 1m</v>
      </c>
    </row>
    <row r="671" s="91" customFormat="1" spans="1:9">
      <c r="A671" s="91" t="str">
        <f t="shared" si="30"/>
        <v>Zn-75</v>
      </c>
      <c r="B671" s="91" t="s">
        <v>1250</v>
      </c>
      <c r="C671" s="91" t="s">
        <v>1223</v>
      </c>
      <c r="D671" s="91">
        <v>30</v>
      </c>
      <c r="E671" s="91">
        <v>75</v>
      </c>
      <c r="F671" s="91">
        <v>0</v>
      </c>
      <c r="G671" s="126">
        <v>0.0679556059372495</v>
      </c>
      <c r="H671" s="126">
        <f t="shared" si="31"/>
        <v>10.2</v>
      </c>
      <c r="I671" s="126" t="str">
        <f t="shared" si="32"/>
        <v>0y 0d 0h 0m</v>
      </c>
    </row>
    <row r="672" s="91" customFormat="1" spans="1:9">
      <c r="A672" s="91" t="str">
        <f t="shared" si="30"/>
        <v>Zn-76</v>
      </c>
      <c r="B672" s="91" t="s">
        <v>1251</v>
      </c>
      <c r="C672" s="91" t="s">
        <v>1223</v>
      </c>
      <c r="D672" s="91">
        <v>30</v>
      </c>
      <c r="E672" s="91">
        <v>76</v>
      </c>
      <c r="F672" s="91">
        <v>0</v>
      </c>
      <c r="G672" s="126">
        <v>0.121604768519288</v>
      </c>
      <c r="H672" s="126">
        <f t="shared" si="31"/>
        <v>5.70000000000003</v>
      </c>
      <c r="I672" s="126" t="str">
        <f t="shared" si="32"/>
        <v>0y 0d 0h 0m</v>
      </c>
    </row>
    <row r="673" s="91" customFormat="1" spans="1:9">
      <c r="A673" s="91" t="str">
        <f t="shared" si="30"/>
        <v>Zn-77</v>
      </c>
      <c r="B673" s="91" t="s">
        <v>1252</v>
      </c>
      <c r="C673" s="91" t="s">
        <v>1223</v>
      </c>
      <c r="D673" s="91">
        <v>30</v>
      </c>
      <c r="E673" s="91">
        <v>77</v>
      </c>
      <c r="F673" s="91">
        <v>0</v>
      </c>
      <c r="G673" s="126">
        <v>0.333243836807666</v>
      </c>
      <c r="H673" s="126">
        <f t="shared" si="31"/>
        <v>2.08</v>
      </c>
      <c r="I673" s="126" t="str">
        <f t="shared" si="32"/>
        <v>0y 0d 0h 0m</v>
      </c>
    </row>
    <row r="674" s="91" customFormat="1" spans="1:9">
      <c r="A674" s="91" t="str">
        <f t="shared" si="30"/>
        <v>Zn-77m</v>
      </c>
      <c r="B674" s="91" t="s">
        <v>1253</v>
      </c>
      <c r="C674" s="91" t="s">
        <v>1223</v>
      </c>
      <c r="D674" s="91">
        <v>30</v>
      </c>
      <c r="E674" s="91">
        <v>77</v>
      </c>
      <c r="F674" s="91">
        <v>1</v>
      </c>
      <c r="G674" s="126">
        <v>0.660140171961852</v>
      </c>
      <c r="H674" s="126">
        <f t="shared" si="31"/>
        <v>1.05</v>
      </c>
      <c r="I674" s="126" t="str">
        <f t="shared" si="32"/>
        <v>0y 0d 0h 0m</v>
      </c>
    </row>
    <row r="675" s="91" customFormat="1" spans="1:9">
      <c r="A675" s="91" t="str">
        <f t="shared" si="30"/>
        <v>Zn-78</v>
      </c>
      <c r="B675" s="91" t="s">
        <v>1254</v>
      </c>
      <c r="C675" s="91" t="s">
        <v>1223</v>
      </c>
      <c r="D675" s="91">
        <v>30</v>
      </c>
      <c r="E675" s="91">
        <v>78</v>
      </c>
      <c r="F675" s="91">
        <v>0</v>
      </c>
      <c r="G675" s="126">
        <v>0.471528694258466</v>
      </c>
      <c r="H675" s="126">
        <f t="shared" si="31"/>
        <v>1.47</v>
      </c>
      <c r="I675" s="126" t="str">
        <f t="shared" si="32"/>
        <v>0y 0d 0h 0m</v>
      </c>
    </row>
    <row r="676" s="91" customFormat="1" spans="1:9">
      <c r="A676" s="91" t="str">
        <f t="shared" si="30"/>
        <v>Zn-79</v>
      </c>
      <c r="B676" s="91" t="s">
        <v>1255</v>
      </c>
      <c r="C676" s="91" t="s">
        <v>1223</v>
      </c>
      <c r="D676" s="91">
        <v>30</v>
      </c>
      <c r="E676" s="91">
        <v>79</v>
      </c>
      <c r="F676" s="91">
        <v>0</v>
      </c>
      <c r="G676" s="126">
        <v>0.69663033222105</v>
      </c>
      <c r="H676" s="126">
        <f t="shared" si="31"/>
        <v>0.995000000000001</v>
      </c>
      <c r="I676" s="126" t="str">
        <f t="shared" si="32"/>
        <v>0y 0d 0h 0m</v>
      </c>
    </row>
    <row r="677" s="91" customFormat="1" spans="1:9">
      <c r="A677" s="91" t="str">
        <f t="shared" si="30"/>
        <v>Zn-80</v>
      </c>
      <c r="B677" s="91" t="s">
        <v>1256</v>
      </c>
      <c r="C677" s="91" t="s">
        <v>1223</v>
      </c>
      <c r="D677" s="91">
        <v>30</v>
      </c>
      <c r="E677" s="91">
        <v>80</v>
      </c>
      <c r="F677" s="91">
        <v>0</v>
      </c>
      <c r="G677" s="126">
        <v>1.28360588992582</v>
      </c>
      <c r="H677" s="126">
        <f t="shared" si="31"/>
        <v>0.540000000000002</v>
      </c>
      <c r="I677" s="126" t="str">
        <f t="shared" si="32"/>
        <v>0y 0d 0h 0m</v>
      </c>
    </row>
    <row r="678" s="91" customFormat="1" spans="1:9">
      <c r="A678" s="91" t="str">
        <f t="shared" si="30"/>
        <v>Zn-81</v>
      </c>
      <c r="B678" s="91" t="s">
        <v>1257</v>
      </c>
      <c r="C678" s="91" t="s">
        <v>1223</v>
      </c>
      <c r="D678" s="91">
        <v>30</v>
      </c>
      <c r="E678" s="91">
        <v>81</v>
      </c>
      <c r="F678" s="91">
        <v>0</v>
      </c>
      <c r="G678" s="126">
        <v>2.16608493924982</v>
      </c>
      <c r="H678" s="126">
        <f t="shared" si="31"/>
        <v>0.320000000000001</v>
      </c>
      <c r="I678" s="126" t="str">
        <f t="shared" si="32"/>
        <v>0y 0d 0h 0m</v>
      </c>
    </row>
    <row r="679" s="91" customFormat="1" spans="1:9">
      <c r="A679" s="91" t="str">
        <f t="shared" si="30"/>
        <v>Zn-82</v>
      </c>
      <c r="B679" s="91" t="s">
        <v>1258</v>
      </c>
      <c r="C679" s="91" t="s">
        <v>1223</v>
      </c>
      <c r="D679" s="91">
        <v>30</v>
      </c>
      <c r="E679" s="91">
        <v>82</v>
      </c>
      <c r="F679" s="91">
        <v>0</v>
      </c>
      <c r="G679" s="126">
        <v>13.3297534723066</v>
      </c>
      <c r="H679" s="126">
        <f t="shared" si="31"/>
        <v>0.0520000000000002</v>
      </c>
      <c r="I679" s="126" t="str">
        <f t="shared" si="32"/>
        <v>0y 0d 0h 0m</v>
      </c>
    </row>
    <row r="680" s="91" customFormat="1" spans="1:9">
      <c r="A680" s="91" t="str">
        <f t="shared" si="30"/>
        <v>Zn-83</v>
      </c>
      <c r="B680" s="91" t="s">
        <v>1259</v>
      </c>
      <c r="C680" s="91" t="s">
        <v>1223</v>
      </c>
      <c r="D680" s="91">
        <v>30</v>
      </c>
      <c r="E680" s="91">
        <v>83</v>
      </c>
      <c r="F680" s="91">
        <v>0</v>
      </c>
      <c r="G680" s="126">
        <v>16.1197018734871</v>
      </c>
      <c r="H680" s="126">
        <f t="shared" si="31"/>
        <v>0.043</v>
      </c>
      <c r="I680" s="126" t="str">
        <f t="shared" si="32"/>
        <v>0y 0d 0h 0m</v>
      </c>
    </row>
    <row r="681" s="91" customFormat="1" spans="1:9">
      <c r="A681" s="91" t="str">
        <f t="shared" si="30"/>
        <v>Ga-56</v>
      </c>
      <c r="B681" s="91" t="s">
        <v>1260</v>
      </c>
      <c r="C681" s="91" t="s">
        <v>1261</v>
      </c>
      <c r="D681" s="91">
        <v>31</v>
      </c>
      <c r="E681" s="91">
        <v>56</v>
      </c>
      <c r="F681" s="91">
        <v>0</v>
      </c>
      <c r="G681" s="126">
        <v>117.482572976261</v>
      </c>
      <c r="H681" s="126">
        <f t="shared" si="31"/>
        <v>0.00590000000000005</v>
      </c>
      <c r="I681" s="126" t="str">
        <f t="shared" si="32"/>
        <v>0y 0d 0h 0m</v>
      </c>
    </row>
    <row r="682" s="91" customFormat="1" spans="1:9">
      <c r="A682" s="91" t="str">
        <f t="shared" si="30"/>
        <v>Ga-57</v>
      </c>
      <c r="B682" s="91" t="s">
        <v>1262</v>
      </c>
      <c r="C682" s="91" t="s">
        <v>1261</v>
      </c>
      <c r="D682" s="91">
        <v>31</v>
      </c>
      <c r="E682" s="91">
        <v>57</v>
      </c>
      <c r="F682" s="91">
        <v>0</v>
      </c>
      <c r="G682" s="126">
        <v>56.3534293138166</v>
      </c>
      <c r="H682" s="126">
        <f t="shared" si="31"/>
        <v>0.0123</v>
      </c>
      <c r="I682" s="126" t="str">
        <f t="shared" si="32"/>
        <v>0y 0d 0h 0m</v>
      </c>
    </row>
    <row r="683" s="91" customFormat="1" spans="1:9">
      <c r="A683" s="91" t="str">
        <f t="shared" si="30"/>
        <v>Ga-58</v>
      </c>
      <c r="B683" s="91" t="s">
        <v>1263</v>
      </c>
      <c r="C683" s="91" t="s">
        <v>1261</v>
      </c>
      <c r="D683" s="91">
        <v>31</v>
      </c>
      <c r="E683" s="91">
        <v>58</v>
      </c>
      <c r="F683" s="91">
        <v>0</v>
      </c>
      <c r="G683" s="126">
        <v>45.6017881947332</v>
      </c>
      <c r="H683" s="126">
        <f t="shared" si="31"/>
        <v>0.0152</v>
      </c>
      <c r="I683" s="126" t="str">
        <f t="shared" si="32"/>
        <v>0y 0d 0h 0m</v>
      </c>
    </row>
    <row r="684" s="91" customFormat="1" spans="1:9">
      <c r="A684" s="91" t="str">
        <f t="shared" si="30"/>
        <v>Ga-59</v>
      </c>
      <c r="B684" s="91" t="s">
        <v>1264</v>
      </c>
      <c r="C684" s="91" t="s">
        <v>1261</v>
      </c>
      <c r="D684" s="91">
        <v>31</v>
      </c>
      <c r="E684" s="91">
        <v>59</v>
      </c>
      <c r="F684" s="91">
        <v>0</v>
      </c>
      <c r="G684" s="126">
        <v>16.5824684344484</v>
      </c>
      <c r="H684" s="126">
        <f t="shared" si="31"/>
        <v>0.0418000000000001</v>
      </c>
      <c r="I684" s="126" t="str">
        <f t="shared" si="32"/>
        <v>0y 0d 0h 0m</v>
      </c>
    </row>
    <row r="685" s="91" customFormat="1" spans="1:9">
      <c r="A685" s="91" t="str">
        <f t="shared" si="30"/>
        <v>Ga-60</v>
      </c>
      <c r="B685" s="91" t="s">
        <v>1265</v>
      </c>
      <c r="C685" s="91" t="s">
        <v>1261</v>
      </c>
      <c r="D685" s="91">
        <v>31</v>
      </c>
      <c r="E685" s="91">
        <v>60</v>
      </c>
      <c r="F685" s="91">
        <v>0</v>
      </c>
      <c r="G685" s="126">
        <v>9.90210257942778</v>
      </c>
      <c r="H685" s="126">
        <f t="shared" si="31"/>
        <v>0.0700000000000001</v>
      </c>
      <c r="I685" s="126" t="str">
        <f t="shared" si="32"/>
        <v>0y 0d 0h 0m</v>
      </c>
    </row>
    <row r="686" s="91" customFormat="1" spans="1:9">
      <c r="A686" s="91" t="str">
        <f t="shared" si="30"/>
        <v>Ga-61</v>
      </c>
      <c r="B686" s="91" t="s">
        <v>1266</v>
      </c>
      <c r="C686" s="91" t="s">
        <v>1261</v>
      </c>
      <c r="D686" s="91">
        <v>31</v>
      </c>
      <c r="E686" s="91">
        <v>61</v>
      </c>
      <c r="F686" s="91">
        <v>0</v>
      </c>
      <c r="G686" s="126">
        <v>4.12587607476157</v>
      </c>
      <c r="H686" s="126">
        <f t="shared" si="31"/>
        <v>0.168</v>
      </c>
      <c r="I686" s="126" t="str">
        <f t="shared" si="32"/>
        <v>0y 0d 0h 0m</v>
      </c>
    </row>
    <row r="687" s="91" customFormat="1" spans="1:9">
      <c r="A687" s="91" t="str">
        <f t="shared" si="30"/>
        <v>Ga-62</v>
      </c>
      <c r="B687" s="91" t="s">
        <v>1267</v>
      </c>
      <c r="C687" s="91" t="s">
        <v>1261</v>
      </c>
      <c r="D687" s="91">
        <v>31</v>
      </c>
      <c r="E687" s="91">
        <v>62</v>
      </c>
      <c r="F687" s="91">
        <v>0</v>
      </c>
      <c r="G687" s="126">
        <v>5.96923166172877</v>
      </c>
      <c r="H687" s="126">
        <f t="shared" si="31"/>
        <v>0.11612</v>
      </c>
      <c r="I687" s="126" t="str">
        <f t="shared" si="32"/>
        <v>0y 0d 0h 0m</v>
      </c>
    </row>
    <row r="688" s="91" customFormat="1" spans="1:9">
      <c r="A688" s="91" t="str">
        <f t="shared" si="30"/>
        <v>Ga-63</v>
      </c>
      <c r="B688" s="91" t="s">
        <v>1268</v>
      </c>
      <c r="C688" s="91" t="s">
        <v>1261</v>
      </c>
      <c r="D688" s="91">
        <v>31</v>
      </c>
      <c r="E688" s="91">
        <v>63</v>
      </c>
      <c r="F688" s="91">
        <v>0</v>
      </c>
      <c r="G688" s="126">
        <v>0.0213934314987637</v>
      </c>
      <c r="H688" s="126">
        <f t="shared" si="31"/>
        <v>32.4000000000001</v>
      </c>
      <c r="I688" s="126" t="str">
        <f t="shared" si="32"/>
        <v>0y 0d 0h 0m</v>
      </c>
    </row>
    <row r="689" s="91" customFormat="1" spans="1:9">
      <c r="A689" s="91" t="str">
        <f t="shared" si="30"/>
        <v>Ga-64</v>
      </c>
      <c r="B689" s="91" t="s">
        <v>1269</v>
      </c>
      <c r="C689" s="91" t="s">
        <v>1261</v>
      </c>
      <c r="D689" s="91">
        <v>31</v>
      </c>
      <c r="E689" s="91">
        <v>64</v>
      </c>
      <c r="F689" s="91">
        <v>0</v>
      </c>
      <c r="G689" s="126">
        <v>0.00439758393960122</v>
      </c>
      <c r="H689" s="126">
        <f t="shared" si="31"/>
        <v>157.62</v>
      </c>
      <c r="I689" s="126" t="str">
        <f t="shared" si="32"/>
        <v>0y 0d 0h 2m</v>
      </c>
    </row>
    <row r="690" s="91" customFormat="1" spans="1:9">
      <c r="A690" s="91" t="str">
        <f t="shared" si="30"/>
        <v>Ga-65</v>
      </c>
      <c r="B690" s="91" t="s">
        <v>1270</v>
      </c>
      <c r="C690" s="91" t="s">
        <v>1261</v>
      </c>
      <c r="D690" s="91">
        <v>31</v>
      </c>
      <c r="E690" s="91">
        <v>65</v>
      </c>
      <c r="F690" s="91">
        <v>0</v>
      </c>
      <c r="G690" s="126">
        <v>0.000760029803245554</v>
      </c>
      <c r="H690" s="126">
        <f t="shared" si="31"/>
        <v>912</v>
      </c>
      <c r="I690" s="126" t="str">
        <f t="shared" si="32"/>
        <v>0y 0d 0h 15m</v>
      </c>
    </row>
    <row r="691" s="91" customFormat="1" spans="1:9">
      <c r="A691" s="91" t="str">
        <f t="shared" si="30"/>
        <v>Ga-66</v>
      </c>
      <c r="B691" s="91" t="s">
        <v>1271</v>
      </c>
      <c r="C691" s="91" t="s">
        <v>1261</v>
      </c>
      <c r="D691" s="91">
        <v>31</v>
      </c>
      <c r="E691" s="91">
        <v>66</v>
      </c>
      <c r="F691" s="91">
        <v>0</v>
      </c>
      <c r="G691" s="126">
        <v>2.02888180704819e-5</v>
      </c>
      <c r="H691" s="126">
        <f t="shared" si="31"/>
        <v>34164.0000000001</v>
      </c>
      <c r="I691" s="126" t="str">
        <f t="shared" si="32"/>
        <v>0y 0d 9h 29m</v>
      </c>
    </row>
    <row r="692" s="91" customFormat="1" spans="1:9">
      <c r="A692" s="91" t="str">
        <f t="shared" si="30"/>
        <v>Ga-67</v>
      </c>
      <c r="B692" s="91" t="s">
        <v>1272</v>
      </c>
      <c r="C692" s="91" t="s">
        <v>1261</v>
      </c>
      <c r="D692" s="91">
        <v>31</v>
      </c>
      <c r="E692" s="91">
        <v>67</v>
      </c>
      <c r="F692" s="91">
        <v>0</v>
      </c>
      <c r="G692" s="126">
        <v>2.45961806502142e-6</v>
      </c>
      <c r="H692" s="126">
        <f t="shared" si="31"/>
        <v>281810.9</v>
      </c>
      <c r="I692" s="126" t="str">
        <f t="shared" si="32"/>
        <v>0y 3d 6h 16m</v>
      </c>
    </row>
    <row r="693" s="91" customFormat="1" spans="1:9">
      <c r="A693" s="91" t="str">
        <f t="shared" si="30"/>
        <v>Ga-68</v>
      </c>
      <c r="B693" s="91" t="s">
        <v>1273</v>
      </c>
      <c r="C693" s="91" t="s">
        <v>1261</v>
      </c>
      <c r="D693" s="91">
        <v>31</v>
      </c>
      <c r="E693" s="91">
        <v>68</v>
      </c>
      <c r="F693" s="91">
        <v>0</v>
      </c>
      <c r="G693" s="126">
        <v>0.000170616644651195</v>
      </c>
      <c r="H693" s="126">
        <f t="shared" si="31"/>
        <v>4062.6</v>
      </c>
      <c r="I693" s="126" t="str">
        <f t="shared" si="32"/>
        <v>0y 0d 1h 7m</v>
      </c>
    </row>
    <row r="694" s="91" customFormat="1" spans="1:9">
      <c r="A694" s="91" t="str">
        <f t="shared" si="30"/>
        <v>Ga-69</v>
      </c>
      <c r="B694" s="91" t="s">
        <v>1274</v>
      </c>
      <c r="C694" s="91" t="s">
        <v>1261</v>
      </c>
      <c r="D694" s="91">
        <v>31</v>
      </c>
      <c r="E694" s="91">
        <v>69</v>
      </c>
      <c r="F694" s="91">
        <v>0</v>
      </c>
      <c r="G694" s="126">
        <v>0</v>
      </c>
      <c r="H694" s="126">
        <f t="shared" si="31"/>
        <v>0</v>
      </c>
      <c r="I694" s="126" t="str">
        <f t="shared" si="32"/>
        <v>0y 0d 0h 0m</v>
      </c>
    </row>
    <row r="695" s="91" customFormat="1" spans="1:9">
      <c r="A695" s="91" t="str">
        <f t="shared" si="30"/>
        <v>Ga-70</v>
      </c>
      <c r="B695" s="91" t="s">
        <v>1275</v>
      </c>
      <c r="C695" s="91" t="s">
        <v>1261</v>
      </c>
      <c r="D695" s="91">
        <v>31</v>
      </c>
      <c r="E695" s="91">
        <v>70</v>
      </c>
      <c r="F695" s="91">
        <v>0</v>
      </c>
      <c r="G695" s="126">
        <v>0.000546473652286301</v>
      </c>
      <c r="H695" s="126">
        <f t="shared" si="31"/>
        <v>1268.4</v>
      </c>
      <c r="I695" s="126" t="str">
        <f t="shared" si="32"/>
        <v>0y 0d 0h 21m</v>
      </c>
    </row>
    <row r="696" s="91" customFormat="1" spans="1:9">
      <c r="A696" s="91" t="str">
        <f t="shared" si="30"/>
        <v>Ga-71</v>
      </c>
      <c r="B696" s="91" t="s">
        <v>1276</v>
      </c>
      <c r="C696" s="91" t="s">
        <v>1261</v>
      </c>
      <c r="D696" s="91">
        <v>31</v>
      </c>
      <c r="E696" s="91">
        <v>71</v>
      </c>
      <c r="F696" s="91">
        <v>0</v>
      </c>
      <c r="G696" s="126">
        <v>0</v>
      </c>
      <c r="H696" s="126">
        <f t="shared" si="31"/>
        <v>0</v>
      </c>
      <c r="I696" s="126" t="str">
        <f t="shared" si="32"/>
        <v>0y 0d 0h 0m</v>
      </c>
    </row>
    <row r="697" s="91" customFormat="1" spans="1:9">
      <c r="A697" s="91" t="str">
        <f t="shared" si="30"/>
        <v>Ga-72</v>
      </c>
      <c r="B697" s="91" t="s">
        <v>1277</v>
      </c>
      <c r="C697" s="91" t="s">
        <v>1261</v>
      </c>
      <c r="D697" s="91">
        <v>31</v>
      </c>
      <c r="E697" s="91">
        <v>72</v>
      </c>
      <c r="F697" s="91">
        <v>0</v>
      </c>
      <c r="G697" s="126">
        <v>1.36553818077215e-5</v>
      </c>
      <c r="H697" s="126">
        <f t="shared" si="31"/>
        <v>50760.0000000001</v>
      </c>
      <c r="I697" s="126" t="str">
        <f t="shared" si="32"/>
        <v>0y 0d 14h 6m</v>
      </c>
    </row>
    <row r="698" s="91" customFormat="1" spans="1:9">
      <c r="A698" s="91" t="str">
        <f t="shared" si="30"/>
        <v>Ga-72m</v>
      </c>
      <c r="B698" s="91" t="s">
        <v>1278</v>
      </c>
      <c r="C698" s="91" t="s">
        <v>1261</v>
      </c>
      <c r="D698" s="91">
        <v>31</v>
      </c>
      <c r="E698" s="91">
        <v>72</v>
      </c>
      <c r="F698" s="91">
        <v>1</v>
      </c>
      <c r="G698" s="126">
        <v>17.4684269294341</v>
      </c>
      <c r="H698" s="126">
        <f t="shared" si="31"/>
        <v>0.03968</v>
      </c>
      <c r="I698" s="126" t="str">
        <f t="shared" si="32"/>
        <v>0y 0d 0h 0m</v>
      </c>
    </row>
    <row r="699" s="91" customFormat="1" spans="1:9">
      <c r="A699" s="91" t="str">
        <f t="shared" si="30"/>
        <v>Ga-73</v>
      </c>
      <c r="B699" s="91" t="s">
        <v>1279</v>
      </c>
      <c r="C699" s="91" t="s">
        <v>1261</v>
      </c>
      <c r="D699" s="91">
        <v>31</v>
      </c>
      <c r="E699" s="91">
        <v>73</v>
      </c>
      <c r="F699" s="91">
        <v>0</v>
      </c>
      <c r="G699" s="126">
        <v>3.96174657384513e-5</v>
      </c>
      <c r="H699" s="126">
        <f t="shared" si="31"/>
        <v>17496</v>
      </c>
      <c r="I699" s="126" t="str">
        <f t="shared" si="32"/>
        <v>0y 0d 4h 51m</v>
      </c>
    </row>
    <row r="700" s="91" customFormat="1" spans="1:9">
      <c r="A700" s="91" t="str">
        <f t="shared" si="30"/>
        <v>Ga-74</v>
      </c>
      <c r="B700" s="91" t="s">
        <v>1280</v>
      </c>
      <c r="C700" s="91" t="s">
        <v>1261</v>
      </c>
      <c r="D700" s="91">
        <v>31</v>
      </c>
      <c r="E700" s="91">
        <v>74</v>
      </c>
      <c r="F700" s="91">
        <v>0</v>
      </c>
      <c r="G700" s="126">
        <v>0.00142271588784882</v>
      </c>
      <c r="H700" s="126">
        <f t="shared" si="31"/>
        <v>487.2</v>
      </c>
      <c r="I700" s="126" t="str">
        <f t="shared" si="32"/>
        <v>0y 0d 0h 8m</v>
      </c>
    </row>
    <row r="701" s="91" customFormat="1" spans="1:9">
      <c r="A701" s="91" t="str">
        <f t="shared" si="30"/>
        <v>Ga-74m</v>
      </c>
      <c r="B701" s="91" t="s">
        <v>1281</v>
      </c>
      <c r="C701" s="91" t="s">
        <v>1261</v>
      </c>
      <c r="D701" s="91">
        <v>31</v>
      </c>
      <c r="E701" s="91">
        <v>74</v>
      </c>
      <c r="F701" s="91">
        <v>1</v>
      </c>
      <c r="G701" s="126">
        <v>0.0729628611115731</v>
      </c>
      <c r="H701" s="126">
        <f t="shared" si="31"/>
        <v>9.50000000000001</v>
      </c>
      <c r="I701" s="126" t="str">
        <f t="shared" si="32"/>
        <v>0y 0d 0h 0m</v>
      </c>
    </row>
    <row r="702" s="91" customFormat="1" spans="1:9">
      <c r="A702" s="91" t="str">
        <f t="shared" si="30"/>
        <v>Ga-75</v>
      </c>
      <c r="B702" s="91" t="s">
        <v>1282</v>
      </c>
      <c r="C702" s="91" t="s">
        <v>1261</v>
      </c>
      <c r="D702" s="91">
        <v>31</v>
      </c>
      <c r="E702" s="91">
        <v>75</v>
      </c>
      <c r="F702" s="91">
        <v>0</v>
      </c>
      <c r="G702" s="126">
        <v>0.0055011680996821</v>
      </c>
      <c r="H702" s="126">
        <f t="shared" si="31"/>
        <v>126</v>
      </c>
      <c r="I702" s="126" t="str">
        <f t="shared" si="32"/>
        <v>0y 0d 0h 2m</v>
      </c>
    </row>
    <row r="703" s="91" customFormat="1" spans="1:9">
      <c r="A703" s="91" t="str">
        <f t="shared" si="30"/>
        <v>Ga-76</v>
      </c>
      <c r="B703" s="91" t="s">
        <v>1283</v>
      </c>
      <c r="C703" s="91" t="s">
        <v>1261</v>
      </c>
      <c r="D703" s="91">
        <v>31</v>
      </c>
      <c r="E703" s="91">
        <v>76</v>
      </c>
      <c r="F703" s="91">
        <v>0</v>
      </c>
      <c r="G703" s="126">
        <v>0.021262183452759</v>
      </c>
      <c r="H703" s="126">
        <f t="shared" si="31"/>
        <v>32.6000000000001</v>
      </c>
      <c r="I703" s="126" t="str">
        <f t="shared" si="32"/>
        <v>0y 0d 0h 0m</v>
      </c>
    </row>
    <row r="704" s="91" customFormat="1" spans="1:9">
      <c r="A704" s="91" t="str">
        <f t="shared" si="30"/>
        <v>Ga-77</v>
      </c>
      <c r="B704" s="91" t="s">
        <v>1284</v>
      </c>
      <c r="C704" s="91" t="s">
        <v>1261</v>
      </c>
      <c r="D704" s="91">
        <v>31</v>
      </c>
      <c r="E704" s="91">
        <v>77</v>
      </c>
      <c r="F704" s="91">
        <v>0</v>
      </c>
      <c r="G704" s="126">
        <v>0.0525111500424201</v>
      </c>
      <c r="H704" s="126">
        <f t="shared" si="31"/>
        <v>13.2</v>
      </c>
      <c r="I704" s="126" t="str">
        <f t="shared" si="32"/>
        <v>0y 0d 0h 0m</v>
      </c>
    </row>
    <row r="705" s="91" customFormat="1" spans="1:9">
      <c r="A705" s="91" t="str">
        <f t="shared" si="30"/>
        <v>Ga-78</v>
      </c>
      <c r="B705" s="91" t="s">
        <v>1285</v>
      </c>
      <c r="C705" s="91" t="s">
        <v>1261</v>
      </c>
      <c r="D705" s="91">
        <v>31</v>
      </c>
      <c r="E705" s="91">
        <v>78</v>
      </c>
      <c r="F705" s="91">
        <v>0</v>
      </c>
      <c r="G705" s="126">
        <v>0.136178228007847</v>
      </c>
      <c r="H705" s="126">
        <f t="shared" si="31"/>
        <v>5.09000000000003</v>
      </c>
      <c r="I705" s="126" t="str">
        <f t="shared" si="32"/>
        <v>0y 0d 0h 0m</v>
      </c>
    </row>
    <row r="706" s="91" customFormat="1" spans="1:9">
      <c r="A706" s="91" t="str">
        <f t="shared" ref="A706:A769" si="33">C706&amp;"-"&amp;E706&amp;_xlfn.IFS(F706=0,"",F706=1,"m",F706&gt;1,"m"&amp;F706)</f>
        <v>Ga-79</v>
      </c>
      <c r="B706" s="91" t="s">
        <v>1286</v>
      </c>
      <c r="C706" s="91" t="s">
        <v>1261</v>
      </c>
      <c r="D706" s="91">
        <v>31</v>
      </c>
      <c r="E706" s="91">
        <v>79</v>
      </c>
      <c r="F706" s="91">
        <v>0</v>
      </c>
      <c r="G706" s="126">
        <v>0.243465816845783</v>
      </c>
      <c r="H706" s="126">
        <f t="shared" ref="H706:H769" si="34">IF(G706&gt;0,LN(2)/G706,0)</f>
        <v>2.847</v>
      </c>
      <c r="I706" s="126" t="str">
        <f t="shared" si="32"/>
        <v>0y 0d 0h 0m</v>
      </c>
    </row>
    <row r="707" s="91" customFormat="1" spans="1:9">
      <c r="A707" s="91" t="str">
        <f t="shared" si="33"/>
        <v>Ga-80</v>
      </c>
      <c r="B707" s="91" t="s">
        <v>1287</v>
      </c>
      <c r="C707" s="91" t="s">
        <v>1261</v>
      </c>
      <c r="D707" s="91">
        <v>31</v>
      </c>
      <c r="E707" s="91">
        <v>80</v>
      </c>
      <c r="F707" s="91">
        <v>0</v>
      </c>
      <c r="G707" s="126">
        <v>0.413572303436721</v>
      </c>
      <c r="H707" s="126">
        <f t="shared" si="34"/>
        <v>1.676</v>
      </c>
      <c r="I707" s="126" t="str">
        <f t="shared" ref="I707:I770" si="35">INT(H707/31536000)&amp;"y "&amp;INT(MOD(H707,31536000)/86400)&amp;"d "&amp;INT(MOD(MOD(H707,31536000),86400)/3600)&amp;"h "&amp;INT(MOD(MOD(MOD(H707,31536000),86400),3600)/60)&amp;"m"</f>
        <v>0y 0d 0h 0m</v>
      </c>
    </row>
    <row r="708" s="91" customFormat="1" spans="1:9">
      <c r="A708" s="91" t="str">
        <f t="shared" si="33"/>
        <v>Ga-81</v>
      </c>
      <c r="B708" s="91" t="s">
        <v>1288</v>
      </c>
      <c r="C708" s="91" t="s">
        <v>1261</v>
      </c>
      <c r="D708" s="91">
        <v>31</v>
      </c>
      <c r="E708" s="91">
        <v>81</v>
      </c>
      <c r="F708" s="91">
        <v>0</v>
      </c>
      <c r="G708" s="126">
        <v>0.56955396923578</v>
      </c>
      <c r="H708" s="126">
        <f t="shared" si="34"/>
        <v>1.217</v>
      </c>
      <c r="I708" s="126" t="str">
        <f t="shared" si="35"/>
        <v>0y 0d 0h 0m</v>
      </c>
    </row>
    <row r="709" s="91" customFormat="1" spans="1:9">
      <c r="A709" s="91" t="str">
        <f t="shared" si="33"/>
        <v>Ga-82</v>
      </c>
      <c r="B709" s="91" t="s">
        <v>1289</v>
      </c>
      <c r="C709" s="91" t="s">
        <v>1261</v>
      </c>
      <c r="D709" s="91">
        <v>31</v>
      </c>
      <c r="E709" s="91">
        <v>82</v>
      </c>
      <c r="F709" s="91">
        <v>0</v>
      </c>
      <c r="G709" s="126">
        <v>1.15717392414014</v>
      </c>
      <c r="H709" s="126">
        <f t="shared" si="34"/>
        <v>0.599000000000001</v>
      </c>
      <c r="I709" s="126" t="str">
        <f t="shared" si="35"/>
        <v>0y 0d 0h 0m</v>
      </c>
    </row>
    <row r="710" s="91" customFormat="1" spans="1:9">
      <c r="A710" s="91" t="str">
        <f t="shared" si="33"/>
        <v>Ga-83</v>
      </c>
      <c r="B710" s="91" t="s">
        <v>1290</v>
      </c>
      <c r="C710" s="91" t="s">
        <v>1261</v>
      </c>
      <c r="D710" s="91">
        <v>31</v>
      </c>
      <c r="E710" s="91">
        <v>83</v>
      </c>
      <c r="F710" s="91">
        <v>0</v>
      </c>
      <c r="G710" s="126">
        <v>2.24974742148635</v>
      </c>
      <c r="H710" s="126">
        <f t="shared" si="34"/>
        <v>0.3081</v>
      </c>
      <c r="I710" s="126" t="str">
        <f t="shared" si="35"/>
        <v>0y 0d 0h 0m</v>
      </c>
    </row>
    <row r="711" s="91" customFormat="1" spans="1:9">
      <c r="A711" s="91" t="str">
        <f t="shared" si="33"/>
        <v>Ga-84</v>
      </c>
      <c r="B711" s="91" t="s">
        <v>1291</v>
      </c>
      <c r="C711" s="91" t="s">
        <v>1261</v>
      </c>
      <c r="D711" s="91">
        <v>31</v>
      </c>
      <c r="E711" s="91">
        <v>84</v>
      </c>
      <c r="F711" s="91">
        <v>0</v>
      </c>
      <c r="G711" s="126">
        <v>8.15467271246994</v>
      </c>
      <c r="H711" s="126">
        <f t="shared" si="34"/>
        <v>0.085</v>
      </c>
      <c r="I711" s="126" t="str">
        <f t="shared" si="35"/>
        <v>0y 0d 0h 0m</v>
      </c>
    </row>
    <row r="712" s="91" customFormat="1" spans="1:9">
      <c r="A712" s="91" t="str">
        <f t="shared" si="33"/>
        <v>Ga-85</v>
      </c>
      <c r="B712" s="91" t="s">
        <v>1292</v>
      </c>
      <c r="C712" s="91" t="s">
        <v>1261</v>
      </c>
      <c r="D712" s="91">
        <v>31</v>
      </c>
      <c r="E712" s="91">
        <v>85</v>
      </c>
      <c r="F712" s="91">
        <v>0</v>
      </c>
      <c r="G712" s="126">
        <v>14.4405662616655</v>
      </c>
      <c r="H712" s="126">
        <f t="shared" si="34"/>
        <v>0.0480000000000001</v>
      </c>
      <c r="I712" s="126" t="str">
        <f t="shared" si="35"/>
        <v>0y 0d 0h 0m</v>
      </c>
    </row>
    <row r="713" s="91" customFormat="1" spans="1:9">
      <c r="A713" s="91" t="str">
        <f t="shared" si="33"/>
        <v>Ga-86</v>
      </c>
      <c r="B713" s="91" t="s">
        <v>1293</v>
      </c>
      <c r="C713" s="91" t="s">
        <v>1261</v>
      </c>
      <c r="D713" s="91">
        <v>31</v>
      </c>
      <c r="E713" s="91">
        <v>86</v>
      </c>
      <c r="F713" s="91">
        <v>0</v>
      </c>
      <c r="G713" s="126">
        <v>23.9016269158601</v>
      </c>
      <c r="H713" s="126">
        <f t="shared" si="34"/>
        <v>0.0290000000000001</v>
      </c>
      <c r="I713" s="126" t="str">
        <f t="shared" si="35"/>
        <v>0y 0d 0h 0m</v>
      </c>
    </row>
    <row r="714" s="91" customFormat="1" spans="1:9">
      <c r="A714" s="91" t="str">
        <f t="shared" si="33"/>
        <v>Ge-58</v>
      </c>
      <c r="B714" s="91" t="s">
        <v>1294</v>
      </c>
      <c r="C714" s="91" t="s">
        <v>1295</v>
      </c>
      <c r="D714" s="91">
        <v>32</v>
      </c>
      <c r="E714" s="91">
        <v>58</v>
      </c>
      <c r="F714" s="91">
        <v>0</v>
      </c>
      <c r="G714" s="126">
        <v>45.6017881947332</v>
      </c>
      <c r="H714" s="126">
        <f t="shared" si="34"/>
        <v>0.0152</v>
      </c>
      <c r="I714" s="126" t="str">
        <f t="shared" si="35"/>
        <v>0y 0d 0h 0m</v>
      </c>
    </row>
    <row r="715" s="91" customFormat="1" spans="1:9">
      <c r="A715" s="91" t="str">
        <f t="shared" si="33"/>
        <v>Ge-59</v>
      </c>
      <c r="B715" s="91" t="s">
        <v>1296</v>
      </c>
      <c r="C715" s="91" t="s">
        <v>1295</v>
      </c>
      <c r="D715" s="91">
        <v>32</v>
      </c>
      <c r="E715" s="91">
        <v>59</v>
      </c>
      <c r="F715" s="91">
        <v>0</v>
      </c>
      <c r="G715" s="126">
        <v>16.5824684344484</v>
      </c>
      <c r="H715" s="126">
        <f t="shared" si="34"/>
        <v>0.0418000000000001</v>
      </c>
      <c r="I715" s="126" t="str">
        <f t="shared" si="35"/>
        <v>0y 0d 0h 0m</v>
      </c>
    </row>
    <row r="716" s="91" customFormat="1" spans="1:9">
      <c r="A716" s="91" t="str">
        <f t="shared" si="33"/>
        <v>Ge-60</v>
      </c>
      <c r="B716" s="91" t="s">
        <v>1297</v>
      </c>
      <c r="C716" s="91" t="s">
        <v>1295</v>
      </c>
      <c r="D716" s="91">
        <v>32</v>
      </c>
      <c r="E716" s="91">
        <v>60</v>
      </c>
      <c r="F716" s="91">
        <v>0</v>
      </c>
      <c r="G716" s="126">
        <v>23.1049060186648</v>
      </c>
      <c r="H716" s="126">
        <f t="shared" si="34"/>
        <v>0.0300000000000001</v>
      </c>
      <c r="I716" s="126" t="str">
        <f t="shared" si="35"/>
        <v>0y 0d 0h 0m</v>
      </c>
    </row>
    <row r="717" s="91" customFormat="1" spans="1:9">
      <c r="A717" s="91" t="str">
        <f t="shared" si="33"/>
        <v>Ge-61</v>
      </c>
      <c r="B717" s="91" t="s">
        <v>1298</v>
      </c>
      <c r="C717" s="91" t="s">
        <v>1295</v>
      </c>
      <c r="D717" s="91">
        <v>32</v>
      </c>
      <c r="E717" s="91">
        <v>61</v>
      </c>
      <c r="F717" s="91">
        <v>0</v>
      </c>
      <c r="G717" s="126">
        <v>17.7730046297421</v>
      </c>
      <c r="H717" s="126">
        <f t="shared" si="34"/>
        <v>0.0390000000000002</v>
      </c>
      <c r="I717" s="126" t="str">
        <f t="shared" si="35"/>
        <v>0y 0d 0h 0m</v>
      </c>
    </row>
    <row r="718" s="91" customFormat="1" spans="1:9">
      <c r="A718" s="91" t="str">
        <f t="shared" si="33"/>
        <v>Ge-62</v>
      </c>
      <c r="B718" s="91" t="s">
        <v>1299</v>
      </c>
      <c r="C718" s="91" t="s">
        <v>1295</v>
      </c>
      <c r="D718" s="91">
        <v>32</v>
      </c>
      <c r="E718" s="91">
        <v>62</v>
      </c>
      <c r="F718" s="91">
        <v>0</v>
      </c>
      <c r="G718" s="126">
        <v>4620981.20373296</v>
      </c>
      <c r="H718" s="126">
        <f t="shared" si="34"/>
        <v>1.5e-7</v>
      </c>
      <c r="I718" s="126" t="str">
        <f t="shared" si="35"/>
        <v>0y 0d 0h 0m</v>
      </c>
    </row>
    <row r="719" s="91" customFormat="1" spans="1:9">
      <c r="A719" s="91" t="str">
        <f t="shared" si="33"/>
        <v>Ge-63</v>
      </c>
      <c r="B719" s="91" t="s">
        <v>1300</v>
      </c>
      <c r="C719" s="91" t="s">
        <v>1295</v>
      </c>
      <c r="D719" s="91">
        <v>32</v>
      </c>
      <c r="E719" s="91">
        <v>63</v>
      </c>
      <c r="F719" s="91">
        <v>0</v>
      </c>
      <c r="G719" s="126">
        <v>4.88131817295736</v>
      </c>
      <c r="H719" s="126">
        <f t="shared" si="34"/>
        <v>0.142</v>
      </c>
      <c r="I719" s="126" t="str">
        <f t="shared" si="35"/>
        <v>0y 0d 0h 0m</v>
      </c>
    </row>
    <row r="720" s="91" customFormat="1" spans="1:9">
      <c r="A720" s="91" t="str">
        <f t="shared" si="33"/>
        <v>Ge-64</v>
      </c>
      <c r="B720" s="91" t="s">
        <v>1301</v>
      </c>
      <c r="C720" s="91" t="s">
        <v>1295</v>
      </c>
      <c r="D720" s="91">
        <v>32</v>
      </c>
      <c r="E720" s="91">
        <v>64</v>
      </c>
      <c r="F720" s="91">
        <v>0</v>
      </c>
      <c r="G720" s="126">
        <v>0.0108814314059646</v>
      </c>
      <c r="H720" s="126">
        <f t="shared" si="34"/>
        <v>63.7</v>
      </c>
      <c r="I720" s="126" t="str">
        <f t="shared" si="35"/>
        <v>0y 0d 0h 1m</v>
      </c>
    </row>
    <row r="721" s="91" customFormat="1" spans="1:9">
      <c r="A721" s="91" t="str">
        <f t="shared" si="33"/>
        <v>Ge-65</v>
      </c>
      <c r="B721" s="91" t="s">
        <v>1302</v>
      </c>
      <c r="C721" s="91" t="s">
        <v>1295</v>
      </c>
      <c r="D721" s="91">
        <v>32</v>
      </c>
      <c r="E721" s="91">
        <v>65</v>
      </c>
      <c r="F721" s="91">
        <v>0</v>
      </c>
      <c r="G721" s="126">
        <v>0.0224319475909367</v>
      </c>
      <c r="H721" s="126">
        <f t="shared" si="34"/>
        <v>30.9000000000001</v>
      </c>
      <c r="I721" s="126" t="str">
        <f t="shared" si="35"/>
        <v>0y 0d 0h 0m</v>
      </c>
    </row>
    <row r="722" s="91" customFormat="1" spans="1:9">
      <c r="A722" s="91" t="str">
        <f t="shared" si="33"/>
        <v>Ge-66</v>
      </c>
      <c r="B722" s="91" t="s">
        <v>1303</v>
      </c>
      <c r="C722" s="91" t="s">
        <v>1295</v>
      </c>
      <c r="D722" s="91">
        <v>32</v>
      </c>
      <c r="E722" s="91">
        <v>66</v>
      </c>
      <c r="F722" s="91">
        <v>0</v>
      </c>
      <c r="G722" s="126">
        <v>8.51950811897671e-5</v>
      </c>
      <c r="H722" s="126">
        <f t="shared" si="34"/>
        <v>8136</v>
      </c>
      <c r="I722" s="126" t="str">
        <f t="shared" si="35"/>
        <v>0y 0d 2h 15m</v>
      </c>
    </row>
    <row r="723" s="91" customFormat="1" spans="1:9">
      <c r="A723" s="91" t="str">
        <f t="shared" si="33"/>
        <v>Ge-67</v>
      </c>
      <c r="B723" s="91" t="s">
        <v>1304</v>
      </c>
      <c r="C723" s="91" t="s">
        <v>1295</v>
      </c>
      <c r="D723" s="91">
        <v>32</v>
      </c>
      <c r="E723" s="91">
        <v>67</v>
      </c>
      <c r="F723" s="91">
        <v>0</v>
      </c>
      <c r="G723" s="126">
        <v>0.000611240899964678</v>
      </c>
      <c r="H723" s="126">
        <f t="shared" si="34"/>
        <v>1134</v>
      </c>
      <c r="I723" s="126" t="str">
        <f t="shared" si="35"/>
        <v>0y 0d 0h 18m</v>
      </c>
    </row>
    <row r="724" s="91" customFormat="1" spans="1:9">
      <c r="A724" s="91" t="str">
        <f t="shared" si="33"/>
        <v>Ge-68</v>
      </c>
      <c r="B724" s="91" t="s">
        <v>1305</v>
      </c>
      <c r="C724" s="91" t="s">
        <v>1295</v>
      </c>
      <c r="D724" s="91">
        <v>32</v>
      </c>
      <c r="E724" s="91">
        <v>68</v>
      </c>
      <c r="F724" s="91">
        <v>0</v>
      </c>
      <c r="G724" s="126">
        <v>2.96089197713098e-8</v>
      </c>
      <c r="H724" s="126">
        <f t="shared" si="34"/>
        <v>23410080</v>
      </c>
      <c r="I724" s="126" t="str">
        <f t="shared" si="35"/>
        <v>0y 270d 22h 48m</v>
      </c>
    </row>
    <row r="725" s="91" customFormat="1" spans="1:9">
      <c r="A725" s="91" t="str">
        <f t="shared" si="33"/>
        <v>Ge-69</v>
      </c>
      <c r="B725" s="91" t="s">
        <v>1306</v>
      </c>
      <c r="C725" s="91" t="s">
        <v>1295</v>
      </c>
      <c r="D725" s="91">
        <v>32</v>
      </c>
      <c r="E725" s="91">
        <v>69</v>
      </c>
      <c r="F725" s="91">
        <v>0</v>
      </c>
      <c r="G725" s="126">
        <v>4.93062441712864e-6</v>
      </c>
      <c r="H725" s="126">
        <f t="shared" si="34"/>
        <v>140580</v>
      </c>
      <c r="I725" s="126" t="str">
        <f t="shared" si="35"/>
        <v>0y 1d 15h 3m</v>
      </c>
    </row>
    <row r="726" s="91" customFormat="1" spans="1:9">
      <c r="A726" s="91" t="str">
        <f t="shared" si="33"/>
        <v>Ge-70</v>
      </c>
      <c r="B726" s="91" t="s">
        <v>1307</v>
      </c>
      <c r="C726" s="91" t="s">
        <v>1295</v>
      </c>
      <c r="D726" s="91">
        <v>32</v>
      </c>
      <c r="E726" s="91">
        <v>70</v>
      </c>
      <c r="F726" s="91">
        <v>0</v>
      </c>
      <c r="G726" s="126">
        <v>0</v>
      </c>
      <c r="H726" s="126">
        <f t="shared" si="34"/>
        <v>0</v>
      </c>
      <c r="I726" s="126" t="str">
        <f t="shared" si="35"/>
        <v>0y 0d 0h 0m</v>
      </c>
    </row>
    <row r="727" s="91" customFormat="1" spans="1:9">
      <c r="A727" s="91" t="str">
        <f t="shared" si="33"/>
        <v>Ge-71</v>
      </c>
      <c r="B727" s="91" t="s">
        <v>1308</v>
      </c>
      <c r="C727" s="91" t="s">
        <v>1295</v>
      </c>
      <c r="D727" s="91">
        <v>32</v>
      </c>
      <c r="E727" s="91">
        <v>71</v>
      </c>
      <c r="F727" s="91">
        <v>0</v>
      </c>
      <c r="G727" s="126">
        <v>7.01884235523744e-7</v>
      </c>
      <c r="H727" s="126">
        <f t="shared" si="34"/>
        <v>987552.000000001</v>
      </c>
      <c r="I727" s="126" t="str">
        <f t="shared" si="35"/>
        <v>0y 11d 10h 19m</v>
      </c>
    </row>
    <row r="728" s="91" customFormat="1" spans="1:9">
      <c r="A728" s="91" t="str">
        <f t="shared" si="33"/>
        <v>Ge-71m</v>
      </c>
      <c r="B728" s="91" t="s">
        <v>1309</v>
      </c>
      <c r="C728" s="91" t="s">
        <v>1295</v>
      </c>
      <c r="D728" s="91">
        <v>32</v>
      </c>
      <c r="E728" s="91">
        <v>71</v>
      </c>
      <c r="F728" s="91">
        <v>1</v>
      </c>
      <c r="G728" s="126">
        <v>33.9611553434564</v>
      </c>
      <c r="H728" s="126">
        <f t="shared" si="34"/>
        <v>0.02041</v>
      </c>
      <c r="I728" s="126" t="str">
        <f t="shared" si="35"/>
        <v>0y 0d 0h 0m</v>
      </c>
    </row>
    <row r="729" s="91" customFormat="1" spans="1:9">
      <c r="A729" s="91" t="str">
        <f t="shared" si="33"/>
        <v>Ge-72</v>
      </c>
      <c r="B729" s="91" t="s">
        <v>1310</v>
      </c>
      <c r="C729" s="91" t="s">
        <v>1295</v>
      </c>
      <c r="D729" s="91">
        <v>32</v>
      </c>
      <c r="E729" s="91">
        <v>72</v>
      </c>
      <c r="F729" s="91">
        <v>0</v>
      </c>
      <c r="G729" s="126">
        <v>0</v>
      </c>
      <c r="H729" s="126">
        <f t="shared" si="34"/>
        <v>0</v>
      </c>
      <c r="I729" s="126" t="str">
        <f t="shared" si="35"/>
        <v>0y 0d 0h 0m</v>
      </c>
    </row>
    <row r="730" s="91" customFormat="1" spans="1:9">
      <c r="A730" s="91" t="str">
        <f t="shared" si="33"/>
        <v>Ge-73</v>
      </c>
      <c r="B730" s="91" t="s">
        <v>1311</v>
      </c>
      <c r="C730" s="91" t="s">
        <v>1295</v>
      </c>
      <c r="D730" s="91">
        <v>32</v>
      </c>
      <c r="E730" s="91">
        <v>73</v>
      </c>
      <c r="F730" s="91">
        <v>0</v>
      </c>
      <c r="G730" s="126">
        <v>0</v>
      </c>
      <c r="H730" s="126">
        <f t="shared" si="34"/>
        <v>0</v>
      </c>
      <c r="I730" s="126" t="str">
        <f t="shared" si="35"/>
        <v>0y 0d 0h 0m</v>
      </c>
    </row>
    <row r="731" s="91" customFormat="1" spans="1:9">
      <c r="A731" s="91" t="str">
        <f t="shared" si="33"/>
        <v>Ge-73m</v>
      </c>
      <c r="B731" s="91" t="s">
        <v>1312</v>
      </c>
      <c r="C731" s="91" t="s">
        <v>1295</v>
      </c>
      <c r="D731" s="91">
        <v>32</v>
      </c>
      <c r="E731" s="91">
        <v>73</v>
      </c>
      <c r="F731" s="91">
        <v>1</v>
      </c>
      <c r="G731" s="126">
        <v>1.38907250613215</v>
      </c>
      <c r="H731" s="126">
        <f t="shared" si="34"/>
        <v>0.499000000000002</v>
      </c>
      <c r="I731" s="126" t="str">
        <f t="shared" si="35"/>
        <v>0y 0d 0h 0m</v>
      </c>
    </row>
    <row r="732" s="91" customFormat="1" spans="1:9">
      <c r="A732" s="91" t="str">
        <f t="shared" si="33"/>
        <v>Ge-74</v>
      </c>
      <c r="B732" s="91" t="s">
        <v>1313</v>
      </c>
      <c r="C732" s="91" t="s">
        <v>1295</v>
      </c>
      <c r="D732" s="91">
        <v>32</v>
      </c>
      <c r="E732" s="91">
        <v>74</v>
      </c>
      <c r="F732" s="91">
        <v>0</v>
      </c>
      <c r="G732" s="126">
        <v>0</v>
      </c>
      <c r="H732" s="126">
        <f t="shared" si="34"/>
        <v>0</v>
      </c>
      <c r="I732" s="126" t="str">
        <f t="shared" si="35"/>
        <v>0y 0d 0h 0m</v>
      </c>
    </row>
    <row r="733" s="91" customFormat="1" spans="1:9">
      <c r="A733" s="91" t="str">
        <f t="shared" si="33"/>
        <v>Ge-75</v>
      </c>
      <c r="B733" s="91" t="s">
        <v>1314</v>
      </c>
      <c r="C733" s="91" t="s">
        <v>1295</v>
      </c>
      <c r="D733" s="91">
        <v>32</v>
      </c>
      <c r="E733" s="91">
        <v>75</v>
      </c>
      <c r="F733" s="91">
        <v>0</v>
      </c>
      <c r="G733" s="126">
        <v>0.000139556088539893</v>
      </c>
      <c r="H733" s="126">
        <f t="shared" si="34"/>
        <v>4966.80000000003</v>
      </c>
      <c r="I733" s="126" t="str">
        <f t="shared" si="35"/>
        <v>0y 0d 1h 22m</v>
      </c>
    </row>
    <row r="734" s="91" customFormat="1" spans="1:9">
      <c r="A734" s="91" t="str">
        <f t="shared" si="33"/>
        <v>Ge-75m</v>
      </c>
      <c r="B734" s="91" t="s">
        <v>1315</v>
      </c>
      <c r="C734" s="91" t="s">
        <v>1295</v>
      </c>
      <c r="D734" s="91">
        <v>32</v>
      </c>
      <c r="E734" s="91">
        <v>75</v>
      </c>
      <c r="F734" s="91">
        <v>1</v>
      </c>
      <c r="G734" s="126">
        <v>0.0145313874331225</v>
      </c>
      <c r="H734" s="126">
        <f t="shared" si="34"/>
        <v>47.7000000000001</v>
      </c>
      <c r="I734" s="126" t="str">
        <f t="shared" si="35"/>
        <v>0y 0d 0h 0m</v>
      </c>
    </row>
    <row r="735" s="91" customFormat="1" spans="1:9">
      <c r="A735" s="91" t="str">
        <f t="shared" si="33"/>
        <v>Ge-76</v>
      </c>
      <c r="B735" s="91" t="s">
        <v>1316</v>
      </c>
      <c r="C735" s="91" t="s">
        <v>1295</v>
      </c>
      <c r="D735" s="91">
        <v>32</v>
      </c>
      <c r="E735" s="91">
        <v>76</v>
      </c>
      <c r="F735" s="91">
        <v>0</v>
      </c>
      <c r="G735" s="126">
        <v>0</v>
      </c>
      <c r="H735" s="126">
        <f t="shared" si="34"/>
        <v>0</v>
      </c>
      <c r="I735" s="126" t="str">
        <f t="shared" si="35"/>
        <v>0y 0d 0h 0m</v>
      </c>
    </row>
    <row r="736" s="91" customFormat="1" spans="1:9">
      <c r="A736" s="91" t="str">
        <f t="shared" si="33"/>
        <v>Ge-77</v>
      </c>
      <c r="B736" s="91" t="s">
        <v>1317</v>
      </c>
      <c r="C736" s="91" t="s">
        <v>1295</v>
      </c>
      <c r="D736" s="91">
        <v>32</v>
      </c>
      <c r="E736" s="91">
        <v>77</v>
      </c>
      <c r="F736" s="91">
        <v>0</v>
      </c>
      <c r="G736" s="126">
        <v>1.70390162379534e-5</v>
      </c>
      <c r="H736" s="126">
        <f t="shared" si="34"/>
        <v>40680.0000000001</v>
      </c>
      <c r="I736" s="126" t="str">
        <f t="shared" si="35"/>
        <v>0y 0d 11h 18m</v>
      </c>
    </row>
    <row r="737" s="91" customFormat="1" spans="1:9">
      <c r="A737" s="91" t="str">
        <f t="shared" si="33"/>
        <v>Ge-77m</v>
      </c>
      <c r="B737" s="91" t="s">
        <v>1318</v>
      </c>
      <c r="C737" s="91" t="s">
        <v>1295</v>
      </c>
      <c r="D737" s="91">
        <v>32</v>
      </c>
      <c r="E737" s="91">
        <v>77</v>
      </c>
      <c r="F737" s="91">
        <v>1</v>
      </c>
      <c r="G737" s="126">
        <v>0.0131029712771256</v>
      </c>
      <c r="H737" s="126">
        <f t="shared" si="34"/>
        <v>52.9000000000001</v>
      </c>
      <c r="I737" s="126" t="str">
        <f t="shared" si="35"/>
        <v>0y 0d 0h 0m</v>
      </c>
    </row>
    <row r="738" s="91" customFormat="1" spans="1:9">
      <c r="A738" s="91" t="str">
        <f t="shared" si="33"/>
        <v>Ge-78</v>
      </c>
      <c r="B738" s="91" t="s">
        <v>1319</v>
      </c>
      <c r="C738" s="91" t="s">
        <v>1295</v>
      </c>
      <c r="D738" s="91">
        <v>32</v>
      </c>
      <c r="E738" s="91">
        <v>78</v>
      </c>
      <c r="F738" s="91">
        <v>0</v>
      </c>
      <c r="G738" s="126">
        <v>0.00013127787510605</v>
      </c>
      <c r="H738" s="126">
        <f t="shared" si="34"/>
        <v>5280.00000000001</v>
      </c>
      <c r="I738" s="126" t="str">
        <f t="shared" si="35"/>
        <v>0y 0d 1h 28m</v>
      </c>
    </row>
    <row r="739" s="91" customFormat="1" spans="1:9">
      <c r="A739" s="91" t="str">
        <f t="shared" si="33"/>
        <v>Ge-79</v>
      </c>
      <c r="B739" s="91" t="s">
        <v>1320</v>
      </c>
      <c r="C739" s="91" t="s">
        <v>1295</v>
      </c>
      <c r="D739" s="91">
        <v>32</v>
      </c>
      <c r="E739" s="91">
        <v>79</v>
      </c>
      <c r="F739" s="91">
        <v>0</v>
      </c>
      <c r="G739" s="126">
        <v>0.0365198725268675</v>
      </c>
      <c r="H739" s="126">
        <f t="shared" si="34"/>
        <v>18.98</v>
      </c>
      <c r="I739" s="126" t="str">
        <f t="shared" si="35"/>
        <v>0y 0d 0h 0m</v>
      </c>
    </row>
    <row r="740" s="91" customFormat="1" spans="1:9">
      <c r="A740" s="91" t="str">
        <f t="shared" si="33"/>
        <v>Ge-79m</v>
      </c>
      <c r="B740" s="91" t="s">
        <v>1321</v>
      </c>
      <c r="C740" s="91" t="s">
        <v>1295</v>
      </c>
      <c r="D740" s="91">
        <v>32</v>
      </c>
      <c r="E740" s="91">
        <v>79</v>
      </c>
      <c r="F740" s="91">
        <v>1</v>
      </c>
      <c r="G740" s="126">
        <v>0.0177730046297421</v>
      </c>
      <c r="H740" s="126">
        <f t="shared" si="34"/>
        <v>39.0000000000002</v>
      </c>
      <c r="I740" s="126" t="str">
        <f t="shared" si="35"/>
        <v>0y 0d 0h 0m</v>
      </c>
    </row>
    <row r="741" s="91" customFormat="1" spans="1:9">
      <c r="A741" s="91" t="str">
        <f t="shared" si="33"/>
        <v>Ge-80</v>
      </c>
      <c r="B741" s="91" t="s">
        <v>1322</v>
      </c>
      <c r="C741" s="91" t="s">
        <v>1295</v>
      </c>
      <c r="D741" s="91">
        <v>32</v>
      </c>
      <c r="E741" s="91">
        <v>80</v>
      </c>
      <c r="F741" s="91">
        <v>0</v>
      </c>
      <c r="G741" s="126">
        <v>0.0234965145952523</v>
      </c>
      <c r="H741" s="126">
        <f t="shared" si="34"/>
        <v>29.5000000000001</v>
      </c>
      <c r="I741" s="126" t="str">
        <f t="shared" si="35"/>
        <v>0y 0d 0h 0m</v>
      </c>
    </row>
    <row r="742" s="91" customFormat="1" spans="1:9">
      <c r="A742" s="91" t="str">
        <f t="shared" si="33"/>
        <v>Ge-81</v>
      </c>
      <c r="B742" s="91" t="s">
        <v>1323</v>
      </c>
      <c r="C742" s="91" t="s">
        <v>1295</v>
      </c>
      <c r="D742" s="91">
        <v>32</v>
      </c>
      <c r="E742" s="91">
        <v>81</v>
      </c>
      <c r="F742" s="91">
        <v>0</v>
      </c>
      <c r="G742" s="126">
        <v>0.0912035763894665</v>
      </c>
      <c r="H742" s="126">
        <f t="shared" si="34"/>
        <v>7.6</v>
      </c>
      <c r="I742" s="126" t="str">
        <f t="shared" si="35"/>
        <v>0y 0d 0h 0m</v>
      </c>
    </row>
    <row r="743" s="91" customFormat="1" spans="1:9">
      <c r="A743" s="91" t="str">
        <f t="shared" si="33"/>
        <v>Ge-81m</v>
      </c>
      <c r="B743" s="91" t="s">
        <v>1324</v>
      </c>
      <c r="C743" s="91" t="s">
        <v>1295</v>
      </c>
      <c r="D743" s="91">
        <v>32</v>
      </c>
      <c r="E743" s="91">
        <v>81</v>
      </c>
      <c r="F743" s="91">
        <v>1</v>
      </c>
      <c r="G743" s="126">
        <v>0.0912035763894665</v>
      </c>
      <c r="H743" s="126">
        <f t="shared" si="34"/>
        <v>7.6</v>
      </c>
      <c r="I743" s="126" t="str">
        <f t="shared" si="35"/>
        <v>0y 0d 0h 0m</v>
      </c>
    </row>
    <row r="744" s="91" customFormat="1" spans="1:9">
      <c r="A744" s="91" t="str">
        <f t="shared" si="33"/>
        <v>Ge-82</v>
      </c>
      <c r="B744" s="91" t="s">
        <v>1325</v>
      </c>
      <c r="C744" s="91" t="s">
        <v>1295</v>
      </c>
      <c r="D744" s="91">
        <v>32</v>
      </c>
      <c r="E744" s="91">
        <v>82</v>
      </c>
      <c r="F744" s="91">
        <v>0</v>
      </c>
      <c r="G744" s="126">
        <v>0.15200596064911</v>
      </c>
      <c r="H744" s="126">
        <f t="shared" si="34"/>
        <v>4.56000000000002</v>
      </c>
      <c r="I744" s="126" t="str">
        <f t="shared" si="35"/>
        <v>0y 0d 0h 0m</v>
      </c>
    </row>
    <row r="745" s="91" customFormat="1" spans="1:9">
      <c r="A745" s="91" t="str">
        <f t="shared" si="33"/>
        <v>Ge-83</v>
      </c>
      <c r="B745" s="91" t="s">
        <v>1326</v>
      </c>
      <c r="C745" s="91" t="s">
        <v>1295</v>
      </c>
      <c r="D745" s="91">
        <v>32</v>
      </c>
      <c r="E745" s="91">
        <v>83</v>
      </c>
      <c r="F745" s="91">
        <v>0</v>
      </c>
      <c r="G745" s="126">
        <v>0.374674151654024</v>
      </c>
      <c r="H745" s="126">
        <f t="shared" si="34"/>
        <v>1.85</v>
      </c>
      <c r="I745" s="126" t="str">
        <f t="shared" si="35"/>
        <v>0y 0d 0h 0m</v>
      </c>
    </row>
    <row r="746" s="91" customFormat="1" spans="1:9">
      <c r="A746" s="91" t="str">
        <f t="shared" si="33"/>
        <v>Ge-84</v>
      </c>
      <c r="B746" s="91" t="s">
        <v>1327</v>
      </c>
      <c r="C746" s="91" t="s">
        <v>1295</v>
      </c>
      <c r="D746" s="91">
        <v>32</v>
      </c>
      <c r="E746" s="91">
        <v>84</v>
      </c>
      <c r="F746" s="91">
        <v>0</v>
      </c>
      <c r="G746" s="126">
        <v>0.726569371656127</v>
      </c>
      <c r="H746" s="126">
        <f t="shared" si="34"/>
        <v>0.954</v>
      </c>
      <c r="I746" s="126" t="str">
        <f t="shared" si="35"/>
        <v>0y 0d 0h 0m</v>
      </c>
    </row>
    <row r="747" s="91" customFormat="1" spans="1:9">
      <c r="A747" s="91" t="str">
        <f t="shared" si="33"/>
        <v>Ge-85</v>
      </c>
      <c r="B747" s="91" t="s">
        <v>1328</v>
      </c>
      <c r="C747" s="91" t="s">
        <v>1295</v>
      </c>
      <c r="D747" s="91">
        <v>32</v>
      </c>
      <c r="E747" s="91">
        <v>85</v>
      </c>
      <c r="F747" s="91">
        <v>0</v>
      </c>
      <c r="G747" s="126">
        <v>1.2956022066541</v>
      </c>
      <c r="H747" s="126">
        <f t="shared" si="34"/>
        <v>0.535000000000001</v>
      </c>
      <c r="I747" s="126" t="str">
        <f t="shared" si="35"/>
        <v>0y 0d 0h 0m</v>
      </c>
    </row>
    <row r="748" s="91" customFormat="1" spans="1:9">
      <c r="A748" s="91" t="str">
        <f t="shared" si="33"/>
        <v>Ge-86</v>
      </c>
      <c r="B748" s="91" t="s">
        <v>1329</v>
      </c>
      <c r="C748" s="91" t="s">
        <v>1295</v>
      </c>
      <c r="D748" s="91">
        <v>32</v>
      </c>
      <c r="E748" s="91">
        <v>86</v>
      </c>
      <c r="F748" s="91">
        <v>0</v>
      </c>
      <c r="G748" s="126">
        <v>7.29628611115731</v>
      </c>
      <c r="H748" s="126">
        <f t="shared" si="34"/>
        <v>0.0950000000000001</v>
      </c>
      <c r="I748" s="126" t="str">
        <f t="shared" si="35"/>
        <v>0y 0d 0h 0m</v>
      </c>
    </row>
    <row r="749" s="91" customFormat="1" spans="1:9">
      <c r="A749" s="91" t="str">
        <f t="shared" si="33"/>
        <v>Ge-87</v>
      </c>
      <c r="B749" s="91" t="s">
        <v>1330</v>
      </c>
      <c r="C749" s="91" t="s">
        <v>1295</v>
      </c>
      <c r="D749" s="91">
        <v>32</v>
      </c>
      <c r="E749" s="91">
        <v>87</v>
      </c>
      <c r="F749" s="91">
        <v>0</v>
      </c>
      <c r="G749" s="126">
        <v>4.95105128971389</v>
      </c>
      <c r="H749" s="126">
        <f t="shared" si="34"/>
        <v>0.14</v>
      </c>
      <c r="I749" s="126" t="str">
        <f t="shared" si="35"/>
        <v>0y 0d 0h 0m</v>
      </c>
    </row>
    <row r="750" s="91" customFormat="1" spans="1:9">
      <c r="A750" s="91" t="str">
        <f t="shared" si="33"/>
        <v>Ge-88</v>
      </c>
      <c r="B750" s="91" t="s">
        <v>1331</v>
      </c>
      <c r="C750" s="91" t="s">
        <v>1295</v>
      </c>
      <c r="D750" s="91">
        <v>32</v>
      </c>
      <c r="E750" s="91">
        <v>88</v>
      </c>
      <c r="F750" s="91">
        <v>0</v>
      </c>
      <c r="G750" s="126">
        <v>10.502230008484</v>
      </c>
      <c r="H750" s="126">
        <f t="shared" si="34"/>
        <v>0.0660000000000001</v>
      </c>
      <c r="I750" s="126" t="str">
        <f t="shared" si="35"/>
        <v>0y 0d 0h 0m</v>
      </c>
    </row>
    <row r="751" s="91" customFormat="1" spans="1:9">
      <c r="A751" s="91" t="str">
        <f t="shared" si="33"/>
        <v>Ge-89</v>
      </c>
      <c r="B751" s="91" t="s">
        <v>1332</v>
      </c>
      <c r="C751" s="91" t="s">
        <v>1295</v>
      </c>
      <c r="D751" s="91">
        <v>32</v>
      </c>
      <c r="E751" s="91">
        <v>89</v>
      </c>
      <c r="F751" s="91">
        <v>0</v>
      </c>
      <c r="G751" s="126">
        <v>17.7730046297421</v>
      </c>
      <c r="H751" s="126">
        <f t="shared" si="34"/>
        <v>0.0390000000000002</v>
      </c>
      <c r="I751" s="126" t="str">
        <f t="shared" si="35"/>
        <v>0y 0d 0h 0m</v>
      </c>
    </row>
    <row r="752" s="91" customFormat="1" spans="1:9">
      <c r="A752" s="91" t="str">
        <f t="shared" si="33"/>
        <v>As-60</v>
      </c>
      <c r="B752" s="91" t="s">
        <v>1333</v>
      </c>
      <c r="C752" s="91" t="s">
        <v>1334</v>
      </c>
      <c r="D752" s="91">
        <v>33</v>
      </c>
      <c r="E752" s="91">
        <v>60</v>
      </c>
      <c r="F752" s="91">
        <v>0</v>
      </c>
      <c r="G752" s="126">
        <v>83.5117085011982</v>
      </c>
      <c r="H752" s="126">
        <f t="shared" si="34"/>
        <v>0.0083</v>
      </c>
      <c r="I752" s="126" t="str">
        <f t="shared" si="35"/>
        <v>0y 0d 0h 0m</v>
      </c>
    </row>
    <row r="753" s="91" customFormat="1" spans="1:9">
      <c r="A753" s="91" t="str">
        <f t="shared" si="33"/>
        <v>As-61</v>
      </c>
      <c r="B753" s="91" t="s">
        <v>1335</v>
      </c>
      <c r="C753" s="91" t="s">
        <v>1334</v>
      </c>
      <c r="D753" s="91">
        <v>33</v>
      </c>
      <c r="E753" s="91">
        <v>61</v>
      </c>
      <c r="F753" s="91">
        <v>0</v>
      </c>
      <c r="G753" s="126">
        <v>41.7558542505991</v>
      </c>
      <c r="H753" s="126">
        <f t="shared" si="34"/>
        <v>0.0166</v>
      </c>
      <c r="I753" s="126" t="str">
        <f t="shared" si="35"/>
        <v>0y 0d 0h 0m</v>
      </c>
    </row>
    <row r="754" s="91" customFormat="1" spans="1:9">
      <c r="A754" s="91" t="str">
        <f t="shared" si="33"/>
        <v>As-62</v>
      </c>
      <c r="B754" s="91" t="s">
        <v>1336</v>
      </c>
      <c r="C754" s="91" t="s">
        <v>1334</v>
      </c>
      <c r="D754" s="91">
        <v>33</v>
      </c>
      <c r="E754" s="91">
        <v>62</v>
      </c>
      <c r="F754" s="91">
        <v>0</v>
      </c>
      <c r="G754" s="126">
        <v>26.7624394038588</v>
      </c>
      <c r="H754" s="126">
        <f t="shared" si="34"/>
        <v>0.0259000000000001</v>
      </c>
      <c r="I754" s="126" t="str">
        <f t="shared" si="35"/>
        <v>0y 0d 0h 0m</v>
      </c>
    </row>
    <row r="755" s="91" customFormat="1" spans="1:9">
      <c r="A755" s="91" t="str">
        <f t="shared" si="33"/>
        <v>As-63</v>
      </c>
      <c r="B755" s="91" t="s">
        <v>1337</v>
      </c>
      <c r="C755" s="91" t="s">
        <v>1334</v>
      </c>
      <c r="D755" s="91">
        <v>33</v>
      </c>
      <c r="E755" s="91">
        <v>63</v>
      </c>
      <c r="F755" s="91">
        <v>0</v>
      </c>
      <c r="G755" s="126">
        <v>7.52602801910906</v>
      </c>
      <c r="H755" s="126">
        <f t="shared" si="34"/>
        <v>0.0921000000000001</v>
      </c>
      <c r="I755" s="126" t="str">
        <f t="shared" si="35"/>
        <v>0y 0d 0h 0m</v>
      </c>
    </row>
    <row r="756" s="91" customFormat="1" spans="1:9">
      <c r="A756" s="91" t="str">
        <f t="shared" si="33"/>
        <v>As-64</v>
      </c>
      <c r="B756" s="91" t="s">
        <v>1338</v>
      </c>
      <c r="C756" s="91" t="s">
        <v>1334</v>
      </c>
      <c r="D756" s="91">
        <v>33</v>
      </c>
      <c r="E756" s="91">
        <v>64</v>
      </c>
      <c r="F756" s="91">
        <v>0</v>
      </c>
      <c r="G756" s="126">
        <v>19.2540883488873</v>
      </c>
      <c r="H756" s="126">
        <f t="shared" si="34"/>
        <v>0.0360000000000001</v>
      </c>
      <c r="I756" s="126" t="str">
        <f t="shared" si="35"/>
        <v>0y 0d 0h 0m</v>
      </c>
    </row>
    <row r="757" s="91" customFormat="1" spans="1:9">
      <c r="A757" s="91" t="str">
        <f t="shared" si="33"/>
        <v>As-65</v>
      </c>
      <c r="B757" s="91" t="s">
        <v>1339</v>
      </c>
      <c r="C757" s="91" t="s">
        <v>1334</v>
      </c>
      <c r="D757" s="91">
        <v>33</v>
      </c>
      <c r="E757" s="91">
        <v>65</v>
      </c>
      <c r="F757" s="91">
        <v>0</v>
      </c>
      <c r="G757" s="126">
        <v>5.41521234812457</v>
      </c>
      <c r="H757" s="126">
        <f t="shared" si="34"/>
        <v>0.128</v>
      </c>
      <c r="I757" s="126" t="str">
        <f t="shared" si="35"/>
        <v>0y 0d 0h 0m</v>
      </c>
    </row>
    <row r="758" s="91" customFormat="1" spans="1:9">
      <c r="A758" s="91" t="str">
        <f t="shared" si="33"/>
        <v>As-66</v>
      </c>
      <c r="B758" s="91" t="s">
        <v>1340</v>
      </c>
      <c r="C758" s="91" t="s">
        <v>1334</v>
      </c>
      <c r="D758" s="91">
        <v>33</v>
      </c>
      <c r="E758" s="91">
        <v>66</v>
      </c>
      <c r="F758" s="91">
        <v>0</v>
      </c>
      <c r="G758" s="126">
        <v>7.23611212610862</v>
      </c>
      <c r="H758" s="126">
        <f t="shared" si="34"/>
        <v>0.0957900000000001</v>
      </c>
      <c r="I758" s="126" t="str">
        <f t="shared" si="35"/>
        <v>0y 0d 0h 0m</v>
      </c>
    </row>
    <row r="759" s="91" customFormat="1" spans="1:9">
      <c r="A759" s="91" t="str">
        <f t="shared" si="33"/>
        <v>As-67</v>
      </c>
      <c r="B759" s="91" t="s">
        <v>1341</v>
      </c>
      <c r="C759" s="91" t="s">
        <v>1334</v>
      </c>
      <c r="D759" s="91">
        <v>33</v>
      </c>
      <c r="E759" s="91">
        <v>67</v>
      </c>
      <c r="F759" s="91">
        <v>0</v>
      </c>
      <c r="G759" s="126">
        <v>0.0163093454249398</v>
      </c>
      <c r="H759" s="126">
        <f t="shared" si="34"/>
        <v>42.5000000000002</v>
      </c>
      <c r="I759" s="126" t="str">
        <f t="shared" si="35"/>
        <v>0y 0d 0h 0m</v>
      </c>
    </row>
    <row r="760" s="91" customFormat="1" spans="1:9">
      <c r="A760" s="91" t="str">
        <f t="shared" si="33"/>
        <v>As-68</v>
      </c>
      <c r="B760" s="91" t="s">
        <v>1342</v>
      </c>
      <c r="C760" s="91" t="s">
        <v>1334</v>
      </c>
      <c r="D760" s="91">
        <v>33</v>
      </c>
      <c r="E760" s="91">
        <v>68</v>
      </c>
      <c r="F760" s="91">
        <v>0</v>
      </c>
      <c r="G760" s="126">
        <v>0.00457221095356164</v>
      </c>
      <c r="H760" s="126">
        <f t="shared" si="34"/>
        <v>151.6</v>
      </c>
      <c r="I760" s="126" t="str">
        <f t="shared" si="35"/>
        <v>0y 0d 0h 2m</v>
      </c>
    </row>
    <row r="761" s="91" customFormat="1" spans="1:9">
      <c r="A761" s="91" t="str">
        <f t="shared" si="33"/>
        <v>As-69</v>
      </c>
      <c r="B761" s="91" t="s">
        <v>1343</v>
      </c>
      <c r="C761" s="91" t="s">
        <v>1334</v>
      </c>
      <c r="D761" s="91">
        <v>33</v>
      </c>
      <c r="E761" s="91">
        <v>69</v>
      </c>
      <c r="F761" s="91">
        <v>0</v>
      </c>
      <c r="G761" s="126">
        <v>0.000758532699233908</v>
      </c>
      <c r="H761" s="126">
        <f t="shared" si="34"/>
        <v>913.8</v>
      </c>
      <c r="I761" s="126" t="str">
        <f t="shared" si="35"/>
        <v>0y 0d 0h 15m</v>
      </c>
    </row>
    <row r="762" s="91" customFormat="1" spans="1:9">
      <c r="A762" s="91" t="str">
        <f t="shared" si="33"/>
        <v>As-70</v>
      </c>
      <c r="B762" s="91" t="s">
        <v>1344</v>
      </c>
      <c r="C762" s="91" t="s">
        <v>1334</v>
      </c>
      <c r="D762" s="91">
        <v>33</v>
      </c>
      <c r="E762" s="91">
        <v>70</v>
      </c>
      <c r="F762" s="91">
        <v>0</v>
      </c>
      <c r="G762" s="126">
        <v>0.00021962838420784</v>
      </c>
      <c r="H762" s="126">
        <f t="shared" si="34"/>
        <v>3156.00000000001</v>
      </c>
      <c r="I762" s="126" t="str">
        <f t="shared" si="35"/>
        <v>0y 0d 0h 52m</v>
      </c>
    </row>
    <row r="763" s="91" customFormat="1" spans="1:9">
      <c r="A763" s="91" t="str">
        <f t="shared" si="33"/>
        <v>As-71</v>
      </c>
      <c r="B763" s="91" t="s">
        <v>1345</v>
      </c>
      <c r="C763" s="91" t="s">
        <v>1334</v>
      </c>
      <c r="D763" s="91">
        <v>33</v>
      </c>
      <c r="E763" s="91">
        <v>71</v>
      </c>
      <c r="F763" s="91">
        <v>0</v>
      </c>
      <c r="G763" s="126">
        <v>2.94855870580204e-6</v>
      </c>
      <c r="H763" s="126">
        <f t="shared" si="34"/>
        <v>235080.000000001</v>
      </c>
      <c r="I763" s="126" t="str">
        <f t="shared" si="35"/>
        <v>0y 2d 17h 18m</v>
      </c>
    </row>
    <row r="764" s="91" customFormat="1" spans="1:9">
      <c r="A764" s="91" t="str">
        <f t="shared" si="33"/>
        <v>As-72</v>
      </c>
      <c r="B764" s="91" t="s">
        <v>1346</v>
      </c>
      <c r="C764" s="91" t="s">
        <v>1334</v>
      </c>
      <c r="D764" s="91">
        <v>33</v>
      </c>
      <c r="E764" s="91">
        <v>72</v>
      </c>
      <c r="F764" s="91">
        <v>0</v>
      </c>
      <c r="G764" s="126">
        <v>7.40541859572591e-6</v>
      </c>
      <c r="H764" s="126">
        <f t="shared" si="34"/>
        <v>93600</v>
      </c>
      <c r="I764" s="126" t="str">
        <f t="shared" si="35"/>
        <v>0y 1d 2h 0m</v>
      </c>
    </row>
    <row r="765" s="91" customFormat="1" spans="1:9">
      <c r="A765" s="91" t="str">
        <f t="shared" si="33"/>
        <v>As-73</v>
      </c>
      <c r="B765" s="91" t="s">
        <v>1347</v>
      </c>
      <c r="C765" s="91" t="s">
        <v>1334</v>
      </c>
      <c r="D765" s="91">
        <v>33</v>
      </c>
      <c r="E765" s="91">
        <v>73</v>
      </c>
      <c r="F765" s="91">
        <v>0</v>
      </c>
      <c r="G765" s="126">
        <v>9.99070586804035e-8</v>
      </c>
      <c r="H765" s="126">
        <f t="shared" si="34"/>
        <v>6937920</v>
      </c>
      <c r="I765" s="126" t="str">
        <f t="shared" si="35"/>
        <v>0y 80d 7h 12m</v>
      </c>
    </row>
    <row r="766" s="91" customFormat="1" spans="1:9">
      <c r="A766" s="91" t="str">
        <f t="shared" si="33"/>
        <v>As-74</v>
      </c>
      <c r="B766" s="91" t="s">
        <v>1348</v>
      </c>
      <c r="C766" s="91" t="s">
        <v>1334</v>
      </c>
      <c r="D766" s="91">
        <v>33</v>
      </c>
      <c r="E766" s="91">
        <v>74</v>
      </c>
      <c r="F766" s="91">
        <v>0</v>
      </c>
      <c r="G766" s="126">
        <v>4.51465211707169e-7</v>
      </c>
      <c r="H766" s="126">
        <f t="shared" si="34"/>
        <v>1535328</v>
      </c>
      <c r="I766" s="126" t="str">
        <f t="shared" si="35"/>
        <v>0y 17d 18h 28m</v>
      </c>
    </row>
    <row r="767" s="91" customFormat="1" spans="1:9">
      <c r="A767" s="91" t="str">
        <f t="shared" si="33"/>
        <v>As-75</v>
      </c>
      <c r="B767" s="91" t="s">
        <v>1349</v>
      </c>
      <c r="C767" s="91" t="s">
        <v>1334</v>
      </c>
      <c r="D767" s="91">
        <v>33</v>
      </c>
      <c r="E767" s="91">
        <v>75</v>
      </c>
      <c r="F767" s="91">
        <v>0</v>
      </c>
      <c r="G767" s="126">
        <v>0</v>
      </c>
      <c r="H767" s="126">
        <f t="shared" si="34"/>
        <v>0</v>
      </c>
      <c r="I767" s="126" t="str">
        <f t="shared" si="35"/>
        <v>0y 0d 0h 0m</v>
      </c>
    </row>
    <row r="768" s="91" customFormat="1" spans="1:9">
      <c r="A768" s="91" t="str">
        <f t="shared" si="33"/>
        <v>As-75m</v>
      </c>
      <c r="B768" s="91" t="s">
        <v>1350</v>
      </c>
      <c r="C768" s="91" t="s">
        <v>1334</v>
      </c>
      <c r="D768" s="91">
        <v>33</v>
      </c>
      <c r="E768" s="91">
        <v>75</v>
      </c>
      <c r="F768" s="91">
        <v>1</v>
      </c>
      <c r="G768" s="126">
        <v>39.338659509645</v>
      </c>
      <c r="H768" s="126">
        <f t="shared" si="34"/>
        <v>0.01762</v>
      </c>
      <c r="I768" s="126" t="str">
        <f t="shared" si="35"/>
        <v>0y 0d 0h 0m</v>
      </c>
    </row>
    <row r="769" s="91" customFormat="1" spans="1:9">
      <c r="A769" s="91" t="str">
        <f t="shared" si="33"/>
        <v>As-76</v>
      </c>
      <c r="B769" s="91" t="s">
        <v>1351</v>
      </c>
      <c r="C769" s="91" t="s">
        <v>1334</v>
      </c>
      <c r="D769" s="91">
        <v>33</v>
      </c>
      <c r="E769" s="91">
        <v>76</v>
      </c>
      <c r="F769" s="91">
        <v>0</v>
      </c>
      <c r="G769" s="126">
        <v>7.33768610856988e-6</v>
      </c>
      <c r="H769" s="126">
        <f t="shared" si="34"/>
        <v>94464</v>
      </c>
      <c r="I769" s="126" t="str">
        <f t="shared" si="35"/>
        <v>0y 1d 2h 14m</v>
      </c>
    </row>
    <row r="770" s="91" customFormat="1" spans="1:9">
      <c r="A770" s="91" t="str">
        <f t="shared" ref="A770:A833" si="36">C770&amp;"-"&amp;E770&amp;_xlfn.IFS(F770=0,"",F770=1,"m",F770&gt;1,"m"&amp;F770)</f>
        <v>As-77</v>
      </c>
      <c r="B770" s="91" t="s">
        <v>1352</v>
      </c>
      <c r="C770" s="91" t="s">
        <v>1334</v>
      </c>
      <c r="D770" s="91">
        <v>33</v>
      </c>
      <c r="E770" s="91">
        <v>77</v>
      </c>
      <c r="F770" s="91">
        <v>0</v>
      </c>
      <c r="G770" s="126">
        <v>4.95855996623419e-6</v>
      </c>
      <c r="H770" s="126">
        <f t="shared" ref="H770:H833" si="37">IF(G770&gt;0,LN(2)/G770,0)</f>
        <v>139788</v>
      </c>
      <c r="I770" s="126" t="str">
        <f t="shared" si="35"/>
        <v>0y 1d 14h 49m</v>
      </c>
    </row>
    <row r="771" s="91" customFormat="1" spans="1:9">
      <c r="A771" s="91" t="str">
        <f t="shared" si="36"/>
        <v>As-78</v>
      </c>
      <c r="B771" s="91" t="s">
        <v>1353</v>
      </c>
      <c r="C771" s="91" t="s">
        <v>1334</v>
      </c>
      <c r="D771" s="91">
        <v>33</v>
      </c>
      <c r="E771" s="91">
        <v>78</v>
      </c>
      <c r="F771" s="91">
        <v>0</v>
      </c>
      <c r="G771" s="126">
        <v>0.000127369933950743</v>
      </c>
      <c r="H771" s="126">
        <f t="shared" si="37"/>
        <v>5442.00000000001</v>
      </c>
      <c r="I771" s="126" t="str">
        <f t="shared" ref="I771:I834" si="38">INT(H771/31536000)&amp;"y "&amp;INT(MOD(H771,31536000)/86400)&amp;"d "&amp;INT(MOD(MOD(H771,31536000),86400)/3600)&amp;"h "&amp;INT(MOD(MOD(MOD(H771,31536000),86400),3600)/60)&amp;"m"</f>
        <v>0y 0d 1h 30m</v>
      </c>
    </row>
    <row r="772" s="91" customFormat="1" spans="1:9">
      <c r="A772" s="91" t="str">
        <f t="shared" si="36"/>
        <v>As-79</v>
      </c>
      <c r="B772" s="91" t="s">
        <v>1354</v>
      </c>
      <c r="C772" s="91" t="s">
        <v>1334</v>
      </c>
      <c r="D772" s="91">
        <v>33</v>
      </c>
      <c r="E772" s="91">
        <v>79</v>
      </c>
      <c r="F772" s="91">
        <v>0</v>
      </c>
      <c r="G772" s="126">
        <v>0.00128218124409904</v>
      </c>
      <c r="H772" s="126">
        <f t="shared" si="37"/>
        <v>540.600000000003</v>
      </c>
      <c r="I772" s="126" t="str">
        <f t="shared" si="38"/>
        <v>0y 0d 0h 9m</v>
      </c>
    </row>
    <row r="773" s="91" customFormat="1" spans="1:9">
      <c r="A773" s="91" t="str">
        <f t="shared" si="36"/>
        <v>As-80</v>
      </c>
      <c r="B773" s="91" t="s">
        <v>1355</v>
      </c>
      <c r="C773" s="91" t="s">
        <v>1334</v>
      </c>
      <c r="D773" s="91">
        <v>33</v>
      </c>
      <c r="E773" s="91">
        <v>80</v>
      </c>
      <c r="F773" s="91">
        <v>0</v>
      </c>
      <c r="G773" s="126">
        <v>0.0456017881947332</v>
      </c>
      <c r="H773" s="126">
        <f t="shared" si="37"/>
        <v>15.2</v>
      </c>
      <c r="I773" s="126" t="str">
        <f t="shared" si="38"/>
        <v>0y 0d 0h 0m</v>
      </c>
    </row>
    <row r="774" s="91" customFormat="1" spans="1:9">
      <c r="A774" s="91" t="str">
        <f t="shared" si="36"/>
        <v>As-81</v>
      </c>
      <c r="B774" s="91" t="s">
        <v>1356</v>
      </c>
      <c r="C774" s="91" t="s">
        <v>1334</v>
      </c>
      <c r="D774" s="91">
        <v>33</v>
      </c>
      <c r="E774" s="91">
        <v>81</v>
      </c>
      <c r="F774" s="91">
        <v>0</v>
      </c>
      <c r="G774" s="126">
        <v>0.0208152306474458</v>
      </c>
      <c r="H774" s="126">
        <f t="shared" si="37"/>
        <v>33.3</v>
      </c>
      <c r="I774" s="126" t="str">
        <f t="shared" si="38"/>
        <v>0y 0d 0h 0m</v>
      </c>
    </row>
    <row r="775" s="91" customFormat="1" spans="1:9">
      <c r="A775" s="91" t="str">
        <f t="shared" si="36"/>
        <v>As-82</v>
      </c>
      <c r="B775" s="91" t="s">
        <v>1357</v>
      </c>
      <c r="C775" s="91" t="s">
        <v>1334</v>
      </c>
      <c r="D775" s="91">
        <v>33</v>
      </c>
      <c r="E775" s="91">
        <v>82</v>
      </c>
      <c r="F775" s="91">
        <v>0</v>
      </c>
      <c r="G775" s="126">
        <v>0.0362904283015678</v>
      </c>
      <c r="H775" s="126">
        <f t="shared" si="37"/>
        <v>19.1</v>
      </c>
      <c r="I775" s="126" t="str">
        <f t="shared" si="38"/>
        <v>0y 0d 0h 0m</v>
      </c>
    </row>
    <row r="776" s="91" customFormat="1" spans="1:9">
      <c r="A776" s="91" t="str">
        <f t="shared" si="36"/>
        <v>As-82m</v>
      </c>
      <c r="B776" s="91" t="s">
        <v>1358</v>
      </c>
      <c r="C776" s="91" t="s">
        <v>1334</v>
      </c>
      <c r="D776" s="91">
        <v>33</v>
      </c>
      <c r="E776" s="91">
        <v>82</v>
      </c>
      <c r="F776" s="91">
        <v>1</v>
      </c>
      <c r="G776" s="126">
        <v>0.0509667044529371</v>
      </c>
      <c r="H776" s="126">
        <f t="shared" si="37"/>
        <v>13.6</v>
      </c>
      <c r="I776" s="126" t="str">
        <f t="shared" si="38"/>
        <v>0y 0d 0h 0m</v>
      </c>
    </row>
    <row r="777" s="91" customFormat="1" spans="1:9">
      <c r="A777" s="91" t="str">
        <f t="shared" si="36"/>
        <v>As-83</v>
      </c>
      <c r="B777" s="91" t="s">
        <v>1359</v>
      </c>
      <c r="C777" s="91" t="s">
        <v>1334</v>
      </c>
      <c r="D777" s="91">
        <v>33</v>
      </c>
      <c r="E777" s="91">
        <v>83</v>
      </c>
      <c r="F777" s="91">
        <v>0</v>
      </c>
      <c r="G777" s="126">
        <v>0.0517274015343242</v>
      </c>
      <c r="H777" s="126">
        <f t="shared" si="37"/>
        <v>13.4</v>
      </c>
      <c r="I777" s="126" t="str">
        <f t="shared" si="38"/>
        <v>0y 0d 0h 0m</v>
      </c>
    </row>
    <row r="778" s="91" customFormat="1" spans="1:9">
      <c r="A778" s="91" t="str">
        <f t="shared" si="36"/>
        <v>As-84</v>
      </c>
      <c r="B778" s="91" t="s">
        <v>1360</v>
      </c>
      <c r="C778" s="91" t="s">
        <v>1334</v>
      </c>
      <c r="D778" s="91">
        <v>33</v>
      </c>
      <c r="E778" s="91">
        <v>84</v>
      </c>
      <c r="F778" s="91">
        <v>0</v>
      </c>
      <c r="G778" s="126">
        <v>0.165035042990463</v>
      </c>
      <c r="H778" s="126">
        <f t="shared" si="37"/>
        <v>4.2</v>
      </c>
      <c r="I778" s="126" t="str">
        <f t="shared" si="38"/>
        <v>0y 0d 0h 0m</v>
      </c>
    </row>
    <row r="779" s="91" customFormat="1" spans="1:9">
      <c r="A779" s="91" t="str">
        <f t="shared" si="36"/>
        <v>As-85</v>
      </c>
      <c r="B779" s="91" t="s">
        <v>1361</v>
      </c>
      <c r="C779" s="91" t="s">
        <v>1334</v>
      </c>
      <c r="D779" s="91">
        <v>33</v>
      </c>
      <c r="E779" s="91">
        <v>85</v>
      </c>
      <c r="F779" s="91">
        <v>0</v>
      </c>
      <c r="G779" s="126">
        <v>0.342972380286959</v>
      </c>
      <c r="H779" s="126">
        <f t="shared" si="37"/>
        <v>2.021</v>
      </c>
      <c r="I779" s="126" t="str">
        <f t="shared" si="38"/>
        <v>0y 0d 0h 0m</v>
      </c>
    </row>
    <row r="780" s="91" customFormat="1" spans="1:9">
      <c r="A780" s="91" t="str">
        <f t="shared" si="36"/>
        <v>As-86</v>
      </c>
      <c r="B780" s="91" t="s">
        <v>1362</v>
      </c>
      <c r="C780" s="91" t="s">
        <v>1334</v>
      </c>
      <c r="D780" s="91">
        <v>33</v>
      </c>
      <c r="E780" s="91">
        <v>86</v>
      </c>
      <c r="F780" s="91">
        <v>0</v>
      </c>
      <c r="G780" s="126">
        <v>0.733489079957614</v>
      </c>
      <c r="H780" s="126">
        <f t="shared" si="37"/>
        <v>0.945</v>
      </c>
      <c r="I780" s="126" t="str">
        <f t="shared" si="38"/>
        <v>0y 0d 0h 0m</v>
      </c>
    </row>
    <row r="781" s="91" customFormat="1" spans="1:9">
      <c r="A781" s="91" t="str">
        <f t="shared" si="36"/>
        <v>As-87</v>
      </c>
      <c r="B781" s="91" t="s">
        <v>1363</v>
      </c>
      <c r="C781" s="91" t="s">
        <v>1334</v>
      </c>
      <c r="D781" s="91">
        <v>33</v>
      </c>
      <c r="E781" s="91">
        <v>87</v>
      </c>
      <c r="F781" s="91">
        <v>0</v>
      </c>
      <c r="G781" s="126">
        <v>1.23776282242847</v>
      </c>
      <c r="H781" s="126">
        <f t="shared" si="37"/>
        <v>0.560000000000002</v>
      </c>
      <c r="I781" s="126" t="str">
        <f t="shared" si="38"/>
        <v>0y 0d 0h 0m</v>
      </c>
    </row>
    <row r="782" s="91" customFormat="1" spans="1:9">
      <c r="A782" s="91" t="str">
        <f t="shared" si="36"/>
        <v>As-88</v>
      </c>
      <c r="B782" s="91" t="s">
        <v>1364</v>
      </c>
      <c r="C782" s="91" t="s">
        <v>1334</v>
      </c>
      <c r="D782" s="91">
        <v>33</v>
      </c>
      <c r="E782" s="91">
        <v>88</v>
      </c>
      <c r="F782" s="91">
        <v>0</v>
      </c>
      <c r="G782" s="126">
        <v>6.18881411214236</v>
      </c>
      <c r="H782" s="126">
        <f t="shared" si="37"/>
        <v>0.112</v>
      </c>
      <c r="I782" s="126" t="str">
        <f t="shared" si="38"/>
        <v>0y 0d 0h 0m</v>
      </c>
    </row>
    <row r="783" s="91" customFormat="1" spans="1:9">
      <c r="A783" s="91" t="str">
        <f t="shared" si="36"/>
        <v>As-89</v>
      </c>
      <c r="B783" s="91" t="s">
        <v>1365</v>
      </c>
      <c r="C783" s="91" t="s">
        <v>1334</v>
      </c>
      <c r="D783" s="91">
        <v>33</v>
      </c>
      <c r="E783" s="91">
        <v>89</v>
      </c>
      <c r="F783" s="91">
        <v>0</v>
      </c>
      <c r="G783" s="126">
        <v>11.7482572976261</v>
      </c>
      <c r="H783" s="126">
        <f t="shared" si="37"/>
        <v>0.0590000000000005</v>
      </c>
      <c r="I783" s="126" t="str">
        <f t="shared" si="38"/>
        <v>0y 0d 0h 0m</v>
      </c>
    </row>
    <row r="784" s="91" customFormat="1" spans="1:9">
      <c r="A784" s="91" t="str">
        <f t="shared" si="36"/>
        <v>As-90</v>
      </c>
      <c r="B784" s="91" t="s">
        <v>1366</v>
      </c>
      <c r="C784" s="91" t="s">
        <v>1334</v>
      </c>
      <c r="D784" s="91">
        <v>33</v>
      </c>
      <c r="E784" s="91">
        <v>90</v>
      </c>
      <c r="F784" s="91">
        <v>0</v>
      </c>
      <c r="G784" s="126">
        <v>16.1197018734871</v>
      </c>
      <c r="H784" s="126">
        <f t="shared" si="37"/>
        <v>0.043</v>
      </c>
      <c r="I784" s="126" t="str">
        <f t="shared" si="38"/>
        <v>0y 0d 0h 0m</v>
      </c>
    </row>
    <row r="785" s="91" customFormat="1" spans="1:9">
      <c r="A785" s="91" t="str">
        <f t="shared" si="36"/>
        <v>As-91</v>
      </c>
      <c r="B785" s="91" t="s">
        <v>1367</v>
      </c>
      <c r="C785" s="91" t="s">
        <v>1334</v>
      </c>
      <c r="D785" s="91">
        <v>33</v>
      </c>
      <c r="E785" s="91">
        <v>91</v>
      </c>
      <c r="F785" s="91">
        <v>0</v>
      </c>
      <c r="G785" s="126">
        <v>15.753345012726</v>
      </c>
      <c r="H785" s="126">
        <f t="shared" si="37"/>
        <v>0.0440000000000001</v>
      </c>
      <c r="I785" s="126" t="str">
        <f t="shared" si="38"/>
        <v>0y 0d 0h 0m</v>
      </c>
    </row>
    <row r="786" s="91" customFormat="1" spans="1:9">
      <c r="A786" s="91" t="str">
        <f t="shared" si="36"/>
        <v>As-92</v>
      </c>
      <c r="B786" s="91" t="s">
        <v>1368</v>
      </c>
      <c r="C786" s="91" t="s">
        <v>1334</v>
      </c>
      <c r="D786" s="91">
        <v>33</v>
      </c>
      <c r="E786" s="91">
        <v>92</v>
      </c>
      <c r="F786" s="91">
        <v>0</v>
      </c>
      <c r="G786" s="126">
        <v>25.6721177985164</v>
      </c>
      <c r="H786" s="126">
        <f t="shared" si="37"/>
        <v>0.0270000000000001</v>
      </c>
      <c r="I786" s="126" t="str">
        <f t="shared" si="38"/>
        <v>0y 0d 0h 0m</v>
      </c>
    </row>
    <row r="787" s="91" customFormat="1" spans="1:9">
      <c r="A787" s="91" t="str">
        <f t="shared" si="36"/>
        <v>Se-65</v>
      </c>
      <c r="B787" s="91" t="s">
        <v>1369</v>
      </c>
      <c r="C787" s="91" t="s">
        <v>1370</v>
      </c>
      <c r="D787" s="91">
        <v>34</v>
      </c>
      <c r="E787" s="91">
        <v>65</v>
      </c>
      <c r="F787" s="91">
        <v>0</v>
      </c>
      <c r="G787" s="126">
        <v>13.8629436111989</v>
      </c>
      <c r="H787" s="126">
        <f t="shared" si="37"/>
        <v>0.05</v>
      </c>
      <c r="I787" s="126" t="str">
        <f t="shared" si="38"/>
        <v>0y 0d 0h 0m</v>
      </c>
    </row>
    <row r="788" s="91" customFormat="1" spans="1:9">
      <c r="A788" s="91" t="str">
        <f t="shared" si="36"/>
        <v>Se-66</v>
      </c>
      <c r="B788" s="91" t="s">
        <v>1371</v>
      </c>
      <c r="C788" s="91" t="s">
        <v>1370</v>
      </c>
      <c r="D788" s="91">
        <v>34</v>
      </c>
      <c r="E788" s="91">
        <v>66</v>
      </c>
      <c r="F788" s="91">
        <v>0</v>
      </c>
      <c r="G788" s="126">
        <v>21.004460016968</v>
      </c>
      <c r="H788" s="126">
        <f t="shared" si="37"/>
        <v>0.0330000000000001</v>
      </c>
      <c r="I788" s="126" t="str">
        <f t="shared" si="38"/>
        <v>0y 0d 0h 0m</v>
      </c>
    </row>
    <row r="789" s="91" customFormat="1" spans="1:9">
      <c r="A789" s="91" t="str">
        <f t="shared" si="36"/>
        <v>Se-67</v>
      </c>
      <c r="B789" s="91" t="s">
        <v>1372</v>
      </c>
      <c r="C789" s="91" t="s">
        <v>1370</v>
      </c>
      <c r="D789" s="91">
        <v>34</v>
      </c>
      <c r="E789" s="91">
        <v>67</v>
      </c>
      <c r="F789" s="91">
        <v>0</v>
      </c>
      <c r="G789" s="126">
        <v>5.09667044529371</v>
      </c>
      <c r="H789" s="126">
        <f t="shared" si="37"/>
        <v>0.136</v>
      </c>
      <c r="I789" s="126" t="str">
        <f t="shared" si="38"/>
        <v>0y 0d 0h 0m</v>
      </c>
    </row>
    <row r="790" s="91" customFormat="1" spans="1:9">
      <c r="A790" s="91" t="str">
        <f t="shared" si="36"/>
        <v>Se-68</v>
      </c>
      <c r="B790" s="91" t="s">
        <v>1373</v>
      </c>
      <c r="C790" s="91" t="s">
        <v>1370</v>
      </c>
      <c r="D790" s="91">
        <v>34</v>
      </c>
      <c r="E790" s="91">
        <v>68</v>
      </c>
      <c r="F790" s="91">
        <v>0</v>
      </c>
      <c r="G790" s="126">
        <v>0.0195252726918294</v>
      </c>
      <c r="H790" s="126">
        <f t="shared" si="37"/>
        <v>35.5000000000001</v>
      </c>
      <c r="I790" s="126" t="str">
        <f t="shared" si="38"/>
        <v>0y 0d 0h 0m</v>
      </c>
    </row>
    <row r="791" s="91" customFormat="1" spans="1:9">
      <c r="A791" s="91" t="str">
        <f t="shared" si="36"/>
        <v>Se-69</v>
      </c>
      <c r="B791" s="91" t="s">
        <v>1374</v>
      </c>
      <c r="C791" s="91" t="s">
        <v>1370</v>
      </c>
      <c r="D791" s="91">
        <v>34</v>
      </c>
      <c r="E791" s="91">
        <v>69</v>
      </c>
      <c r="F791" s="91">
        <v>0</v>
      </c>
      <c r="G791" s="126">
        <v>0.0252973423562023</v>
      </c>
      <c r="H791" s="126">
        <f t="shared" si="37"/>
        <v>27.4000000000001</v>
      </c>
      <c r="I791" s="126" t="str">
        <f t="shared" si="38"/>
        <v>0y 0d 0h 0m</v>
      </c>
    </row>
    <row r="792" s="91" customFormat="1" spans="1:9">
      <c r="A792" s="91" t="str">
        <f t="shared" si="36"/>
        <v>Se-70</v>
      </c>
      <c r="B792" s="91" t="s">
        <v>1375</v>
      </c>
      <c r="C792" s="91" t="s">
        <v>1370</v>
      </c>
      <c r="D792" s="91">
        <v>34</v>
      </c>
      <c r="E792" s="91">
        <v>70</v>
      </c>
      <c r="F792" s="91">
        <v>0</v>
      </c>
      <c r="G792" s="126">
        <v>0.000281081581735582</v>
      </c>
      <c r="H792" s="126">
        <f t="shared" si="37"/>
        <v>2466</v>
      </c>
      <c r="I792" s="126" t="str">
        <f t="shared" si="38"/>
        <v>0y 0d 0h 41m</v>
      </c>
    </row>
    <row r="793" s="91" customFormat="1" spans="1:9">
      <c r="A793" s="91" t="str">
        <f t="shared" si="36"/>
        <v>Se-71</v>
      </c>
      <c r="B793" s="91" t="s">
        <v>1376</v>
      </c>
      <c r="C793" s="91" t="s">
        <v>1370</v>
      </c>
      <c r="D793" s="91">
        <v>34</v>
      </c>
      <c r="E793" s="91">
        <v>71</v>
      </c>
      <c r="F793" s="91">
        <v>0</v>
      </c>
      <c r="G793" s="126">
        <v>0.00243722637327688</v>
      </c>
      <c r="H793" s="126">
        <f t="shared" si="37"/>
        <v>284.4</v>
      </c>
      <c r="I793" s="126" t="str">
        <f t="shared" si="38"/>
        <v>0y 0d 0h 4m</v>
      </c>
    </row>
    <row r="794" s="91" customFormat="1" spans="1:9">
      <c r="A794" s="91" t="str">
        <f t="shared" si="36"/>
        <v>Se-72</v>
      </c>
      <c r="B794" s="91" t="s">
        <v>1377</v>
      </c>
      <c r="C794" s="91" t="s">
        <v>1370</v>
      </c>
      <c r="D794" s="91">
        <v>34</v>
      </c>
      <c r="E794" s="91">
        <v>72</v>
      </c>
      <c r="F794" s="91">
        <v>0</v>
      </c>
      <c r="G794" s="126">
        <v>9.5506390619481e-7</v>
      </c>
      <c r="H794" s="126">
        <f t="shared" si="37"/>
        <v>725760</v>
      </c>
      <c r="I794" s="126" t="str">
        <f t="shared" si="38"/>
        <v>0y 8d 9h 35m</v>
      </c>
    </row>
    <row r="795" s="91" customFormat="1" spans="1:9">
      <c r="A795" s="91" t="str">
        <f t="shared" si="36"/>
        <v>Se-73</v>
      </c>
      <c r="B795" s="91" t="s">
        <v>1378</v>
      </c>
      <c r="C795" s="91" t="s">
        <v>1370</v>
      </c>
      <c r="D795" s="91">
        <v>34</v>
      </c>
      <c r="E795" s="91">
        <v>73</v>
      </c>
      <c r="F795" s="91">
        <v>0</v>
      </c>
      <c r="G795" s="126">
        <v>2.69287948935487e-5</v>
      </c>
      <c r="H795" s="126">
        <f t="shared" si="37"/>
        <v>25740.0000000001</v>
      </c>
      <c r="I795" s="126" t="str">
        <f t="shared" si="38"/>
        <v>0y 0d 7h 9m</v>
      </c>
    </row>
    <row r="796" s="91" customFormat="1" spans="1:9">
      <c r="A796" s="91" t="str">
        <f t="shared" si="36"/>
        <v>Se-73m</v>
      </c>
      <c r="B796" s="91" t="s">
        <v>1379</v>
      </c>
      <c r="C796" s="91" t="s">
        <v>1370</v>
      </c>
      <c r="D796" s="91">
        <v>34</v>
      </c>
      <c r="E796" s="91">
        <v>73</v>
      </c>
      <c r="F796" s="91">
        <v>1</v>
      </c>
      <c r="G796" s="126">
        <v>0.000290262638425437</v>
      </c>
      <c r="H796" s="126">
        <f t="shared" si="37"/>
        <v>2388.00000000001</v>
      </c>
      <c r="I796" s="126" t="str">
        <f t="shared" si="38"/>
        <v>0y 0d 0h 39m</v>
      </c>
    </row>
    <row r="797" s="91" customFormat="1" spans="1:9">
      <c r="A797" s="91" t="str">
        <f t="shared" si="36"/>
        <v>Se-74</v>
      </c>
      <c r="B797" s="91" t="s">
        <v>1380</v>
      </c>
      <c r="C797" s="91" t="s">
        <v>1370</v>
      </c>
      <c r="D797" s="91">
        <v>34</v>
      </c>
      <c r="E797" s="91">
        <v>74</v>
      </c>
      <c r="F797" s="91">
        <v>0</v>
      </c>
      <c r="G797" s="126">
        <v>0</v>
      </c>
      <c r="H797" s="126">
        <f t="shared" si="37"/>
        <v>0</v>
      </c>
      <c r="I797" s="126" t="str">
        <f t="shared" si="38"/>
        <v>0y 0d 0h 0m</v>
      </c>
    </row>
    <row r="798" s="91" customFormat="1" spans="1:9">
      <c r="A798" s="91" t="str">
        <f t="shared" si="36"/>
        <v>Se-75</v>
      </c>
      <c r="B798" s="91" t="s">
        <v>1381</v>
      </c>
      <c r="C798" s="91" t="s">
        <v>1370</v>
      </c>
      <c r="D798" s="91">
        <v>34</v>
      </c>
      <c r="E798" s="91">
        <v>75</v>
      </c>
      <c r="F798" s="91">
        <v>0</v>
      </c>
      <c r="G798" s="126">
        <v>6.69716479797741e-8</v>
      </c>
      <c r="H798" s="126">
        <f t="shared" si="37"/>
        <v>10349860</v>
      </c>
      <c r="I798" s="126" t="str">
        <f t="shared" si="38"/>
        <v>0y 119d 18h 57m</v>
      </c>
    </row>
    <row r="799" s="91" customFormat="1" spans="1:9">
      <c r="A799" s="91" t="str">
        <f t="shared" si="36"/>
        <v>Se-76</v>
      </c>
      <c r="B799" s="91" t="s">
        <v>1382</v>
      </c>
      <c r="C799" s="91" t="s">
        <v>1370</v>
      </c>
      <c r="D799" s="91">
        <v>34</v>
      </c>
      <c r="E799" s="91">
        <v>76</v>
      </c>
      <c r="F799" s="91">
        <v>0</v>
      </c>
      <c r="G799" s="126">
        <v>0</v>
      </c>
      <c r="H799" s="126">
        <f t="shared" si="37"/>
        <v>0</v>
      </c>
      <c r="I799" s="126" t="str">
        <f t="shared" si="38"/>
        <v>0y 0d 0h 0m</v>
      </c>
    </row>
    <row r="800" s="91" customFormat="1" spans="1:9">
      <c r="A800" s="91" t="str">
        <f t="shared" si="36"/>
        <v>Se-77</v>
      </c>
      <c r="B800" s="91" t="s">
        <v>1383</v>
      </c>
      <c r="C800" s="91" t="s">
        <v>1370</v>
      </c>
      <c r="D800" s="91">
        <v>34</v>
      </c>
      <c r="E800" s="91">
        <v>77</v>
      </c>
      <c r="F800" s="91">
        <v>0</v>
      </c>
      <c r="G800" s="126">
        <v>0</v>
      </c>
      <c r="H800" s="126">
        <f t="shared" si="37"/>
        <v>0</v>
      </c>
      <c r="I800" s="126" t="str">
        <f t="shared" si="38"/>
        <v>0y 0d 0h 0m</v>
      </c>
    </row>
    <row r="801" s="91" customFormat="1" spans="1:9">
      <c r="A801" s="91" t="str">
        <f t="shared" si="36"/>
        <v>Se-77m</v>
      </c>
      <c r="B801" s="91" t="s">
        <v>1384</v>
      </c>
      <c r="C801" s="91" t="s">
        <v>1370</v>
      </c>
      <c r="D801" s="91">
        <v>34</v>
      </c>
      <c r="E801" s="91">
        <v>77</v>
      </c>
      <c r="F801" s="91">
        <v>1</v>
      </c>
      <c r="G801" s="126">
        <v>0.0399278329815636</v>
      </c>
      <c r="H801" s="126">
        <f t="shared" si="37"/>
        <v>17.36</v>
      </c>
      <c r="I801" s="126" t="str">
        <f t="shared" si="38"/>
        <v>0y 0d 0h 0m</v>
      </c>
    </row>
    <row r="802" s="91" customFormat="1" spans="1:9">
      <c r="A802" s="91" t="str">
        <f t="shared" si="36"/>
        <v>Se-78</v>
      </c>
      <c r="B802" s="91" t="s">
        <v>1385</v>
      </c>
      <c r="C802" s="91" t="s">
        <v>1370</v>
      </c>
      <c r="D802" s="91">
        <v>34</v>
      </c>
      <c r="E802" s="91">
        <v>78</v>
      </c>
      <c r="F802" s="91">
        <v>0</v>
      </c>
      <c r="G802" s="126">
        <v>0</v>
      </c>
      <c r="H802" s="126">
        <f t="shared" si="37"/>
        <v>0</v>
      </c>
      <c r="I802" s="126" t="str">
        <f t="shared" si="38"/>
        <v>0y 0d 0h 0m</v>
      </c>
    </row>
    <row r="803" s="91" customFormat="1" spans="1:9">
      <c r="A803" s="91" t="str">
        <f t="shared" si="36"/>
        <v>Se-79</v>
      </c>
      <c r="B803" s="91" t="s">
        <v>1386</v>
      </c>
      <c r="C803" s="91" t="s">
        <v>1370</v>
      </c>
      <c r="D803" s="91">
        <v>34</v>
      </c>
      <c r="E803" s="91">
        <v>79</v>
      </c>
      <c r="F803" s="91">
        <v>0</v>
      </c>
      <c r="G803" s="126">
        <v>7.44559777775093e-14</v>
      </c>
      <c r="H803" s="126">
        <f t="shared" si="37"/>
        <v>9309490000000</v>
      </c>
      <c r="I803" s="126" t="str">
        <f t="shared" si="38"/>
        <v>295201y 361d 20h 26m</v>
      </c>
    </row>
    <row r="804" s="91" customFormat="1" spans="1:9">
      <c r="A804" s="91" t="str">
        <f t="shared" si="36"/>
        <v>Se-79m</v>
      </c>
      <c r="B804" s="91" t="s">
        <v>1387</v>
      </c>
      <c r="C804" s="91" t="s">
        <v>1370</v>
      </c>
      <c r="D804" s="91">
        <v>34</v>
      </c>
      <c r="E804" s="91">
        <v>79</v>
      </c>
      <c r="F804" s="91">
        <v>1</v>
      </c>
      <c r="G804" s="126">
        <v>0.00294705433911541</v>
      </c>
      <c r="H804" s="126">
        <f t="shared" si="37"/>
        <v>235.2</v>
      </c>
      <c r="I804" s="126" t="str">
        <f t="shared" si="38"/>
        <v>0y 0d 0h 3m</v>
      </c>
    </row>
    <row r="805" s="91" customFormat="1" spans="1:9">
      <c r="A805" s="91" t="str">
        <f t="shared" si="36"/>
        <v>Se-80</v>
      </c>
      <c r="B805" s="91" t="s">
        <v>1388</v>
      </c>
      <c r="C805" s="91" t="s">
        <v>1370</v>
      </c>
      <c r="D805" s="91">
        <v>34</v>
      </c>
      <c r="E805" s="91">
        <v>80</v>
      </c>
      <c r="F805" s="91">
        <v>0</v>
      </c>
      <c r="G805" s="126">
        <v>0</v>
      </c>
      <c r="H805" s="126">
        <f t="shared" si="37"/>
        <v>0</v>
      </c>
      <c r="I805" s="126" t="str">
        <f t="shared" si="38"/>
        <v>0y 0d 0h 0m</v>
      </c>
    </row>
    <row r="806" s="91" customFormat="1" spans="1:9">
      <c r="A806" s="91" t="str">
        <f t="shared" si="36"/>
        <v>Se-81</v>
      </c>
      <c r="B806" s="91" t="s">
        <v>1389</v>
      </c>
      <c r="C806" s="91" t="s">
        <v>1370</v>
      </c>
      <c r="D806" s="91">
        <v>34</v>
      </c>
      <c r="E806" s="91">
        <v>81</v>
      </c>
      <c r="F806" s="91">
        <v>0</v>
      </c>
      <c r="G806" s="126">
        <v>0.000626149214597963</v>
      </c>
      <c r="H806" s="126">
        <f t="shared" si="37"/>
        <v>1107</v>
      </c>
      <c r="I806" s="126" t="str">
        <f t="shared" si="38"/>
        <v>0y 0d 0h 18m</v>
      </c>
    </row>
    <row r="807" s="91" customFormat="1" spans="1:9">
      <c r="A807" s="91" t="str">
        <f t="shared" si="36"/>
        <v>Se-81m</v>
      </c>
      <c r="B807" s="91" t="s">
        <v>1390</v>
      </c>
      <c r="C807" s="91" t="s">
        <v>1370</v>
      </c>
      <c r="D807" s="91">
        <v>34</v>
      </c>
      <c r="E807" s="91">
        <v>81</v>
      </c>
      <c r="F807" s="91">
        <v>1</v>
      </c>
      <c r="G807" s="126">
        <v>0.00020168388633611</v>
      </c>
      <c r="H807" s="126">
        <f t="shared" si="37"/>
        <v>3436.80000000001</v>
      </c>
      <c r="I807" s="126" t="str">
        <f t="shared" si="38"/>
        <v>0y 0d 0h 57m</v>
      </c>
    </row>
    <row r="808" s="91" customFormat="1" spans="1:9">
      <c r="A808" s="91" t="str">
        <f t="shared" si="36"/>
        <v>Se-82</v>
      </c>
      <c r="B808" s="91" t="s">
        <v>1391</v>
      </c>
      <c r="C808" s="91" t="s">
        <v>1370</v>
      </c>
      <c r="D808" s="91">
        <v>34</v>
      </c>
      <c r="E808" s="91">
        <v>82</v>
      </c>
      <c r="F808" s="91">
        <v>0</v>
      </c>
      <c r="G808" s="126">
        <v>0</v>
      </c>
      <c r="H808" s="126">
        <f t="shared" si="37"/>
        <v>0</v>
      </c>
      <c r="I808" s="126" t="str">
        <f t="shared" si="38"/>
        <v>0y 0d 0h 0m</v>
      </c>
    </row>
    <row r="809" s="91" customFormat="1" spans="1:9">
      <c r="A809" s="91" t="str">
        <f t="shared" si="36"/>
        <v>Se-83</v>
      </c>
      <c r="B809" s="91" t="s">
        <v>1392</v>
      </c>
      <c r="C809" s="91" t="s">
        <v>1370</v>
      </c>
      <c r="D809" s="91">
        <v>34</v>
      </c>
      <c r="E809" s="91">
        <v>83</v>
      </c>
      <c r="F809" s="91">
        <v>0</v>
      </c>
      <c r="G809" s="126">
        <v>0.000518047220149435</v>
      </c>
      <c r="H809" s="126">
        <f t="shared" si="37"/>
        <v>1338</v>
      </c>
      <c r="I809" s="126" t="str">
        <f t="shared" si="38"/>
        <v>0y 0d 0h 22m</v>
      </c>
    </row>
    <row r="810" s="91" customFormat="1" spans="1:9">
      <c r="A810" s="91" t="str">
        <f t="shared" si="36"/>
        <v>Se-83m</v>
      </c>
      <c r="B810" s="91" t="s">
        <v>1393</v>
      </c>
      <c r="C810" s="91" t="s">
        <v>1370</v>
      </c>
      <c r="D810" s="91">
        <v>34</v>
      </c>
      <c r="E810" s="91">
        <v>83</v>
      </c>
      <c r="F810" s="91">
        <v>1</v>
      </c>
      <c r="G810" s="126">
        <v>0.00988797689814472</v>
      </c>
      <c r="H810" s="126">
        <f t="shared" si="37"/>
        <v>70.1</v>
      </c>
      <c r="I810" s="126" t="str">
        <f t="shared" si="38"/>
        <v>0y 0d 0h 1m</v>
      </c>
    </row>
    <row r="811" s="91" customFormat="1" spans="1:9">
      <c r="A811" s="91" t="str">
        <f t="shared" si="36"/>
        <v>Se-84</v>
      </c>
      <c r="B811" s="91" t="s">
        <v>1394</v>
      </c>
      <c r="C811" s="91" t="s">
        <v>1370</v>
      </c>
      <c r="D811" s="91">
        <v>34</v>
      </c>
      <c r="E811" s="91">
        <v>84</v>
      </c>
      <c r="F811" s="91">
        <v>0</v>
      </c>
      <c r="G811" s="126">
        <v>0.0035436972421265</v>
      </c>
      <c r="H811" s="126">
        <f t="shared" si="37"/>
        <v>195.600000000001</v>
      </c>
      <c r="I811" s="126" t="str">
        <f t="shared" si="38"/>
        <v>0y 0d 0h 3m</v>
      </c>
    </row>
    <row r="812" s="91" customFormat="1" spans="1:9">
      <c r="A812" s="91" t="str">
        <f t="shared" si="36"/>
        <v>Se-85</v>
      </c>
      <c r="B812" s="91" t="s">
        <v>1395</v>
      </c>
      <c r="C812" s="91" t="s">
        <v>1370</v>
      </c>
      <c r="D812" s="91">
        <v>34</v>
      </c>
      <c r="E812" s="91">
        <v>85</v>
      </c>
      <c r="F812" s="91">
        <v>0</v>
      </c>
      <c r="G812" s="126">
        <v>0.0218658416580424</v>
      </c>
      <c r="H812" s="126">
        <f t="shared" si="37"/>
        <v>31.7000000000001</v>
      </c>
      <c r="I812" s="126" t="str">
        <f t="shared" si="38"/>
        <v>0y 0d 0h 0m</v>
      </c>
    </row>
    <row r="813" s="91" customFormat="1" spans="1:9">
      <c r="A813" s="91" t="str">
        <f t="shared" si="36"/>
        <v>Se-86</v>
      </c>
      <c r="B813" s="91" t="s">
        <v>1396</v>
      </c>
      <c r="C813" s="91" t="s">
        <v>1370</v>
      </c>
      <c r="D813" s="91">
        <v>34</v>
      </c>
      <c r="E813" s="91">
        <v>86</v>
      </c>
      <c r="F813" s="91">
        <v>0</v>
      </c>
      <c r="G813" s="126">
        <v>0.0484718308083877</v>
      </c>
      <c r="H813" s="126">
        <f t="shared" si="37"/>
        <v>14.3</v>
      </c>
      <c r="I813" s="126" t="str">
        <f t="shared" si="38"/>
        <v>0y 0d 0h 0m</v>
      </c>
    </row>
    <row r="814" s="91" customFormat="1" spans="1:9">
      <c r="A814" s="91" t="str">
        <f t="shared" si="36"/>
        <v>Se-87</v>
      </c>
      <c r="B814" s="91" t="s">
        <v>1397</v>
      </c>
      <c r="C814" s="91" t="s">
        <v>1370</v>
      </c>
      <c r="D814" s="91">
        <v>34</v>
      </c>
      <c r="E814" s="91">
        <v>87</v>
      </c>
      <c r="F814" s="91">
        <v>0</v>
      </c>
      <c r="G814" s="126">
        <v>0.126026760101808</v>
      </c>
      <c r="H814" s="126">
        <f t="shared" si="37"/>
        <v>5.50000000000001</v>
      </c>
      <c r="I814" s="126" t="str">
        <f t="shared" si="38"/>
        <v>0y 0d 0h 0m</v>
      </c>
    </row>
    <row r="815" s="91" customFormat="1" spans="1:9">
      <c r="A815" s="91" t="str">
        <f t="shared" si="36"/>
        <v>Se-88</v>
      </c>
      <c r="B815" s="91" t="s">
        <v>1398</v>
      </c>
      <c r="C815" s="91" t="s">
        <v>1370</v>
      </c>
      <c r="D815" s="91">
        <v>34</v>
      </c>
      <c r="E815" s="91">
        <v>88</v>
      </c>
      <c r="F815" s="91">
        <v>0</v>
      </c>
      <c r="G815" s="126">
        <v>0.453037372914996</v>
      </c>
      <c r="H815" s="126">
        <f t="shared" si="37"/>
        <v>1.53</v>
      </c>
      <c r="I815" s="126" t="str">
        <f t="shared" si="38"/>
        <v>0y 0d 0h 0m</v>
      </c>
    </row>
    <row r="816" s="91" customFormat="1" spans="1:9">
      <c r="A816" s="91" t="str">
        <f t="shared" si="36"/>
        <v>Se-89</v>
      </c>
      <c r="B816" s="91" t="s">
        <v>1399</v>
      </c>
      <c r="C816" s="91" t="s">
        <v>1370</v>
      </c>
      <c r="D816" s="91">
        <v>34</v>
      </c>
      <c r="E816" s="91">
        <v>89</v>
      </c>
      <c r="F816" s="91">
        <v>0</v>
      </c>
      <c r="G816" s="126">
        <v>1.6906028794145</v>
      </c>
      <c r="H816" s="126">
        <f t="shared" si="37"/>
        <v>0.41</v>
      </c>
      <c r="I816" s="126" t="str">
        <f t="shared" si="38"/>
        <v>0y 0d 0h 0m</v>
      </c>
    </row>
    <row r="817" s="91" customFormat="1" spans="1:9">
      <c r="A817" s="91" t="str">
        <f t="shared" si="36"/>
        <v>Se-90</v>
      </c>
      <c r="B817" s="91" t="s">
        <v>1400</v>
      </c>
      <c r="C817" s="91" t="s">
        <v>1370</v>
      </c>
      <c r="D817" s="91">
        <v>34</v>
      </c>
      <c r="E817" s="91">
        <v>90</v>
      </c>
      <c r="F817" s="91">
        <v>0</v>
      </c>
      <c r="G817" s="126">
        <v>4.30526199105556</v>
      </c>
      <c r="H817" s="126">
        <f t="shared" si="37"/>
        <v>0.161</v>
      </c>
      <c r="I817" s="126" t="str">
        <f t="shared" si="38"/>
        <v>0y 0d 0h 0m</v>
      </c>
    </row>
    <row r="818" s="91" customFormat="1" spans="1:9">
      <c r="A818" s="91" t="str">
        <f t="shared" si="36"/>
        <v>Se-91</v>
      </c>
      <c r="B818" s="91" t="s">
        <v>1401</v>
      </c>
      <c r="C818" s="91" t="s">
        <v>1370</v>
      </c>
      <c r="D818" s="91">
        <v>34</v>
      </c>
      <c r="E818" s="91">
        <v>91</v>
      </c>
      <c r="F818" s="91">
        <v>0</v>
      </c>
      <c r="G818" s="126">
        <v>2.56721177985164</v>
      </c>
      <c r="H818" s="126">
        <f t="shared" si="37"/>
        <v>0.270000000000001</v>
      </c>
      <c r="I818" s="126" t="str">
        <f t="shared" si="38"/>
        <v>0y 0d 0h 0m</v>
      </c>
    </row>
    <row r="819" s="91" customFormat="1" spans="1:9">
      <c r="A819" s="91" t="str">
        <f t="shared" si="36"/>
        <v>Se-92</v>
      </c>
      <c r="B819" s="91" t="s">
        <v>1402</v>
      </c>
      <c r="C819" s="91" t="s">
        <v>1370</v>
      </c>
      <c r="D819" s="91">
        <v>34</v>
      </c>
      <c r="E819" s="91">
        <v>92</v>
      </c>
      <c r="F819" s="91">
        <v>0</v>
      </c>
      <c r="G819" s="126">
        <v>7.45319548989188</v>
      </c>
      <c r="H819" s="126">
        <f t="shared" si="37"/>
        <v>0.0930000000000001</v>
      </c>
      <c r="I819" s="126" t="str">
        <f t="shared" si="38"/>
        <v>0y 0d 0h 0m</v>
      </c>
    </row>
    <row r="820" s="91" customFormat="1" spans="1:9">
      <c r="A820" s="91" t="str">
        <f t="shared" si="36"/>
        <v>Se-93</v>
      </c>
      <c r="B820" s="91" t="s">
        <v>1403</v>
      </c>
      <c r="C820" s="91" t="s">
        <v>1370</v>
      </c>
      <c r="D820" s="91">
        <v>34</v>
      </c>
      <c r="E820" s="91">
        <v>93</v>
      </c>
      <c r="F820" s="91">
        <v>0</v>
      </c>
      <c r="G820" s="126">
        <v>11.1797932348378</v>
      </c>
      <c r="H820" s="126">
        <f t="shared" si="37"/>
        <v>0.0620000000000001</v>
      </c>
      <c r="I820" s="126" t="str">
        <f t="shared" si="38"/>
        <v>0y 0d 0h 0m</v>
      </c>
    </row>
    <row r="821" s="91" customFormat="1" spans="1:9">
      <c r="A821" s="91" t="str">
        <f t="shared" si="36"/>
        <v>Se-94</v>
      </c>
      <c r="B821" s="91" t="s">
        <v>1404</v>
      </c>
      <c r="C821" s="91" t="s">
        <v>1370</v>
      </c>
      <c r="D821" s="91">
        <v>34</v>
      </c>
      <c r="E821" s="91">
        <v>94</v>
      </c>
      <c r="F821" s="91">
        <v>0</v>
      </c>
      <c r="G821" s="126">
        <v>11.7482572976261</v>
      </c>
      <c r="H821" s="126">
        <f t="shared" si="37"/>
        <v>0.0590000000000005</v>
      </c>
      <c r="I821" s="126" t="str">
        <f t="shared" si="38"/>
        <v>0y 0d 0h 0m</v>
      </c>
    </row>
    <row r="822" s="91" customFormat="1" spans="1:9">
      <c r="A822" s="91" t="str">
        <f t="shared" si="36"/>
        <v>Br-67</v>
      </c>
      <c r="B822" s="91" t="s">
        <v>1405</v>
      </c>
      <c r="C822" s="91" t="s">
        <v>1406</v>
      </c>
      <c r="D822" s="91">
        <v>35</v>
      </c>
      <c r="E822" s="91">
        <v>67</v>
      </c>
      <c r="F822" s="91">
        <v>0</v>
      </c>
      <c r="G822" s="126">
        <v>15.6466632180574</v>
      </c>
      <c r="H822" s="126">
        <f t="shared" si="37"/>
        <v>0.0443000000000002</v>
      </c>
      <c r="I822" s="126" t="str">
        <f t="shared" si="38"/>
        <v>0y 0d 0h 0m</v>
      </c>
    </row>
    <row r="823" s="91" customFormat="1" spans="1:9">
      <c r="A823" s="91" t="str">
        <f t="shared" si="36"/>
        <v>Br-68</v>
      </c>
      <c r="B823" s="91" t="s">
        <v>1407</v>
      </c>
      <c r="C823" s="91" t="s">
        <v>1406</v>
      </c>
      <c r="D823" s="91">
        <v>35</v>
      </c>
      <c r="E823" s="91">
        <v>68</v>
      </c>
      <c r="F823" s="91">
        <v>0</v>
      </c>
      <c r="G823" s="126">
        <v>577622.650466621</v>
      </c>
      <c r="H823" s="126">
        <f t="shared" si="37"/>
        <v>1.2e-6</v>
      </c>
      <c r="I823" s="126" t="str">
        <f t="shared" si="38"/>
        <v>0y 0d 0h 0m</v>
      </c>
    </row>
    <row r="824" s="91" customFormat="1" spans="1:9">
      <c r="A824" s="91" t="str">
        <f t="shared" si="36"/>
        <v>Br-69</v>
      </c>
      <c r="B824" s="91" t="s">
        <v>1408</v>
      </c>
      <c r="C824" s="91" t="s">
        <v>1406</v>
      </c>
      <c r="D824" s="91">
        <v>35</v>
      </c>
      <c r="E824" s="91">
        <v>69</v>
      </c>
      <c r="F824" s="91">
        <v>0</v>
      </c>
      <c r="G824" s="126">
        <v>28881132.523331</v>
      </c>
      <c r="H824" s="126">
        <f t="shared" si="37"/>
        <v>2.4e-8</v>
      </c>
      <c r="I824" s="126" t="str">
        <f t="shared" si="38"/>
        <v>0y 0d 0h 0m</v>
      </c>
    </row>
    <row r="825" s="91" customFormat="1" spans="1:9">
      <c r="A825" s="91" t="str">
        <f t="shared" si="36"/>
        <v>Br-70</v>
      </c>
      <c r="B825" s="91" t="s">
        <v>1409</v>
      </c>
      <c r="C825" s="91" t="s">
        <v>1406</v>
      </c>
      <c r="D825" s="91">
        <v>35</v>
      </c>
      <c r="E825" s="91">
        <v>70</v>
      </c>
      <c r="F825" s="91">
        <v>0</v>
      </c>
      <c r="G825" s="126">
        <v>8.76292263666176</v>
      </c>
      <c r="H825" s="126">
        <f t="shared" si="37"/>
        <v>0.0791</v>
      </c>
      <c r="I825" s="126" t="str">
        <f t="shared" si="38"/>
        <v>0y 0d 0h 0m</v>
      </c>
    </row>
    <row r="826" s="91" customFormat="1" spans="1:9">
      <c r="A826" s="91" t="str">
        <f t="shared" si="36"/>
        <v>Br-70m</v>
      </c>
      <c r="B826" s="91" t="s">
        <v>1410</v>
      </c>
      <c r="C826" s="91" t="s">
        <v>1406</v>
      </c>
      <c r="D826" s="91">
        <v>35</v>
      </c>
      <c r="E826" s="91">
        <v>70</v>
      </c>
      <c r="F826" s="91">
        <v>1</v>
      </c>
      <c r="G826" s="126">
        <v>0.31506690025452</v>
      </c>
      <c r="H826" s="126">
        <f t="shared" si="37"/>
        <v>2.2</v>
      </c>
      <c r="I826" s="126" t="str">
        <f t="shared" si="38"/>
        <v>0y 0d 0h 0m</v>
      </c>
    </row>
    <row r="827" s="91" customFormat="1" spans="1:9">
      <c r="A827" s="91" t="str">
        <f t="shared" si="36"/>
        <v>Br-71</v>
      </c>
      <c r="B827" s="91" t="s">
        <v>1411</v>
      </c>
      <c r="C827" s="91" t="s">
        <v>1406</v>
      </c>
      <c r="D827" s="91">
        <v>35</v>
      </c>
      <c r="E827" s="91">
        <v>71</v>
      </c>
      <c r="F827" s="91">
        <v>0</v>
      </c>
      <c r="G827" s="126">
        <v>0.0323900551663525</v>
      </c>
      <c r="H827" s="126">
        <f t="shared" si="37"/>
        <v>21.4000000000001</v>
      </c>
      <c r="I827" s="126" t="str">
        <f t="shared" si="38"/>
        <v>0y 0d 0h 0m</v>
      </c>
    </row>
    <row r="828" s="91" customFormat="1" spans="1:9">
      <c r="A828" s="91" t="str">
        <f t="shared" si="36"/>
        <v>Br-72</v>
      </c>
      <c r="B828" s="91" t="s">
        <v>1412</v>
      </c>
      <c r="C828" s="91" t="s">
        <v>1406</v>
      </c>
      <c r="D828" s="91">
        <v>35</v>
      </c>
      <c r="E828" s="91">
        <v>72</v>
      </c>
      <c r="F828" s="91">
        <v>0</v>
      </c>
      <c r="G828" s="126">
        <v>0.00881866641933772</v>
      </c>
      <c r="H828" s="126">
        <f t="shared" si="37"/>
        <v>78.6000000000001</v>
      </c>
      <c r="I828" s="126" t="str">
        <f t="shared" si="38"/>
        <v>0y 0d 0h 1m</v>
      </c>
    </row>
    <row r="829" s="91" customFormat="1" spans="1:9">
      <c r="A829" s="91" t="str">
        <f t="shared" si="36"/>
        <v>Br-72m</v>
      </c>
      <c r="B829" s="91" t="s">
        <v>1413</v>
      </c>
      <c r="C829" s="91" t="s">
        <v>1406</v>
      </c>
      <c r="D829" s="91">
        <v>35</v>
      </c>
      <c r="E829" s="91">
        <v>72</v>
      </c>
      <c r="F829" s="91">
        <v>1</v>
      </c>
      <c r="G829" s="126">
        <v>0.0653912434490514</v>
      </c>
      <c r="H829" s="126">
        <f t="shared" si="37"/>
        <v>10.6</v>
      </c>
      <c r="I829" s="126" t="str">
        <f t="shared" si="38"/>
        <v>0y 0d 0h 0m</v>
      </c>
    </row>
    <row r="830" s="91" customFormat="1" spans="1:9">
      <c r="A830" s="91" t="str">
        <f t="shared" si="36"/>
        <v>Br-73</v>
      </c>
      <c r="B830" s="91" t="s">
        <v>1414</v>
      </c>
      <c r="C830" s="91" t="s">
        <v>1406</v>
      </c>
      <c r="D830" s="91">
        <v>35</v>
      </c>
      <c r="E830" s="91">
        <v>73</v>
      </c>
      <c r="F830" s="91">
        <v>0</v>
      </c>
      <c r="G830" s="126">
        <v>0.00339778029686247</v>
      </c>
      <c r="H830" s="126">
        <f t="shared" si="37"/>
        <v>204</v>
      </c>
      <c r="I830" s="126" t="str">
        <f t="shared" si="38"/>
        <v>0y 0d 0h 3m</v>
      </c>
    </row>
    <row r="831" s="91" customFormat="1" spans="1:9">
      <c r="A831" s="91" t="str">
        <f t="shared" si="36"/>
        <v>Br-74</v>
      </c>
      <c r="B831" s="91" t="s">
        <v>1415</v>
      </c>
      <c r="C831" s="91" t="s">
        <v>1406</v>
      </c>
      <c r="D831" s="91">
        <v>35</v>
      </c>
      <c r="E831" s="91">
        <v>74</v>
      </c>
      <c r="F831" s="91">
        <v>0</v>
      </c>
      <c r="G831" s="126">
        <v>0.000454820984619386</v>
      </c>
      <c r="H831" s="126">
        <f t="shared" si="37"/>
        <v>1524</v>
      </c>
      <c r="I831" s="126" t="str">
        <f t="shared" si="38"/>
        <v>0y 0d 0h 25m</v>
      </c>
    </row>
    <row r="832" s="91" customFormat="1" spans="1:9">
      <c r="A832" s="91" t="str">
        <f t="shared" si="36"/>
        <v>Br-74m</v>
      </c>
      <c r="B832" s="91" t="s">
        <v>1416</v>
      </c>
      <c r="C832" s="91" t="s">
        <v>1406</v>
      </c>
      <c r="D832" s="91">
        <v>35</v>
      </c>
      <c r="E832" s="91">
        <v>74</v>
      </c>
      <c r="F832" s="91">
        <v>1</v>
      </c>
      <c r="G832" s="126">
        <v>0.000251140282811574</v>
      </c>
      <c r="H832" s="126">
        <f t="shared" si="37"/>
        <v>2760</v>
      </c>
      <c r="I832" s="126" t="str">
        <f t="shared" si="38"/>
        <v>0y 0d 0h 46m</v>
      </c>
    </row>
    <row r="833" s="91" customFormat="1" spans="1:9">
      <c r="A833" s="91" t="str">
        <f t="shared" si="36"/>
        <v>Br-75</v>
      </c>
      <c r="B833" s="91" t="s">
        <v>1417</v>
      </c>
      <c r="C833" s="91" t="s">
        <v>1406</v>
      </c>
      <c r="D833" s="91">
        <v>35</v>
      </c>
      <c r="E833" s="91">
        <v>75</v>
      </c>
      <c r="F833" s="91">
        <v>0</v>
      </c>
      <c r="G833" s="126">
        <v>0.000119466939083065</v>
      </c>
      <c r="H833" s="126">
        <f t="shared" si="37"/>
        <v>5802.00000000002</v>
      </c>
      <c r="I833" s="126" t="str">
        <f t="shared" si="38"/>
        <v>0y 0d 1h 36m</v>
      </c>
    </row>
    <row r="834" s="91" customFormat="1" spans="1:9">
      <c r="A834" s="91" t="str">
        <f t="shared" ref="A834:A897" si="39">C834&amp;"-"&amp;E834&amp;_xlfn.IFS(F834=0,"",F834=1,"m",F834&gt;1,"m"&amp;F834)</f>
        <v>Br-76</v>
      </c>
      <c r="B834" s="91" t="s">
        <v>1418</v>
      </c>
      <c r="C834" s="91" t="s">
        <v>1406</v>
      </c>
      <c r="D834" s="91">
        <v>35</v>
      </c>
      <c r="E834" s="91">
        <v>76</v>
      </c>
      <c r="F834" s="91">
        <v>0</v>
      </c>
      <c r="G834" s="126">
        <v>1.18852397215354e-5</v>
      </c>
      <c r="H834" s="126">
        <f t="shared" ref="H834:H897" si="40">IF(G834&gt;0,LN(2)/G834,0)</f>
        <v>58320.0000000001</v>
      </c>
      <c r="I834" s="126" t="str">
        <f t="shared" si="38"/>
        <v>0y 0d 16h 12m</v>
      </c>
    </row>
    <row r="835" s="91" customFormat="1" spans="1:9">
      <c r="A835" s="91" t="str">
        <f t="shared" si="39"/>
        <v>Br-76m</v>
      </c>
      <c r="B835" s="91" t="s">
        <v>1419</v>
      </c>
      <c r="C835" s="91" t="s">
        <v>1406</v>
      </c>
      <c r="D835" s="91">
        <v>35</v>
      </c>
      <c r="E835" s="91">
        <v>76</v>
      </c>
      <c r="F835" s="91">
        <v>1</v>
      </c>
      <c r="G835" s="126">
        <v>0.529119985160263</v>
      </c>
      <c r="H835" s="126">
        <f t="shared" si="40"/>
        <v>1.31</v>
      </c>
      <c r="I835" s="126" t="str">
        <f t="shared" ref="I835:I898" si="41">INT(H835/31536000)&amp;"y "&amp;INT(MOD(H835,31536000)/86400)&amp;"d "&amp;INT(MOD(MOD(H835,31536000),86400)/3600)&amp;"h "&amp;INT(MOD(MOD(MOD(H835,31536000),86400),3600)/60)&amp;"m"</f>
        <v>0y 0d 0h 0m</v>
      </c>
    </row>
    <row r="836" s="91" customFormat="1" spans="1:9">
      <c r="A836" s="91" t="str">
        <f t="shared" si="39"/>
        <v>Br-77</v>
      </c>
      <c r="B836" s="91" t="s">
        <v>1420</v>
      </c>
      <c r="C836" s="91" t="s">
        <v>1406</v>
      </c>
      <c r="D836" s="91">
        <v>35</v>
      </c>
      <c r="E836" s="91">
        <v>77</v>
      </c>
      <c r="F836" s="91">
        <v>0</v>
      </c>
      <c r="G836" s="126">
        <v>3.37577816622613e-6</v>
      </c>
      <c r="H836" s="126">
        <f t="shared" si="40"/>
        <v>205329.6</v>
      </c>
      <c r="I836" s="126" t="str">
        <f t="shared" si="41"/>
        <v>0y 2d 9h 2m</v>
      </c>
    </row>
    <row r="837" s="91" customFormat="1" spans="1:9">
      <c r="A837" s="91" t="str">
        <f t="shared" si="39"/>
        <v>Br-77m</v>
      </c>
      <c r="B837" s="91" t="s">
        <v>1421</v>
      </c>
      <c r="C837" s="91" t="s">
        <v>1406</v>
      </c>
      <c r="D837" s="91">
        <v>35</v>
      </c>
      <c r="E837" s="91">
        <v>77</v>
      </c>
      <c r="F837" s="91">
        <v>1</v>
      </c>
      <c r="G837" s="126">
        <v>0.00269917126386271</v>
      </c>
      <c r="H837" s="126">
        <f t="shared" si="40"/>
        <v>256.8</v>
      </c>
      <c r="I837" s="126" t="str">
        <f t="shared" si="41"/>
        <v>0y 0d 0h 4m</v>
      </c>
    </row>
    <row r="838" s="91" customFormat="1" spans="1:9">
      <c r="A838" s="91" t="str">
        <f t="shared" si="39"/>
        <v>Br-78</v>
      </c>
      <c r="B838" s="91" t="s">
        <v>1422</v>
      </c>
      <c r="C838" s="91" t="s">
        <v>1406</v>
      </c>
      <c r="D838" s="91">
        <v>35</v>
      </c>
      <c r="E838" s="91">
        <v>78</v>
      </c>
      <c r="F838" s="91">
        <v>0</v>
      </c>
      <c r="G838" s="126">
        <v>0.00179107798594301</v>
      </c>
      <c r="H838" s="126">
        <f t="shared" si="40"/>
        <v>387</v>
      </c>
      <c r="I838" s="126" t="str">
        <f t="shared" si="41"/>
        <v>0y 0d 0h 6m</v>
      </c>
    </row>
    <row r="839" s="91" customFormat="1" spans="1:9">
      <c r="A839" s="91" t="str">
        <f t="shared" si="39"/>
        <v>Br-79</v>
      </c>
      <c r="B839" s="91" t="s">
        <v>1423</v>
      </c>
      <c r="C839" s="91" t="s">
        <v>1406</v>
      </c>
      <c r="D839" s="91">
        <v>35</v>
      </c>
      <c r="E839" s="91">
        <v>79</v>
      </c>
      <c r="F839" s="91">
        <v>0</v>
      </c>
      <c r="G839" s="126">
        <v>0</v>
      </c>
      <c r="H839" s="126">
        <f t="shared" si="40"/>
        <v>0</v>
      </c>
      <c r="I839" s="126" t="str">
        <f t="shared" si="41"/>
        <v>0y 0d 0h 0m</v>
      </c>
    </row>
    <row r="840" s="91" customFormat="1" spans="1:9">
      <c r="A840" s="91" t="str">
        <f t="shared" si="39"/>
        <v>Br-79m</v>
      </c>
      <c r="B840" s="91" t="s">
        <v>1424</v>
      </c>
      <c r="C840" s="91" t="s">
        <v>1406</v>
      </c>
      <c r="D840" s="91">
        <v>35</v>
      </c>
      <c r="E840" s="91">
        <v>79</v>
      </c>
      <c r="F840" s="91">
        <v>1</v>
      </c>
      <c r="G840" s="126">
        <v>0.142622876658424</v>
      </c>
      <c r="H840" s="126">
        <f t="shared" si="40"/>
        <v>4.86000000000003</v>
      </c>
      <c r="I840" s="126" t="str">
        <f t="shared" si="41"/>
        <v>0y 0d 0h 0m</v>
      </c>
    </row>
    <row r="841" s="91" customFormat="1" spans="1:9">
      <c r="A841" s="91" t="str">
        <f t="shared" si="39"/>
        <v>Br-80</v>
      </c>
      <c r="B841" s="91" t="s">
        <v>1425</v>
      </c>
      <c r="C841" s="91" t="s">
        <v>1406</v>
      </c>
      <c r="D841" s="91">
        <v>35</v>
      </c>
      <c r="E841" s="91">
        <v>80</v>
      </c>
      <c r="F841" s="91">
        <v>0</v>
      </c>
      <c r="G841" s="126">
        <v>0.000653419287858168</v>
      </c>
      <c r="H841" s="126">
        <f t="shared" si="40"/>
        <v>1060.8</v>
      </c>
      <c r="I841" s="126" t="str">
        <f t="shared" si="41"/>
        <v>0y 0d 0h 17m</v>
      </c>
    </row>
    <row r="842" s="91" customFormat="1" spans="1:9">
      <c r="A842" s="91" t="str">
        <f t="shared" si="39"/>
        <v>Br-80m</v>
      </c>
      <c r="B842" s="91" t="s">
        <v>1426</v>
      </c>
      <c r="C842" s="91" t="s">
        <v>1406</v>
      </c>
      <c r="D842" s="91">
        <v>35</v>
      </c>
      <c r="E842" s="91">
        <v>80</v>
      </c>
      <c r="F842" s="91">
        <v>1</v>
      </c>
      <c r="G842" s="126">
        <v>4.35563586673167e-5</v>
      </c>
      <c r="H842" s="126">
        <f t="shared" si="40"/>
        <v>15913.8</v>
      </c>
      <c r="I842" s="126" t="str">
        <f t="shared" si="41"/>
        <v>0y 0d 4h 25m</v>
      </c>
    </row>
    <row r="843" s="91" customFormat="1" spans="1:9">
      <c r="A843" s="91" t="str">
        <f t="shared" si="39"/>
        <v>Br-81</v>
      </c>
      <c r="B843" s="91" t="s">
        <v>1427</v>
      </c>
      <c r="C843" s="91" t="s">
        <v>1406</v>
      </c>
      <c r="D843" s="91">
        <v>35</v>
      </c>
      <c r="E843" s="91">
        <v>81</v>
      </c>
      <c r="F843" s="91">
        <v>0</v>
      </c>
      <c r="G843" s="126">
        <v>0</v>
      </c>
      <c r="H843" s="126">
        <f t="shared" si="40"/>
        <v>0</v>
      </c>
      <c r="I843" s="126" t="str">
        <f t="shared" si="41"/>
        <v>0y 0d 0h 0m</v>
      </c>
    </row>
    <row r="844" s="91" customFormat="1" spans="1:9">
      <c r="A844" s="91" t="str">
        <f t="shared" si="39"/>
        <v>Br-82</v>
      </c>
      <c r="B844" s="91" t="s">
        <v>1428</v>
      </c>
      <c r="C844" s="91" t="s">
        <v>1406</v>
      </c>
      <c r="D844" s="91">
        <v>35</v>
      </c>
      <c r="E844" s="91">
        <v>82</v>
      </c>
      <c r="F844" s="91">
        <v>0</v>
      </c>
      <c r="G844" s="126">
        <v>5.45719867039492e-6</v>
      </c>
      <c r="H844" s="126">
        <f t="shared" si="40"/>
        <v>127015.2</v>
      </c>
      <c r="I844" s="126" t="str">
        <f t="shared" si="41"/>
        <v>0y 1d 11h 16m</v>
      </c>
    </row>
    <row r="845" s="91" customFormat="1" spans="1:9">
      <c r="A845" s="91" t="str">
        <f t="shared" si="39"/>
        <v>Br-82m</v>
      </c>
      <c r="B845" s="91" t="s">
        <v>1429</v>
      </c>
      <c r="C845" s="91" t="s">
        <v>1406</v>
      </c>
      <c r="D845" s="91">
        <v>35</v>
      </c>
      <c r="E845" s="91">
        <v>82</v>
      </c>
      <c r="F845" s="91">
        <v>1</v>
      </c>
      <c r="G845" s="126">
        <v>0.00188457634736254</v>
      </c>
      <c r="H845" s="126">
        <f t="shared" si="40"/>
        <v>367.800000000002</v>
      </c>
      <c r="I845" s="126" t="str">
        <f t="shared" si="41"/>
        <v>0y 0d 0h 6m</v>
      </c>
    </row>
    <row r="846" s="91" customFormat="1" spans="1:9">
      <c r="A846" s="91" t="str">
        <f t="shared" si="39"/>
        <v>Br-83</v>
      </c>
      <c r="B846" s="91" t="s">
        <v>1430</v>
      </c>
      <c r="C846" s="91" t="s">
        <v>1406</v>
      </c>
      <c r="D846" s="91">
        <v>35</v>
      </c>
      <c r="E846" s="91">
        <v>83</v>
      </c>
      <c r="F846" s="91">
        <v>0</v>
      </c>
      <c r="G846" s="126">
        <v>8.0225368120364e-5</v>
      </c>
      <c r="H846" s="126">
        <f t="shared" si="40"/>
        <v>8640</v>
      </c>
      <c r="I846" s="126" t="str">
        <f t="shared" si="41"/>
        <v>0y 0d 2h 24m</v>
      </c>
    </row>
    <row r="847" s="91" customFormat="1" spans="1:9">
      <c r="A847" s="91" t="str">
        <f t="shared" si="39"/>
        <v>Br-84</v>
      </c>
      <c r="B847" s="91" t="s">
        <v>1431</v>
      </c>
      <c r="C847" s="91" t="s">
        <v>1406</v>
      </c>
      <c r="D847" s="91">
        <v>35</v>
      </c>
      <c r="E847" s="91">
        <v>84</v>
      </c>
      <c r="F847" s="91">
        <v>0</v>
      </c>
      <c r="G847" s="126">
        <v>0.000363742223215756</v>
      </c>
      <c r="H847" s="126">
        <f t="shared" si="40"/>
        <v>1905.6</v>
      </c>
      <c r="I847" s="126" t="str">
        <f t="shared" si="41"/>
        <v>0y 0d 0h 31m</v>
      </c>
    </row>
    <row r="848" s="91" customFormat="1" spans="1:9">
      <c r="A848" s="91" t="str">
        <f t="shared" si="39"/>
        <v>Br-84m</v>
      </c>
      <c r="B848" s="91" t="s">
        <v>1432</v>
      </c>
      <c r="C848" s="91" t="s">
        <v>1406</v>
      </c>
      <c r="D848" s="91">
        <v>35</v>
      </c>
      <c r="E848" s="91">
        <v>84</v>
      </c>
      <c r="F848" s="91">
        <v>1</v>
      </c>
      <c r="G848" s="126">
        <v>0.00192540883488873</v>
      </c>
      <c r="H848" s="126">
        <f t="shared" si="40"/>
        <v>360.000000000001</v>
      </c>
      <c r="I848" s="126" t="str">
        <f t="shared" si="41"/>
        <v>0y 0d 0h 6m</v>
      </c>
    </row>
    <row r="849" s="91" customFormat="1" spans="1:9">
      <c r="A849" s="91" t="str">
        <f t="shared" si="39"/>
        <v>Br-85</v>
      </c>
      <c r="B849" s="91" t="s">
        <v>1433</v>
      </c>
      <c r="C849" s="91" t="s">
        <v>1406</v>
      </c>
      <c r="D849" s="91">
        <v>35</v>
      </c>
      <c r="E849" s="91">
        <v>85</v>
      </c>
      <c r="F849" s="91">
        <v>0</v>
      </c>
      <c r="G849" s="126">
        <v>0.00398360448597669</v>
      </c>
      <c r="H849" s="126">
        <f t="shared" si="40"/>
        <v>174</v>
      </c>
      <c r="I849" s="126" t="str">
        <f t="shared" si="41"/>
        <v>0y 0d 0h 2m</v>
      </c>
    </row>
    <row r="850" s="91" customFormat="1" spans="1:9">
      <c r="A850" s="91" t="str">
        <f t="shared" si="39"/>
        <v>Br-86</v>
      </c>
      <c r="B850" s="91" t="s">
        <v>1434</v>
      </c>
      <c r="C850" s="91" t="s">
        <v>1406</v>
      </c>
      <c r="D850" s="91">
        <v>35</v>
      </c>
      <c r="E850" s="91">
        <v>86</v>
      </c>
      <c r="F850" s="91">
        <v>0</v>
      </c>
      <c r="G850" s="126">
        <v>0.0126026760101808</v>
      </c>
      <c r="H850" s="126">
        <f t="shared" si="40"/>
        <v>55.0000000000001</v>
      </c>
      <c r="I850" s="126" t="str">
        <f t="shared" si="41"/>
        <v>0y 0d 0h 0m</v>
      </c>
    </row>
    <row r="851" s="91" customFormat="1" spans="1:9">
      <c r="A851" s="91" t="str">
        <f t="shared" si="39"/>
        <v>Br-87</v>
      </c>
      <c r="B851" s="91" t="s">
        <v>1435</v>
      </c>
      <c r="C851" s="91" t="s">
        <v>1406</v>
      </c>
      <c r="D851" s="91">
        <v>35</v>
      </c>
      <c r="E851" s="91">
        <v>87</v>
      </c>
      <c r="F851" s="91">
        <v>0</v>
      </c>
      <c r="G851" s="126">
        <v>0.0124554749426764</v>
      </c>
      <c r="H851" s="126">
        <f t="shared" si="40"/>
        <v>55.6500000000003</v>
      </c>
      <c r="I851" s="126" t="str">
        <f t="shared" si="41"/>
        <v>0y 0d 0h 0m</v>
      </c>
    </row>
    <row r="852" s="91" customFormat="1" spans="1:9">
      <c r="A852" s="91" t="str">
        <f t="shared" si="39"/>
        <v>Br-88</v>
      </c>
      <c r="B852" s="91" t="s">
        <v>1436</v>
      </c>
      <c r="C852" s="91" t="s">
        <v>1406</v>
      </c>
      <c r="D852" s="91">
        <v>35</v>
      </c>
      <c r="E852" s="91">
        <v>88</v>
      </c>
      <c r="F852" s="91">
        <v>0</v>
      </c>
      <c r="G852" s="126">
        <v>0.0425504714892538</v>
      </c>
      <c r="H852" s="126">
        <f t="shared" si="40"/>
        <v>16.29</v>
      </c>
      <c r="I852" s="126" t="str">
        <f t="shared" si="41"/>
        <v>0y 0d 0h 0m</v>
      </c>
    </row>
    <row r="853" s="91" customFormat="1" spans="1:9">
      <c r="A853" s="91" t="str">
        <f t="shared" si="39"/>
        <v>Br-89</v>
      </c>
      <c r="B853" s="91" t="s">
        <v>1437</v>
      </c>
      <c r="C853" s="91" t="s">
        <v>1406</v>
      </c>
      <c r="D853" s="91">
        <v>35</v>
      </c>
      <c r="E853" s="91">
        <v>89</v>
      </c>
      <c r="F853" s="91">
        <v>0</v>
      </c>
      <c r="G853" s="126">
        <v>0.15753345012726</v>
      </c>
      <c r="H853" s="126">
        <f t="shared" si="40"/>
        <v>4.40000000000001</v>
      </c>
      <c r="I853" s="126" t="str">
        <f t="shared" si="41"/>
        <v>0y 0d 0h 0m</v>
      </c>
    </row>
    <row r="854" s="91" customFormat="1" spans="1:9">
      <c r="A854" s="91" t="str">
        <f t="shared" si="39"/>
        <v>Br-90</v>
      </c>
      <c r="B854" s="91" t="s">
        <v>1438</v>
      </c>
      <c r="C854" s="91" t="s">
        <v>1406</v>
      </c>
      <c r="D854" s="91">
        <v>35</v>
      </c>
      <c r="E854" s="91">
        <v>90</v>
      </c>
      <c r="F854" s="91">
        <v>0</v>
      </c>
      <c r="G854" s="126">
        <v>0.361014156541638</v>
      </c>
      <c r="H854" s="126">
        <f t="shared" si="40"/>
        <v>1.92</v>
      </c>
      <c r="I854" s="126" t="str">
        <f t="shared" si="41"/>
        <v>0y 0d 0h 0m</v>
      </c>
    </row>
    <row r="855" s="91" customFormat="1" spans="1:9">
      <c r="A855" s="91" t="str">
        <f t="shared" si="39"/>
        <v>Br-91</v>
      </c>
      <c r="B855" s="91" t="s">
        <v>1439</v>
      </c>
      <c r="C855" s="91" t="s">
        <v>1406</v>
      </c>
      <c r="D855" s="91">
        <v>35</v>
      </c>
      <c r="E855" s="91">
        <v>91</v>
      </c>
      <c r="F855" s="91">
        <v>0</v>
      </c>
      <c r="G855" s="126">
        <v>1.28123323578548</v>
      </c>
      <c r="H855" s="126">
        <f t="shared" si="40"/>
        <v>0.541</v>
      </c>
      <c r="I855" s="126" t="str">
        <f t="shared" si="41"/>
        <v>0y 0d 0h 0m</v>
      </c>
    </row>
    <row r="856" s="91" customFormat="1" spans="1:9">
      <c r="A856" s="91" t="str">
        <f t="shared" si="39"/>
        <v>Br-92</v>
      </c>
      <c r="B856" s="91" t="s">
        <v>1440</v>
      </c>
      <c r="C856" s="91" t="s">
        <v>1406</v>
      </c>
      <c r="D856" s="91">
        <v>35</v>
      </c>
      <c r="E856" s="91">
        <v>92</v>
      </c>
      <c r="F856" s="91">
        <v>0</v>
      </c>
      <c r="G856" s="126">
        <v>2.02083726110771</v>
      </c>
      <c r="H856" s="126">
        <f t="shared" si="40"/>
        <v>0.343</v>
      </c>
      <c r="I856" s="126" t="str">
        <f t="shared" si="41"/>
        <v>0y 0d 0h 0m</v>
      </c>
    </row>
    <row r="857" s="91" customFormat="1" spans="1:9">
      <c r="A857" s="91" t="str">
        <f t="shared" si="39"/>
        <v>Br-93</v>
      </c>
      <c r="B857" s="91" t="s">
        <v>1441</v>
      </c>
      <c r="C857" s="91" t="s">
        <v>1406</v>
      </c>
      <c r="D857" s="91">
        <v>35</v>
      </c>
      <c r="E857" s="91">
        <v>93</v>
      </c>
      <c r="F857" s="91">
        <v>0</v>
      </c>
      <c r="G857" s="126">
        <v>6.79556059372495</v>
      </c>
      <c r="H857" s="126">
        <f t="shared" si="40"/>
        <v>0.102</v>
      </c>
      <c r="I857" s="126" t="str">
        <f t="shared" si="41"/>
        <v>0y 0d 0h 0m</v>
      </c>
    </row>
    <row r="858" s="91" customFormat="1" spans="1:9">
      <c r="A858" s="91" t="str">
        <f t="shared" si="39"/>
        <v>Br-94</v>
      </c>
      <c r="B858" s="91" t="s">
        <v>1442</v>
      </c>
      <c r="C858" s="91" t="s">
        <v>1406</v>
      </c>
      <c r="D858" s="91">
        <v>35</v>
      </c>
      <c r="E858" s="91">
        <v>94</v>
      </c>
      <c r="F858" s="91">
        <v>0</v>
      </c>
      <c r="G858" s="126">
        <v>9.90210257942778</v>
      </c>
      <c r="H858" s="126">
        <f t="shared" si="40"/>
        <v>0.0700000000000001</v>
      </c>
      <c r="I858" s="126" t="str">
        <f t="shared" si="41"/>
        <v>0y 0d 0h 0m</v>
      </c>
    </row>
    <row r="859" s="91" customFormat="1" spans="1:9">
      <c r="A859" s="91" t="str">
        <f t="shared" si="39"/>
        <v>Br-95</v>
      </c>
      <c r="B859" s="91" t="s">
        <v>1443</v>
      </c>
      <c r="C859" s="91" t="s">
        <v>1406</v>
      </c>
      <c r="D859" s="91">
        <v>35</v>
      </c>
      <c r="E859" s="91">
        <v>95</v>
      </c>
      <c r="F859" s="91">
        <v>0</v>
      </c>
      <c r="G859" s="126">
        <v>10.502230008484</v>
      </c>
      <c r="H859" s="126">
        <f t="shared" si="40"/>
        <v>0.0660000000000001</v>
      </c>
      <c r="I859" s="126" t="str">
        <f t="shared" si="41"/>
        <v>0y 0d 0h 0m</v>
      </c>
    </row>
    <row r="860" s="91" customFormat="1" spans="1:9">
      <c r="A860" s="91" t="str">
        <f t="shared" si="39"/>
        <v>Br-96</v>
      </c>
      <c r="B860" s="91" t="s">
        <v>1444</v>
      </c>
      <c r="C860" s="91" t="s">
        <v>1406</v>
      </c>
      <c r="D860" s="91">
        <v>35</v>
      </c>
      <c r="E860" s="91">
        <v>96</v>
      </c>
      <c r="F860" s="91">
        <v>0</v>
      </c>
      <c r="G860" s="126">
        <v>16.5035042990463</v>
      </c>
      <c r="H860" s="126">
        <f t="shared" si="40"/>
        <v>0.042</v>
      </c>
      <c r="I860" s="126" t="str">
        <f t="shared" si="41"/>
        <v>0y 0d 0h 0m</v>
      </c>
    </row>
    <row r="861" s="91" customFormat="1" spans="1:9">
      <c r="A861" s="91" t="str">
        <f t="shared" si="39"/>
        <v>Br-97</v>
      </c>
      <c r="B861" s="91" t="s">
        <v>1445</v>
      </c>
      <c r="C861" s="91" t="s">
        <v>1406</v>
      </c>
      <c r="D861" s="91">
        <v>35</v>
      </c>
      <c r="E861" s="91">
        <v>97</v>
      </c>
      <c r="F861" s="91">
        <v>0</v>
      </c>
      <c r="G861" s="126">
        <v>17.3286795139986</v>
      </c>
      <c r="H861" s="126">
        <f t="shared" si="40"/>
        <v>0.0400000000000001</v>
      </c>
      <c r="I861" s="126" t="str">
        <f t="shared" si="41"/>
        <v>0y 0d 0h 0m</v>
      </c>
    </row>
    <row r="862" s="91" customFormat="1" spans="1:9">
      <c r="A862" s="91" t="str">
        <f t="shared" si="39"/>
        <v>Kr-69</v>
      </c>
      <c r="B862" s="91" t="s">
        <v>1446</v>
      </c>
      <c r="C862" s="91" t="s">
        <v>1447</v>
      </c>
      <c r="D862" s="91">
        <v>36</v>
      </c>
      <c r="E862" s="91">
        <v>69</v>
      </c>
      <c r="F862" s="91">
        <v>0</v>
      </c>
      <c r="G862" s="126">
        <v>21.6608493924982</v>
      </c>
      <c r="H862" s="126">
        <f t="shared" si="40"/>
        <v>0.0320000000000001</v>
      </c>
      <c r="I862" s="126" t="str">
        <f t="shared" si="41"/>
        <v>0y 0d 0h 0m</v>
      </c>
    </row>
    <row r="863" s="91" customFormat="1" spans="1:9">
      <c r="A863" s="91" t="str">
        <f t="shared" si="39"/>
        <v>Kr-70</v>
      </c>
      <c r="B863" s="91" t="s">
        <v>1448</v>
      </c>
      <c r="C863" s="91" t="s">
        <v>1447</v>
      </c>
      <c r="D863" s="91">
        <v>36</v>
      </c>
      <c r="E863" s="91">
        <v>70</v>
      </c>
      <c r="F863" s="91">
        <v>0</v>
      </c>
      <c r="G863" s="126">
        <v>13.3297534723066</v>
      </c>
      <c r="H863" s="126">
        <f t="shared" si="40"/>
        <v>0.0520000000000002</v>
      </c>
      <c r="I863" s="126" t="str">
        <f t="shared" si="41"/>
        <v>0y 0d 0h 0m</v>
      </c>
    </row>
    <row r="864" s="91" customFormat="1" spans="1:9">
      <c r="A864" s="91" t="str">
        <f t="shared" si="39"/>
        <v>Kr-71</v>
      </c>
      <c r="B864" s="91" t="s">
        <v>1449</v>
      </c>
      <c r="C864" s="91" t="s">
        <v>1447</v>
      </c>
      <c r="D864" s="91">
        <v>36</v>
      </c>
      <c r="E864" s="91">
        <v>71</v>
      </c>
      <c r="F864" s="91">
        <v>0</v>
      </c>
      <c r="G864" s="126">
        <v>6.93147180559945</v>
      </c>
      <c r="H864" s="126">
        <f t="shared" si="40"/>
        <v>0.1</v>
      </c>
      <c r="I864" s="126" t="str">
        <f t="shared" si="41"/>
        <v>0y 0d 0h 0m</v>
      </c>
    </row>
    <row r="865" s="91" customFormat="1" spans="1:9">
      <c r="A865" s="91" t="str">
        <f t="shared" si="39"/>
        <v>Kr-72</v>
      </c>
      <c r="B865" s="91" t="s">
        <v>1450</v>
      </c>
      <c r="C865" s="91" t="s">
        <v>1447</v>
      </c>
      <c r="D865" s="91">
        <v>36</v>
      </c>
      <c r="E865" s="91">
        <v>72</v>
      </c>
      <c r="F865" s="91">
        <v>0</v>
      </c>
      <c r="G865" s="126">
        <v>0.0405349228397628</v>
      </c>
      <c r="H865" s="126">
        <f t="shared" si="40"/>
        <v>17.1</v>
      </c>
      <c r="I865" s="126" t="str">
        <f t="shared" si="41"/>
        <v>0y 0d 0h 0m</v>
      </c>
    </row>
    <row r="866" s="91" customFormat="1" spans="1:9">
      <c r="A866" s="91" t="str">
        <f t="shared" si="39"/>
        <v>Kr-73</v>
      </c>
      <c r="B866" s="91" t="s">
        <v>1451</v>
      </c>
      <c r="C866" s="91" t="s">
        <v>1447</v>
      </c>
      <c r="D866" s="91">
        <v>36</v>
      </c>
      <c r="E866" s="91">
        <v>73</v>
      </c>
      <c r="F866" s="91">
        <v>0</v>
      </c>
      <c r="G866" s="126">
        <v>0.0253900066139174</v>
      </c>
      <c r="H866" s="126">
        <f t="shared" si="40"/>
        <v>27.3</v>
      </c>
      <c r="I866" s="126" t="str">
        <f t="shared" si="41"/>
        <v>0y 0d 0h 0m</v>
      </c>
    </row>
    <row r="867" s="91" customFormat="1" spans="1:9">
      <c r="A867" s="91" t="str">
        <f t="shared" si="39"/>
        <v>Kr-74</v>
      </c>
      <c r="B867" s="91" t="s">
        <v>1452</v>
      </c>
      <c r="C867" s="91" t="s">
        <v>1447</v>
      </c>
      <c r="D867" s="91">
        <v>36</v>
      </c>
      <c r="E867" s="91">
        <v>74</v>
      </c>
      <c r="F867" s="91">
        <v>0</v>
      </c>
      <c r="G867" s="126">
        <v>0.00100456113124629</v>
      </c>
      <c r="H867" s="126">
        <f t="shared" si="40"/>
        <v>690.000000000005</v>
      </c>
      <c r="I867" s="126" t="str">
        <f t="shared" si="41"/>
        <v>0y 0d 0h 11m</v>
      </c>
    </row>
    <row r="868" s="91" customFormat="1" spans="1:9">
      <c r="A868" s="91" t="str">
        <f t="shared" si="39"/>
        <v>Kr-75</v>
      </c>
      <c r="B868" s="91" t="s">
        <v>1453</v>
      </c>
      <c r="C868" s="91" t="s">
        <v>1447</v>
      </c>
      <c r="D868" s="91">
        <v>36</v>
      </c>
      <c r="E868" s="91">
        <v>75</v>
      </c>
      <c r="F868" s="91">
        <v>0</v>
      </c>
      <c r="G868" s="126">
        <v>0.00269287948935487</v>
      </c>
      <c r="H868" s="126">
        <f t="shared" si="40"/>
        <v>257.400000000001</v>
      </c>
      <c r="I868" s="126" t="str">
        <f t="shared" si="41"/>
        <v>0y 0d 0h 4m</v>
      </c>
    </row>
    <row r="869" s="91" customFormat="1" spans="1:9">
      <c r="A869" s="91" t="str">
        <f t="shared" si="39"/>
        <v>Kr-76</v>
      </c>
      <c r="B869" s="91" t="s">
        <v>1454</v>
      </c>
      <c r="C869" s="91" t="s">
        <v>1447</v>
      </c>
      <c r="D869" s="91">
        <v>36</v>
      </c>
      <c r="E869" s="91">
        <v>76</v>
      </c>
      <c r="F869" s="91">
        <v>0</v>
      </c>
      <c r="G869" s="126">
        <v>1.30095191546536e-5</v>
      </c>
      <c r="H869" s="126">
        <f t="shared" si="40"/>
        <v>53280.0000000001</v>
      </c>
      <c r="I869" s="126" t="str">
        <f t="shared" si="41"/>
        <v>0y 0d 14h 48m</v>
      </c>
    </row>
    <row r="870" s="91" customFormat="1" spans="1:9">
      <c r="A870" s="91" t="str">
        <f t="shared" si="39"/>
        <v>Kr-77</v>
      </c>
      <c r="B870" s="91" t="s">
        <v>1455</v>
      </c>
      <c r="C870" s="91" t="s">
        <v>1447</v>
      </c>
      <c r="D870" s="91">
        <v>36</v>
      </c>
      <c r="E870" s="91">
        <v>77</v>
      </c>
      <c r="F870" s="91">
        <v>0</v>
      </c>
      <c r="G870" s="126">
        <v>0.000155274906039414</v>
      </c>
      <c r="H870" s="126">
        <f t="shared" si="40"/>
        <v>4464.00000000001</v>
      </c>
      <c r="I870" s="126" t="str">
        <f t="shared" si="41"/>
        <v>0y 0d 1h 14m</v>
      </c>
    </row>
    <row r="871" s="91" customFormat="1" spans="1:9">
      <c r="A871" s="91" t="str">
        <f t="shared" si="39"/>
        <v>Kr-78</v>
      </c>
      <c r="B871" s="91" t="s">
        <v>1456</v>
      </c>
      <c r="C871" s="91" t="s">
        <v>1447</v>
      </c>
      <c r="D871" s="91">
        <v>36</v>
      </c>
      <c r="E871" s="91">
        <v>78</v>
      </c>
      <c r="F871" s="91">
        <v>0</v>
      </c>
      <c r="G871" s="126">
        <v>0</v>
      </c>
      <c r="H871" s="126">
        <f t="shared" si="40"/>
        <v>0</v>
      </c>
      <c r="I871" s="126" t="str">
        <f t="shared" si="41"/>
        <v>0y 0d 0h 0m</v>
      </c>
    </row>
    <row r="872" s="91" customFormat="1" spans="1:9">
      <c r="A872" s="91" t="str">
        <f t="shared" si="39"/>
        <v>Kr-79</v>
      </c>
      <c r="B872" s="91" t="s">
        <v>1457</v>
      </c>
      <c r="C872" s="91" t="s">
        <v>1447</v>
      </c>
      <c r="D872" s="91">
        <v>36</v>
      </c>
      <c r="E872" s="91">
        <v>79</v>
      </c>
      <c r="F872" s="91">
        <v>0</v>
      </c>
      <c r="G872" s="126">
        <v>5.49488822742219e-6</v>
      </c>
      <c r="H872" s="126">
        <f t="shared" si="40"/>
        <v>126144</v>
      </c>
      <c r="I872" s="126" t="str">
        <f t="shared" si="41"/>
        <v>0y 1d 11h 2m</v>
      </c>
    </row>
    <row r="873" s="91" customFormat="1" spans="1:9">
      <c r="A873" s="91" t="str">
        <f t="shared" si="39"/>
        <v>Kr-79m</v>
      </c>
      <c r="B873" s="91" t="s">
        <v>1458</v>
      </c>
      <c r="C873" s="91" t="s">
        <v>1447</v>
      </c>
      <c r="D873" s="91">
        <v>36</v>
      </c>
      <c r="E873" s="91">
        <v>79</v>
      </c>
      <c r="F873" s="91">
        <v>1</v>
      </c>
      <c r="G873" s="126">
        <v>0.0138629436111989</v>
      </c>
      <c r="H873" s="126">
        <f t="shared" si="40"/>
        <v>50</v>
      </c>
      <c r="I873" s="126" t="str">
        <f t="shared" si="41"/>
        <v>0y 0d 0h 0m</v>
      </c>
    </row>
    <row r="874" s="91" customFormat="1" spans="1:9">
      <c r="A874" s="91" t="str">
        <f t="shared" si="39"/>
        <v>Kr-80</v>
      </c>
      <c r="B874" s="91" t="s">
        <v>1459</v>
      </c>
      <c r="C874" s="91" t="s">
        <v>1447</v>
      </c>
      <c r="D874" s="91">
        <v>36</v>
      </c>
      <c r="E874" s="91">
        <v>80</v>
      </c>
      <c r="F874" s="91">
        <v>0</v>
      </c>
      <c r="G874" s="126">
        <v>0</v>
      </c>
      <c r="H874" s="126">
        <f t="shared" si="40"/>
        <v>0</v>
      </c>
      <c r="I874" s="126" t="str">
        <f t="shared" si="41"/>
        <v>0y 0d 0h 0m</v>
      </c>
    </row>
    <row r="875" s="91" customFormat="1" spans="1:9">
      <c r="A875" s="91" t="str">
        <f t="shared" si="39"/>
        <v>Kr-81</v>
      </c>
      <c r="B875" s="91" t="s">
        <v>1460</v>
      </c>
      <c r="C875" s="91" t="s">
        <v>1447</v>
      </c>
      <c r="D875" s="91">
        <v>36</v>
      </c>
      <c r="E875" s="91">
        <v>81</v>
      </c>
      <c r="F875" s="91">
        <v>0</v>
      </c>
      <c r="G875" s="126">
        <v>9.59148905736852e-14</v>
      </c>
      <c r="H875" s="126">
        <f t="shared" si="40"/>
        <v>7226690000000</v>
      </c>
      <c r="I875" s="126" t="str">
        <f t="shared" si="41"/>
        <v>229156y 305d 8h 53m</v>
      </c>
    </row>
    <row r="876" s="91" customFormat="1" spans="1:9">
      <c r="A876" s="91" t="str">
        <f t="shared" si="39"/>
        <v>Kr-81m</v>
      </c>
      <c r="B876" s="91" t="s">
        <v>1461</v>
      </c>
      <c r="C876" s="91" t="s">
        <v>1447</v>
      </c>
      <c r="D876" s="91">
        <v>36</v>
      </c>
      <c r="E876" s="91">
        <v>81</v>
      </c>
      <c r="F876" s="91">
        <v>1</v>
      </c>
      <c r="G876" s="126">
        <v>0.0529119985160263</v>
      </c>
      <c r="H876" s="126">
        <f t="shared" si="40"/>
        <v>13.1</v>
      </c>
      <c r="I876" s="126" t="str">
        <f t="shared" si="41"/>
        <v>0y 0d 0h 0m</v>
      </c>
    </row>
    <row r="877" s="91" customFormat="1" spans="1:9">
      <c r="A877" s="91" t="str">
        <f t="shared" si="39"/>
        <v>Kr-82</v>
      </c>
      <c r="B877" s="91" t="s">
        <v>1462</v>
      </c>
      <c r="C877" s="91" t="s">
        <v>1447</v>
      </c>
      <c r="D877" s="91">
        <v>36</v>
      </c>
      <c r="E877" s="91">
        <v>82</v>
      </c>
      <c r="F877" s="91">
        <v>0</v>
      </c>
      <c r="G877" s="126">
        <v>0</v>
      </c>
      <c r="H877" s="126">
        <f t="shared" si="40"/>
        <v>0</v>
      </c>
      <c r="I877" s="126" t="str">
        <f t="shared" si="41"/>
        <v>0y 0d 0h 0m</v>
      </c>
    </row>
    <row r="878" s="91" customFormat="1" spans="1:9">
      <c r="A878" s="91" t="str">
        <f t="shared" si="39"/>
        <v>Kr-83</v>
      </c>
      <c r="B878" s="91" t="s">
        <v>1463</v>
      </c>
      <c r="C878" s="91" t="s">
        <v>1447</v>
      </c>
      <c r="D878" s="91">
        <v>36</v>
      </c>
      <c r="E878" s="91">
        <v>83</v>
      </c>
      <c r="F878" s="91">
        <v>0</v>
      </c>
      <c r="G878" s="126">
        <v>0</v>
      </c>
      <c r="H878" s="126">
        <f t="shared" si="40"/>
        <v>0</v>
      </c>
      <c r="I878" s="126" t="str">
        <f t="shared" si="41"/>
        <v>0y 0d 0h 0m</v>
      </c>
    </row>
    <row r="879" s="91" customFormat="1" spans="1:9">
      <c r="A879" s="91" t="str">
        <f t="shared" si="39"/>
        <v>Kr-83m</v>
      </c>
      <c r="B879" s="91" t="s">
        <v>1464</v>
      </c>
      <c r="C879" s="91" t="s">
        <v>1447</v>
      </c>
      <c r="D879" s="91">
        <v>36</v>
      </c>
      <c r="E879" s="91">
        <v>83</v>
      </c>
      <c r="F879" s="91">
        <v>1</v>
      </c>
      <c r="G879" s="126">
        <v>0.000105213597534903</v>
      </c>
      <c r="H879" s="126">
        <f t="shared" si="40"/>
        <v>6588.00000000004</v>
      </c>
      <c r="I879" s="126" t="str">
        <f t="shared" si="41"/>
        <v>0y 0d 1h 49m</v>
      </c>
    </row>
    <row r="880" s="91" customFormat="1" spans="1:9">
      <c r="A880" s="91" t="str">
        <f t="shared" si="39"/>
        <v>Kr-84</v>
      </c>
      <c r="B880" s="91" t="s">
        <v>1465</v>
      </c>
      <c r="C880" s="91" t="s">
        <v>1447</v>
      </c>
      <c r="D880" s="91">
        <v>36</v>
      </c>
      <c r="E880" s="91">
        <v>84</v>
      </c>
      <c r="F880" s="91">
        <v>0</v>
      </c>
      <c r="G880" s="126">
        <v>0</v>
      </c>
      <c r="H880" s="126">
        <f t="shared" si="40"/>
        <v>0</v>
      </c>
      <c r="I880" s="126" t="str">
        <f t="shared" si="41"/>
        <v>0y 0d 0h 0m</v>
      </c>
    </row>
    <row r="881" s="91" customFormat="1" spans="1:9">
      <c r="A881" s="91" t="str">
        <f t="shared" si="39"/>
        <v>Kr-85</v>
      </c>
      <c r="B881" s="91" t="s">
        <v>113</v>
      </c>
      <c r="C881" s="91" t="s">
        <v>1447</v>
      </c>
      <c r="D881" s="91">
        <v>36</v>
      </c>
      <c r="E881" s="91">
        <v>85</v>
      </c>
      <c r="F881" s="91">
        <v>0</v>
      </c>
      <c r="G881" s="126">
        <v>2.04207062814938e-9</v>
      </c>
      <c r="H881" s="126">
        <f t="shared" si="40"/>
        <v>339433500.000001</v>
      </c>
      <c r="I881" s="126" t="str">
        <f t="shared" si="41"/>
        <v>10y 278d 15h 5m</v>
      </c>
    </row>
    <row r="882" s="91" customFormat="1" spans="1:9">
      <c r="A882" s="91" t="str">
        <f t="shared" si="39"/>
        <v>Kr-85m</v>
      </c>
      <c r="B882" s="91" t="s">
        <v>1466</v>
      </c>
      <c r="C882" s="91" t="s">
        <v>1447</v>
      </c>
      <c r="D882" s="91">
        <v>36</v>
      </c>
      <c r="E882" s="91">
        <v>85</v>
      </c>
      <c r="F882" s="91">
        <v>1</v>
      </c>
      <c r="G882" s="126">
        <v>4.29778757787664e-5</v>
      </c>
      <c r="H882" s="126">
        <f t="shared" si="40"/>
        <v>16128</v>
      </c>
      <c r="I882" s="126" t="str">
        <f t="shared" si="41"/>
        <v>0y 0d 4h 28m</v>
      </c>
    </row>
    <row r="883" s="91" customFormat="1" spans="1:9">
      <c r="A883" s="91" t="str">
        <f t="shared" si="39"/>
        <v>Kr-86</v>
      </c>
      <c r="B883" s="91" t="s">
        <v>1467</v>
      </c>
      <c r="C883" s="91" t="s">
        <v>1447</v>
      </c>
      <c r="D883" s="91">
        <v>36</v>
      </c>
      <c r="E883" s="91">
        <v>86</v>
      </c>
      <c r="F883" s="91">
        <v>0</v>
      </c>
      <c r="G883" s="126">
        <v>0</v>
      </c>
      <c r="H883" s="126">
        <f t="shared" si="40"/>
        <v>0</v>
      </c>
      <c r="I883" s="126" t="str">
        <f t="shared" si="41"/>
        <v>0y 0d 0h 0m</v>
      </c>
    </row>
    <row r="884" s="91" customFormat="1" spans="1:9">
      <c r="A884" s="91" t="str">
        <f t="shared" si="39"/>
        <v>Kr-87</v>
      </c>
      <c r="B884" s="91" t="s">
        <v>1468</v>
      </c>
      <c r="C884" s="91" t="s">
        <v>1447</v>
      </c>
      <c r="D884" s="91">
        <v>36</v>
      </c>
      <c r="E884" s="91">
        <v>87</v>
      </c>
      <c r="F884" s="91">
        <v>0</v>
      </c>
      <c r="G884" s="126">
        <v>0.000151408296321525</v>
      </c>
      <c r="H884" s="126">
        <f t="shared" si="40"/>
        <v>4578.00000000003</v>
      </c>
      <c r="I884" s="126" t="str">
        <f t="shared" si="41"/>
        <v>0y 0d 1h 16m</v>
      </c>
    </row>
    <row r="885" s="91" customFormat="1" spans="1:9">
      <c r="A885" s="91" t="str">
        <f t="shared" si="39"/>
        <v>Kr-88</v>
      </c>
      <c r="B885" s="91" t="s">
        <v>1469</v>
      </c>
      <c r="C885" s="91" t="s">
        <v>1447</v>
      </c>
      <c r="D885" s="91">
        <v>36</v>
      </c>
      <c r="E885" s="91">
        <v>88</v>
      </c>
      <c r="F885" s="91">
        <v>0</v>
      </c>
      <c r="G885" s="126">
        <v>6.77960857355189e-5</v>
      </c>
      <c r="H885" s="126">
        <f t="shared" si="40"/>
        <v>10224</v>
      </c>
      <c r="I885" s="126" t="str">
        <f t="shared" si="41"/>
        <v>0y 0d 2h 50m</v>
      </c>
    </row>
    <row r="886" s="91" customFormat="1" spans="1:9">
      <c r="A886" s="91" t="str">
        <f t="shared" si="39"/>
        <v>Kr-89</v>
      </c>
      <c r="B886" s="91" t="s">
        <v>1470</v>
      </c>
      <c r="C886" s="91" t="s">
        <v>1447</v>
      </c>
      <c r="D886" s="91">
        <v>36</v>
      </c>
      <c r="E886" s="91">
        <v>89</v>
      </c>
      <c r="F886" s="91">
        <v>0</v>
      </c>
      <c r="G886" s="126">
        <v>0.00366744539978807</v>
      </c>
      <c r="H886" s="126">
        <f t="shared" si="40"/>
        <v>189</v>
      </c>
      <c r="I886" s="126" t="str">
        <f t="shared" si="41"/>
        <v>0y 0d 0h 3m</v>
      </c>
    </row>
    <row r="887" s="91" customFormat="1" spans="1:9">
      <c r="A887" s="91" t="str">
        <f t="shared" si="39"/>
        <v>Kr-90</v>
      </c>
      <c r="B887" s="91" t="s">
        <v>1471</v>
      </c>
      <c r="C887" s="91" t="s">
        <v>1447</v>
      </c>
      <c r="D887" s="91">
        <v>36</v>
      </c>
      <c r="E887" s="91">
        <v>90</v>
      </c>
      <c r="F887" s="91">
        <v>0</v>
      </c>
      <c r="G887" s="126">
        <v>0.021446385537127</v>
      </c>
      <c r="H887" s="126">
        <f t="shared" si="40"/>
        <v>32.32</v>
      </c>
      <c r="I887" s="126" t="str">
        <f t="shared" si="41"/>
        <v>0y 0d 0h 0m</v>
      </c>
    </row>
    <row r="888" s="91" customFormat="1" spans="1:9">
      <c r="A888" s="91" t="str">
        <f t="shared" si="39"/>
        <v>Kr-91</v>
      </c>
      <c r="B888" s="91" t="s">
        <v>1472</v>
      </c>
      <c r="C888" s="91" t="s">
        <v>1447</v>
      </c>
      <c r="D888" s="91">
        <v>36</v>
      </c>
      <c r="E888" s="91">
        <v>91</v>
      </c>
      <c r="F888" s="91">
        <v>0</v>
      </c>
      <c r="G888" s="126">
        <v>0.0808806511738559</v>
      </c>
      <c r="H888" s="126">
        <f t="shared" si="40"/>
        <v>8.57</v>
      </c>
      <c r="I888" s="126" t="str">
        <f t="shared" si="41"/>
        <v>0y 0d 0h 0m</v>
      </c>
    </row>
    <row r="889" s="91" customFormat="1" spans="1:9">
      <c r="A889" s="91" t="str">
        <f t="shared" si="39"/>
        <v>Kr-92</v>
      </c>
      <c r="B889" s="91" t="s">
        <v>1473</v>
      </c>
      <c r="C889" s="91" t="s">
        <v>1447</v>
      </c>
      <c r="D889" s="91">
        <v>36</v>
      </c>
      <c r="E889" s="91">
        <v>92</v>
      </c>
      <c r="F889" s="91">
        <v>0</v>
      </c>
      <c r="G889" s="126">
        <v>0.376710424217361</v>
      </c>
      <c r="H889" s="126">
        <f t="shared" si="40"/>
        <v>1.84</v>
      </c>
      <c r="I889" s="126" t="str">
        <f t="shared" si="41"/>
        <v>0y 0d 0h 0m</v>
      </c>
    </row>
    <row r="890" s="91" customFormat="1" spans="1:9">
      <c r="A890" s="91" t="str">
        <f t="shared" si="39"/>
        <v>Kr-93</v>
      </c>
      <c r="B890" s="91" t="s">
        <v>1474</v>
      </c>
      <c r="C890" s="91" t="s">
        <v>1447</v>
      </c>
      <c r="D890" s="91">
        <v>36</v>
      </c>
      <c r="E890" s="91">
        <v>93</v>
      </c>
      <c r="F890" s="91">
        <v>0</v>
      </c>
      <c r="G890" s="126">
        <v>0.538994697169475</v>
      </c>
      <c r="H890" s="126">
        <f t="shared" si="40"/>
        <v>1.286</v>
      </c>
      <c r="I890" s="126" t="str">
        <f t="shared" si="41"/>
        <v>0y 0d 0h 0m</v>
      </c>
    </row>
    <row r="891" s="91" customFormat="1" spans="1:9">
      <c r="A891" s="91" t="str">
        <f t="shared" si="39"/>
        <v>Kr-94</v>
      </c>
      <c r="B891" s="91" t="s">
        <v>1475</v>
      </c>
      <c r="C891" s="91" t="s">
        <v>1447</v>
      </c>
      <c r="D891" s="91">
        <v>36</v>
      </c>
      <c r="E891" s="91">
        <v>94</v>
      </c>
      <c r="F891" s="91">
        <v>0</v>
      </c>
      <c r="G891" s="126">
        <v>3.26956217245257</v>
      </c>
      <c r="H891" s="126">
        <f t="shared" si="40"/>
        <v>0.212</v>
      </c>
      <c r="I891" s="126" t="str">
        <f t="shared" si="41"/>
        <v>0y 0d 0h 0m</v>
      </c>
    </row>
    <row r="892" s="91" customFormat="1" spans="1:9">
      <c r="A892" s="91" t="str">
        <f t="shared" si="39"/>
        <v>Kr-95</v>
      </c>
      <c r="B892" s="91" t="s">
        <v>1476</v>
      </c>
      <c r="C892" s="91" t="s">
        <v>1447</v>
      </c>
      <c r="D892" s="91">
        <v>36</v>
      </c>
      <c r="E892" s="91">
        <v>95</v>
      </c>
      <c r="F892" s="91">
        <v>0</v>
      </c>
      <c r="G892" s="126">
        <v>6.08023842596443</v>
      </c>
      <c r="H892" s="126">
        <f t="shared" si="40"/>
        <v>0.114</v>
      </c>
      <c r="I892" s="126" t="str">
        <f t="shared" si="41"/>
        <v>0y 0d 0h 0m</v>
      </c>
    </row>
    <row r="893" s="91" customFormat="1" spans="1:9">
      <c r="A893" s="91" t="str">
        <f t="shared" si="39"/>
        <v>Kr-96</v>
      </c>
      <c r="B893" s="91" t="s">
        <v>1477</v>
      </c>
      <c r="C893" s="91" t="s">
        <v>1447</v>
      </c>
      <c r="D893" s="91">
        <v>36</v>
      </c>
      <c r="E893" s="91">
        <v>96</v>
      </c>
      <c r="F893" s="91">
        <v>0</v>
      </c>
      <c r="G893" s="126">
        <v>8.66433975699931</v>
      </c>
      <c r="H893" s="126">
        <f t="shared" si="40"/>
        <v>0.0800000000000001</v>
      </c>
      <c r="I893" s="126" t="str">
        <f t="shared" si="41"/>
        <v>0y 0d 0h 0m</v>
      </c>
    </row>
    <row r="894" s="91" customFormat="1" spans="1:9">
      <c r="A894" s="91" t="str">
        <f t="shared" si="39"/>
        <v>Kr-97</v>
      </c>
      <c r="B894" s="91" t="s">
        <v>1478</v>
      </c>
      <c r="C894" s="91" t="s">
        <v>1447</v>
      </c>
      <c r="D894" s="91">
        <v>36</v>
      </c>
      <c r="E894" s="91">
        <v>97</v>
      </c>
      <c r="F894" s="91">
        <v>0</v>
      </c>
      <c r="G894" s="126">
        <v>11.0023361993642</v>
      </c>
      <c r="H894" s="126">
        <f t="shared" si="40"/>
        <v>0.0630000000000001</v>
      </c>
      <c r="I894" s="126" t="str">
        <f t="shared" si="41"/>
        <v>0y 0d 0h 0m</v>
      </c>
    </row>
    <row r="895" s="91" customFormat="1" spans="1:9">
      <c r="A895" s="91" t="str">
        <f t="shared" si="39"/>
        <v>Kr-98</v>
      </c>
      <c r="B895" s="91" t="s">
        <v>1479</v>
      </c>
      <c r="C895" s="91" t="s">
        <v>1447</v>
      </c>
      <c r="D895" s="91">
        <v>36</v>
      </c>
      <c r="E895" s="91">
        <v>98</v>
      </c>
      <c r="F895" s="91">
        <v>0</v>
      </c>
      <c r="G895" s="126">
        <v>15.0684169686944</v>
      </c>
      <c r="H895" s="126">
        <f t="shared" si="40"/>
        <v>0.0460000000000002</v>
      </c>
      <c r="I895" s="126" t="str">
        <f t="shared" si="41"/>
        <v>0y 0d 0h 0m</v>
      </c>
    </row>
    <row r="896" s="91" customFormat="1" spans="1:9">
      <c r="A896" s="91" t="str">
        <f t="shared" si="39"/>
        <v>Kr-99</v>
      </c>
      <c r="B896" s="91" t="s">
        <v>1480</v>
      </c>
      <c r="C896" s="91" t="s">
        <v>1447</v>
      </c>
      <c r="D896" s="91">
        <v>36</v>
      </c>
      <c r="E896" s="91">
        <v>99</v>
      </c>
      <c r="F896" s="91">
        <v>0</v>
      </c>
      <c r="G896" s="126">
        <v>25.6721177985164</v>
      </c>
      <c r="H896" s="126">
        <f t="shared" si="40"/>
        <v>0.0270000000000001</v>
      </c>
      <c r="I896" s="126" t="str">
        <f t="shared" si="41"/>
        <v>0y 0d 0h 0m</v>
      </c>
    </row>
    <row r="897" s="91" customFormat="1" spans="1:9">
      <c r="A897" s="91" t="str">
        <f t="shared" si="39"/>
        <v>Kr-100</v>
      </c>
      <c r="B897" s="91" t="s">
        <v>1481</v>
      </c>
      <c r="C897" s="91" t="s">
        <v>1447</v>
      </c>
      <c r="D897" s="91">
        <v>36</v>
      </c>
      <c r="E897" s="91">
        <v>100</v>
      </c>
      <c r="F897" s="91">
        <v>0</v>
      </c>
      <c r="G897" s="126">
        <v>99.0210257942778</v>
      </c>
      <c r="H897" s="126">
        <f t="shared" si="40"/>
        <v>0.00700000000000001</v>
      </c>
      <c r="I897" s="126" t="str">
        <f t="shared" si="41"/>
        <v>0y 0d 0h 0m</v>
      </c>
    </row>
    <row r="898" s="91" customFormat="1" spans="1:9">
      <c r="A898" s="91" t="str">
        <f t="shared" ref="A898:A961" si="42">C898&amp;"-"&amp;E898&amp;_xlfn.IFS(F898=0,"",F898=1,"m",F898&gt;1,"m"&amp;F898)</f>
        <v>Rb-71</v>
      </c>
      <c r="B898" s="91" t="s">
        <v>1482</v>
      </c>
      <c r="C898" s="91" t="s">
        <v>1483</v>
      </c>
      <c r="D898" s="91">
        <v>37</v>
      </c>
      <c r="E898" s="91">
        <v>71</v>
      </c>
      <c r="F898" s="91">
        <v>0</v>
      </c>
      <c r="G898" s="126">
        <v>693147180.559945</v>
      </c>
      <c r="H898" s="126">
        <f t="shared" ref="H898:H961" si="43">IF(G898&gt;0,LN(2)/G898,0)</f>
        <v>1e-9</v>
      </c>
      <c r="I898" s="126" t="str">
        <f t="shared" si="41"/>
        <v>0y 0d 0h 0m</v>
      </c>
    </row>
    <row r="899" s="91" customFormat="1" spans="1:9">
      <c r="A899" s="91" t="str">
        <f t="shared" si="42"/>
        <v>Rb-72</v>
      </c>
      <c r="B899" s="91" t="s">
        <v>1484</v>
      </c>
      <c r="C899" s="91" t="s">
        <v>1483</v>
      </c>
      <c r="D899" s="91">
        <v>37</v>
      </c>
      <c r="E899" s="91">
        <v>72</v>
      </c>
      <c r="F899" s="91">
        <v>0</v>
      </c>
      <c r="G899" s="126">
        <v>577622.650466621</v>
      </c>
      <c r="H899" s="126">
        <f t="shared" si="43"/>
        <v>1.2e-6</v>
      </c>
      <c r="I899" s="126" t="str">
        <f t="shared" ref="I899:I962" si="44">INT(H899/31536000)&amp;"y "&amp;INT(MOD(H899,31536000)/86400)&amp;"d "&amp;INT(MOD(MOD(H899,31536000),86400)/3600)&amp;"h "&amp;INT(MOD(MOD(MOD(H899,31536000),86400),3600)/60)&amp;"m"</f>
        <v>0y 0d 0h 0m</v>
      </c>
    </row>
    <row r="900" s="91" customFormat="1" spans="1:9">
      <c r="A900" s="91" t="str">
        <f t="shared" si="42"/>
        <v>Rb-73</v>
      </c>
      <c r="B900" s="91" t="s">
        <v>1485</v>
      </c>
      <c r="C900" s="91" t="s">
        <v>1483</v>
      </c>
      <c r="D900" s="91">
        <v>37</v>
      </c>
      <c r="E900" s="91">
        <v>73</v>
      </c>
      <c r="F900" s="91">
        <v>0</v>
      </c>
      <c r="G900" s="126">
        <v>23104906.0186648</v>
      </c>
      <c r="H900" s="126">
        <f t="shared" si="43"/>
        <v>3.00000000000001e-8</v>
      </c>
      <c r="I900" s="126" t="str">
        <f t="shared" si="44"/>
        <v>0y 0d 0h 0m</v>
      </c>
    </row>
    <row r="901" s="91" customFormat="1" spans="1:9">
      <c r="A901" s="91" t="str">
        <f t="shared" si="42"/>
        <v>Rb-74</v>
      </c>
      <c r="B901" s="91" t="s">
        <v>1486</v>
      </c>
      <c r="C901" s="91" t="s">
        <v>1483</v>
      </c>
      <c r="D901" s="91">
        <v>37</v>
      </c>
      <c r="E901" s="91">
        <v>74</v>
      </c>
      <c r="F901" s="91">
        <v>0</v>
      </c>
      <c r="G901" s="126">
        <v>10.7006789638129</v>
      </c>
      <c r="H901" s="126">
        <f t="shared" si="43"/>
        <v>0.0647760000000001</v>
      </c>
      <c r="I901" s="126" t="str">
        <f t="shared" si="44"/>
        <v>0y 0d 0h 0m</v>
      </c>
    </row>
    <row r="902" s="91" customFormat="1" spans="1:9">
      <c r="A902" s="91" t="str">
        <f t="shared" si="42"/>
        <v>Rb-75</v>
      </c>
      <c r="B902" s="91" t="s">
        <v>1487</v>
      </c>
      <c r="C902" s="91" t="s">
        <v>1483</v>
      </c>
      <c r="D902" s="91">
        <v>37</v>
      </c>
      <c r="E902" s="91">
        <v>75</v>
      </c>
      <c r="F902" s="91">
        <v>0</v>
      </c>
      <c r="G902" s="126">
        <v>0.0364814305557865</v>
      </c>
      <c r="H902" s="126">
        <f t="shared" si="43"/>
        <v>19</v>
      </c>
      <c r="I902" s="126" t="str">
        <f t="shared" si="44"/>
        <v>0y 0d 0h 0m</v>
      </c>
    </row>
    <row r="903" s="91" customFormat="1" spans="1:9">
      <c r="A903" s="91" t="str">
        <f t="shared" si="42"/>
        <v>Rb-76</v>
      </c>
      <c r="B903" s="91" t="s">
        <v>1488</v>
      </c>
      <c r="C903" s="91" t="s">
        <v>1483</v>
      </c>
      <c r="D903" s="91">
        <v>37</v>
      </c>
      <c r="E903" s="91">
        <v>76</v>
      </c>
      <c r="F903" s="91">
        <v>0</v>
      </c>
      <c r="G903" s="126">
        <v>0.0189903337139711</v>
      </c>
      <c r="H903" s="126">
        <f t="shared" si="43"/>
        <v>36.5</v>
      </c>
      <c r="I903" s="126" t="str">
        <f t="shared" si="44"/>
        <v>0y 0d 0h 0m</v>
      </c>
    </row>
    <row r="904" s="91" customFormat="1" spans="1:9">
      <c r="A904" s="91" t="str">
        <f t="shared" si="42"/>
        <v>Rb-77</v>
      </c>
      <c r="B904" s="91" t="s">
        <v>1489</v>
      </c>
      <c r="C904" s="91" t="s">
        <v>1483</v>
      </c>
      <c r="D904" s="91">
        <v>37</v>
      </c>
      <c r="E904" s="91">
        <v>77</v>
      </c>
      <c r="F904" s="91">
        <v>0</v>
      </c>
      <c r="G904" s="126">
        <v>0.00306431114305899</v>
      </c>
      <c r="H904" s="126">
        <f t="shared" si="43"/>
        <v>226.200000000001</v>
      </c>
      <c r="I904" s="126" t="str">
        <f t="shared" si="44"/>
        <v>0y 0d 0h 3m</v>
      </c>
    </row>
    <row r="905" s="91" customFormat="1" spans="1:9">
      <c r="A905" s="91" t="str">
        <f t="shared" si="42"/>
        <v>Rb-78</v>
      </c>
      <c r="B905" s="91" t="s">
        <v>1490</v>
      </c>
      <c r="C905" s="91" t="s">
        <v>1483</v>
      </c>
      <c r="D905" s="91">
        <v>37</v>
      </c>
      <c r="E905" s="91">
        <v>78</v>
      </c>
      <c r="F905" s="91">
        <v>0</v>
      </c>
      <c r="G905" s="126">
        <v>0.000654159287051666</v>
      </c>
      <c r="H905" s="126">
        <f t="shared" si="43"/>
        <v>1059.6</v>
      </c>
      <c r="I905" s="126" t="str">
        <f t="shared" si="44"/>
        <v>0y 0d 0h 17m</v>
      </c>
    </row>
    <row r="906" s="91" customFormat="1" spans="1:9">
      <c r="A906" s="91" t="str">
        <f t="shared" si="42"/>
        <v>Rb-78m</v>
      </c>
      <c r="B906" s="91" t="s">
        <v>1491</v>
      </c>
      <c r="C906" s="91" t="s">
        <v>1483</v>
      </c>
      <c r="D906" s="91">
        <v>37</v>
      </c>
      <c r="E906" s="91">
        <v>78</v>
      </c>
      <c r="F906" s="91">
        <v>1</v>
      </c>
      <c r="G906" s="126">
        <v>0.00201262247549345</v>
      </c>
      <c r="H906" s="126">
        <f t="shared" si="43"/>
        <v>344.400000000001</v>
      </c>
      <c r="I906" s="126" t="str">
        <f t="shared" si="44"/>
        <v>0y 0d 0h 5m</v>
      </c>
    </row>
    <row r="907" s="91" customFormat="1" spans="1:9">
      <c r="A907" s="91" t="str">
        <f t="shared" si="42"/>
        <v>Rb-79</v>
      </c>
      <c r="B907" s="91" t="s">
        <v>1492</v>
      </c>
      <c r="C907" s="91" t="s">
        <v>1483</v>
      </c>
      <c r="D907" s="91">
        <v>37</v>
      </c>
      <c r="E907" s="91">
        <v>79</v>
      </c>
      <c r="F907" s="91">
        <v>0</v>
      </c>
      <c r="G907" s="126">
        <v>0.000504473930538533</v>
      </c>
      <c r="H907" s="126">
        <f t="shared" si="43"/>
        <v>1374</v>
      </c>
      <c r="I907" s="126" t="str">
        <f t="shared" si="44"/>
        <v>0y 0d 0h 22m</v>
      </c>
    </row>
    <row r="908" s="91" customFormat="1" spans="1:9">
      <c r="A908" s="91" t="str">
        <f t="shared" si="42"/>
        <v>Rb-80</v>
      </c>
      <c r="B908" s="91" t="s">
        <v>1493</v>
      </c>
      <c r="C908" s="91" t="s">
        <v>1483</v>
      </c>
      <c r="D908" s="91">
        <v>37</v>
      </c>
      <c r="E908" s="91">
        <v>80</v>
      </c>
      <c r="F908" s="91">
        <v>0</v>
      </c>
      <c r="G908" s="126">
        <v>0.0203866817811748</v>
      </c>
      <c r="H908" s="126">
        <f t="shared" si="43"/>
        <v>34.0000000000001</v>
      </c>
      <c r="I908" s="126" t="str">
        <f t="shared" si="44"/>
        <v>0y 0d 0h 0m</v>
      </c>
    </row>
    <row r="909" s="91" customFormat="1" spans="1:9">
      <c r="A909" s="91" t="str">
        <f t="shared" si="42"/>
        <v>Rb-81</v>
      </c>
      <c r="B909" s="91" t="s">
        <v>1494</v>
      </c>
      <c r="C909" s="91" t="s">
        <v>1483</v>
      </c>
      <c r="D909" s="91">
        <v>37</v>
      </c>
      <c r="E909" s="91">
        <v>81</v>
      </c>
      <c r="F909" s="91">
        <v>0</v>
      </c>
      <c r="G909" s="126">
        <v>4.21130541314246e-5</v>
      </c>
      <c r="H909" s="126">
        <f t="shared" si="43"/>
        <v>16459.2</v>
      </c>
      <c r="I909" s="126" t="str">
        <f t="shared" si="44"/>
        <v>0y 0d 4h 34m</v>
      </c>
    </row>
    <row r="910" s="91" customFormat="1" spans="1:9">
      <c r="A910" s="91" t="str">
        <f t="shared" si="42"/>
        <v>Rb-81m</v>
      </c>
      <c r="B910" s="91" t="s">
        <v>1495</v>
      </c>
      <c r="C910" s="91" t="s">
        <v>1483</v>
      </c>
      <c r="D910" s="91">
        <v>37</v>
      </c>
      <c r="E910" s="91">
        <v>81</v>
      </c>
      <c r="F910" s="91">
        <v>1</v>
      </c>
      <c r="G910" s="126">
        <v>0.000378768951125653</v>
      </c>
      <c r="H910" s="126">
        <f t="shared" si="43"/>
        <v>1830</v>
      </c>
      <c r="I910" s="126" t="str">
        <f t="shared" si="44"/>
        <v>0y 0d 0h 30m</v>
      </c>
    </row>
    <row r="911" s="91" customFormat="1" spans="1:9">
      <c r="A911" s="91" t="str">
        <f t="shared" si="42"/>
        <v>Rb-82</v>
      </c>
      <c r="B911" s="91" t="s">
        <v>1496</v>
      </c>
      <c r="C911" s="91" t="s">
        <v>1483</v>
      </c>
      <c r="D911" s="91">
        <v>37</v>
      </c>
      <c r="E911" s="91">
        <v>82</v>
      </c>
      <c r="F911" s="91">
        <v>0</v>
      </c>
      <c r="G911" s="126">
        <v>0.00918684135931007</v>
      </c>
      <c r="H911" s="126">
        <f t="shared" si="43"/>
        <v>75.45</v>
      </c>
      <c r="I911" s="126" t="str">
        <f t="shared" si="44"/>
        <v>0y 0d 0h 1m</v>
      </c>
    </row>
    <row r="912" s="91" customFormat="1" spans="1:9">
      <c r="A912" s="91" t="str">
        <f t="shared" si="42"/>
        <v>Rb-82m</v>
      </c>
      <c r="B912" s="91" t="s">
        <v>1497</v>
      </c>
      <c r="C912" s="91" t="s">
        <v>1483</v>
      </c>
      <c r="D912" s="91">
        <v>37</v>
      </c>
      <c r="E912" s="91">
        <v>82</v>
      </c>
      <c r="F912" s="91">
        <v>1</v>
      </c>
      <c r="G912" s="126">
        <v>2.97498274859199e-5</v>
      </c>
      <c r="H912" s="126">
        <f t="shared" si="43"/>
        <v>23299.2</v>
      </c>
      <c r="I912" s="126" t="str">
        <f t="shared" si="44"/>
        <v>0y 0d 6h 28m</v>
      </c>
    </row>
    <row r="913" s="91" customFormat="1" spans="1:9">
      <c r="A913" s="91" t="str">
        <f t="shared" si="42"/>
        <v>Rb-83</v>
      </c>
      <c r="B913" s="91" t="s">
        <v>1498</v>
      </c>
      <c r="C913" s="91" t="s">
        <v>1483</v>
      </c>
      <c r="D913" s="91">
        <v>37</v>
      </c>
      <c r="E913" s="91">
        <v>83</v>
      </c>
      <c r="F913" s="91">
        <v>0</v>
      </c>
      <c r="G913" s="126">
        <v>9.30688725294246e-8</v>
      </c>
      <c r="H913" s="126">
        <f t="shared" si="43"/>
        <v>7447680</v>
      </c>
      <c r="I913" s="126" t="str">
        <f t="shared" si="44"/>
        <v>0y 86d 4h 48m</v>
      </c>
    </row>
    <row r="914" s="91" customFormat="1" spans="1:9">
      <c r="A914" s="91" t="str">
        <f t="shared" si="42"/>
        <v>Rb-84</v>
      </c>
      <c r="B914" s="91" t="s">
        <v>1499</v>
      </c>
      <c r="C914" s="91" t="s">
        <v>1483</v>
      </c>
      <c r="D914" s="91">
        <v>37</v>
      </c>
      <c r="E914" s="91">
        <v>84</v>
      </c>
      <c r="F914" s="91">
        <v>0</v>
      </c>
      <c r="G914" s="126">
        <v>2.44440487874357e-7</v>
      </c>
      <c r="H914" s="126">
        <f t="shared" si="43"/>
        <v>2835648</v>
      </c>
      <c r="I914" s="126" t="str">
        <f t="shared" si="44"/>
        <v>0y 32d 19h 40m</v>
      </c>
    </row>
    <row r="915" s="91" customFormat="1" spans="1:9">
      <c r="A915" s="91" t="str">
        <f t="shared" si="42"/>
        <v>Rb-84m</v>
      </c>
      <c r="B915" s="91" t="s">
        <v>1500</v>
      </c>
      <c r="C915" s="91" t="s">
        <v>1483</v>
      </c>
      <c r="D915" s="91">
        <v>37</v>
      </c>
      <c r="E915" s="91">
        <v>84</v>
      </c>
      <c r="F915" s="91">
        <v>1</v>
      </c>
      <c r="G915" s="126">
        <v>0.000570209921487286</v>
      </c>
      <c r="H915" s="126">
        <f t="shared" si="43"/>
        <v>1215.6</v>
      </c>
      <c r="I915" s="126" t="str">
        <f t="shared" si="44"/>
        <v>0y 0d 0h 20m</v>
      </c>
    </row>
    <row r="916" s="91" customFormat="1" spans="1:9">
      <c r="A916" s="91" t="str">
        <f t="shared" si="42"/>
        <v>Rb-85</v>
      </c>
      <c r="B916" s="91" t="s">
        <v>1501</v>
      </c>
      <c r="C916" s="91" t="s">
        <v>1483</v>
      </c>
      <c r="D916" s="91">
        <v>37</v>
      </c>
      <c r="E916" s="91">
        <v>85</v>
      </c>
      <c r="F916" s="91">
        <v>0</v>
      </c>
      <c r="G916" s="126">
        <v>0</v>
      </c>
      <c r="H916" s="126">
        <f t="shared" si="43"/>
        <v>0</v>
      </c>
      <c r="I916" s="126" t="str">
        <f t="shared" si="44"/>
        <v>0y 0d 0h 0m</v>
      </c>
    </row>
    <row r="917" s="91" customFormat="1" spans="1:9">
      <c r="A917" s="91" t="str">
        <f t="shared" si="42"/>
        <v>Rb-86</v>
      </c>
      <c r="B917" s="91" t="s">
        <v>1502</v>
      </c>
      <c r="C917" s="91" t="s">
        <v>1483</v>
      </c>
      <c r="D917" s="91">
        <v>37</v>
      </c>
      <c r="E917" s="91">
        <v>86</v>
      </c>
      <c r="F917" s="91">
        <v>0</v>
      </c>
      <c r="G917" s="126">
        <v>4.30601621252881e-7</v>
      </c>
      <c r="H917" s="126">
        <f t="shared" si="43"/>
        <v>1609718</v>
      </c>
      <c r="I917" s="126" t="str">
        <f t="shared" si="44"/>
        <v>0y 18d 15h 8m</v>
      </c>
    </row>
    <row r="918" s="91" customFormat="1" spans="1:9">
      <c r="A918" s="91" t="str">
        <f t="shared" si="42"/>
        <v>Rb-86m</v>
      </c>
      <c r="B918" s="91" t="s">
        <v>1503</v>
      </c>
      <c r="C918" s="91" t="s">
        <v>1483</v>
      </c>
      <c r="D918" s="91">
        <v>37</v>
      </c>
      <c r="E918" s="91">
        <v>86</v>
      </c>
      <c r="F918" s="91">
        <v>1</v>
      </c>
      <c r="G918" s="126">
        <v>0.0113593441586356</v>
      </c>
      <c r="H918" s="126">
        <f t="shared" si="43"/>
        <v>61.0200000000001</v>
      </c>
      <c r="I918" s="126" t="str">
        <f t="shared" si="44"/>
        <v>0y 0d 0h 1m</v>
      </c>
    </row>
    <row r="919" s="91" customFormat="1" spans="1:9">
      <c r="A919" s="91" t="str">
        <f t="shared" si="42"/>
        <v>Rb-87</v>
      </c>
      <c r="B919" s="91" t="s">
        <v>1504</v>
      </c>
      <c r="C919" s="91" t="s">
        <v>1483</v>
      </c>
      <c r="D919" s="91">
        <v>37</v>
      </c>
      <c r="E919" s="91">
        <v>87</v>
      </c>
      <c r="F919" s="91">
        <v>0</v>
      </c>
      <c r="G919" s="126">
        <v>4.56642761515722e-19</v>
      </c>
      <c r="H919" s="126">
        <f t="shared" si="43"/>
        <v>1.51792e+18</v>
      </c>
      <c r="I919" s="126" t="str">
        <f t="shared" si="44"/>
        <v>48132927447y 363d 12h 45m</v>
      </c>
    </row>
    <row r="920" s="91" customFormat="1" spans="1:9">
      <c r="A920" s="91" t="str">
        <f t="shared" si="42"/>
        <v>Rb-88</v>
      </c>
      <c r="B920" s="91" t="s">
        <v>1505</v>
      </c>
      <c r="C920" s="91" t="s">
        <v>1483</v>
      </c>
      <c r="D920" s="91">
        <v>37</v>
      </c>
      <c r="E920" s="91">
        <v>88</v>
      </c>
      <c r="F920" s="91">
        <v>0</v>
      </c>
      <c r="G920" s="126">
        <v>0.000650000169320453</v>
      </c>
      <c r="H920" s="126">
        <f t="shared" si="43"/>
        <v>1066.38</v>
      </c>
      <c r="I920" s="126" t="str">
        <f t="shared" si="44"/>
        <v>0y 0d 0h 17m</v>
      </c>
    </row>
    <row r="921" s="91" customFormat="1" spans="1:9">
      <c r="A921" s="91" t="str">
        <f t="shared" si="42"/>
        <v>Rb-89</v>
      </c>
      <c r="B921" s="91" t="s">
        <v>1506</v>
      </c>
      <c r="C921" s="91" t="s">
        <v>1483</v>
      </c>
      <c r="D921" s="91">
        <v>37</v>
      </c>
      <c r="E921" s="91">
        <v>89</v>
      </c>
      <c r="F921" s="91">
        <v>0</v>
      </c>
      <c r="G921" s="126">
        <v>0.000762538152431182</v>
      </c>
      <c r="H921" s="126">
        <f t="shared" si="43"/>
        <v>909.000000000001</v>
      </c>
      <c r="I921" s="126" t="str">
        <f t="shared" si="44"/>
        <v>0y 0d 0h 15m</v>
      </c>
    </row>
    <row r="922" s="91" customFormat="1" spans="1:9">
      <c r="A922" s="91" t="str">
        <f t="shared" si="42"/>
        <v>Rb-90</v>
      </c>
      <c r="B922" s="91" t="s">
        <v>1507</v>
      </c>
      <c r="C922" s="91" t="s">
        <v>1483</v>
      </c>
      <c r="D922" s="91">
        <v>37</v>
      </c>
      <c r="E922" s="91">
        <v>90</v>
      </c>
      <c r="F922" s="91">
        <v>0</v>
      </c>
      <c r="G922" s="126">
        <v>0.00438700747189838</v>
      </c>
      <c r="H922" s="126">
        <f t="shared" si="43"/>
        <v>158</v>
      </c>
      <c r="I922" s="126" t="str">
        <f t="shared" si="44"/>
        <v>0y 0d 0h 2m</v>
      </c>
    </row>
    <row r="923" s="91" customFormat="1" spans="1:9">
      <c r="A923" s="91" t="str">
        <f t="shared" si="42"/>
        <v>Rb-90m</v>
      </c>
      <c r="B923" s="91" t="s">
        <v>1508</v>
      </c>
      <c r="C923" s="91" t="s">
        <v>1483</v>
      </c>
      <c r="D923" s="91">
        <v>37</v>
      </c>
      <c r="E923" s="91">
        <v>90</v>
      </c>
      <c r="F923" s="91">
        <v>1</v>
      </c>
      <c r="G923" s="126">
        <v>0.00268661697891451</v>
      </c>
      <c r="H923" s="126">
        <f t="shared" si="43"/>
        <v>258.000000000001</v>
      </c>
      <c r="I923" s="126" t="str">
        <f t="shared" si="44"/>
        <v>0y 0d 0h 4m</v>
      </c>
    </row>
    <row r="924" s="91" customFormat="1" spans="1:9">
      <c r="A924" s="91" t="str">
        <f t="shared" si="42"/>
        <v>Rb-91</v>
      </c>
      <c r="B924" s="91" t="s">
        <v>1509</v>
      </c>
      <c r="C924" s="91" t="s">
        <v>1483</v>
      </c>
      <c r="D924" s="91">
        <v>37</v>
      </c>
      <c r="E924" s="91">
        <v>91</v>
      </c>
      <c r="F924" s="91">
        <v>0</v>
      </c>
      <c r="G924" s="126">
        <v>0.0118689585712319</v>
      </c>
      <c r="H924" s="126">
        <f t="shared" si="43"/>
        <v>58.4000000000002</v>
      </c>
      <c r="I924" s="126" t="str">
        <f t="shared" si="44"/>
        <v>0y 0d 0h 0m</v>
      </c>
    </row>
    <row r="925" s="91" customFormat="1" spans="1:9">
      <c r="A925" s="91" t="str">
        <f t="shared" si="42"/>
        <v>Rb-92</v>
      </c>
      <c r="B925" s="91" t="s">
        <v>1510</v>
      </c>
      <c r="C925" s="91" t="s">
        <v>1483</v>
      </c>
      <c r="D925" s="91">
        <v>37</v>
      </c>
      <c r="E925" s="91">
        <v>92</v>
      </c>
      <c r="F925" s="91">
        <v>0</v>
      </c>
      <c r="G925" s="126">
        <v>0.1543070304007</v>
      </c>
      <c r="H925" s="126">
        <f t="shared" si="43"/>
        <v>4.49200000000001</v>
      </c>
      <c r="I925" s="126" t="str">
        <f t="shared" si="44"/>
        <v>0y 0d 0h 0m</v>
      </c>
    </row>
    <row r="926" s="91" customFormat="1" spans="1:9">
      <c r="A926" s="91" t="str">
        <f t="shared" si="42"/>
        <v>Rb-93</v>
      </c>
      <c r="B926" s="91" t="s">
        <v>1511</v>
      </c>
      <c r="C926" s="91" t="s">
        <v>1483</v>
      </c>
      <c r="D926" s="91">
        <v>37</v>
      </c>
      <c r="E926" s="91">
        <v>93</v>
      </c>
      <c r="F926" s="91">
        <v>0</v>
      </c>
      <c r="G926" s="126">
        <v>0.118689585712319</v>
      </c>
      <c r="H926" s="126">
        <f t="shared" si="43"/>
        <v>5.84000000000002</v>
      </c>
      <c r="I926" s="126" t="str">
        <f t="shared" si="44"/>
        <v>0y 0d 0h 0m</v>
      </c>
    </row>
    <row r="927" s="91" customFormat="1" spans="1:9">
      <c r="A927" s="91" t="str">
        <f t="shared" si="42"/>
        <v>Rb-94</v>
      </c>
      <c r="B927" s="91" t="s">
        <v>1512</v>
      </c>
      <c r="C927" s="91" t="s">
        <v>1483</v>
      </c>
      <c r="D927" s="91">
        <v>37</v>
      </c>
      <c r="E927" s="91">
        <v>94</v>
      </c>
      <c r="F927" s="91">
        <v>0</v>
      </c>
      <c r="G927" s="126">
        <v>0.256531154907455</v>
      </c>
      <c r="H927" s="126">
        <f t="shared" si="43"/>
        <v>2.70200000000001</v>
      </c>
      <c r="I927" s="126" t="str">
        <f t="shared" si="44"/>
        <v>0y 0d 0h 0m</v>
      </c>
    </row>
    <row r="928" s="91" customFormat="1" spans="1:9">
      <c r="A928" s="91" t="str">
        <f t="shared" si="42"/>
        <v>Rb-95</v>
      </c>
      <c r="B928" s="91" t="s">
        <v>1513</v>
      </c>
      <c r="C928" s="91" t="s">
        <v>1483</v>
      </c>
      <c r="D928" s="91">
        <v>37</v>
      </c>
      <c r="E928" s="91">
        <v>95</v>
      </c>
      <c r="F928" s="91">
        <v>0</v>
      </c>
      <c r="G928" s="126">
        <v>1.83517919131571</v>
      </c>
      <c r="H928" s="126">
        <f t="shared" si="43"/>
        <v>0.377700000000001</v>
      </c>
      <c r="I928" s="126" t="str">
        <f t="shared" si="44"/>
        <v>0y 0d 0h 0m</v>
      </c>
    </row>
    <row r="929" s="91" customFormat="1" spans="1:9">
      <c r="A929" s="91" t="str">
        <f t="shared" si="42"/>
        <v>Rb-96</v>
      </c>
      <c r="B929" s="91" t="s">
        <v>1514</v>
      </c>
      <c r="C929" s="91" t="s">
        <v>1483</v>
      </c>
      <c r="D929" s="91">
        <v>37</v>
      </c>
      <c r="E929" s="91">
        <v>96</v>
      </c>
      <c r="F929" s="91">
        <v>0</v>
      </c>
      <c r="G929" s="126">
        <v>3.41451813083716</v>
      </c>
      <c r="H929" s="126">
        <f t="shared" si="43"/>
        <v>0.203000000000001</v>
      </c>
      <c r="I929" s="126" t="str">
        <f t="shared" si="44"/>
        <v>0y 0d 0h 0m</v>
      </c>
    </row>
    <row r="930" s="91" customFormat="1" spans="1:9">
      <c r="A930" s="91" t="str">
        <f t="shared" si="42"/>
        <v>Rb-97</v>
      </c>
      <c r="B930" s="91" t="s">
        <v>1515</v>
      </c>
      <c r="C930" s="91" t="s">
        <v>1483</v>
      </c>
      <c r="D930" s="91">
        <v>37</v>
      </c>
      <c r="E930" s="91">
        <v>97</v>
      </c>
      <c r="F930" s="91">
        <v>0</v>
      </c>
      <c r="G930" s="126">
        <v>4.09903714109961</v>
      </c>
      <c r="H930" s="126">
        <f t="shared" si="43"/>
        <v>0.1691</v>
      </c>
      <c r="I930" s="126" t="str">
        <f t="shared" si="44"/>
        <v>0y 0d 0h 0m</v>
      </c>
    </row>
    <row r="931" s="91" customFormat="1" spans="1:9">
      <c r="A931" s="91" t="str">
        <f t="shared" si="42"/>
        <v>Rb-98</v>
      </c>
      <c r="B931" s="91" t="s">
        <v>1516</v>
      </c>
      <c r="C931" s="91" t="s">
        <v>1483</v>
      </c>
      <c r="D931" s="91">
        <v>37</v>
      </c>
      <c r="E931" s="91">
        <v>98</v>
      </c>
      <c r="F931" s="91">
        <v>0</v>
      </c>
      <c r="G931" s="126">
        <v>6.08023842596443</v>
      </c>
      <c r="H931" s="126">
        <f t="shared" si="43"/>
        <v>0.114</v>
      </c>
      <c r="I931" s="126" t="str">
        <f t="shared" si="44"/>
        <v>0y 0d 0h 0m</v>
      </c>
    </row>
    <row r="932" s="91" customFormat="1" spans="1:9">
      <c r="A932" s="91" t="str">
        <f t="shared" si="42"/>
        <v>Rb-98m</v>
      </c>
      <c r="B932" s="91" t="s">
        <v>1517</v>
      </c>
      <c r="C932" s="91" t="s">
        <v>1483</v>
      </c>
      <c r="D932" s="91">
        <v>37</v>
      </c>
      <c r="E932" s="91">
        <v>98</v>
      </c>
      <c r="F932" s="91">
        <v>1</v>
      </c>
      <c r="G932" s="126">
        <v>7.22028313083276</v>
      </c>
      <c r="H932" s="126">
        <f t="shared" si="43"/>
        <v>0.096</v>
      </c>
      <c r="I932" s="126" t="str">
        <f t="shared" si="44"/>
        <v>0y 0d 0h 0m</v>
      </c>
    </row>
    <row r="933" s="91" customFormat="1" spans="1:9">
      <c r="A933" s="91" t="str">
        <f t="shared" si="42"/>
        <v>Rb-99</v>
      </c>
      <c r="B933" s="91" t="s">
        <v>1518</v>
      </c>
      <c r="C933" s="91" t="s">
        <v>1483</v>
      </c>
      <c r="D933" s="91">
        <v>37</v>
      </c>
      <c r="E933" s="91">
        <v>99</v>
      </c>
      <c r="F933" s="91">
        <v>0</v>
      </c>
      <c r="G933" s="126">
        <v>12.8360588992582</v>
      </c>
      <c r="H933" s="126">
        <f t="shared" si="43"/>
        <v>0.0540000000000002</v>
      </c>
      <c r="I933" s="126" t="str">
        <f t="shared" si="44"/>
        <v>0y 0d 0h 0m</v>
      </c>
    </row>
    <row r="934" s="91" customFormat="1" spans="1:9">
      <c r="A934" s="91" t="str">
        <f t="shared" si="42"/>
        <v>Rb-100</v>
      </c>
      <c r="B934" s="91" t="s">
        <v>1519</v>
      </c>
      <c r="C934" s="91" t="s">
        <v>1483</v>
      </c>
      <c r="D934" s="91">
        <v>37</v>
      </c>
      <c r="E934" s="91">
        <v>100</v>
      </c>
      <c r="F934" s="91">
        <v>0</v>
      </c>
      <c r="G934" s="126">
        <v>13.5911211874499</v>
      </c>
      <c r="H934" s="126">
        <f t="shared" si="43"/>
        <v>0.051</v>
      </c>
      <c r="I934" s="126" t="str">
        <f t="shared" si="44"/>
        <v>0y 0d 0h 0m</v>
      </c>
    </row>
    <row r="935" s="91" customFormat="1" spans="1:9">
      <c r="A935" s="91" t="str">
        <f t="shared" si="42"/>
        <v>Rb-101</v>
      </c>
      <c r="B935" s="91" t="s">
        <v>1520</v>
      </c>
      <c r="C935" s="91" t="s">
        <v>1483</v>
      </c>
      <c r="D935" s="91">
        <v>37</v>
      </c>
      <c r="E935" s="91">
        <v>101</v>
      </c>
      <c r="F935" s="91">
        <v>0</v>
      </c>
      <c r="G935" s="126">
        <v>21.6608493924982</v>
      </c>
      <c r="H935" s="126">
        <f t="shared" si="43"/>
        <v>0.0320000000000001</v>
      </c>
      <c r="I935" s="126" t="str">
        <f t="shared" si="44"/>
        <v>0y 0d 0h 0m</v>
      </c>
    </row>
    <row r="936" s="91" customFormat="1" spans="1:9">
      <c r="A936" s="91" t="str">
        <f t="shared" si="42"/>
        <v>Rb-102</v>
      </c>
      <c r="B936" s="91" t="s">
        <v>1521</v>
      </c>
      <c r="C936" s="91" t="s">
        <v>1483</v>
      </c>
      <c r="D936" s="91">
        <v>37</v>
      </c>
      <c r="E936" s="91">
        <v>102</v>
      </c>
      <c r="F936" s="91">
        <v>0</v>
      </c>
      <c r="G936" s="126">
        <v>18.7337075827012</v>
      </c>
      <c r="H936" s="126">
        <f t="shared" si="43"/>
        <v>0.037</v>
      </c>
      <c r="I936" s="126" t="str">
        <f t="shared" si="44"/>
        <v>0y 0d 0h 0m</v>
      </c>
    </row>
    <row r="937" s="91" customFormat="1" spans="1:9">
      <c r="A937" s="91" t="str">
        <f t="shared" si="42"/>
        <v>Sr-73</v>
      </c>
      <c r="B937" s="91" t="s">
        <v>1522</v>
      </c>
      <c r="C937" s="91" t="s">
        <v>1523</v>
      </c>
      <c r="D937" s="91">
        <v>38</v>
      </c>
      <c r="E937" s="91">
        <v>73</v>
      </c>
      <c r="F937" s="91">
        <v>0</v>
      </c>
      <c r="G937" s="126">
        <v>27.7258872223978</v>
      </c>
      <c r="H937" s="126">
        <f t="shared" si="43"/>
        <v>0.025</v>
      </c>
      <c r="I937" s="126" t="str">
        <f t="shared" si="44"/>
        <v>0y 0d 0h 0m</v>
      </c>
    </row>
    <row r="938" s="91" customFormat="1" spans="1:9">
      <c r="A938" s="91" t="str">
        <f t="shared" si="42"/>
        <v>Sr-74</v>
      </c>
      <c r="B938" s="91" t="s">
        <v>1524</v>
      </c>
      <c r="C938" s="91" t="s">
        <v>1523</v>
      </c>
      <c r="D938" s="91">
        <v>38</v>
      </c>
      <c r="E938" s="91">
        <v>74</v>
      </c>
      <c r="F938" s="91">
        <v>0</v>
      </c>
      <c r="G938" s="126">
        <v>577622.650466621</v>
      </c>
      <c r="H938" s="126">
        <f t="shared" si="43"/>
        <v>1.2e-6</v>
      </c>
      <c r="I938" s="126" t="str">
        <f t="shared" si="44"/>
        <v>0y 0d 0h 0m</v>
      </c>
    </row>
    <row r="939" s="91" customFormat="1" spans="1:9">
      <c r="A939" s="91" t="str">
        <f t="shared" si="42"/>
        <v>Sr-75</v>
      </c>
      <c r="B939" s="91" t="s">
        <v>1525</v>
      </c>
      <c r="C939" s="91" t="s">
        <v>1523</v>
      </c>
      <c r="D939" s="91">
        <v>38</v>
      </c>
      <c r="E939" s="91">
        <v>75</v>
      </c>
      <c r="F939" s="91">
        <v>0</v>
      </c>
      <c r="G939" s="126">
        <v>7.87667250636301</v>
      </c>
      <c r="H939" s="126">
        <f t="shared" si="43"/>
        <v>0.0880000000000001</v>
      </c>
      <c r="I939" s="126" t="str">
        <f t="shared" si="44"/>
        <v>0y 0d 0h 0m</v>
      </c>
    </row>
    <row r="940" s="91" customFormat="1" spans="1:9">
      <c r="A940" s="91" t="str">
        <f t="shared" si="42"/>
        <v>Sr-76</v>
      </c>
      <c r="B940" s="91" t="s">
        <v>1526</v>
      </c>
      <c r="C940" s="91" t="s">
        <v>1523</v>
      </c>
      <c r="D940" s="91">
        <v>38</v>
      </c>
      <c r="E940" s="91">
        <v>76</v>
      </c>
      <c r="F940" s="91">
        <v>0</v>
      </c>
      <c r="G940" s="126">
        <v>0.0878513536831362</v>
      </c>
      <c r="H940" s="126">
        <f t="shared" si="43"/>
        <v>7.89000000000001</v>
      </c>
      <c r="I940" s="126" t="str">
        <f t="shared" si="44"/>
        <v>0y 0d 0h 0m</v>
      </c>
    </row>
    <row r="941" s="91" customFormat="1" spans="1:9">
      <c r="A941" s="91" t="str">
        <f t="shared" si="42"/>
        <v>Sr-77</v>
      </c>
      <c r="B941" s="91" t="s">
        <v>1527</v>
      </c>
      <c r="C941" s="91" t="s">
        <v>1523</v>
      </c>
      <c r="D941" s="91">
        <v>38</v>
      </c>
      <c r="E941" s="91">
        <v>77</v>
      </c>
      <c r="F941" s="91">
        <v>0</v>
      </c>
      <c r="G941" s="126">
        <v>0.0770163533955494</v>
      </c>
      <c r="H941" s="126">
        <f t="shared" si="43"/>
        <v>9.00000000000001</v>
      </c>
      <c r="I941" s="126" t="str">
        <f t="shared" si="44"/>
        <v>0y 0d 0h 0m</v>
      </c>
    </row>
    <row r="942" s="91" customFormat="1" spans="1:9">
      <c r="A942" s="91" t="str">
        <f t="shared" si="42"/>
        <v>Sr-78</v>
      </c>
      <c r="B942" s="91" t="s">
        <v>1528</v>
      </c>
      <c r="C942" s="91" t="s">
        <v>1523</v>
      </c>
      <c r="D942" s="91">
        <v>38</v>
      </c>
      <c r="E942" s="91">
        <v>78</v>
      </c>
      <c r="F942" s="91">
        <v>0</v>
      </c>
      <c r="G942" s="126">
        <v>0.00462098120373296</v>
      </c>
      <c r="H942" s="126">
        <f t="shared" si="43"/>
        <v>150</v>
      </c>
      <c r="I942" s="126" t="str">
        <f t="shared" si="44"/>
        <v>0y 0d 0h 2m</v>
      </c>
    </row>
    <row r="943" s="91" customFormat="1" spans="1:9">
      <c r="A943" s="91" t="str">
        <f t="shared" si="42"/>
        <v>Sr-79</v>
      </c>
      <c r="B943" s="91" t="s">
        <v>1529</v>
      </c>
      <c r="C943" s="91" t="s">
        <v>1523</v>
      </c>
      <c r="D943" s="91">
        <v>38</v>
      </c>
      <c r="E943" s="91">
        <v>79</v>
      </c>
      <c r="F943" s="91">
        <v>0</v>
      </c>
      <c r="G943" s="126">
        <v>0.00513442355970329</v>
      </c>
      <c r="H943" s="126">
        <f t="shared" si="43"/>
        <v>135</v>
      </c>
      <c r="I943" s="126" t="str">
        <f t="shared" si="44"/>
        <v>0y 0d 0h 2m</v>
      </c>
    </row>
    <row r="944" s="91" customFormat="1" spans="1:9">
      <c r="A944" s="91" t="str">
        <f t="shared" si="42"/>
        <v>Sr-80</v>
      </c>
      <c r="B944" s="91" t="s">
        <v>1530</v>
      </c>
      <c r="C944" s="91" t="s">
        <v>1523</v>
      </c>
      <c r="D944" s="91">
        <v>38</v>
      </c>
      <c r="E944" s="91">
        <v>80</v>
      </c>
      <c r="F944" s="91">
        <v>0</v>
      </c>
      <c r="G944" s="126">
        <v>0.000108677826992779</v>
      </c>
      <c r="H944" s="126">
        <f t="shared" si="43"/>
        <v>6378.00000000001</v>
      </c>
      <c r="I944" s="126" t="str">
        <f t="shared" si="44"/>
        <v>0y 0d 1h 46m</v>
      </c>
    </row>
    <row r="945" s="91" customFormat="1" spans="1:9">
      <c r="A945" s="91" t="str">
        <f t="shared" si="42"/>
        <v>Sr-81</v>
      </c>
      <c r="B945" s="91" t="s">
        <v>1531</v>
      </c>
      <c r="C945" s="91" t="s">
        <v>1523</v>
      </c>
      <c r="D945" s="91">
        <v>38</v>
      </c>
      <c r="E945" s="91">
        <v>81</v>
      </c>
      <c r="F945" s="91">
        <v>0</v>
      </c>
      <c r="G945" s="126">
        <v>0.000518047220149435</v>
      </c>
      <c r="H945" s="126">
        <f t="shared" si="43"/>
        <v>1338</v>
      </c>
      <c r="I945" s="126" t="str">
        <f t="shared" si="44"/>
        <v>0y 0d 0h 22m</v>
      </c>
    </row>
    <row r="946" s="91" customFormat="1" spans="1:9">
      <c r="A946" s="91" t="str">
        <f t="shared" si="42"/>
        <v>Sr-82</v>
      </c>
      <c r="B946" s="91" t="s">
        <v>1532</v>
      </c>
      <c r="C946" s="91" t="s">
        <v>1523</v>
      </c>
      <c r="D946" s="91">
        <v>38</v>
      </c>
      <c r="E946" s="91">
        <v>82</v>
      </c>
      <c r="F946" s="91">
        <v>0</v>
      </c>
      <c r="G946" s="126">
        <v>3.16470880159227e-7</v>
      </c>
      <c r="H946" s="126">
        <f t="shared" si="43"/>
        <v>2190240</v>
      </c>
      <c r="I946" s="126" t="str">
        <f t="shared" si="44"/>
        <v>0y 25d 8h 24m</v>
      </c>
    </row>
    <row r="947" s="91" customFormat="1" spans="1:9">
      <c r="A947" s="91" t="str">
        <f t="shared" si="42"/>
        <v>Sr-83</v>
      </c>
      <c r="B947" s="91" t="s">
        <v>1533</v>
      </c>
      <c r="C947" s="91" t="s">
        <v>1523</v>
      </c>
      <c r="D947" s="91">
        <v>38</v>
      </c>
      <c r="E947" s="91">
        <v>83</v>
      </c>
      <c r="F947" s="91">
        <v>0</v>
      </c>
      <c r="G947" s="126">
        <v>5.94078628475389e-6</v>
      </c>
      <c r="H947" s="126">
        <f t="shared" si="43"/>
        <v>116676</v>
      </c>
      <c r="I947" s="126" t="str">
        <f t="shared" si="44"/>
        <v>0y 1d 8h 24m</v>
      </c>
    </row>
    <row r="948" s="91" customFormat="1" spans="1:9">
      <c r="A948" s="91" t="str">
        <f t="shared" si="42"/>
        <v>Sr-83m</v>
      </c>
      <c r="B948" s="91" t="s">
        <v>1534</v>
      </c>
      <c r="C948" s="91" t="s">
        <v>1523</v>
      </c>
      <c r="D948" s="91">
        <v>38</v>
      </c>
      <c r="E948" s="91">
        <v>83</v>
      </c>
      <c r="F948" s="91">
        <v>1</v>
      </c>
      <c r="G948" s="126">
        <v>0.140029733446453</v>
      </c>
      <c r="H948" s="126">
        <f t="shared" si="43"/>
        <v>4.95000000000002</v>
      </c>
      <c r="I948" s="126" t="str">
        <f t="shared" si="44"/>
        <v>0y 0d 0h 0m</v>
      </c>
    </row>
    <row r="949" s="91" customFormat="1" spans="1:9">
      <c r="A949" s="91" t="str">
        <f t="shared" si="42"/>
        <v>Sr-84</v>
      </c>
      <c r="B949" s="91" t="s">
        <v>1535</v>
      </c>
      <c r="C949" s="91" t="s">
        <v>1523</v>
      </c>
      <c r="D949" s="91">
        <v>38</v>
      </c>
      <c r="E949" s="91">
        <v>84</v>
      </c>
      <c r="F949" s="91">
        <v>0</v>
      </c>
      <c r="G949" s="126">
        <v>0</v>
      </c>
      <c r="H949" s="126">
        <f t="shared" si="43"/>
        <v>0</v>
      </c>
      <c r="I949" s="126" t="str">
        <f t="shared" si="44"/>
        <v>0y 0d 0h 0m</v>
      </c>
    </row>
    <row r="950" s="91" customFormat="1" spans="1:9">
      <c r="A950" s="91" t="str">
        <f t="shared" si="42"/>
        <v>Sr-85</v>
      </c>
      <c r="B950" s="91" t="s">
        <v>1536</v>
      </c>
      <c r="C950" s="91" t="s">
        <v>1523</v>
      </c>
      <c r="D950" s="91">
        <v>38</v>
      </c>
      <c r="E950" s="91">
        <v>85</v>
      </c>
      <c r="F950" s="91">
        <v>0</v>
      </c>
      <c r="G950" s="126">
        <v>1.23728204997476e-7</v>
      </c>
      <c r="H950" s="126">
        <f t="shared" si="43"/>
        <v>5602176.00000004</v>
      </c>
      <c r="I950" s="126" t="str">
        <f t="shared" si="44"/>
        <v>0y 64d 20h 9m</v>
      </c>
    </row>
    <row r="951" s="91" customFormat="1" spans="1:9">
      <c r="A951" s="91" t="str">
        <f t="shared" si="42"/>
        <v>Sr-85m</v>
      </c>
      <c r="B951" s="91" t="s">
        <v>1537</v>
      </c>
      <c r="C951" s="91" t="s">
        <v>1523</v>
      </c>
      <c r="D951" s="91">
        <v>38</v>
      </c>
      <c r="E951" s="91">
        <v>85</v>
      </c>
      <c r="F951" s="91">
        <v>1</v>
      </c>
      <c r="G951" s="126">
        <v>0.000170818468273435</v>
      </c>
      <c r="H951" s="126">
        <f t="shared" si="43"/>
        <v>4057.8</v>
      </c>
      <c r="I951" s="126" t="str">
        <f t="shared" si="44"/>
        <v>0y 0d 1h 7m</v>
      </c>
    </row>
    <row r="952" s="91" customFormat="1" spans="1:9">
      <c r="A952" s="91" t="str">
        <f t="shared" si="42"/>
        <v>Sr-86</v>
      </c>
      <c r="B952" s="91" t="s">
        <v>1538</v>
      </c>
      <c r="C952" s="91" t="s">
        <v>1523</v>
      </c>
      <c r="D952" s="91">
        <v>38</v>
      </c>
      <c r="E952" s="91">
        <v>86</v>
      </c>
      <c r="F952" s="91">
        <v>0</v>
      </c>
      <c r="G952" s="126">
        <v>0</v>
      </c>
      <c r="H952" s="126">
        <f t="shared" si="43"/>
        <v>0</v>
      </c>
      <c r="I952" s="126" t="str">
        <f t="shared" si="44"/>
        <v>0y 0d 0h 0m</v>
      </c>
    </row>
    <row r="953" s="91" customFormat="1" spans="1:9">
      <c r="A953" s="91" t="str">
        <f t="shared" si="42"/>
        <v>Sr-87</v>
      </c>
      <c r="B953" s="91" t="s">
        <v>1539</v>
      </c>
      <c r="C953" s="91" t="s">
        <v>1523</v>
      </c>
      <c r="D953" s="91">
        <v>38</v>
      </c>
      <c r="E953" s="91">
        <v>87</v>
      </c>
      <c r="F953" s="91">
        <v>0</v>
      </c>
      <c r="G953" s="126">
        <v>0</v>
      </c>
      <c r="H953" s="126">
        <f t="shared" si="43"/>
        <v>0</v>
      </c>
      <c r="I953" s="126" t="str">
        <f t="shared" si="44"/>
        <v>0y 0d 0h 0m</v>
      </c>
    </row>
    <row r="954" s="91" customFormat="1" spans="1:9">
      <c r="A954" s="91" t="str">
        <f t="shared" si="42"/>
        <v>Sr-87m</v>
      </c>
      <c r="B954" s="91" t="s">
        <v>1540</v>
      </c>
      <c r="C954" s="91" t="s">
        <v>1523</v>
      </c>
      <c r="D954" s="91">
        <v>38</v>
      </c>
      <c r="E954" s="91">
        <v>87</v>
      </c>
      <c r="F954" s="91">
        <v>1</v>
      </c>
      <c r="G954" s="126">
        <v>6.8398182411678e-5</v>
      </c>
      <c r="H954" s="126">
        <f t="shared" si="43"/>
        <v>10134</v>
      </c>
      <c r="I954" s="126" t="str">
        <f t="shared" si="44"/>
        <v>0y 0d 2h 48m</v>
      </c>
    </row>
    <row r="955" s="91" customFormat="1" spans="1:9">
      <c r="A955" s="91" t="str">
        <f t="shared" si="42"/>
        <v>Sr-88</v>
      </c>
      <c r="B955" s="91" t="s">
        <v>1541</v>
      </c>
      <c r="C955" s="91" t="s">
        <v>1523</v>
      </c>
      <c r="D955" s="91">
        <v>38</v>
      </c>
      <c r="E955" s="91">
        <v>88</v>
      </c>
      <c r="F955" s="91">
        <v>0</v>
      </c>
      <c r="G955" s="126">
        <v>0</v>
      </c>
      <c r="H955" s="126">
        <f t="shared" si="43"/>
        <v>0</v>
      </c>
      <c r="I955" s="126" t="str">
        <f t="shared" si="44"/>
        <v>0y 0d 0h 0m</v>
      </c>
    </row>
    <row r="956" s="91" customFormat="1" spans="1:9">
      <c r="A956" s="91" t="str">
        <f t="shared" si="42"/>
        <v>Sr-89</v>
      </c>
      <c r="B956" s="91" t="s">
        <v>1542</v>
      </c>
      <c r="C956" s="91" t="s">
        <v>1523</v>
      </c>
      <c r="D956" s="91">
        <v>38</v>
      </c>
      <c r="E956" s="91">
        <v>89</v>
      </c>
      <c r="F956" s="91">
        <v>0</v>
      </c>
      <c r="G956" s="126">
        <v>1.58767797586313e-7</v>
      </c>
      <c r="H956" s="126">
        <f t="shared" si="43"/>
        <v>4365792</v>
      </c>
      <c r="I956" s="126" t="str">
        <f t="shared" si="44"/>
        <v>0y 50d 12h 43m</v>
      </c>
    </row>
    <row r="957" s="91" customFormat="1" spans="1:9">
      <c r="A957" s="91" t="str">
        <f t="shared" si="42"/>
        <v>Sr-90</v>
      </c>
      <c r="B957" s="91" t="s">
        <v>1543</v>
      </c>
      <c r="C957" s="91" t="s">
        <v>1523</v>
      </c>
      <c r="D957" s="91">
        <v>38</v>
      </c>
      <c r="E957" s="91">
        <v>90</v>
      </c>
      <c r="F957" s="91">
        <v>0</v>
      </c>
      <c r="G957" s="126">
        <v>7.62921459615568e-10</v>
      </c>
      <c r="H957" s="126">
        <f t="shared" si="43"/>
        <v>908543300</v>
      </c>
      <c r="I957" s="126" t="str">
        <f t="shared" si="44"/>
        <v>28y 295d 13h 8m</v>
      </c>
    </row>
    <row r="958" s="91" customFormat="1" spans="1:9">
      <c r="A958" s="91" t="str">
        <f t="shared" si="42"/>
        <v>Sr-91</v>
      </c>
      <c r="B958" s="91" t="s">
        <v>1544</v>
      </c>
      <c r="C958" s="91" t="s">
        <v>1523</v>
      </c>
      <c r="D958" s="91">
        <v>38</v>
      </c>
      <c r="E958" s="91">
        <v>91</v>
      </c>
      <c r="F958" s="91">
        <v>0</v>
      </c>
      <c r="G958" s="126">
        <v>1.99938612137978e-5</v>
      </c>
      <c r="H958" s="126">
        <f t="shared" si="43"/>
        <v>34668.0000000002</v>
      </c>
      <c r="I958" s="126" t="str">
        <f t="shared" si="44"/>
        <v>0y 0d 9h 37m</v>
      </c>
    </row>
    <row r="959" s="91" customFormat="1" spans="1:9">
      <c r="A959" s="91" t="str">
        <f t="shared" si="42"/>
        <v>Sr-92</v>
      </c>
      <c r="B959" s="91" t="s">
        <v>1545</v>
      </c>
      <c r="C959" s="91" t="s">
        <v>1523</v>
      </c>
      <c r="D959" s="91">
        <v>38</v>
      </c>
      <c r="E959" s="91">
        <v>92</v>
      </c>
      <c r="F959" s="91">
        <v>0</v>
      </c>
      <c r="G959" s="126">
        <v>7.10482964903593e-5</v>
      </c>
      <c r="H959" s="126">
        <f t="shared" si="43"/>
        <v>9756</v>
      </c>
      <c r="I959" s="126" t="str">
        <f t="shared" si="44"/>
        <v>0y 0d 2h 42m</v>
      </c>
    </row>
    <row r="960" s="91" customFormat="1" spans="1:9">
      <c r="A960" s="91" t="str">
        <f t="shared" si="42"/>
        <v>Sr-93</v>
      </c>
      <c r="B960" s="91" t="s">
        <v>1546</v>
      </c>
      <c r="C960" s="91" t="s">
        <v>1523</v>
      </c>
      <c r="D960" s="91">
        <v>38</v>
      </c>
      <c r="E960" s="91">
        <v>93</v>
      </c>
      <c r="F960" s="91">
        <v>0</v>
      </c>
      <c r="G960" s="126">
        <v>0.0015563051339529</v>
      </c>
      <c r="H960" s="126">
        <f t="shared" si="43"/>
        <v>445.380000000002</v>
      </c>
      <c r="I960" s="126" t="str">
        <f t="shared" si="44"/>
        <v>0y 0d 0h 7m</v>
      </c>
    </row>
    <row r="961" s="91" customFormat="1" spans="1:9">
      <c r="A961" s="91" t="str">
        <f t="shared" si="42"/>
        <v>Sr-94</v>
      </c>
      <c r="B961" s="91" t="s">
        <v>1547</v>
      </c>
      <c r="C961" s="91" t="s">
        <v>1523</v>
      </c>
      <c r="D961" s="91">
        <v>38</v>
      </c>
      <c r="E961" s="91">
        <v>94</v>
      </c>
      <c r="F961" s="91">
        <v>0</v>
      </c>
      <c r="G961" s="126">
        <v>0.00920514184010551</v>
      </c>
      <c r="H961" s="126">
        <f t="shared" si="43"/>
        <v>75.3</v>
      </c>
      <c r="I961" s="126" t="str">
        <f t="shared" si="44"/>
        <v>0y 0d 0h 1m</v>
      </c>
    </row>
    <row r="962" s="91" customFormat="1" spans="1:9">
      <c r="A962" s="91" t="str">
        <f t="shared" ref="A962:A1025" si="45">C962&amp;"-"&amp;E962&amp;_xlfn.IFS(F962=0,"",F962=1,"m",F962&gt;1,"m"&amp;F962)</f>
        <v>Sr-95</v>
      </c>
      <c r="B962" s="91" t="s">
        <v>1548</v>
      </c>
      <c r="C962" s="91" t="s">
        <v>1523</v>
      </c>
      <c r="D962" s="91">
        <v>38</v>
      </c>
      <c r="E962" s="91">
        <v>95</v>
      </c>
      <c r="F962" s="91">
        <v>0</v>
      </c>
      <c r="G962" s="126">
        <v>0.029001974082006</v>
      </c>
      <c r="H962" s="126">
        <f t="shared" ref="H962:H1025" si="46">IF(G962&gt;0,LN(2)/G962,0)</f>
        <v>23.9000000000001</v>
      </c>
      <c r="I962" s="126" t="str">
        <f t="shared" si="44"/>
        <v>0y 0d 0h 0m</v>
      </c>
    </row>
    <row r="963" s="91" customFormat="1" spans="1:9">
      <c r="A963" s="91" t="str">
        <f t="shared" si="45"/>
        <v>Sr-96</v>
      </c>
      <c r="B963" s="91" t="s">
        <v>1549</v>
      </c>
      <c r="C963" s="91" t="s">
        <v>1523</v>
      </c>
      <c r="D963" s="91">
        <v>38</v>
      </c>
      <c r="E963" s="91">
        <v>96</v>
      </c>
      <c r="F963" s="91">
        <v>0</v>
      </c>
      <c r="G963" s="126">
        <v>0.647801103327051</v>
      </c>
      <c r="H963" s="126">
        <f t="shared" si="46"/>
        <v>1.07</v>
      </c>
      <c r="I963" s="126" t="str">
        <f t="shared" ref="I963:I1026" si="47">INT(H963/31536000)&amp;"y "&amp;INT(MOD(H963,31536000)/86400)&amp;"d "&amp;INT(MOD(MOD(H963,31536000),86400)/3600)&amp;"h "&amp;INT(MOD(MOD(MOD(H963,31536000),86400),3600)/60)&amp;"m"</f>
        <v>0y 0d 0h 0m</v>
      </c>
    </row>
    <row r="964" s="91" customFormat="1" spans="1:9">
      <c r="A964" s="91" t="str">
        <f t="shared" si="45"/>
        <v>Sr-97</v>
      </c>
      <c r="B964" s="91" t="s">
        <v>1550</v>
      </c>
      <c r="C964" s="91" t="s">
        <v>1523</v>
      </c>
      <c r="D964" s="91">
        <v>38</v>
      </c>
      <c r="E964" s="91">
        <v>97</v>
      </c>
      <c r="F964" s="91">
        <v>0</v>
      </c>
      <c r="G964" s="126">
        <v>1.61572769361292</v>
      </c>
      <c r="H964" s="126">
        <f t="shared" si="46"/>
        <v>0.429000000000002</v>
      </c>
      <c r="I964" s="126" t="str">
        <f t="shared" si="47"/>
        <v>0y 0d 0h 0m</v>
      </c>
    </row>
    <row r="965" s="91" customFormat="1" spans="1:9">
      <c r="A965" s="91" t="str">
        <f t="shared" si="45"/>
        <v>Sr-98</v>
      </c>
      <c r="B965" s="91" t="s">
        <v>1551</v>
      </c>
      <c r="C965" s="91" t="s">
        <v>1523</v>
      </c>
      <c r="D965" s="91">
        <v>38</v>
      </c>
      <c r="E965" s="91">
        <v>98</v>
      </c>
      <c r="F965" s="91">
        <v>0</v>
      </c>
      <c r="G965" s="126">
        <v>1.06148113408873</v>
      </c>
      <c r="H965" s="126">
        <f t="shared" si="46"/>
        <v>0.653000000000004</v>
      </c>
      <c r="I965" s="126" t="str">
        <f t="shared" si="47"/>
        <v>0y 0d 0h 0m</v>
      </c>
    </row>
    <row r="966" s="91" customFormat="1" spans="1:9">
      <c r="A966" s="91" t="str">
        <f t="shared" si="45"/>
        <v>Sr-99</v>
      </c>
      <c r="B966" s="91" t="s">
        <v>1552</v>
      </c>
      <c r="C966" s="91" t="s">
        <v>1523</v>
      </c>
      <c r="D966" s="91">
        <v>38</v>
      </c>
      <c r="E966" s="91">
        <v>99</v>
      </c>
      <c r="F966" s="91">
        <v>0</v>
      </c>
      <c r="G966" s="126">
        <v>2.56721177985164</v>
      </c>
      <c r="H966" s="126">
        <f t="shared" si="46"/>
        <v>0.270000000000001</v>
      </c>
      <c r="I966" s="126" t="str">
        <f t="shared" si="47"/>
        <v>0y 0d 0h 0m</v>
      </c>
    </row>
    <row r="967" s="91" customFormat="1" spans="1:9">
      <c r="A967" s="91" t="str">
        <f t="shared" si="45"/>
        <v>Sr-100</v>
      </c>
      <c r="B967" s="91" t="s">
        <v>1553</v>
      </c>
      <c r="C967" s="91" t="s">
        <v>1523</v>
      </c>
      <c r="D967" s="91">
        <v>38</v>
      </c>
      <c r="E967" s="91">
        <v>100</v>
      </c>
      <c r="F967" s="91">
        <v>0</v>
      </c>
      <c r="G967" s="126">
        <v>3.43142168594032</v>
      </c>
      <c r="H967" s="126">
        <f t="shared" si="46"/>
        <v>0.202</v>
      </c>
      <c r="I967" s="126" t="str">
        <f t="shared" si="47"/>
        <v>0y 0d 0h 0m</v>
      </c>
    </row>
    <row r="968" s="91" customFormat="1" spans="1:9">
      <c r="A968" s="91" t="str">
        <f t="shared" si="45"/>
        <v>Sr-101</v>
      </c>
      <c r="B968" s="91" t="s">
        <v>1554</v>
      </c>
      <c r="C968" s="91" t="s">
        <v>1523</v>
      </c>
      <c r="D968" s="91">
        <v>38</v>
      </c>
      <c r="E968" s="91">
        <v>101</v>
      </c>
      <c r="F968" s="91">
        <v>0</v>
      </c>
      <c r="G968" s="126">
        <v>5.87412864881309</v>
      </c>
      <c r="H968" s="126">
        <f t="shared" si="46"/>
        <v>0.118</v>
      </c>
      <c r="I968" s="126" t="str">
        <f t="shared" si="47"/>
        <v>0y 0d 0h 0m</v>
      </c>
    </row>
    <row r="969" s="91" customFormat="1" spans="1:9">
      <c r="A969" s="91" t="str">
        <f t="shared" si="45"/>
        <v>Sr-102</v>
      </c>
      <c r="B969" s="91" t="s">
        <v>1555</v>
      </c>
      <c r="C969" s="91" t="s">
        <v>1523</v>
      </c>
      <c r="D969" s="91">
        <v>38</v>
      </c>
      <c r="E969" s="91">
        <v>102</v>
      </c>
      <c r="F969" s="91">
        <v>0</v>
      </c>
      <c r="G969" s="126">
        <v>10.0456113124629</v>
      </c>
      <c r="H969" s="126">
        <f t="shared" si="46"/>
        <v>0.0690000000000005</v>
      </c>
      <c r="I969" s="126" t="str">
        <f t="shared" si="47"/>
        <v>0y 0d 0h 0m</v>
      </c>
    </row>
    <row r="970" s="91" customFormat="1" spans="1:9">
      <c r="A970" s="91" t="str">
        <f t="shared" si="45"/>
        <v>Sr-103</v>
      </c>
      <c r="B970" s="91" t="s">
        <v>1556</v>
      </c>
      <c r="C970" s="91" t="s">
        <v>1523</v>
      </c>
      <c r="D970" s="91">
        <v>38</v>
      </c>
      <c r="E970" s="91">
        <v>103</v>
      </c>
      <c r="F970" s="91">
        <v>0</v>
      </c>
      <c r="G970" s="126">
        <v>10.1933408905874</v>
      </c>
      <c r="H970" s="126">
        <f t="shared" si="46"/>
        <v>0.0680000000000002</v>
      </c>
      <c r="I970" s="126" t="str">
        <f t="shared" si="47"/>
        <v>0y 0d 0h 0m</v>
      </c>
    </row>
    <row r="971" s="91" customFormat="1" spans="1:9">
      <c r="A971" s="91" t="str">
        <f t="shared" si="45"/>
        <v>Sr-104</v>
      </c>
      <c r="B971" s="91" t="s">
        <v>1557</v>
      </c>
      <c r="C971" s="91" t="s">
        <v>1523</v>
      </c>
      <c r="D971" s="91">
        <v>38</v>
      </c>
      <c r="E971" s="91">
        <v>104</v>
      </c>
      <c r="F971" s="91">
        <v>0</v>
      </c>
      <c r="G971" s="126">
        <v>16.1197018734871</v>
      </c>
      <c r="H971" s="126">
        <f t="shared" si="46"/>
        <v>0.043</v>
      </c>
      <c r="I971" s="126" t="str">
        <f t="shared" si="47"/>
        <v>0y 0d 0h 0m</v>
      </c>
    </row>
    <row r="972" s="91" customFormat="1" spans="1:9">
      <c r="A972" s="91" t="str">
        <f t="shared" si="45"/>
        <v>Sr-105</v>
      </c>
      <c r="B972" s="91" t="s">
        <v>1558</v>
      </c>
      <c r="C972" s="91" t="s">
        <v>1523</v>
      </c>
      <c r="D972" s="91">
        <v>38</v>
      </c>
      <c r="E972" s="91">
        <v>105</v>
      </c>
      <c r="F972" s="91">
        <v>0</v>
      </c>
      <c r="G972" s="126">
        <v>12.4666759093515</v>
      </c>
      <c r="H972" s="126">
        <f t="shared" si="46"/>
        <v>0.0556000000000002</v>
      </c>
      <c r="I972" s="126" t="str">
        <f t="shared" si="47"/>
        <v>0y 0d 0h 0m</v>
      </c>
    </row>
    <row r="973" s="91" customFormat="1" spans="1:9">
      <c r="A973" s="91" t="str">
        <f t="shared" si="45"/>
        <v>Y-76</v>
      </c>
      <c r="B973" s="91" t="s">
        <v>1559</v>
      </c>
      <c r="C973" s="91" t="s">
        <v>1560</v>
      </c>
      <c r="D973" s="91">
        <v>39</v>
      </c>
      <c r="E973" s="91">
        <v>76</v>
      </c>
      <c r="F973" s="91">
        <v>0</v>
      </c>
      <c r="G973" s="126">
        <v>3465735.90279972</v>
      </c>
      <c r="H973" s="126">
        <f t="shared" si="46"/>
        <v>2e-7</v>
      </c>
      <c r="I973" s="126" t="str">
        <f t="shared" si="47"/>
        <v>0y 0d 0h 0m</v>
      </c>
    </row>
    <row r="974" s="91" customFormat="1" spans="1:9">
      <c r="A974" s="91" t="str">
        <f t="shared" si="45"/>
        <v>Y-77</v>
      </c>
      <c r="B974" s="91" t="s">
        <v>1561</v>
      </c>
      <c r="C974" s="91" t="s">
        <v>1560</v>
      </c>
      <c r="D974" s="91">
        <v>39</v>
      </c>
      <c r="E974" s="91">
        <v>77</v>
      </c>
      <c r="F974" s="91">
        <v>0</v>
      </c>
      <c r="G974" s="126">
        <v>11.1797932348378</v>
      </c>
      <c r="H974" s="126">
        <f t="shared" si="46"/>
        <v>0.0620000000000001</v>
      </c>
      <c r="I974" s="126" t="str">
        <f t="shared" si="47"/>
        <v>0y 0d 0h 0m</v>
      </c>
    </row>
    <row r="975" s="91" customFormat="1" spans="1:9">
      <c r="A975" s="91" t="str">
        <f t="shared" si="45"/>
        <v>Y-78</v>
      </c>
      <c r="B975" s="91" t="s">
        <v>1562</v>
      </c>
      <c r="C975" s="91" t="s">
        <v>1560</v>
      </c>
      <c r="D975" s="91">
        <v>39</v>
      </c>
      <c r="E975" s="91">
        <v>78</v>
      </c>
      <c r="F975" s="91">
        <v>0</v>
      </c>
      <c r="G975" s="126">
        <v>13.8629436111989</v>
      </c>
      <c r="H975" s="126">
        <f t="shared" si="46"/>
        <v>0.05</v>
      </c>
      <c r="I975" s="126" t="str">
        <f t="shared" si="47"/>
        <v>0y 0d 0h 0m</v>
      </c>
    </row>
    <row r="976" s="91" customFormat="1" spans="1:9">
      <c r="A976" s="91" t="str">
        <f t="shared" si="45"/>
        <v>Y-78m</v>
      </c>
      <c r="B976" s="91" t="s">
        <v>1563</v>
      </c>
      <c r="C976" s="91" t="s">
        <v>1560</v>
      </c>
      <c r="D976" s="91">
        <v>39</v>
      </c>
      <c r="E976" s="91">
        <v>78</v>
      </c>
      <c r="F976" s="91">
        <v>1</v>
      </c>
      <c r="G976" s="126">
        <v>0.121604768519288</v>
      </c>
      <c r="H976" s="126">
        <f t="shared" si="46"/>
        <v>5.70000000000003</v>
      </c>
      <c r="I976" s="126" t="str">
        <f t="shared" si="47"/>
        <v>0y 0d 0h 0m</v>
      </c>
    </row>
    <row r="977" s="91" customFormat="1" spans="1:9">
      <c r="A977" s="91" t="str">
        <f t="shared" si="45"/>
        <v>Y-79</v>
      </c>
      <c r="B977" s="91" t="s">
        <v>1564</v>
      </c>
      <c r="C977" s="91" t="s">
        <v>1560</v>
      </c>
      <c r="D977" s="91">
        <v>39</v>
      </c>
      <c r="E977" s="91">
        <v>79</v>
      </c>
      <c r="F977" s="91">
        <v>0</v>
      </c>
      <c r="G977" s="126">
        <v>0.046834268956753</v>
      </c>
      <c r="H977" s="126">
        <f t="shared" si="46"/>
        <v>14.8</v>
      </c>
      <c r="I977" s="126" t="str">
        <f t="shared" si="47"/>
        <v>0y 0d 0h 0m</v>
      </c>
    </row>
    <row r="978" s="91" customFormat="1" spans="1:9">
      <c r="A978" s="91" t="str">
        <f t="shared" si="45"/>
        <v>Y-80</v>
      </c>
      <c r="B978" s="91" t="s">
        <v>1565</v>
      </c>
      <c r="C978" s="91" t="s">
        <v>1560</v>
      </c>
      <c r="D978" s="91">
        <v>39</v>
      </c>
      <c r="E978" s="91">
        <v>80</v>
      </c>
      <c r="F978" s="91">
        <v>0</v>
      </c>
      <c r="G978" s="126">
        <v>0.0230281455335529</v>
      </c>
      <c r="H978" s="126">
        <f t="shared" si="46"/>
        <v>30.1000000000001</v>
      </c>
      <c r="I978" s="126" t="str">
        <f t="shared" si="47"/>
        <v>0y 0d 0h 0m</v>
      </c>
    </row>
    <row r="979" s="91" customFormat="1" spans="1:9">
      <c r="A979" s="91" t="str">
        <f t="shared" si="45"/>
        <v>Y-80m</v>
      </c>
      <c r="B979" s="91" t="s">
        <v>1566</v>
      </c>
      <c r="C979" s="91" t="s">
        <v>1560</v>
      </c>
      <c r="D979" s="91">
        <v>39</v>
      </c>
      <c r="E979" s="91">
        <v>80</v>
      </c>
      <c r="F979" s="91">
        <v>1</v>
      </c>
      <c r="G979" s="126">
        <v>0.144405662616655</v>
      </c>
      <c r="H979" s="126">
        <f t="shared" si="46"/>
        <v>4.80000000000001</v>
      </c>
      <c r="I979" s="126" t="str">
        <f t="shared" si="47"/>
        <v>0y 0d 0h 0m</v>
      </c>
    </row>
    <row r="980" s="91" customFormat="1" spans="1:9">
      <c r="A980" s="91" t="str">
        <f t="shared" si="45"/>
        <v>Y-81</v>
      </c>
      <c r="B980" s="91" t="s">
        <v>1567</v>
      </c>
      <c r="C980" s="91" t="s">
        <v>1560</v>
      </c>
      <c r="D980" s="91">
        <v>39</v>
      </c>
      <c r="E980" s="91">
        <v>81</v>
      </c>
      <c r="F980" s="91">
        <v>0</v>
      </c>
      <c r="G980" s="126">
        <v>0.00984584063295376</v>
      </c>
      <c r="H980" s="126">
        <f t="shared" si="46"/>
        <v>70.4000000000001</v>
      </c>
      <c r="I980" s="126" t="str">
        <f t="shared" si="47"/>
        <v>0y 0d 0h 1m</v>
      </c>
    </row>
    <row r="981" s="91" customFormat="1" spans="1:9">
      <c r="A981" s="91" t="str">
        <f t="shared" si="45"/>
        <v>Y-82</v>
      </c>
      <c r="B981" s="91" t="s">
        <v>1568</v>
      </c>
      <c r="C981" s="91" t="s">
        <v>1560</v>
      </c>
      <c r="D981" s="91">
        <v>39</v>
      </c>
      <c r="E981" s="91">
        <v>82</v>
      </c>
      <c r="F981" s="91">
        <v>0</v>
      </c>
      <c r="G981" s="126">
        <v>0.0835117085011982</v>
      </c>
      <c r="H981" s="126">
        <f t="shared" si="46"/>
        <v>8.3</v>
      </c>
      <c r="I981" s="126" t="str">
        <f t="shared" si="47"/>
        <v>0y 0d 0h 0m</v>
      </c>
    </row>
    <row r="982" s="91" customFormat="1" spans="1:9">
      <c r="A982" s="91" t="str">
        <f t="shared" si="45"/>
        <v>Y-83</v>
      </c>
      <c r="B982" s="91" t="s">
        <v>1569</v>
      </c>
      <c r="C982" s="91" t="s">
        <v>1560</v>
      </c>
      <c r="D982" s="91">
        <v>39</v>
      </c>
      <c r="E982" s="91">
        <v>83</v>
      </c>
      <c r="F982" s="91">
        <v>0</v>
      </c>
      <c r="G982" s="126">
        <v>0.00163170240244808</v>
      </c>
      <c r="H982" s="126">
        <f t="shared" si="46"/>
        <v>424.800000000001</v>
      </c>
      <c r="I982" s="126" t="str">
        <f t="shared" si="47"/>
        <v>0y 0d 0h 7m</v>
      </c>
    </row>
    <row r="983" s="91" customFormat="1" spans="1:9">
      <c r="A983" s="91" t="str">
        <f t="shared" si="45"/>
        <v>Y-83m</v>
      </c>
      <c r="B983" s="91" t="s">
        <v>1570</v>
      </c>
      <c r="C983" s="91" t="s">
        <v>1560</v>
      </c>
      <c r="D983" s="91">
        <v>39</v>
      </c>
      <c r="E983" s="91">
        <v>83</v>
      </c>
      <c r="F983" s="91">
        <v>1</v>
      </c>
      <c r="G983" s="126">
        <v>0.00405349228397628</v>
      </c>
      <c r="H983" s="126">
        <f t="shared" si="46"/>
        <v>171</v>
      </c>
      <c r="I983" s="126" t="str">
        <f t="shared" si="47"/>
        <v>0y 0d 0h 2m</v>
      </c>
    </row>
    <row r="984" s="91" customFormat="1" spans="1:9">
      <c r="A984" s="91" t="str">
        <f t="shared" si="45"/>
        <v>Y-84</v>
      </c>
      <c r="B984" s="91" t="s">
        <v>1571</v>
      </c>
      <c r="C984" s="91" t="s">
        <v>1560</v>
      </c>
      <c r="D984" s="91">
        <v>39</v>
      </c>
      <c r="E984" s="91">
        <v>84</v>
      </c>
      <c r="F984" s="91">
        <v>0</v>
      </c>
      <c r="G984" s="126">
        <v>0.000292467164793225</v>
      </c>
      <c r="H984" s="126">
        <f t="shared" si="46"/>
        <v>2370.00000000001</v>
      </c>
      <c r="I984" s="126" t="str">
        <f t="shared" si="47"/>
        <v>0y 0d 0h 39m</v>
      </c>
    </row>
    <row r="985" s="91" customFormat="1" spans="1:9">
      <c r="A985" s="91" t="str">
        <f t="shared" si="45"/>
        <v>Y-84m</v>
      </c>
      <c r="B985" s="91" t="s">
        <v>1572</v>
      </c>
      <c r="C985" s="91" t="s">
        <v>1560</v>
      </c>
      <c r="D985" s="91">
        <v>39</v>
      </c>
      <c r="E985" s="91">
        <v>84</v>
      </c>
      <c r="F985" s="91">
        <v>1</v>
      </c>
      <c r="G985" s="126">
        <v>0.150684169686944</v>
      </c>
      <c r="H985" s="126">
        <f t="shared" si="46"/>
        <v>4.60000000000002</v>
      </c>
      <c r="I985" s="126" t="str">
        <f t="shared" si="47"/>
        <v>0y 0d 0h 0m</v>
      </c>
    </row>
    <row r="986" s="91" customFormat="1" spans="1:9">
      <c r="A986" s="91" t="str">
        <f t="shared" si="45"/>
        <v>Y-85</v>
      </c>
      <c r="B986" s="91" t="s">
        <v>1573</v>
      </c>
      <c r="C986" s="91" t="s">
        <v>1560</v>
      </c>
      <c r="D986" s="91">
        <v>39</v>
      </c>
      <c r="E986" s="91">
        <v>85</v>
      </c>
      <c r="F986" s="91">
        <v>0</v>
      </c>
      <c r="G986" s="126">
        <v>7.1843613242117e-5</v>
      </c>
      <c r="H986" s="126">
        <f t="shared" si="46"/>
        <v>9648.00000000001</v>
      </c>
      <c r="I986" s="126" t="str">
        <f t="shared" si="47"/>
        <v>0y 0d 2h 40m</v>
      </c>
    </row>
    <row r="987" s="91" customFormat="1" spans="1:9">
      <c r="A987" s="91" t="str">
        <f t="shared" si="45"/>
        <v>Y-85m</v>
      </c>
      <c r="B987" s="91" t="s">
        <v>1574</v>
      </c>
      <c r="C987" s="91" t="s">
        <v>1560</v>
      </c>
      <c r="D987" s="91">
        <v>39</v>
      </c>
      <c r="E987" s="91">
        <v>85</v>
      </c>
      <c r="F987" s="91">
        <v>1</v>
      </c>
      <c r="G987" s="126">
        <v>3.96174657384513e-5</v>
      </c>
      <c r="H987" s="126">
        <f t="shared" si="46"/>
        <v>17496</v>
      </c>
      <c r="I987" s="126" t="str">
        <f t="shared" si="47"/>
        <v>0y 0d 4h 51m</v>
      </c>
    </row>
    <row r="988" s="91" customFormat="1" spans="1:9">
      <c r="A988" s="91" t="str">
        <f t="shared" si="45"/>
        <v>Y-86</v>
      </c>
      <c r="B988" s="91" t="s">
        <v>1575</v>
      </c>
      <c r="C988" s="91" t="s">
        <v>1560</v>
      </c>
      <c r="D988" s="91">
        <v>39</v>
      </c>
      <c r="E988" s="91">
        <v>86</v>
      </c>
      <c r="F988" s="91">
        <v>0</v>
      </c>
      <c r="G988" s="126">
        <v>1.30624751349303e-5</v>
      </c>
      <c r="H988" s="126">
        <f t="shared" si="46"/>
        <v>53064.0000000003</v>
      </c>
      <c r="I988" s="126" t="str">
        <f t="shared" si="47"/>
        <v>0y 0d 14h 44m</v>
      </c>
    </row>
    <row r="989" s="91" customFormat="1" spans="1:9">
      <c r="A989" s="91" t="str">
        <f t="shared" si="45"/>
        <v>Y-86m</v>
      </c>
      <c r="B989" s="91" t="s">
        <v>1576</v>
      </c>
      <c r="C989" s="91" t="s">
        <v>1560</v>
      </c>
      <c r="D989" s="91">
        <v>39</v>
      </c>
      <c r="E989" s="91">
        <v>86</v>
      </c>
      <c r="F989" s="91">
        <v>1</v>
      </c>
      <c r="G989" s="126">
        <v>0.000240676104361092</v>
      </c>
      <c r="H989" s="126">
        <f t="shared" si="46"/>
        <v>2880</v>
      </c>
      <c r="I989" s="126" t="str">
        <f t="shared" si="47"/>
        <v>0y 0d 0h 48m</v>
      </c>
    </row>
    <row r="990" s="91" customFormat="1" spans="1:9">
      <c r="A990" s="91" t="str">
        <f t="shared" si="45"/>
        <v>Y-87</v>
      </c>
      <c r="B990" s="91" t="s">
        <v>1577</v>
      </c>
      <c r="C990" s="91" t="s">
        <v>1560</v>
      </c>
      <c r="D990" s="91">
        <v>39</v>
      </c>
      <c r="E990" s="91">
        <v>87</v>
      </c>
      <c r="F990" s="91">
        <v>0</v>
      </c>
      <c r="G990" s="126">
        <v>2.41279302617636e-6</v>
      </c>
      <c r="H990" s="126">
        <f t="shared" si="46"/>
        <v>287280</v>
      </c>
      <c r="I990" s="126" t="str">
        <f t="shared" si="47"/>
        <v>0y 3d 7h 48m</v>
      </c>
    </row>
    <row r="991" s="91" customFormat="1" spans="1:9">
      <c r="A991" s="91" t="str">
        <f t="shared" si="45"/>
        <v>Y-87m</v>
      </c>
      <c r="B991" s="91" t="s">
        <v>1578</v>
      </c>
      <c r="C991" s="91" t="s">
        <v>1560</v>
      </c>
      <c r="D991" s="91">
        <v>39</v>
      </c>
      <c r="E991" s="91">
        <v>87</v>
      </c>
      <c r="F991" s="91">
        <v>1</v>
      </c>
      <c r="G991" s="126">
        <v>1.44009636117332e-5</v>
      </c>
      <c r="H991" s="126">
        <f t="shared" si="46"/>
        <v>48132.0000000002</v>
      </c>
      <c r="I991" s="126" t="str">
        <f t="shared" si="47"/>
        <v>0y 0d 13h 22m</v>
      </c>
    </row>
    <row r="992" s="91" customFormat="1" spans="1:9">
      <c r="A992" s="91" t="str">
        <f t="shared" si="45"/>
        <v>Y-88</v>
      </c>
      <c r="B992" s="91" t="s">
        <v>1579</v>
      </c>
      <c r="C992" s="91" t="s">
        <v>1560</v>
      </c>
      <c r="D992" s="91">
        <v>39</v>
      </c>
      <c r="E992" s="91">
        <v>88</v>
      </c>
      <c r="F992" s="91">
        <v>0</v>
      </c>
      <c r="G992" s="126">
        <v>7.52399711174535e-8</v>
      </c>
      <c r="H992" s="126">
        <f t="shared" si="46"/>
        <v>9212486.00000001</v>
      </c>
      <c r="I992" s="126" t="str">
        <f t="shared" si="47"/>
        <v>0y 106d 15h 1m</v>
      </c>
    </row>
    <row r="993" s="91" customFormat="1" spans="1:9">
      <c r="A993" s="91" t="str">
        <f t="shared" si="45"/>
        <v>Y-88m</v>
      </c>
      <c r="B993" s="91" t="s">
        <v>1580</v>
      </c>
      <c r="C993" s="91" t="s">
        <v>1560</v>
      </c>
      <c r="D993" s="91">
        <v>39</v>
      </c>
      <c r="E993" s="91">
        <v>88</v>
      </c>
      <c r="F993" s="91">
        <v>1</v>
      </c>
      <c r="G993" s="126">
        <v>2302.8145533553</v>
      </c>
      <c r="H993" s="126">
        <f t="shared" si="46"/>
        <v>0.000301</v>
      </c>
      <c r="I993" s="126" t="str">
        <f t="shared" si="47"/>
        <v>0y 0d 0h 0m</v>
      </c>
    </row>
    <row r="994" s="91" customFormat="1" spans="1:9">
      <c r="A994" s="91" t="str">
        <f t="shared" si="45"/>
        <v>Y-88m2</v>
      </c>
      <c r="B994" s="91" t="s">
        <v>1581</v>
      </c>
      <c r="C994" s="91" t="s">
        <v>1560</v>
      </c>
      <c r="D994" s="91">
        <v>39</v>
      </c>
      <c r="E994" s="91">
        <v>88</v>
      </c>
      <c r="F994" s="91">
        <v>2</v>
      </c>
      <c r="G994" s="126">
        <v>49.6168346857512</v>
      </c>
      <c r="H994" s="126">
        <f t="shared" si="46"/>
        <v>0.01397</v>
      </c>
      <c r="I994" s="126" t="str">
        <f t="shared" si="47"/>
        <v>0y 0d 0h 0m</v>
      </c>
    </row>
    <row r="995" s="91" customFormat="1" spans="1:9">
      <c r="A995" s="91" t="str">
        <f t="shared" si="45"/>
        <v>Y-89</v>
      </c>
      <c r="B995" s="91" t="s">
        <v>1582</v>
      </c>
      <c r="C995" s="91" t="s">
        <v>1560</v>
      </c>
      <c r="D995" s="91">
        <v>39</v>
      </c>
      <c r="E995" s="91">
        <v>89</v>
      </c>
      <c r="F995" s="91">
        <v>0</v>
      </c>
      <c r="G995" s="126">
        <v>0</v>
      </c>
      <c r="H995" s="126">
        <f t="shared" si="46"/>
        <v>0</v>
      </c>
      <c r="I995" s="126" t="str">
        <f t="shared" si="47"/>
        <v>0y 0d 0h 0m</v>
      </c>
    </row>
    <row r="996" s="91" customFormat="1" spans="1:9">
      <c r="A996" s="91" t="str">
        <f t="shared" si="45"/>
        <v>Y-89m</v>
      </c>
      <c r="B996" s="91" t="s">
        <v>1583</v>
      </c>
      <c r="C996" s="91" t="s">
        <v>1560</v>
      </c>
      <c r="D996" s="91">
        <v>39</v>
      </c>
      <c r="E996" s="91">
        <v>89</v>
      </c>
      <c r="F996" s="91">
        <v>1</v>
      </c>
      <c r="G996" s="126">
        <v>0.0442537943280307</v>
      </c>
      <c r="H996" s="126">
        <f t="shared" si="46"/>
        <v>15.663</v>
      </c>
      <c r="I996" s="126" t="str">
        <f t="shared" si="47"/>
        <v>0y 0d 0h 0m</v>
      </c>
    </row>
    <row r="997" s="91" customFormat="1" spans="1:9">
      <c r="A997" s="91" t="str">
        <f t="shared" si="45"/>
        <v>Y-90</v>
      </c>
      <c r="B997" s="91" t="s">
        <v>1584</v>
      </c>
      <c r="C997" s="91" t="s">
        <v>1560</v>
      </c>
      <c r="D997" s="91">
        <v>39</v>
      </c>
      <c r="E997" s="91">
        <v>90</v>
      </c>
      <c r="F997" s="91">
        <v>0</v>
      </c>
      <c r="G997" s="126">
        <v>3.00845130451365e-6</v>
      </c>
      <c r="H997" s="126">
        <f t="shared" si="46"/>
        <v>230400</v>
      </c>
      <c r="I997" s="126" t="str">
        <f t="shared" si="47"/>
        <v>0y 2d 16h 0m</v>
      </c>
    </row>
    <row r="998" s="91" customFormat="1" spans="1:9">
      <c r="A998" s="91" t="str">
        <f t="shared" si="45"/>
        <v>Y-90m</v>
      </c>
      <c r="B998" s="91" t="s">
        <v>1585</v>
      </c>
      <c r="C998" s="91" t="s">
        <v>1560</v>
      </c>
      <c r="D998" s="91">
        <v>39</v>
      </c>
      <c r="E998" s="91">
        <v>90</v>
      </c>
      <c r="F998" s="91">
        <v>1</v>
      </c>
      <c r="G998" s="126">
        <v>6.03576437269196e-5</v>
      </c>
      <c r="H998" s="126">
        <f t="shared" si="46"/>
        <v>11484</v>
      </c>
      <c r="I998" s="126" t="str">
        <f t="shared" si="47"/>
        <v>0y 0d 3h 11m</v>
      </c>
    </row>
    <row r="999" s="91" customFormat="1" spans="1:9">
      <c r="A999" s="91" t="str">
        <f t="shared" si="45"/>
        <v>Y-91</v>
      </c>
      <c r="B999" s="91" t="s">
        <v>1586</v>
      </c>
      <c r="C999" s="91" t="s">
        <v>1560</v>
      </c>
      <c r="D999" s="91">
        <v>39</v>
      </c>
      <c r="E999" s="91">
        <v>91</v>
      </c>
      <c r="F999" s="91">
        <v>0</v>
      </c>
      <c r="G999" s="126">
        <v>1.37113943121456e-7</v>
      </c>
      <c r="H999" s="126">
        <f t="shared" si="46"/>
        <v>5055264.00000001</v>
      </c>
      <c r="I999" s="126" t="str">
        <f t="shared" si="47"/>
        <v>0y 58d 12h 14m</v>
      </c>
    </row>
    <row r="1000" s="91" customFormat="1" spans="1:9">
      <c r="A1000" s="91" t="str">
        <f t="shared" si="45"/>
        <v>Y-91m</v>
      </c>
      <c r="B1000" s="91" t="s">
        <v>1587</v>
      </c>
      <c r="C1000" s="91" t="s">
        <v>1560</v>
      </c>
      <c r="D1000" s="91">
        <v>39</v>
      </c>
      <c r="E1000" s="91">
        <v>91</v>
      </c>
      <c r="F1000" s="91">
        <v>1</v>
      </c>
      <c r="G1000" s="126">
        <v>0.000232396962569551</v>
      </c>
      <c r="H1000" s="126">
        <f t="shared" si="46"/>
        <v>2982.60000000001</v>
      </c>
      <c r="I1000" s="126" t="str">
        <f t="shared" si="47"/>
        <v>0y 0d 0h 49m</v>
      </c>
    </row>
    <row r="1001" s="91" customFormat="1" spans="1:9">
      <c r="A1001" s="91" t="str">
        <f t="shared" si="45"/>
        <v>Y-92</v>
      </c>
      <c r="B1001" s="91" t="s">
        <v>1588</v>
      </c>
      <c r="C1001" s="91" t="s">
        <v>1560</v>
      </c>
      <c r="D1001" s="91">
        <v>39</v>
      </c>
      <c r="E1001" s="91">
        <v>92</v>
      </c>
      <c r="F1001" s="91">
        <v>0</v>
      </c>
      <c r="G1001" s="126">
        <v>5.43900800816027e-5</v>
      </c>
      <c r="H1001" s="126">
        <f t="shared" si="46"/>
        <v>12744</v>
      </c>
      <c r="I1001" s="126" t="str">
        <f t="shared" si="47"/>
        <v>0y 0d 3h 32m</v>
      </c>
    </row>
    <row r="1002" s="91" customFormat="1" spans="1:9">
      <c r="A1002" s="91" t="str">
        <f t="shared" si="45"/>
        <v>Y-93</v>
      </c>
      <c r="B1002" s="91" t="s">
        <v>1589</v>
      </c>
      <c r="C1002" s="91" t="s">
        <v>1560</v>
      </c>
      <c r="D1002" s="91">
        <v>39</v>
      </c>
      <c r="E1002" s="91">
        <v>93</v>
      </c>
      <c r="F1002" s="91">
        <v>0</v>
      </c>
      <c r="G1002" s="126">
        <v>1.89136427788677e-5</v>
      </c>
      <c r="H1002" s="126">
        <f t="shared" si="46"/>
        <v>36648.0000000001</v>
      </c>
      <c r="I1002" s="126" t="str">
        <f t="shared" si="47"/>
        <v>0y 0d 10h 10m</v>
      </c>
    </row>
    <row r="1003" s="91" customFormat="1" spans="1:9">
      <c r="A1003" s="91" t="str">
        <f t="shared" si="45"/>
        <v>Y-93m</v>
      </c>
      <c r="B1003" s="91" t="s">
        <v>1590</v>
      </c>
      <c r="C1003" s="91" t="s">
        <v>1560</v>
      </c>
      <c r="D1003" s="91">
        <v>39</v>
      </c>
      <c r="E1003" s="91">
        <v>93</v>
      </c>
      <c r="F1003" s="91">
        <v>1</v>
      </c>
      <c r="G1003" s="126">
        <v>0.84530143970725</v>
      </c>
      <c r="H1003" s="126">
        <f t="shared" si="46"/>
        <v>0.82</v>
      </c>
      <c r="I1003" s="126" t="str">
        <f t="shared" si="47"/>
        <v>0y 0d 0h 0m</v>
      </c>
    </row>
    <row r="1004" s="91" customFormat="1" spans="1:9">
      <c r="A1004" s="91" t="str">
        <f t="shared" si="45"/>
        <v>Y-94</v>
      </c>
      <c r="B1004" s="91" t="s">
        <v>1591</v>
      </c>
      <c r="C1004" s="91" t="s">
        <v>1560</v>
      </c>
      <c r="D1004" s="91">
        <v>39</v>
      </c>
      <c r="E1004" s="91">
        <v>94</v>
      </c>
      <c r="F1004" s="91">
        <v>0</v>
      </c>
      <c r="G1004" s="126">
        <v>0.000617778235793177</v>
      </c>
      <c r="H1004" s="126">
        <f t="shared" si="46"/>
        <v>1122</v>
      </c>
      <c r="I1004" s="126" t="str">
        <f t="shared" si="47"/>
        <v>0y 0d 0h 18m</v>
      </c>
    </row>
    <row r="1005" s="91" customFormat="1" spans="1:9">
      <c r="A1005" s="91" t="str">
        <f t="shared" si="45"/>
        <v>Y-95</v>
      </c>
      <c r="B1005" s="91" t="s">
        <v>1592</v>
      </c>
      <c r="C1005" s="91" t="s">
        <v>1560</v>
      </c>
      <c r="D1005" s="91">
        <v>39</v>
      </c>
      <c r="E1005" s="91">
        <v>95</v>
      </c>
      <c r="F1005" s="91">
        <v>0</v>
      </c>
      <c r="G1005" s="126">
        <v>0.00112159737954683</v>
      </c>
      <c r="H1005" s="126">
        <f t="shared" si="46"/>
        <v>618.000000000004</v>
      </c>
      <c r="I1005" s="126" t="str">
        <f t="shared" si="47"/>
        <v>0y 0d 0h 10m</v>
      </c>
    </row>
    <row r="1006" s="91" customFormat="1" spans="1:9">
      <c r="A1006" s="91" t="str">
        <f t="shared" si="45"/>
        <v>Y-96</v>
      </c>
      <c r="B1006" s="91" t="s">
        <v>1593</v>
      </c>
      <c r="C1006" s="91" t="s">
        <v>1560</v>
      </c>
      <c r="D1006" s="91">
        <v>39</v>
      </c>
      <c r="E1006" s="91">
        <v>96</v>
      </c>
      <c r="F1006" s="91">
        <v>0</v>
      </c>
      <c r="G1006" s="126">
        <v>0.129802842801487</v>
      </c>
      <c r="H1006" s="126">
        <f t="shared" si="46"/>
        <v>5.34000000000004</v>
      </c>
      <c r="I1006" s="126" t="str">
        <f t="shared" si="47"/>
        <v>0y 0d 0h 0m</v>
      </c>
    </row>
    <row r="1007" s="91" customFormat="1" spans="1:9">
      <c r="A1007" s="91" t="str">
        <f t="shared" si="45"/>
        <v>Y-96m</v>
      </c>
      <c r="B1007" s="91" t="s">
        <v>1594</v>
      </c>
      <c r="C1007" s="91" t="s">
        <v>1560</v>
      </c>
      <c r="D1007" s="91">
        <v>39</v>
      </c>
      <c r="E1007" s="91">
        <v>96</v>
      </c>
      <c r="F1007" s="91">
        <v>1</v>
      </c>
      <c r="G1007" s="126">
        <v>0.0722028313083276</v>
      </c>
      <c r="H1007" s="126">
        <f t="shared" si="46"/>
        <v>9.6</v>
      </c>
      <c r="I1007" s="126" t="str">
        <f t="shared" si="47"/>
        <v>0y 0d 0h 0m</v>
      </c>
    </row>
    <row r="1008" s="91" customFormat="1" spans="1:9">
      <c r="A1008" s="91" t="str">
        <f t="shared" si="45"/>
        <v>Y-97</v>
      </c>
      <c r="B1008" s="91" t="s">
        <v>1595</v>
      </c>
      <c r="C1008" s="91" t="s">
        <v>1560</v>
      </c>
      <c r="D1008" s="91">
        <v>39</v>
      </c>
      <c r="E1008" s="91">
        <v>97</v>
      </c>
      <c r="F1008" s="91">
        <v>0</v>
      </c>
      <c r="G1008" s="126">
        <v>0.184839248149318</v>
      </c>
      <c r="H1008" s="126">
        <f t="shared" si="46"/>
        <v>3.75000000000002</v>
      </c>
      <c r="I1008" s="126" t="str">
        <f t="shared" si="47"/>
        <v>0y 0d 0h 0m</v>
      </c>
    </row>
    <row r="1009" s="91" customFormat="1" spans="1:9">
      <c r="A1009" s="91" t="str">
        <f t="shared" si="45"/>
        <v>Y-97m</v>
      </c>
      <c r="B1009" s="91" t="s">
        <v>1596</v>
      </c>
      <c r="C1009" s="91" t="s">
        <v>1560</v>
      </c>
      <c r="D1009" s="91">
        <v>39</v>
      </c>
      <c r="E1009" s="91">
        <v>97</v>
      </c>
      <c r="F1009" s="91">
        <v>1</v>
      </c>
      <c r="G1009" s="126">
        <v>0.592433487658072</v>
      </c>
      <c r="H1009" s="126">
        <f t="shared" si="46"/>
        <v>1.17</v>
      </c>
      <c r="I1009" s="126" t="str">
        <f t="shared" si="47"/>
        <v>0y 0d 0h 0m</v>
      </c>
    </row>
    <row r="1010" s="91" customFormat="1" spans="1:9">
      <c r="A1010" s="91" t="str">
        <f t="shared" si="45"/>
        <v>Y-97m2</v>
      </c>
      <c r="B1010" s="91" t="s">
        <v>1597</v>
      </c>
      <c r="C1010" s="91" t="s">
        <v>1560</v>
      </c>
      <c r="D1010" s="91">
        <v>39</v>
      </c>
      <c r="E1010" s="91">
        <v>97</v>
      </c>
      <c r="F1010" s="91">
        <v>2</v>
      </c>
      <c r="G1010" s="126">
        <v>4.88131817295736</v>
      </c>
      <c r="H1010" s="126">
        <f t="shared" si="46"/>
        <v>0.142</v>
      </c>
      <c r="I1010" s="126" t="str">
        <f t="shared" si="47"/>
        <v>0y 0d 0h 0m</v>
      </c>
    </row>
    <row r="1011" s="91" customFormat="1" spans="1:9">
      <c r="A1011" s="91" t="str">
        <f t="shared" si="45"/>
        <v>Y-98</v>
      </c>
      <c r="B1011" s="91" t="s">
        <v>1598</v>
      </c>
      <c r="C1011" s="91" t="s">
        <v>1560</v>
      </c>
      <c r="D1011" s="91">
        <v>39</v>
      </c>
      <c r="E1011" s="91">
        <v>98</v>
      </c>
      <c r="F1011" s="91">
        <v>0</v>
      </c>
      <c r="G1011" s="126">
        <v>1.26486711781011</v>
      </c>
      <c r="H1011" s="126">
        <f t="shared" si="46"/>
        <v>0.548000000000004</v>
      </c>
      <c r="I1011" s="126" t="str">
        <f t="shared" si="47"/>
        <v>0y 0d 0h 0m</v>
      </c>
    </row>
    <row r="1012" s="91" customFormat="1" spans="1:9">
      <c r="A1012" s="91" t="str">
        <f t="shared" si="45"/>
        <v>Y-98m</v>
      </c>
      <c r="B1012" s="91" t="s">
        <v>1599</v>
      </c>
      <c r="C1012" s="91" t="s">
        <v>1560</v>
      </c>
      <c r="D1012" s="91">
        <v>39</v>
      </c>
      <c r="E1012" s="91">
        <v>98</v>
      </c>
      <c r="F1012" s="91">
        <v>1</v>
      </c>
      <c r="G1012" s="126">
        <v>0.346573590279972</v>
      </c>
      <c r="H1012" s="126">
        <f t="shared" si="46"/>
        <v>2</v>
      </c>
      <c r="I1012" s="126" t="str">
        <f t="shared" si="47"/>
        <v>0y 0d 0h 0m</v>
      </c>
    </row>
    <row r="1013" s="91" customFormat="1" spans="1:9">
      <c r="A1013" s="91" t="str">
        <f t="shared" si="45"/>
        <v>Y-99</v>
      </c>
      <c r="B1013" s="91" t="s">
        <v>1600</v>
      </c>
      <c r="C1013" s="91" t="s">
        <v>1560</v>
      </c>
      <c r="D1013" s="91">
        <v>39</v>
      </c>
      <c r="E1013" s="91">
        <v>99</v>
      </c>
      <c r="F1013" s="91">
        <v>0</v>
      </c>
      <c r="G1013" s="126">
        <v>0.471528694258466</v>
      </c>
      <c r="H1013" s="126">
        <f t="shared" si="46"/>
        <v>1.47</v>
      </c>
      <c r="I1013" s="126" t="str">
        <f t="shared" si="47"/>
        <v>0y 0d 0h 0m</v>
      </c>
    </row>
    <row r="1014" s="91" customFormat="1" spans="1:9">
      <c r="A1014" s="91" t="str">
        <f t="shared" si="45"/>
        <v>Y-100</v>
      </c>
      <c r="B1014" s="91" t="s">
        <v>1601</v>
      </c>
      <c r="C1014" s="91" t="s">
        <v>1560</v>
      </c>
      <c r="D1014" s="91">
        <v>39</v>
      </c>
      <c r="E1014" s="91">
        <v>100</v>
      </c>
      <c r="F1014" s="91">
        <v>0</v>
      </c>
      <c r="G1014" s="126">
        <v>0.943057388516932</v>
      </c>
      <c r="H1014" s="126">
        <f t="shared" si="46"/>
        <v>0.735</v>
      </c>
      <c r="I1014" s="126" t="str">
        <f t="shared" si="47"/>
        <v>0y 0d 0h 0m</v>
      </c>
    </row>
    <row r="1015" s="91" customFormat="1" spans="1:9">
      <c r="A1015" s="91" t="str">
        <f t="shared" si="45"/>
        <v>Y-100m</v>
      </c>
      <c r="B1015" s="91" t="s">
        <v>1602</v>
      </c>
      <c r="C1015" s="91" t="s">
        <v>1560</v>
      </c>
      <c r="D1015" s="91">
        <v>39</v>
      </c>
      <c r="E1015" s="91">
        <v>100</v>
      </c>
      <c r="F1015" s="91">
        <v>1</v>
      </c>
      <c r="G1015" s="126">
        <v>0.737390617616963</v>
      </c>
      <c r="H1015" s="126">
        <f t="shared" si="46"/>
        <v>0.94</v>
      </c>
      <c r="I1015" s="126" t="str">
        <f t="shared" si="47"/>
        <v>0y 0d 0h 0m</v>
      </c>
    </row>
    <row r="1016" s="91" customFormat="1" spans="1:9">
      <c r="A1016" s="91" t="str">
        <f t="shared" si="45"/>
        <v>Y-101</v>
      </c>
      <c r="B1016" s="91" t="s">
        <v>1603</v>
      </c>
      <c r="C1016" s="91" t="s">
        <v>1560</v>
      </c>
      <c r="D1016" s="91">
        <v>39</v>
      </c>
      <c r="E1016" s="91">
        <v>101</v>
      </c>
      <c r="F1016" s="91">
        <v>0</v>
      </c>
      <c r="G1016" s="126">
        <v>1.54032706791098</v>
      </c>
      <c r="H1016" s="126">
        <f t="shared" si="46"/>
        <v>0.450000000000003</v>
      </c>
      <c r="I1016" s="126" t="str">
        <f t="shared" si="47"/>
        <v>0y 0d 0h 0m</v>
      </c>
    </row>
    <row r="1017" s="91" customFormat="1" spans="1:9">
      <c r="A1017" s="91" t="str">
        <f t="shared" si="45"/>
        <v>Y-102</v>
      </c>
      <c r="B1017" s="91" t="s">
        <v>1604</v>
      </c>
      <c r="C1017" s="91" t="s">
        <v>1560</v>
      </c>
      <c r="D1017" s="91">
        <v>39</v>
      </c>
      <c r="E1017" s="91">
        <v>102</v>
      </c>
      <c r="F1017" s="91">
        <v>0</v>
      </c>
      <c r="G1017" s="126">
        <v>1.92540883488873</v>
      </c>
      <c r="H1017" s="126">
        <f t="shared" si="46"/>
        <v>0.360000000000001</v>
      </c>
      <c r="I1017" s="126" t="str">
        <f t="shared" si="47"/>
        <v>0y 0d 0h 0m</v>
      </c>
    </row>
    <row r="1018" s="91" customFormat="1" spans="1:9">
      <c r="A1018" s="91" t="str">
        <f t="shared" si="45"/>
        <v>Y-102m</v>
      </c>
      <c r="B1018" s="91" t="s">
        <v>1605</v>
      </c>
      <c r="C1018" s="91" t="s">
        <v>1560</v>
      </c>
      <c r="D1018" s="91">
        <v>39</v>
      </c>
      <c r="E1018" s="91">
        <v>102</v>
      </c>
      <c r="F1018" s="91">
        <v>1</v>
      </c>
      <c r="G1018" s="126">
        <v>2.32599725020115</v>
      </c>
      <c r="H1018" s="126">
        <f t="shared" si="46"/>
        <v>0.298000000000001</v>
      </c>
      <c r="I1018" s="126" t="str">
        <f t="shared" si="47"/>
        <v>0y 0d 0h 0m</v>
      </c>
    </row>
    <row r="1019" s="91" customFormat="1" spans="1:9">
      <c r="A1019" s="91" t="str">
        <f t="shared" si="45"/>
        <v>Y-103</v>
      </c>
      <c r="B1019" s="91" t="s">
        <v>1606</v>
      </c>
      <c r="C1019" s="91" t="s">
        <v>1560</v>
      </c>
      <c r="D1019" s="91">
        <v>39</v>
      </c>
      <c r="E1019" s="91">
        <v>103</v>
      </c>
      <c r="F1019" s="91">
        <v>0</v>
      </c>
      <c r="G1019" s="126">
        <v>3.01368339373889</v>
      </c>
      <c r="H1019" s="126">
        <f t="shared" si="46"/>
        <v>0.23</v>
      </c>
      <c r="I1019" s="126" t="str">
        <f t="shared" si="47"/>
        <v>0y 0d 0h 0m</v>
      </c>
    </row>
    <row r="1020" s="91" customFormat="1" spans="1:9">
      <c r="A1020" s="91" t="str">
        <f t="shared" si="45"/>
        <v>Y-104</v>
      </c>
      <c r="B1020" s="91" t="s">
        <v>1607</v>
      </c>
      <c r="C1020" s="91" t="s">
        <v>1560</v>
      </c>
      <c r="D1020" s="91">
        <v>39</v>
      </c>
      <c r="E1020" s="91">
        <v>104</v>
      </c>
      <c r="F1020" s="91">
        <v>0</v>
      </c>
      <c r="G1020" s="126">
        <v>3.85081766977747</v>
      </c>
      <c r="H1020" s="126">
        <f t="shared" si="46"/>
        <v>0.18</v>
      </c>
      <c r="I1020" s="126" t="str">
        <f t="shared" si="47"/>
        <v>0y 0d 0h 0m</v>
      </c>
    </row>
    <row r="1021" s="91" customFormat="1" spans="1:9">
      <c r="A1021" s="91" t="str">
        <f t="shared" si="45"/>
        <v>Y-105</v>
      </c>
      <c r="B1021" s="91" t="s">
        <v>1608</v>
      </c>
      <c r="C1021" s="91" t="s">
        <v>1560</v>
      </c>
      <c r="D1021" s="91">
        <v>39</v>
      </c>
      <c r="E1021" s="91">
        <v>105</v>
      </c>
      <c r="F1021" s="91">
        <v>0</v>
      </c>
      <c r="G1021" s="126">
        <v>7.87667250636301</v>
      </c>
      <c r="H1021" s="126">
        <f t="shared" si="46"/>
        <v>0.0880000000000001</v>
      </c>
      <c r="I1021" s="126" t="str">
        <f t="shared" si="47"/>
        <v>0y 0d 0h 0m</v>
      </c>
    </row>
    <row r="1022" s="91" customFormat="1" spans="1:9">
      <c r="A1022" s="91" t="str">
        <f t="shared" si="45"/>
        <v>Y-106</v>
      </c>
      <c r="B1022" s="91" t="s">
        <v>1609</v>
      </c>
      <c r="C1022" s="91" t="s">
        <v>1560</v>
      </c>
      <c r="D1022" s="91">
        <v>39</v>
      </c>
      <c r="E1022" s="91">
        <v>106</v>
      </c>
      <c r="F1022" s="91">
        <v>0</v>
      </c>
      <c r="G1022" s="126">
        <v>10.502230008484</v>
      </c>
      <c r="H1022" s="126">
        <f t="shared" si="46"/>
        <v>0.0660000000000001</v>
      </c>
      <c r="I1022" s="126" t="str">
        <f t="shared" si="47"/>
        <v>0y 0d 0h 0m</v>
      </c>
    </row>
    <row r="1023" s="91" customFormat="1" spans="1:9">
      <c r="A1023" s="91" t="str">
        <f t="shared" si="45"/>
        <v>Y-107</v>
      </c>
      <c r="B1023" s="91" t="s">
        <v>1610</v>
      </c>
      <c r="C1023" s="91" t="s">
        <v>1560</v>
      </c>
      <c r="D1023" s="91">
        <v>39</v>
      </c>
      <c r="E1023" s="91">
        <v>107</v>
      </c>
      <c r="F1023" s="91">
        <v>0</v>
      </c>
      <c r="G1023" s="126">
        <v>23.1049060186648</v>
      </c>
      <c r="H1023" s="126">
        <f t="shared" si="46"/>
        <v>0.0300000000000001</v>
      </c>
      <c r="I1023" s="126" t="str">
        <f t="shared" si="47"/>
        <v>0y 0d 0h 0m</v>
      </c>
    </row>
    <row r="1024" s="91" customFormat="1" spans="1:9">
      <c r="A1024" s="91" t="str">
        <f t="shared" si="45"/>
        <v>Y-108</v>
      </c>
      <c r="B1024" s="91" t="s">
        <v>1611</v>
      </c>
      <c r="C1024" s="91" t="s">
        <v>1560</v>
      </c>
      <c r="D1024" s="91">
        <v>39</v>
      </c>
      <c r="E1024" s="91">
        <v>108</v>
      </c>
      <c r="F1024" s="91">
        <v>0</v>
      </c>
      <c r="G1024" s="126">
        <v>14.4405662616655</v>
      </c>
      <c r="H1024" s="126">
        <f t="shared" si="46"/>
        <v>0.0480000000000001</v>
      </c>
      <c r="I1024" s="126" t="str">
        <f t="shared" si="47"/>
        <v>0y 0d 0h 0m</v>
      </c>
    </row>
    <row r="1025" s="91" customFormat="1" spans="1:9">
      <c r="A1025" s="91" t="str">
        <f t="shared" si="45"/>
        <v>Zr-78</v>
      </c>
      <c r="B1025" s="91" t="s">
        <v>1612</v>
      </c>
      <c r="C1025" s="91" t="s">
        <v>1613</v>
      </c>
      <c r="D1025" s="91">
        <v>40</v>
      </c>
      <c r="E1025" s="91">
        <v>78</v>
      </c>
      <c r="F1025" s="91">
        <v>0</v>
      </c>
      <c r="G1025" s="126">
        <v>3465735.90279972</v>
      </c>
      <c r="H1025" s="126">
        <f t="shared" si="46"/>
        <v>2e-7</v>
      </c>
      <c r="I1025" s="126" t="str">
        <f t="shared" si="47"/>
        <v>0y 0d 0h 0m</v>
      </c>
    </row>
    <row r="1026" s="91" customFormat="1" spans="1:9">
      <c r="A1026" s="91" t="str">
        <f t="shared" ref="A1026:A1089" si="48">C1026&amp;"-"&amp;E1026&amp;_xlfn.IFS(F1026=0,"",F1026=1,"m",F1026&gt;1,"m"&amp;F1026)</f>
        <v>Zr-79</v>
      </c>
      <c r="B1026" s="91" t="s">
        <v>1614</v>
      </c>
      <c r="C1026" s="91" t="s">
        <v>1613</v>
      </c>
      <c r="D1026" s="91">
        <v>40</v>
      </c>
      <c r="E1026" s="91">
        <v>79</v>
      </c>
      <c r="F1026" s="91">
        <v>0</v>
      </c>
      <c r="G1026" s="126">
        <v>12.3776282242847</v>
      </c>
      <c r="H1026" s="126">
        <f t="shared" ref="H1026:H1089" si="49">IF(G1026&gt;0,LN(2)/G1026,0)</f>
        <v>0.0560000000000002</v>
      </c>
      <c r="I1026" s="126" t="str">
        <f t="shared" si="47"/>
        <v>0y 0d 0h 0m</v>
      </c>
    </row>
    <row r="1027" s="91" customFormat="1" spans="1:9">
      <c r="A1027" s="91" t="str">
        <f t="shared" si="48"/>
        <v>Zr-80</v>
      </c>
      <c r="B1027" s="91" t="s">
        <v>1615</v>
      </c>
      <c r="C1027" s="91" t="s">
        <v>1613</v>
      </c>
      <c r="D1027" s="91">
        <v>40</v>
      </c>
      <c r="E1027" s="91">
        <v>80</v>
      </c>
      <c r="F1027" s="91">
        <v>0</v>
      </c>
      <c r="G1027" s="126">
        <v>0.150684169686944</v>
      </c>
      <c r="H1027" s="126">
        <f t="shared" si="49"/>
        <v>4.60000000000002</v>
      </c>
      <c r="I1027" s="126" t="str">
        <f t="shared" ref="I1027:I1090" si="50">INT(H1027/31536000)&amp;"y "&amp;INT(MOD(H1027,31536000)/86400)&amp;"d "&amp;INT(MOD(MOD(H1027,31536000),86400)/3600)&amp;"h "&amp;INT(MOD(MOD(MOD(H1027,31536000),86400),3600)/60)&amp;"m"</f>
        <v>0y 0d 0h 0m</v>
      </c>
    </row>
    <row r="1028" s="91" customFormat="1" spans="1:9">
      <c r="A1028" s="91" t="str">
        <f t="shared" si="48"/>
        <v>Zr-81</v>
      </c>
      <c r="B1028" s="91" t="s">
        <v>1616</v>
      </c>
      <c r="C1028" s="91" t="s">
        <v>1613</v>
      </c>
      <c r="D1028" s="91">
        <v>40</v>
      </c>
      <c r="E1028" s="91">
        <v>81</v>
      </c>
      <c r="F1028" s="91">
        <v>0</v>
      </c>
      <c r="G1028" s="126">
        <v>0.126026760101808</v>
      </c>
      <c r="H1028" s="126">
        <f t="shared" si="49"/>
        <v>5.50000000000001</v>
      </c>
      <c r="I1028" s="126" t="str">
        <f t="shared" si="50"/>
        <v>0y 0d 0h 0m</v>
      </c>
    </row>
    <row r="1029" s="91" customFormat="1" spans="1:9">
      <c r="A1029" s="91" t="str">
        <f t="shared" si="48"/>
        <v>Zr-82</v>
      </c>
      <c r="B1029" s="91" t="s">
        <v>1617</v>
      </c>
      <c r="C1029" s="91" t="s">
        <v>1613</v>
      </c>
      <c r="D1029" s="91">
        <v>40</v>
      </c>
      <c r="E1029" s="91">
        <v>82</v>
      </c>
      <c r="F1029" s="91">
        <v>0</v>
      </c>
      <c r="G1029" s="126">
        <v>0.0216608493924982</v>
      </c>
      <c r="H1029" s="126">
        <f t="shared" si="49"/>
        <v>32.0000000000001</v>
      </c>
      <c r="I1029" s="126" t="str">
        <f t="shared" si="50"/>
        <v>0y 0d 0h 0m</v>
      </c>
    </row>
    <row r="1030" s="91" customFormat="1" spans="1:9">
      <c r="A1030" s="91" t="str">
        <f t="shared" si="48"/>
        <v>Zr-83</v>
      </c>
      <c r="B1030" s="91" t="s">
        <v>1618</v>
      </c>
      <c r="C1030" s="91" t="s">
        <v>1613</v>
      </c>
      <c r="D1030" s="91">
        <v>40</v>
      </c>
      <c r="E1030" s="91">
        <v>83</v>
      </c>
      <c r="F1030" s="91">
        <v>0</v>
      </c>
      <c r="G1030" s="126">
        <v>0.0166621918403833</v>
      </c>
      <c r="H1030" s="126">
        <f t="shared" si="49"/>
        <v>41.6</v>
      </c>
      <c r="I1030" s="126" t="str">
        <f t="shared" si="50"/>
        <v>0y 0d 0h 0m</v>
      </c>
    </row>
    <row r="1031" s="91" customFormat="1" spans="1:9">
      <c r="A1031" s="91" t="str">
        <f t="shared" si="48"/>
        <v>Zr-84</v>
      </c>
      <c r="B1031" s="91" t="s">
        <v>1619</v>
      </c>
      <c r="C1031" s="91" t="s">
        <v>1613</v>
      </c>
      <c r="D1031" s="91">
        <v>40</v>
      </c>
      <c r="E1031" s="91">
        <v>84</v>
      </c>
      <c r="F1031" s="91">
        <v>0</v>
      </c>
      <c r="G1031" s="126">
        <v>0.000446040656730981</v>
      </c>
      <c r="H1031" s="126">
        <f t="shared" si="49"/>
        <v>1554</v>
      </c>
      <c r="I1031" s="126" t="str">
        <f t="shared" si="50"/>
        <v>0y 0d 0h 25m</v>
      </c>
    </row>
    <row r="1032" s="91" customFormat="1" spans="1:9">
      <c r="A1032" s="91" t="str">
        <f t="shared" si="48"/>
        <v>Zr-85</v>
      </c>
      <c r="B1032" s="91" t="s">
        <v>1620</v>
      </c>
      <c r="C1032" s="91" t="s">
        <v>1613</v>
      </c>
      <c r="D1032" s="91">
        <v>40</v>
      </c>
      <c r="E1032" s="91">
        <v>85</v>
      </c>
      <c r="F1032" s="91">
        <v>0</v>
      </c>
      <c r="G1032" s="126">
        <v>0.00146977773655628</v>
      </c>
      <c r="H1032" s="126">
        <f t="shared" si="49"/>
        <v>471.600000000002</v>
      </c>
      <c r="I1032" s="126" t="str">
        <f t="shared" si="50"/>
        <v>0y 0d 0h 7m</v>
      </c>
    </row>
    <row r="1033" s="91" customFormat="1" spans="1:9">
      <c r="A1033" s="91" t="str">
        <f t="shared" si="48"/>
        <v>Zr-85m</v>
      </c>
      <c r="B1033" s="91" t="s">
        <v>1621</v>
      </c>
      <c r="C1033" s="91" t="s">
        <v>1613</v>
      </c>
      <c r="D1033" s="91">
        <v>40</v>
      </c>
      <c r="E1033" s="91">
        <v>85</v>
      </c>
      <c r="F1033" s="91">
        <v>1</v>
      </c>
      <c r="G1033" s="126">
        <v>0.0635914844550408</v>
      </c>
      <c r="H1033" s="126">
        <f t="shared" si="49"/>
        <v>10.9</v>
      </c>
      <c r="I1033" s="126" t="str">
        <f t="shared" si="50"/>
        <v>0y 0d 0h 0m</v>
      </c>
    </row>
    <row r="1034" s="91" customFormat="1" spans="1:9">
      <c r="A1034" s="91" t="str">
        <f t="shared" si="48"/>
        <v>Zr-86</v>
      </c>
      <c r="B1034" s="91" t="s">
        <v>1622</v>
      </c>
      <c r="C1034" s="91" t="s">
        <v>1613</v>
      </c>
      <c r="D1034" s="91">
        <v>40</v>
      </c>
      <c r="E1034" s="91">
        <v>86</v>
      </c>
      <c r="F1034" s="91">
        <v>0</v>
      </c>
      <c r="G1034" s="126">
        <v>1.16691444538711e-5</v>
      </c>
      <c r="H1034" s="126">
        <f t="shared" si="49"/>
        <v>59400.0000000002</v>
      </c>
      <c r="I1034" s="126" t="str">
        <f t="shared" si="50"/>
        <v>0y 0d 16h 30m</v>
      </c>
    </row>
    <row r="1035" s="91" customFormat="1" spans="1:9">
      <c r="A1035" s="91" t="str">
        <f t="shared" si="48"/>
        <v>Zr-87</v>
      </c>
      <c r="B1035" s="91" t="s">
        <v>1623</v>
      </c>
      <c r="C1035" s="91" t="s">
        <v>1613</v>
      </c>
      <c r="D1035" s="91">
        <v>40</v>
      </c>
      <c r="E1035" s="91">
        <v>87</v>
      </c>
      <c r="F1035" s="91">
        <v>0</v>
      </c>
      <c r="G1035" s="126">
        <v>0.000114607668743377</v>
      </c>
      <c r="H1035" s="126">
        <f t="shared" si="49"/>
        <v>6048.00000000001</v>
      </c>
      <c r="I1035" s="126" t="str">
        <f t="shared" si="50"/>
        <v>0y 0d 1h 40m</v>
      </c>
    </row>
    <row r="1036" s="91" customFormat="1" spans="1:9">
      <c r="A1036" s="91" t="str">
        <f t="shared" si="48"/>
        <v>Zr-87m</v>
      </c>
      <c r="B1036" s="91" t="s">
        <v>1624</v>
      </c>
      <c r="C1036" s="91" t="s">
        <v>1613</v>
      </c>
      <c r="D1036" s="91">
        <v>40</v>
      </c>
      <c r="E1036" s="91">
        <v>87</v>
      </c>
      <c r="F1036" s="91">
        <v>1</v>
      </c>
      <c r="G1036" s="126">
        <v>0.0495105128971389</v>
      </c>
      <c r="H1036" s="126">
        <f t="shared" si="49"/>
        <v>14</v>
      </c>
      <c r="I1036" s="126" t="str">
        <f t="shared" si="50"/>
        <v>0y 0d 0h 0m</v>
      </c>
    </row>
    <row r="1037" s="91" customFormat="1" spans="1:9">
      <c r="A1037" s="91" t="str">
        <f t="shared" si="48"/>
        <v>Zr-88</v>
      </c>
      <c r="B1037" s="91" t="s">
        <v>1625</v>
      </c>
      <c r="C1037" s="91" t="s">
        <v>1613</v>
      </c>
      <c r="D1037" s="91">
        <v>40</v>
      </c>
      <c r="E1037" s="91">
        <v>88</v>
      </c>
      <c r="F1037" s="91">
        <v>0</v>
      </c>
      <c r="G1037" s="126">
        <v>9.61934869548729e-8</v>
      </c>
      <c r="H1037" s="126">
        <f t="shared" si="49"/>
        <v>7205760</v>
      </c>
      <c r="I1037" s="126" t="str">
        <f t="shared" si="50"/>
        <v>0y 83d 9h 36m</v>
      </c>
    </row>
    <row r="1038" s="91" customFormat="1" spans="1:9">
      <c r="A1038" s="91" t="str">
        <f t="shared" si="48"/>
        <v>Zr-89</v>
      </c>
      <c r="B1038" s="91" t="s">
        <v>1626</v>
      </c>
      <c r="C1038" s="91" t="s">
        <v>1613</v>
      </c>
      <c r="D1038" s="91">
        <v>40</v>
      </c>
      <c r="E1038" s="91">
        <v>89</v>
      </c>
      <c r="F1038" s="91">
        <v>0</v>
      </c>
      <c r="G1038" s="126">
        <v>2.45556540605629e-6</v>
      </c>
      <c r="H1038" s="126">
        <f t="shared" si="49"/>
        <v>282276</v>
      </c>
      <c r="I1038" s="126" t="str">
        <f t="shared" si="50"/>
        <v>0y 3d 6h 24m</v>
      </c>
    </row>
    <row r="1039" s="91" customFormat="1" spans="1:9">
      <c r="A1039" s="91" t="str">
        <f t="shared" si="48"/>
        <v>Zr-89m</v>
      </c>
      <c r="B1039" s="91" t="s">
        <v>1627</v>
      </c>
      <c r="C1039" s="91" t="s">
        <v>1613</v>
      </c>
      <c r="D1039" s="91">
        <v>40</v>
      </c>
      <c r="E1039" s="91">
        <v>89</v>
      </c>
      <c r="F1039" s="91">
        <v>1</v>
      </c>
      <c r="G1039" s="126">
        <v>0.00277636457806595</v>
      </c>
      <c r="H1039" s="126">
        <f t="shared" si="49"/>
        <v>249.66</v>
      </c>
      <c r="I1039" s="126" t="str">
        <f t="shared" si="50"/>
        <v>0y 0d 0h 4m</v>
      </c>
    </row>
    <row r="1040" s="91" customFormat="1" spans="1:9">
      <c r="A1040" s="91" t="str">
        <f t="shared" si="48"/>
        <v>Zr-90</v>
      </c>
      <c r="B1040" s="91" t="s">
        <v>1628</v>
      </c>
      <c r="C1040" s="91" t="s">
        <v>1613</v>
      </c>
      <c r="D1040" s="91">
        <v>40</v>
      </c>
      <c r="E1040" s="91">
        <v>90</v>
      </c>
      <c r="F1040" s="91">
        <v>0</v>
      </c>
      <c r="G1040" s="126">
        <v>0</v>
      </c>
      <c r="H1040" s="126">
        <f t="shared" si="49"/>
        <v>0</v>
      </c>
      <c r="I1040" s="126" t="str">
        <f t="shared" si="50"/>
        <v>0y 0d 0h 0m</v>
      </c>
    </row>
    <row r="1041" s="91" customFormat="1" spans="1:9">
      <c r="A1041" s="91" t="str">
        <f t="shared" si="48"/>
        <v>Zr-90m</v>
      </c>
      <c r="B1041" s="91" t="s">
        <v>1629</v>
      </c>
      <c r="C1041" s="91" t="s">
        <v>1613</v>
      </c>
      <c r="D1041" s="91">
        <v>40</v>
      </c>
      <c r="E1041" s="91">
        <v>90</v>
      </c>
      <c r="F1041" s="91">
        <v>1</v>
      </c>
      <c r="G1041" s="126">
        <v>0.85658326811659</v>
      </c>
      <c r="H1041" s="126">
        <f t="shared" si="49"/>
        <v>0.809200000000001</v>
      </c>
      <c r="I1041" s="126" t="str">
        <f t="shared" si="50"/>
        <v>0y 0d 0h 0m</v>
      </c>
    </row>
    <row r="1042" s="91" customFormat="1" spans="1:9">
      <c r="A1042" s="91" t="str">
        <f t="shared" si="48"/>
        <v>Zr-91</v>
      </c>
      <c r="B1042" s="91" t="s">
        <v>1630</v>
      </c>
      <c r="C1042" s="91" t="s">
        <v>1613</v>
      </c>
      <c r="D1042" s="91">
        <v>40</v>
      </c>
      <c r="E1042" s="91">
        <v>91</v>
      </c>
      <c r="F1042" s="91">
        <v>0</v>
      </c>
      <c r="G1042" s="126">
        <v>0</v>
      </c>
      <c r="H1042" s="126">
        <f t="shared" si="49"/>
        <v>0</v>
      </c>
      <c r="I1042" s="126" t="str">
        <f t="shared" si="50"/>
        <v>0y 0d 0h 0m</v>
      </c>
    </row>
    <row r="1043" s="91" customFormat="1" spans="1:9">
      <c r="A1043" s="91" t="str">
        <f t="shared" si="48"/>
        <v>Zr-92</v>
      </c>
      <c r="B1043" s="91" t="s">
        <v>1631</v>
      </c>
      <c r="C1043" s="91" t="s">
        <v>1613</v>
      </c>
      <c r="D1043" s="91">
        <v>40</v>
      </c>
      <c r="E1043" s="91">
        <v>92</v>
      </c>
      <c r="F1043" s="91">
        <v>0</v>
      </c>
      <c r="G1043" s="126">
        <v>0</v>
      </c>
      <c r="H1043" s="126">
        <f t="shared" si="49"/>
        <v>0</v>
      </c>
      <c r="I1043" s="126" t="str">
        <f t="shared" si="50"/>
        <v>0y 0d 0h 0m</v>
      </c>
    </row>
    <row r="1044" s="91" customFormat="1" spans="1:9">
      <c r="A1044" s="91" t="str">
        <f t="shared" si="48"/>
        <v>Zr-93</v>
      </c>
      <c r="B1044" s="91" t="s">
        <v>1632</v>
      </c>
      <c r="C1044" s="91" t="s">
        <v>1613</v>
      </c>
      <c r="D1044" s="91">
        <v>40</v>
      </c>
      <c r="E1044" s="91">
        <v>93</v>
      </c>
      <c r="F1044" s="91">
        <v>0</v>
      </c>
      <c r="G1044" s="126">
        <v>1.43558963811342e-14</v>
      </c>
      <c r="H1044" s="126">
        <f t="shared" si="49"/>
        <v>48283100000000.3</v>
      </c>
      <c r="I1044" s="126" t="str">
        <f t="shared" si="50"/>
        <v>1531047y 20d 22h 13m</v>
      </c>
    </row>
    <row r="1045" s="91" customFormat="1" spans="1:9">
      <c r="A1045" s="91" t="str">
        <f t="shared" si="48"/>
        <v>Zr-94</v>
      </c>
      <c r="B1045" s="91" t="s">
        <v>1633</v>
      </c>
      <c r="C1045" s="91" t="s">
        <v>1613</v>
      </c>
      <c r="D1045" s="91">
        <v>40</v>
      </c>
      <c r="E1045" s="91">
        <v>94</v>
      </c>
      <c r="F1045" s="91">
        <v>0</v>
      </c>
      <c r="G1045" s="126">
        <v>0</v>
      </c>
      <c r="H1045" s="126">
        <f t="shared" si="49"/>
        <v>0</v>
      </c>
      <c r="I1045" s="126" t="str">
        <f t="shared" si="50"/>
        <v>0y 0d 0h 0m</v>
      </c>
    </row>
    <row r="1046" s="91" customFormat="1" spans="1:9">
      <c r="A1046" s="91" t="str">
        <f t="shared" si="48"/>
        <v>Zr-95</v>
      </c>
      <c r="B1046" s="91" t="s">
        <v>1634</v>
      </c>
      <c r="C1046" s="91" t="s">
        <v>1613</v>
      </c>
      <c r="D1046" s="91">
        <v>40</v>
      </c>
      <c r="E1046" s="91">
        <v>95</v>
      </c>
      <c r="F1046" s="91">
        <v>0</v>
      </c>
      <c r="G1046" s="126">
        <v>1.25289488412269e-7</v>
      </c>
      <c r="H1046" s="126">
        <f t="shared" si="49"/>
        <v>5532365.00000002</v>
      </c>
      <c r="I1046" s="126" t="str">
        <f t="shared" si="50"/>
        <v>0y 64d 0h 46m</v>
      </c>
    </row>
    <row r="1047" s="91" customFormat="1" spans="1:9">
      <c r="A1047" s="91" t="str">
        <f t="shared" si="48"/>
        <v>Zr-96</v>
      </c>
      <c r="B1047" s="91" t="s">
        <v>1635</v>
      </c>
      <c r="C1047" s="91" t="s">
        <v>1613</v>
      </c>
      <c r="D1047" s="91">
        <v>40</v>
      </c>
      <c r="E1047" s="91">
        <v>96</v>
      </c>
      <c r="F1047" s="91">
        <v>0</v>
      </c>
      <c r="G1047" s="126">
        <v>1.0982254362815e-27</v>
      </c>
      <c r="H1047" s="126">
        <f t="shared" si="49"/>
        <v>6.31152000000004e+26</v>
      </c>
      <c r="I1047" s="126" t="str">
        <f t="shared" si="50"/>
        <v>2.00136986301371E+19y 0d 0h 0m</v>
      </c>
    </row>
    <row r="1048" s="91" customFormat="1" spans="1:9">
      <c r="A1048" s="91" t="str">
        <f t="shared" si="48"/>
        <v>Zr-97</v>
      </c>
      <c r="B1048" s="91" t="s">
        <v>1636</v>
      </c>
      <c r="C1048" s="91" t="s">
        <v>1613</v>
      </c>
      <c r="D1048" s="91">
        <v>40</v>
      </c>
      <c r="E1048" s="91">
        <v>97</v>
      </c>
      <c r="F1048" s="91">
        <v>0</v>
      </c>
      <c r="G1048" s="126">
        <v>1.14956644270627e-5</v>
      </c>
      <c r="H1048" s="126">
        <f t="shared" si="49"/>
        <v>60296.4000000002</v>
      </c>
      <c r="I1048" s="126" t="str">
        <f t="shared" si="50"/>
        <v>0y 0d 16h 44m</v>
      </c>
    </row>
    <row r="1049" s="91" customFormat="1" spans="1:9">
      <c r="A1049" s="91" t="str">
        <f t="shared" si="48"/>
        <v>Zr-98</v>
      </c>
      <c r="B1049" s="91" t="s">
        <v>1637</v>
      </c>
      <c r="C1049" s="91" t="s">
        <v>1613</v>
      </c>
      <c r="D1049" s="91">
        <v>40</v>
      </c>
      <c r="E1049" s="91">
        <v>98</v>
      </c>
      <c r="F1049" s="91">
        <v>0</v>
      </c>
      <c r="G1049" s="126">
        <v>0.0225780840573272</v>
      </c>
      <c r="H1049" s="126">
        <f t="shared" si="49"/>
        <v>30.7</v>
      </c>
      <c r="I1049" s="126" t="str">
        <f t="shared" si="50"/>
        <v>0y 0d 0h 0m</v>
      </c>
    </row>
    <row r="1050" s="91" customFormat="1" spans="1:9">
      <c r="A1050" s="91" t="str">
        <f t="shared" si="48"/>
        <v>Zr-99</v>
      </c>
      <c r="B1050" s="91" t="s">
        <v>1638</v>
      </c>
      <c r="C1050" s="91" t="s">
        <v>1613</v>
      </c>
      <c r="D1050" s="91">
        <v>40</v>
      </c>
      <c r="E1050" s="91">
        <v>99</v>
      </c>
      <c r="F1050" s="91">
        <v>0</v>
      </c>
      <c r="G1050" s="126">
        <v>0.330070085980926</v>
      </c>
      <c r="H1050" s="126">
        <f t="shared" si="49"/>
        <v>2.1</v>
      </c>
      <c r="I1050" s="126" t="str">
        <f t="shared" si="50"/>
        <v>0y 0d 0h 0m</v>
      </c>
    </row>
    <row r="1051" s="91" customFormat="1" spans="1:9">
      <c r="A1051" s="91" t="str">
        <f t="shared" si="48"/>
        <v>Zr-100</v>
      </c>
      <c r="B1051" s="91" t="s">
        <v>1639</v>
      </c>
      <c r="C1051" s="91" t="s">
        <v>1613</v>
      </c>
      <c r="D1051" s="91">
        <v>40</v>
      </c>
      <c r="E1051" s="91">
        <v>100</v>
      </c>
      <c r="F1051" s="91">
        <v>0</v>
      </c>
      <c r="G1051" s="126">
        <v>0.0976263634591472</v>
      </c>
      <c r="H1051" s="126">
        <f t="shared" si="49"/>
        <v>7.1</v>
      </c>
      <c r="I1051" s="126" t="str">
        <f t="shared" si="50"/>
        <v>0y 0d 0h 0m</v>
      </c>
    </row>
    <row r="1052" s="91" customFormat="1" spans="1:9">
      <c r="A1052" s="91" t="str">
        <f t="shared" si="48"/>
        <v>Zr-101</v>
      </c>
      <c r="B1052" s="91" t="s">
        <v>1640</v>
      </c>
      <c r="C1052" s="91" t="s">
        <v>1613</v>
      </c>
      <c r="D1052" s="91">
        <v>40</v>
      </c>
      <c r="E1052" s="91">
        <v>101</v>
      </c>
      <c r="F1052" s="91">
        <v>0</v>
      </c>
      <c r="G1052" s="126">
        <v>0.301368339373889</v>
      </c>
      <c r="H1052" s="126">
        <f t="shared" si="49"/>
        <v>2.3</v>
      </c>
      <c r="I1052" s="126" t="str">
        <f t="shared" si="50"/>
        <v>0y 0d 0h 0m</v>
      </c>
    </row>
    <row r="1053" s="91" customFormat="1" spans="1:9">
      <c r="A1053" s="91" t="str">
        <f t="shared" si="48"/>
        <v>Zr-102</v>
      </c>
      <c r="B1053" s="91" t="s">
        <v>1641</v>
      </c>
      <c r="C1053" s="91" t="s">
        <v>1613</v>
      </c>
      <c r="D1053" s="91">
        <v>40</v>
      </c>
      <c r="E1053" s="91">
        <v>102</v>
      </c>
      <c r="F1053" s="91">
        <v>0</v>
      </c>
      <c r="G1053" s="126">
        <v>0.239016269158601</v>
      </c>
      <c r="H1053" s="126">
        <f t="shared" si="49"/>
        <v>2.90000000000001</v>
      </c>
      <c r="I1053" s="126" t="str">
        <f t="shared" si="50"/>
        <v>0y 0d 0h 0m</v>
      </c>
    </row>
    <row r="1054" s="91" customFormat="1" spans="1:9">
      <c r="A1054" s="91" t="str">
        <f t="shared" si="48"/>
        <v>Zr-103</v>
      </c>
      <c r="B1054" s="91" t="s">
        <v>1642</v>
      </c>
      <c r="C1054" s="91" t="s">
        <v>1613</v>
      </c>
      <c r="D1054" s="91">
        <v>40</v>
      </c>
      <c r="E1054" s="91">
        <v>103</v>
      </c>
      <c r="F1054" s="91">
        <v>0</v>
      </c>
      <c r="G1054" s="126">
        <v>0.533190138892265</v>
      </c>
      <c r="H1054" s="126">
        <f t="shared" si="49"/>
        <v>1.3</v>
      </c>
      <c r="I1054" s="126" t="str">
        <f t="shared" si="50"/>
        <v>0y 0d 0h 0m</v>
      </c>
    </row>
    <row r="1055" s="91" customFormat="1" spans="1:9">
      <c r="A1055" s="91" t="str">
        <f t="shared" si="48"/>
        <v>Zr-104</v>
      </c>
      <c r="B1055" s="91" t="s">
        <v>1643</v>
      </c>
      <c r="C1055" s="91" t="s">
        <v>1613</v>
      </c>
      <c r="D1055" s="91">
        <v>40</v>
      </c>
      <c r="E1055" s="91">
        <v>104</v>
      </c>
      <c r="F1055" s="91">
        <v>0</v>
      </c>
      <c r="G1055" s="126">
        <v>0.577622650466621</v>
      </c>
      <c r="H1055" s="126">
        <f t="shared" si="49"/>
        <v>1.2</v>
      </c>
      <c r="I1055" s="126" t="str">
        <f t="shared" si="50"/>
        <v>0y 0d 0h 0m</v>
      </c>
    </row>
    <row r="1056" s="91" customFormat="1" spans="1:9">
      <c r="A1056" s="91" t="str">
        <f t="shared" si="48"/>
        <v>Zr-105</v>
      </c>
      <c r="B1056" s="91" t="s">
        <v>1644</v>
      </c>
      <c r="C1056" s="91" t="s">
        <v>1613</v>
      </c>
      <c r="D1056" s="91">
        <v>40</v>
      </c>
      <c r="E1056" s="91">
        <v>105</v>
      </c>
      <c r="F1056" s="91">
        <v>0</v>
      </c>
      <c r="G1056" s="126">
        <v>1.15524530093324</v>
      </c>
      <c r="H1056" s="126">
        <f t="shared" si="49"/>
        <v>0.600000000000001</v>
      </c>
      <c r="I1056" s="126" t="str">
        <f t="shared" si="50"/>
        <v>0y 0d 0h 0m</v>
      </c>
    </row>
    <row r="1057" s="91" customFormat="1" spans="1:9">
      <c r="A1057" s="91" t="str">
        <f t="shared" si="48"/>
        <v>Zr-106</v>
      </c>
      <c r="B1057" s="91" t="s">
        <v>1645</v>
      </c>
      <c r="C1057" s="91" t="s">
        <v>1613</v>
      </c>
      <c r="D1057" s="91">
        <v>40</v>
      </c>
      <c r="E1057" s="91">
        <v>106</v>
      </c>
      <c r="F1057" s="91">
        <v>0</v>
      </c>
      <c r="G1057" s="126">
        <v>2.56721177985164</v>
      </c>
      <c r="H1057" s="126">
        <f t="shared" si="49"/>
        <v>0.270000000000001</v>
      </c>
      <c r="I1057" s="126" t="str">
        <f t="shared" si="50"/>
        <v>0y 0d 0h 0m</v>
      </c>
    </row>
    <row r="1058" s="91" customFormat="1" spans="1:9">
      <c r="A1058" s="91" t="str">
        <f t="shared" si="48"/>
        <v>Zr-107</v>
      </c>
      <c r="B1058" s="91" t="s">
        <v>1646</v>
      </c>
      <c r="C1058" s="91" t="s">
        <v>1613</v>
      </c>
      <c r="D1058" s="91">
        <v>40</v>
      </c>
      <c r="E1058" s="91">
        <v>107</v>
      </c>
      <c r="F1058" s="91">
        <v>0</v>
      </c>
      <c r="G1058" s="126">
        <v>4.62098120373296</v>
      </c>
      <c r="H1058" s="126">
        <f t="shared" si="49"/>
        <v>0.15</v>
      </c>
      <c r="I1058" s="126" t="str">
        <f t="shared" si="50"/>
        <v>0y 0d 0h 0m</v>
      </c>
    </row>
    <row r="1059" s="91" customFormat="1" spans="1:9">
      <c r="A1059" s="91" t="str">
        <f t="shared" si="48"/>
        <v>Zr-108</v>
      </c>
      <c r="B1059" s="91" t="s">
        <v>1647</v>
      </c>
      <c r="C1059" s="91" t="s">
        <v>1613</v>
      </c>
      <c r="D1059" s="91">
        <v>40</v>
      </c>
      <c r="E1059" s="91">
        <v>108</v>
      </c>
      <c r="F1059" s="91">
        <v>0</v>
      </c>
      <c r="G1059" s="126">
        <v>8.66433975699931</v>
      </c>
      <c r="H1059" s="126">
        <f t="shared" si="49"/>
        <v>0.0800000000000001</v>
      </c>
      <c r="I1059" s="126" t="str">
        <f t="shared" si="50"/>
        <v>0y 0d 0h 0m</v>
      </c>
    </row>
    <row r="1060" s="91" customFormat="1" spans="1:9">
      <c r="A1060" s="91" t="str">
        <f t="shared" si="48"/>
        <v>Zr-109</v>
      </c>
      <c r="B1060" s="91" t="s">
        <v>1648</v>
      </c>
      <c r="C1060" s="91" t="s">
        <v>1613</v>
      </c>
      <c r="D1060" s="91">
        <v>40</v>
      </c>
      <c r="E1060" s="91">
        <v>109</v>
      </c>
      <c r="F1060" s="91">
        <v>0</v>
      </c>
      <c r="G1060" s="126">
        <v>5.92433487658072</v>
      </c>
      <c r="H1060" s="126">
        <f t="shared" si="49"/>
        <v>0.117</v>
      </c>
      <c r="I1060" s="126" t="str">
        <f t="shared" si="50"/>
        <v>0y 0d 0h 0m</v>
      </c>
    </row>
    <row r="1061" s="91" customFormat="1" spans="1:9">
      <c r="A1061" s="91" t="str">
        <f t="shared" si="48"/>
        <v>Zr-110</v>
      </c>
      <c r="B1061" s="91" t="s">
        <v>1649</v>
      </c>
      <c r="C1061" s="91" t="s">
        <v>1613</v>
      </c>
      <c r="D1061" s="91">
        <v>40</v>
      </c>
      <c r="E1061" s="91">
        <v>110</v>
      </c>
      <c r="F1061" s="91">
        <v>0</v>
      </c>
      <c r="G1061" s="126">
        <v>7.07293041387699</v>
      </c>
      <c r="H1061" s="126">
        <f t="shared" si="49"/>
        <v>0.098</v>
      </c>
      <c r="I1061" s="126" t="str">
        <f t="shared" si="50"/>
        <v>0y 0d 0h 0m</v>
      </c>
    </row>
    <row r="1062" s="91" customFormat="1" spans="1:9">
      <c r="A1062" s="91" t="str">
        <f t="shared" si="48"/>
        <v>Nb-81</v>
      </c>
      <c r="B1062" s="91" t="s">
        <v>1650</v>
      </c>
      <c r="C1062" s="91" t="s">
        <v>1651</v>
      </c>
      <c r="D1062" s="91">
        <v>41</v>
      </c>
      <c r="E1062" s="91">
        <v>81</v>
      </c>
      <c r="F1062" s="91">
        <v>0</v>
      </c>
      <c r="G1062" s="126">
        <v>0.866433975699931</v>
      </c>
      <c r="H1062" s="126">
        <f t="shared" si="49"/>
        <v>0.800000000000001</v>
      </c>
      <c r="I1062" s="126" t="str">
        <f t="shared" si="50"/>
        <v>0y 0d 0h 0m</v>
      </c>
    </row>
    <row r="1063" s="91" customFormat="1" spans="1:9">
      <c r="A1063" s="91" t="str">
        <f t="shared" si="48"/>
        <v>Nb-82</v>
      </c>
      <c r="B1063" s="91" t="s">
        <v>1652</v>
      </c>
      <c r="C1063" s="91" t="s">
        <v>1651</v>
      </c>
      <c r="D1063" s="91">
        <v>41</v>
      </c>
      <c r="E1063" s="91">
        <v>82</v>
      </c>
      <c r="F1063" s="91">
        <v>0</v>
      </c>
      <c r="G1063" s="126">
        <v>13.8629436111989</v>
      </c>
      <c r="H1063" s="126">
        <f t="shared" si="49"/>
        <v>0.05</v>
      </c>
      <c r="I1063" s="126" t="str">
        <f t="shared" si="50"/>
        <v>0y 0d 0h 0m</v>
      </c>
    </row>
    <row r="1064" s="91" customFormat="1" spans="1:9">
      <c r="A1064" s="91" t="str">
        <f t="shared" si="48"/>
        <v>Nb-83</v>
      </c>
      <c r="B1064" s="91" t="s">
        <v>1653</v>
      </c>
      <c r="C1064" s="91" t="s">
        <v>1651</v>
      </c>
      <c r="D1064" s="91">
        <v>41</v>
      </c>
      <c r="E1064" s="91">
        <v>83</v>
      </c>
      <c r="F1064" s="91">
        <v>0</v>
      </c>
      <c r="G1064" s="126">
        <v>0.16906028794145</v>
      </c>
      <c r="H1064" s="126">
        <f t="shared" si="49"/>
        <v>4.1</v>
      </c>
      <c r="I1064" s="126" t="str">
        <f t="shared" si="50"/>
        <v>0y 0d 0h 0m</v>
      </c>
    </row>
    <row r="1065" s="91" customFormat="1" spans="1:9">
      <c r="A1065" s="91" t="str">
        <f t="shared" si="48"/>
        <v>Nb-84</v>
      </c>
      <c r="B1065" s="91" t="s">
        <v>1654</v>
      </c>
      <c r="C1065" s="91" t="s">
        <v>1651</v>
      </c>
      <c r="D1065" s="91">
        <v>41</v>
      </c>
      <c r="E1065" s="91">
        <v>84</v>
      </c>
      <c r="F1065" s="91">
        <v>0</v>
      </c>
      <c r="G1065" s="126">
        <v>0.0707293041387699</v>
      </c>
      <c r="H1065" s="126">
        <f t="shared" si="49"/>
        <v>9.8</v>
      </c>
      <c r="I1065" s="126" t="str">
        <f t="shared" si="50"/>
        <v>0y 0d 0h 0m</v>
      </c>
    </row>
    <row r="1066" s="91" customFormat="1" spans="1:9">
      <c r="A1066" s="91" t="str">
        <f t="shared" si="48"/>
        <v>Nb-85</v>
      </c>
      <c r="B1066" s="91" t="s">
        <v>1655</v>
      </c>
      <c r="C1066" s="91" t="s">
        <v>1651</v>
      </c>
      <c r="D1066" s="91">
        <v>41</v>
      </c>
      <c r="E1066" s="91">
        <v>85</v>
      </c>
      <c r="F1066" s="91">
        <v>0</v>
      </c>
      <c r="G1066" s="126">
        <v>0.0331649368688969</v>
      </c>
      <c r="H1066" s="126">
        <f t="shared" si="49"/>
        <v>20.9</v>
      </c>
      <c r="I1066" s="126" t="str">
        <f t="shared" si="50"/>
        <v>0y 0d 0h 0m</v>
      </c>
    </row>
    <row r="1067" s="91" customFormat="1" spans="1:9">
      <c r="A1067" s="91" t="str">
        <f t="shared" si="48"/>
        <v>Nb-85m</v>
      </c>
      <c r="B1067" s="91" t="s">
        <v>1656</v>
      </c>
      <c r="C1067" s="91" t="s">
        <v>1651</v>
      </c>
      <c r="D1067" s="91">
        <v>41</v>
      </c>
      <c r="E1067" s="91">
        <v>85</v>
      </c>
      <c r="F1067" s="91">
        <v>1</v>
      </c>
      <c r="G1067" s="126">
        <v>0.21004460016968</v>
      </c>
      <c r="H1067" s="126">
        <f t="shared" si="49"/>
        <v>3.30000000000001</v>
      </c>
      <c r="I1067" s="126" t="str">
        <f t="shared" si="50"/>
        <v>0y 0d 0h 0m</v>
      </c>
    </row>
    <row r="1068" s="91" customFormat="1" spans="1:9">
      <c r="A1068" s="91" t="str">
        <f t="shared" si="48"/>
        <v>Nb-86</v>
      </c>
      <c r="B1068" s="91" t="s">
        <v>1657</v>
      </c>
      <c r="C1068" s="91" t="s">
        <v>1651</v>
      </c>
      <c r="D1068" s="91">
        <v>41</v>
      </c>
      <c r="E1068" s="91">
        <v>86</v>
      </c>
      <c r="F1068" s="91">
        <v>0</v>
      </c>
      <c r="G1068" s="126">
        <v>0.00787667250636301</v>
      </c>
      <c r="H1068" s="126">
        <f t="shared" si="49"/>
        <v>88.0000000000001</v>
      </c>
      <c r="I1068" s="126" t="str">
        <f t="shared" si="50"/>
        <v>0y 0d 0h 1m</v>
      </c>
    </row>
    <row r="1069" s="91" customFormat="1" spans="1:9">
      <c r="A1069" s="91" t="str">
        <f t="shared" si="48"/>
        <v>Nb-87</v>
      </c>
      <c r="B1069" s="91" t="s">
        <v>1658</v>
      </c>
      <c r="C1069" s="91" t="s">
        <v>1651</v>
      </c>
      <c r="D1069" s="91">
        <v>41</v>
      </c>
      <c r="E1069" s="91">
        <v>87</v>
      </c>
      <c r="F1069" s="91">
        <v>0</v>
      </c>
      <c r="G1069" s="126">
        <v>0.00308065413582197</v>
      </c>
      <c r="H1069" s="126">
        <f t="shared" si="49"/>
        <v>225.000000000001</v>
      </c>
      <c r="I1069" s="126" t="str">
        <f t="shared" si="50"/>
        <v>0y 0d 0h 3m</v>
      </c>
    </row>
    <row r="1070" s="91" customFormat="1" spans="1:9">
      <c r="A1070" s="91" t="str">
        <f t="shared" si="48"/>
        <v>Nb-87m</v>
      </c>
      <c r="B1070" s="91" t="s">
        <v>1659</v>
      </c>
      <c r="C1070" s="91" t="s">
        <v>1651</v>
      </c>
      <c r="D1070" s="91">
        <v>41</v>
      </c>
      <c r="E1070" s="91">
        <v>87</v>
      </c>
      <c r="F1070" s="91">
        <v>1</v>
      </c>
      <c r="G1070" s="126">
        <v>0.00444325115743554</v>
      </c>
      <c r="H1070" s="126">
        <f t="shared" si="49"/>
        <v>156</v>
      </c>
      <c r="I1070" s="126" t="str">
        <f t="shared" si="50"/>
        <v>0y 0d 0h 2m</v>
      </c>
    </row>
    <row r="1071" s="91" customFormat="1" spans="1:9">
      <c r="A1071" s="91" t="str">
        <f t="shared" si="48"/>
        <v>Nb-88</v>
      </c>
      <c r="B1071" s="91" t="s">
        <v>1660</v>
      </c>
      <c r="C1071" s="91" t="s">
        <v>1651</v>
      </c>
      <c r="D1071" s="91">
        <v>41</v>
      </c>
      <c r="E1071" s="91">
        <v>88</v>
      </c>
      <c r="F1071" s="91">
        <v>0</v>
      </c>
      <c r="G1071" s="126">
        <v>0.000793983024696386</v>
      </c>
      <c r="H1071" s="126">
        <f t="shared" si="49"/>
        <v>873</v>
      </c>
      <c r="I1071" s="126" t="str">
        <f t="shared" si="50"/>
        <v>0y 0d 0h 14m</v>
      </c>
    </row>
    <row r="1072" s="91" customFormat="1" spans="1:9">
      <c r="A1072" s="91" t="str">
        <f t="shared" si="48"/>
        <v>Nb-88m</v>
      </c>
      <c r="B1072" s="91" t="s">
        <v>1661</v>
      </c>
      <c r="C1072" s="91" t="s">
        <v>1651</v>
      </c>
      <c r="D1072" s="91">
        <v>41</v>
      </c>
      <c r="E1072" s="91">
        <v>88</v>
      </c>
      <c r="F1072" s="91">
        <v>1</v>
      </c>
      <c r="G1072" s="126">
        <v>0.00148489113230493</v>
      </c>
      <c r="H1072" s="126">
        <f t="shared" si="49"/>
        <v>466.800000000003</v>
      </c>
      <c r="I1072" s="126" t="str">
        <f t="shared" si="50"/>
        <v>0y 0d 0h 7m</v>
      </c>
    </row>
    <row r="1073" s="91" customFormat="1" spans="1:9">
      <c r="A1073" s="91" t="str">
        <f t="shared" si="48"/>
        <v>Nb-89</v>
      </c>
      <c r="B1073" s="91" t="s">
        <v>1662</v>
      </c>
      <c r="C1073" s="91" t="s">
        <v>1651</v>
      </c>
      <c r="D1073" s="91">
        <v>41</v>
      </c>
      <c r="E1073" s="91">
        <v>89</v>
      </c>
      <c r="F1073" s="91">
        <v>0</v>
      </c>
      <c r="G1073" s="126">
        <v>9.4847725856588e-5</v>
      </c>
      <c r="H1073" s="126">
        <f t="shared" si="49"/>
        <v>7308</v>
      </c>
      <c r="I1073" s="126" t="str">
        <f t="shared" si="50"/>
        <v>0y 0d 2h 1m</v>
      </c>
    </row>
    <row r="1074" s="91" customFormat="1" spans="1:9">
      <c r="A1074" s="91" t="str">
        <f t="shared" si="48"/>
        <v>Nb-89m</v>
      </c>
      <c r="B1074" s="91" t="s">
        <v>1663</v>
      </c>
      <c r="C1074" s="91" t="s">
        <v>1651</v>
      </c>
      <c r="D1074" s="91">
        <v>41</v>
      </c>
      <c r="E1074" s="91">
        <v>89</v>
      </c>
      <c r="F1074" s="91">
        <v>1</v>
      </c>
      <c r="G1074" s="126">
        <v>0.000175037166808067</v>
      </c>
      <c r="H1074" s="126">
        <f t="shared" si="49"/>
        <v>3960</v>
      </c>
      <c r="I1074" s="126" t="str">
        <f t="shared" si="50"/>
        <v>0y 0d 1h 6m</v>
      </c>
    </row>
    <row r="1075" s="91" customFormat="1" spans="1:9">
      <c r="A1075" s="91" t="str">
        <f t="shared" si="48"/>
        <v>Nb-90</v>
      </c>
      <c r="B1075" s="91" t="s">
        <v>1664</v>
      </c>
      <c r="C1075" s="91" t="s">
        <v>1651</v>
      </c>
      <c r="D1075" s="91">
        <v>41</v>
      </c>
      <c r="E1075" s="91">
        <v>90</v>
      </c>
      <c r="F1075" s="91">
        <v>0</v>
      </c>
      <c r="G1075" s="126">
        <v>1.31877317458132e-5</v>
      </c>
      <c r="H1075" s="126">
        <f t="shared" si="49"/>
        <v>52560.0000000003</v>
      </c>
      <c r="I1075" s="126" t="str">
        <f t="shared" si="50"/>
        <v>0y 0d 14h 36m</v>
      </c>
    </row>
    <row r="1076" s="91" customFormat="1" spans="1:9">
      <c r="A1076" s="91" t="str">
        <f t="shared" si="48"/>
        <v>Nb-90m</v>
      </c>
      <c r="B1076" s="91" t="s">
        <v>1665</v>
      </c>
      <c r="C1076" s="91" t="s">
        <v>1651</v>
      </c>
      <c r="D1076" s="91">
        <v>41</v>
      </c>
      <c r="E1076" s="91">
        <v>90</v>
      </c>
      <c r="F1076" s="91">
        <v>1</v>
      </c>
      <c r="G1076" s="126">
        <v>0.0368499298543298</v>
      </c>
      <c r="H1076" s="126">
        <f t="shared" si="49"/>
        <v>18.81</v>
      </c>
      <c r="I1076" s="126" t="str">
        <f t="shared" si="50"/>
        <v>0y 0d 0h 0m</v>
      </c>
    </row>
    <row r="1077" s="91" customFormat="1" spans="1:9">
      <c r="A1077" s="91" t="str">
        <f t="shared" si="48"/>
        <v>Nb-90m2</v>
      </c>
      <c r="B1077" s="91" t="s">
        <v>1666</v>
      </c>
      <c r="C1077" s="91" t="s">
        <v>1651</v>
      </c>
      <c r="D1077" s="91">
        <v>41</v>
      </c>
      <c r="E1077" s="91">
        <v>90</v>
      </c>
      <c r="F1077" s="91">
        <v>2</v>
      </c>
      <c r="G1077" s="126">
        <v>111.978542901445</v>
      </c>
      <c r="H1077" s="126">
        <f t="shared" si="49"/>
        <v>0.00619000000000001</v>
      </c>
      <c r="I1077" s="126" t="str">
        <f t="shared" si="50"/>
        <v>0y 0d 0h 0m</v>
      </c>
    </row>
    <row r="1078" s="91" customFormat="1" spans="1:9">
      <c r="A1078" s="91" t="str">
        <f t="shared" si="48"/>
        <v>Nb-91</v>
      </c>
      <c r="B1078" s="91" t="s">
        <v>1667</v>
      </c>
      <c r="C1078" s="91" t="s">
        <v>1651</v>
      </c>
      <c r="D1078" s="91">
        <v>41</v>
      </c>
      <c r="E1078" s="91">
        <v>91</v>
      </c>
      <c r="F1078" s="91">
        <v>0</v>
      </c>
      <c r="G1078" s="126">
        <v>3.23006999589894e-11</v>
      </c>
      <c r="H1078" s="126">
        <f t="shared" si="49"/>
        <v>21459200000</v>
      </c>
      <c r="I1078" s="126" t="str">
        <f t="shared" si="50"/>
        <v>680y 170d 8h 53m</v>
      </c>
    </row>
    <row r="1079" s="91" customFormat="1" spans="1:9">
      <c r="A1079" s="91" t="str">
        <f t="shared" si="48"/>
        <v>Nb-91m</v>
      </c>
      <c r="B1079" s="91" t="s">
        <v>1668</v>
      </c>
      <c r="C1079" s="91" t="s">
        <v>1651</v>
      </c>
      <c r="D1079" s="91">
        <v>41</v>
      </c>
      <c r="E1079" s="91">
        <v>91</v>
      </c>
      <c r="F1079" s="91">
        <v>1</v>
      </c>
      <c r="G1079" s="126">
        <v>1.31819533553013e-7</v>
      </c>
      <c r="H1079" s="126">
        <f t="shared" si="49"/>
        <v>5258304.00000002</v>
      </c>
      <c r="I1079" s="126" t="str">
        <f t="shared" si="50"/>
        <v>0y 60d 20h 38m</v>
      </c>
    </row>
    <row r="1080" s="91" customFormat="1" spans="1:9">
      <c r="A1080" s="91" t="str">
        <f t="shared" si="48"/>
        <v>Nb-92</v>
      </c>
      <c r="B1080" s="91" t="s">
        <v>1669</v>
      </c>
      <c r="C1080" s="91" t="s">
        <v>1651</v>
      </c>
      <c r="D1080" s="91">
        <v>41</v>
      </c>
      <c r="E1080" s="91">
        <v>92</v>
      </c>
      <c r="F1080" s="91">
        <v>0</v>
      </c>
      <c r="G1080" s="126">
        <v>6.32982220501297e-16</v>
      </c>
      <c r="H1080" s="126">
        <f t="shared" si="49"/>
        <v>1095050000000000</v>
      </c>
      <c r="I1080" s="126" t="str">
        <f t="shared" si="50"/>
        <v>34723807y 259d 19h 33m</v>
      </c>
    </row>
    <row r="1081" s="91" customFormat="1" spans="1:9">
      <c r="A1081" s="91" t="str">
        <f t="shared" si="48"/>
        <v>Nb-92m</v>
      </c>
      <c r="B1081" s="91" t="s">
        <v>1670</v>
      </c>
      <c r="C1081" s="91" t="s">
        <v>1651</v>
      </c>
      <c r="D1081" s="91">
        <v>41</v>
      </c>
      <c r="E1081" s="91">
        <v>92</v>
      </c>
      <c r="F1081" s="91">
        <v>1</v>
      </c>
      <c r="G1081" s="126">
        <v>7.90397715471566e-7</v>
      </c>
      <c r="H1081" s="126">
        <f t="shared" si="49"/>
        <v>876960.000000001</v>
      </c>
      <c r="I1081" s="126" t="str">
        <f t="shared" si="50"/>
        <v>0y 10d 3h 36m</v>
      </c>
    </row>
    <row r="1082" s="91" customFormat="1" spans="1:9">
      <c r="A1082" s="91" t="str">
        <f t="shared" si="48"/>
        <v>Nb-93</v>
      </c>
      <c r="B1082" s="91" t="s">
        <v>1671</v>
      </c>
      <c r="C1082" s="91" t="s">
        <v>1651</v>
      </c>
      <c r="D1082" s="91">
        <v>41</v>
      </c>
      <c r="E1082" s="91">
        <v>93</v>
      </c>
      <c r="F1082" s="91">
        <v>0</v>
      </c>
      <c r="G1082" s="126">
        <v>0</v>
      </c>
      <c r="H1082" s="126">
        <f t="shared" si="49"/>
        <v>0</v>
      </c>
      <c r="I1082" s="126" t="str">
        <f t="shared" si="50"/>
        <v>0y 0d 0h 0m</v>
      </c>
    </row>
    <row r="1083" s="91" customFormat="1" spans="1:9">
      <c r="A1083" s="91" t="str">
        <f t="shared" si="48"/>
        <v>Nb-93m</v>
      </c>
      <c r="B1083" s="91" t="s">
        <v>1672</v>
      </c>
      <c r="C1083" s="91" t="s">
        <v>1651</v>
      </c>
      <c r="D1083" s="91">
        <v>41</v>
      </c>
      <c r="E1083" s="91">
        <v>93</v>
      </c>
      <c r="F1083" s="91">
        <v>1</v>
      </c>
      <c r="G1083" s="126">
        <v>1.36171780581694e-9</v>
      </c>
      <c r="H1083" s="126">
        <f t="shared" si="49"/>
        <v>509024100.000002</v>
      </c>
      <c r="I1083" s="126" t="str">
        <f t="shared" si="50"/>
        <v>16y 51d 11h 35m</v>
      </c>
    </row>
    <row r="1084" s="91" customFormat="1" spans="1:9">
      <c r="A1084" s="91" t="str">
        <f t="shared" si="48"/>
        <v>Nb-94</v>
      </c>
      <c r="B1084" s="91" t="s">
        <v>1673</v>
      </c>
      <c r="C1084" s="91" t="s">
        <v>1651</v>
      </c>
      <c r="D1084" s="91">
        <v>41</v>
      </c>
      <c r="E1084" s="91">
        <v>94</v>
      </c>
      <c r="F1084" s="91">
        <v>0</v>
      </c>
      <c r="G1084" s="126">
        <v>1.08199597664125e-12</v>
      </c>
      <c r="H1084" s="126">
        <f t="shared" si="49"/>
        <v>640619000000.004</v>
      </c>
      <c r="I1084" s="126" t="str">
        <f t="shared" si="50"/>
        <v>20313y 326d 18h 13m</v>
      </c>
    </row>
    <row r="1085" s="91" customFormat="1" spans="1:9">
      <c r="A1085" s="91" t="str">
        <f t="shared" si="48"/>
        <v>Nb-94m</v>
      </c>
      <c r="B1085" s="91" t="s">
        <v>1674</v>
      </c>
      <c r="C1085" s="91" t="s">
        <v>1651</v>
      </c>
      <c r="D1085" s="91">
        <v>41</v>
      </c>
      <c r="E1085" s="91">
        <v>94</v>
      </c>
      <c r="F1085" s="91">
        <v>1</v>
      </c>
      <c r="G1085" s="126">
        <v>0.00184455580541791</v>
      </c>
      <c r="H1085" s="126">
        <f t="shared" si="49"/>
        <v>375.780000000002</v>
      </c>
      <c r="I1085" s="126" t="str">
        <f t="shared" si="50"/>
        <v>0y 0d 0h 6m</v>
      </c>
    </row>
    <row r="1086" s="91" customFormat="1" spans="1:9">
      <c r="A1086" s="91" t="str">
        <f t="shared" si="48"/>
        <v>Nb-95</v>
      </c>
      <c r="B1086" s="91" t="s">
        <v>1675</v>
      </c>
      <c r="C1086" s="91" t="s">
        <v>1651</v>
      </c>
      <c r="D1086" s="91">
        <v>41</v>
      </c>
      <c r="E1086" s="91">
        <v>95</v>
      </c>
      <c r="F1086" s="91">
        <v>0</v>
      </c>
      <c r="G1086" s="126">
        <v>2.29274324068806e-7</v>
      </c>
      <c r="H1086" s="126">
        <f t="shared" si="49"/>
        <v>3023222.00000001</v>
      </c>
      <c r="I1086" s="126" t="str">
        <f t="shared" si="50"/>
        <v>0y 34d 23h 47m</v>
      </c>
    </row>
    <row r="1087" s="91" customFormat="1" spans="1:9">
      <c r="A1087" s="91" t="str">
        <f t="shared" si="48"/>
        <v>Nb-95m</v>
      </c>
      <c r="B1087" s="91" t="s">
        <v>1676</v>
      </c>
      <c r="C1087" s="91" t="s">
        <v>1651</v>
      </c>
      <c r="D1087" s="91">
        <v>41</v>
      </c>
      <c r="E1087" s="91">
        <v>95</v>
      </c>
      <c r="F1087" s="91">
        <v>1</v>
      </c>
      <c r="G1087" s="126">
        <v>2.22230936621507e-6</v>
      </c>
      <c r="H1087" s="126">
        <f t="shared" si="49"/>
        <v>311904</v>
      </c>
      <c r="I1087" s="126" t="str">
        <f t="shared" si="50"/>
        <v>0y 3d 14h 38m</v>
      </c>
    </row>
    <row r="1088" s="91" customFormat="1" spans="1:9">
      <c r="A1088" s="91" t="str">
        <f t="shared" si="48"/>
        <v>Nb-96</v>
      </c>
      <c r="B1088" s="91" t="s">
        <v>1677</v>
      </c>
      <c r="C1088" s="91" t="s">
        <v>1651</v>
      </c>
      <c r="D1088" s="91">
        <v>41</v>
      </c>
      <c r="E1088" s="91">
        <v>96</v>
      </c>
      <c r="F1088" s="91">
        <v>0</v>
      </c>
      <c r="G1088" s="126">
        <v>8.2458622479175e-6</v>
      </c>
      <c r="H1088" s="126">
        <f t="shared" si="49"/>
        <v>84060</v>
      </c>
      <c r="I1088" s="126" t="str">
        <f t="shared" si="50"/>
        <v>0y 0d 23h 21m</v>
      </c>
    </row>
    <row r="1089" s="91" customFormat="1" spans="1:9">
      <c r="A1089" s="91" t="str">
        <f t="shared" si="48"/>
        <v>Nb-97</v>
      </c>
      <c r="B1089" s="91" t="s">
        <v>1678</v>
      </c>
      <c r="C1089" s="91" t="s">
        <v>1651</v>
      </c>
      <c r="D1089" s="91">
        <v>41</v>
      </c>
      <c r="E1089" s="91">
        <v>97</v>
      </c>
      <c r="F1089" s="91">
        <v>0</v>
      </c>
      <c r="G1089" s="126">
        <v>0.000160228197078119</v>
      </c>
      <c r="H1089" s="126">
        <f t="shared" si="49"/>
        <v>4326.00000000002</v>
      </c>
      <c r="I1089" s="126" t="str">
        <f t="shared" si="50"/>
        <v>0y 0d 1h 12m</v>
      </c>
    </row>
    <row r="1090" s="91" customFormat="1" spans="1:9">
      <c r="A1090" s="91" t="str">
        <f t="shared" ref="A1090:A1153" si="51">C1090&amp;"-"&amp;E1090&amp;_xlfn.IFS(F1090=0,"",F1090=1,"m",F1090&gt;1,"m"&amp;F1090)</f>
        <v>Nb-97m</v>
      </c>
      <c r="B1090" s="91" t="s">
        <v>1679</v>
      </c>
      <c r="C1090" s="91" t="s">
        <v>1651</v>
      </c>
      <c r="D1090" s="91">
        <v>41</v>
      </c>
      <c r="E1090" s="91">
        <v>97</v>
      </c>
      <c r="F1090" s="91">
        <v>1</v>
      </c>
      <c r="G1090" s="126">
        <v>0.0118082994984658</v>
      </c>
      <c r="H1090" s="126">
        <f t="shared" ref="H1090:H1153" si="52">IF(G1090&gt;0,LN(2)/G1090,0)</f>
        <v>58.7000000000002</v>
      </c>
      <c r="I1090" s="126" t="str">
        <f t="shared" si="50"/>
        <v>0y 0d 0h 0m</v>
      </c>
    </row>
    <row r="1091" s="91" customFormat="1" spans="1:9">
      <c r="A1091" s="91" t="str">
        <f t="shared" si="51"/>
        <v>Nb-98</v>
      </c>
      <c r="B1091" s="91" t="s">
        <v>1680</v>
      </c>
      <c r="C1091" s="91" t="s">
        <v>1651</v>
      </c>
      <c r="D1091" s="91">
        <v>41</v>
      </c>
      <c r="E1091" s="91">
        <v>98</v>
      </c>
      <c r="F1091" s="91">
        <v>0</v>
      </c>
      <c r="G1091" s="126">
        <v>0.242359154041938</v>
      </c>
      <c r="H1091" s="126">
        <f t="shared" si="52"/>
        <v>2.86000000000001</v>
      </c>
      <c r="I1091" s="126" t="str">
        <f t="shared" ref="I1091:I1154" si="53">INT(H1091/31536000)&amp;"y "&amp;INT(MOD(H1091,31536000)/86400)&amp;"d "&amp;INT(MOD(MOD(H1091,31536000),86400)/3600)&amp;"h "&amp;INT(MOD(MOD(MOD(H1091,31536000),86400),3600)/60)&amp;"m"</f>
        <v>0y 0d 0h 0m</v>
      </c>
    </row>
    <row r="1092" s="91" customFormat="1" spans="1:9">
      <c r="A1092" s="91" t="str">
        <f t="shared" si="51"/>
        <v>Nb-98m</v>
      </c>
      <c r="B1092" s="91" t="s">
        <v>1681</v>
      </c>
      <c r="C1092" s="91" t="s">
        <v>1651</v>
      </c>
      <c r="D1092" s="91">
        <v>41</v>
      </c>
      <c r="E1092" s="91">
        <v>98</v>
      </c>
      <c r="F1092" s="91">
        <v>1</v>
      </c>
      <c r="G1092" s="126">
        <v>0.00022519401577646</v>
      </c>
      <c r="H1092" s="126">
        <f t="shared" si="52"/>
        <v>3078.00000000001</v>
      </c>
      <c r="I1092" s="126" t="str">
        <f t="shared" si="53"/>
        <v>0y 0d 0h 51m</v>
      </c>
    </row>
    <row r="1093" s="91" customFormat="1" spans="1:9">
      <c r="A1093" s="91" t="str">
        <f t="shared" si="51"/>
        <v>Nb-99</v>
      </c>
      <c r="B1093" s="91" t="s">
        <v>1682</v>
      </c>
      <c r="C1093" s="91" t="s">
        <v>1651</v>
      </c>
      <c r="D1093" s="91">
        <v>41</v>
      </c>
      <c r="E1093" s="91">
        <v>99</v>
      </c>
      <c r="F1093" s="91">
        <v>0</v>
      </c>
      <c r="G1093" s="126">
        <v>0.0462098120373296</v>
      </c>
      <c r="H1093" s="126">
        <f t="shared" si="52"/>
        <v>15</v>
      </c>
      <c r="I1093" s="126" t="str">
        <f t="shared" si="53"/>
        <v>0y 0d 0h 0m</v>
      </c>
    </row>
    <row r="1094" s="91" customFormat="1" spans="1:9">
      <c r="A1094" s="91" t="str">
        <f t="shared" si="51"/>
        <v>Nb-99m</v>
      </c>
      <c r="B1094" s="91" t="s">
        <v>1683</v>
      </c>
      <c r="C1094" s="91" t="s">
        <v>1651</v>
      </c>
      <c r="D1094" s="91">
        <v>41</v>
      </c>
      <c r="E1094" s="91">
        <v>99</v>
      </c>
      <c r="F1094" s="91">
        <v>1</v>
      </c>
      <c r="G1094" s="126">
        <v>0.00462098120373296</v>
      </c>
      <c r="H1094" s="126">
        <f t="shared" si="52"/>
        <v>150</v>
      </c>
      <c r="I1094" s="126" t="str">
        <f t="shared" si="53"/>
        <v>0y 0d 0h 2m</v>
      </c>
    </row>
    <row r="1095" s="91" customFormat="1" spans="1:9">
      <c r="A1095" s="91" t="str">
        <f t="shared" si="51"/>
        <v>Nb-100</v>
      </c>
      <c r="B1095" s="91" t="s">
        <v>1684</v>
      </c>
      <c r="C1095" s="91" t="s">
        <v>1651</v>
      </c>
      <c r="D1095" s="91">
        <v>41</v>
      </c>
      <c r="E1095" s="91">
        <v>100</v>
      </c>
      <c r="F1095" s="91">
        <v>0</v>
      </c>
      <c r="G1095" s="126">
        <v>0.462098120373296</v>
      </c>
      <c r="H1095" s="126">
        <f t="shared" si="52"/>
        <v>1.5</v>
      </c>
      <c r="I1095" s="126" t="str">
        <f t="shared" si="53"/>
        <v>0y 0d 0h 0m</v>
      </c>
    </row>
    <row r="1096" s="91" customFormat="1" spans="1:9">
      <c r="A1096" s="91" t="str">
        <f t="shared" si="51"/>
        <v>Nb-100m</v>
      </c>
      <c r="B1096" s="91" t="s">
        <v>1685</v>
      </c>
      <c r="C1096" s="91" t="s">
        <v>1651</v>
      </c>
      <c r="D1096" s="91">
        <v>41</v>
      </c>
      <c r="E1096" s="91">
        <v>100</v>
      </c>
      <c r="F1096" s="91">
        <v>1</v>
      </c>
      <c r="G1096" s="126">
        <v>0.231821799518376</v>
      </c>
      <c r="H1096" s="126">
        <f t="shared" si="52"/>
        <v>2.99</v>
      </c>
      <c r="I1096" s="126" t="str">
        <f t="shared" si="53"/>
        <v>0y 0d 0h 0m</v>
      </c>
    </row>
    <row r="1097" s="91" customFormat="1" spans="1:9">
      <c r="A1097" s="91" t="str">
        <f t="shared" si="51"/>
        <v>Nb-101</v>
      </c>
      <c r="B1097" s="91" t="s">
        <v>1686</v>
      </c>
      <c r="C1097" s="91" t="s">
        <v>1651</v>
      </c>
      <c r="D1097" s="91">
        <v>41</v>
      </c>
      <c r="E1097" s="91">
        <v>101</v>
      </c>
      <c r="F1097" s="91">
        <v>0</v>
      </c>
      <c r="G1097" s="126">
        <v>0.0976263634591472</v>
      </c>
      <c r="H1097" s="126">
        <f t="shared" si="52"/>
        <v>7.1</v>
      </c>
      <c r="I1097" s="126" t="str">
        <f t="shared" si="53"/>
        <v>0y 0d 0h 0m</v>
      </c>
    </row>
    <row r="1098" s="91" customFormat="1" spans="1:9">
      <c r="A1098" s="91" t="str">
        <f t="shared" si="51"/>
        <v>Nb-102</v>
      </c>
      <c r="B1098" s="91" t="s">
        <v>1687</v>
      </c>
      <c r="C1098" s="91" t="s">
        <v>1651</v>
      </c>
      <c r="D1098" s="91">
        <v>41</v>
      </c>
      <c r="E1098" s="91">
        <v>102</v>
      </c>
      <c r="F1098" s="91">
        <v>0</v>
      </c>
      <c r="G1098" s="126">
        <v>0.161197018734871</v>
      </c>
      <c r="H1098" s="126">
        <f t="shared" si="52"/>
        <v>4.3</v>
      </c>
      <c r="I1098" s="126" t="str">
        <f t="shared" si="53"/>
        <v>0y 0d 0h 0m</v>
      </c>
    </row>
    <row r="1099" s="91" customFormat="1" spans="1:9">
      <c r="A1099" s="91" t="str">
        <f t="shared" si="51"/>
        <v>Nb-102m</v>
      </c>
      <c r="B1099" s="91" t="s">
        <v>1688</v>
      </c>
      <c r="C1099" s="91" t="s">
        <v>1651</v>
      </c>
      <c r="D1099" s="91">
        <v>41</v>
      </c>
      <c r="E1099" s="91">
        <v>102</v>
      </c>
      <c r="F1099" s="91">
        <v>1</v>
      </c>
      <c r="G1099" s="126">
        <v>0.533190138892265</v>
      </c>
      <c r="H1099" s="126">
        <f t="shared" si="52"/>
        <v>1.3</v>
      </c>
      <c r="I1099" s="126" t="str">
        <f t="shared" si="53"/>
        <v>0y 0d 0h 0m</v>
      </c>
    </row>
    <row r="1100" s="91" customFormat="1" spans="1:9">
      <c r="A1100" s="91" t="str">
        <f t="shared" si="51"/>
        <v>Nb-103</v>
      </c>
      <c r="B1100" s="91" t="s">
        <v>1689</v>
      </c>
      <c r="C1100" s="91" t="s">
        <v>1651</v>
      </c>
      <c r="D1100" s="91">
        <v>41</v>
      </c>
      <c r="E1100" s="91">
        <v>103</v>
      </c>
      <c r="F1100" s="91">
        <v>0</v>
      </c>
      <c r="G1100" s="126">
        <v>0.462098120373296</v>
      </c>
      <c r="H1100" s="126">
        <f t="shared" si="52"/>
        <v>1.5</v>
      </c>
      <c r="I1100" s="126" t="str">
        <f t="shared" si="53"/>
        <v>0y 0d 0h 0m</v>
      </c>
    </row>
    <row r="1101" s="91" customFormat="1" spans="1:9">
      <c r="A1101" s="91" t="str">
        <f t="shared" si="51"/>
        <v>Nb-104</v>
      </c>
      <c r="B1101" s="91" t="s">
        <v>1690</v>
      </c>
      <c r="C1101" s="91" t="s">
        <v>1651</v>
      </c>
      <c r="D1101" s="91">
        <v>41</v>
      </c>
      <c r="E1101" s="91">
        <v>104</v>
      </c>
      <c r="F1101" s="91">
        <v>0</v>
      </c>
      <c r="G1101" s="126">
        <v>0.141458608277539</v>
      </c>
      <c r="H1101" s="126">
        <f t="shared" si="52"/>
        <v>4.90000000000003</v>
      </c>
      <c r="I1101" s="126" t="str">
        <f t="shared" si="53"/>
        <v>0y 0d 0h 0m</v>
      </c>
    </row>
    <row r="1102" s="91" customFormat="1" spans="1:9">
      <c r="A1102" s="91" t="str">
        <f t="shared" si="51"/>
        <v>Nb-104m</v>
      </c>
      <c r="B1102" s="91" t="s">
        <v>1691</v>
      </c>
      <c r="C1102" s="91" t="s">
        <v>1651</v>
      </c>
      <c r="D1102" s="91">
        <v>41</v>
      </c>
      <c r="E1102" s="91">
        <v>104</v>
      </c>
      <c r="F1102" s="91">
        <v>1</v>
      </c>
      <c r="G1102" s="126">
        <v>0.737390617616963</v>
      </c>
      <c r="H1102" s="126">
        <f t="shared" si="52"/>
        <v>0.94</v>
      </c>
      <c r="I1102" s="126" t="str">
        <f t="shared" si="53"/>
        <v>0y 0d 0h 0m</v>
      </c>
    </row>
    <row r="1103" s="91" customFormat="1" spans="1:9">
      <c r="A1103" s="91" t="str">
        <f t="shared" si="51"/>
        <v>Nb-105</v>
      </c>
      <c r="B1103" s="91" t="s">
        <v>1692</v>
      </c>
      <c r="C1103" s="91" t="s">
        <v>1651</v>
      </c>
      <c r="D1103" s="91">
        <v>41</v>
      </c>
      <c r="E1103" s="91">
        <v>105</v>
      </c>
      <c r="F1103" s="91">
        <v>0</v>
      </c>
      <c r="G1103" s="126">
        <v>0.234965145952523</v>
      </c>
      <c r="H1103" s="126">
        <f t="shared" si="52"/>
        <v>2.95000000000001</v>
      </c>
      <c r="I1103" s="126" t="str">
        <f t="shared" si="53"/>
        <v>0y 0d 0h 0m</v>
      </c>
    </row>
    <row r="1104" s="91" customFormat="1" spans="1:9">
      <c r="A1104" s="91" t="str">
        <f t="shared" si="51"/>
        <v>Nb-106</v>
      </c>
      <c r="B1104" s="91" t="s">
        <v>1693</v>
      </c>
      <c r="C1104" s="91" t="s">
        <v>1651</v>
      </c>
      <c r="D1104" s="91">
        <v>41</v>
      </c>
      <c r="E1104" s="91">
        <v>106</v>
      </c>
      <c r="F1104" s="91">
        <v>0</v>
      </c>
      <c r="G1104" s="126">
        <v>0.745319548989188</v>
      </c>
      <c r="H1104" s="126">
        <f t="shared" si="52"/>
        <v>0.930000000000001</v>
      </c>
      <c r="I1104" s="126" t="str">
        <f t="shared" si="53"/>
        <v>0y 0d 0h 0m</v>
      </c>
    </row>
    <row r="1105" s="91" customFormat="1" spans="1:9">
      <c r="A1105" s="91" t="str">
        <f t="shared" si="51"/>
        <v>Nb-107</v>
      </c>
      <c r="B1105" s="91" t="s">
        <v>1694</v>
      </c>
      <c r="C1105" s="91" t="s">
        <v>1651</v>
      </c>
      <c r="D1105" s="91">
        <v>41</v>
      </c>
      <c r="E1105" s="91">
        <v>107</v>
      </c>
      <c r="F1105" s="91">
        <v>0</v>
      </c>
      <c r="G1105" s="126">
        <v>2.31049060186648</v>
      </c>
      <c r="H1105" s="126">
        <f t="shared" si="52"/>
        <v>0.300000000000001</v>
      </c>
      <c r="I1105" s="126" t="str">
        <f t="shared" si="53"/>
        <v>0y 0d 0h 0m</v>
      </c>
    </row>
    <row r="1106" s="91" customFormat="1" spans="1:9">
      <c r="A1106" s="91" t="str">
        <f t="shared" si="51"/>
        <v>Nb-108</v>
      </c>
      <c r="B1106" s="91" t="s">
        <v>1695</v>
      </c>
      <c r="C1106" s="91" t="s">
        <v>1651</v>
      </c>
      <c r="D1106" s="91">
        <v>41</v>
      </c>
      <c r="E1106" s="91">
        <v>108</v>
      </c>
      <c r="F1106" s="91">
        <v>0</v>
      </c>
      <c r="G1106" s="126">
        <v>3.59143616870437</v>
      </c>
      <c r="H1106" s="126">
        <f t="shared" si="52"/>
        <v>0.193000000000001</v>
      </c>
      <c r="I1106" s="126" t="str">
        <f t="shared" si="53"/>
        <v>0y 0d 0h 0m</v>
      </c>
    </row>
    <row r="1107" s="91" customFormat="1" spans="1:9">
      <c r="A1107" s="91" t="str">
        <f t="shared" si="51"/>
        <v>Nb-109</v>
      </c>
      <c r="B1107" s="91" t="s">
        <v>1696</v>
      </c>
      <c r="C1107" s="91" t="s">
        <v>1651</v>
      </c>
      <c r="D1107" s="91">
        <v>41</v>
      </c>
      <c r="E1107" s="91">
        <v>109</v>
      </c>
      <c r="F1107" s="91">
        <v>0</v>
      </c>
      <c r="G1107" s="126">
        <v>3.64814305557865</v>
      </c>
      <c r="H1107" s="126">
        <f t="shared" si="52"/>
        <v>0.190000000000001</v>
      </c>
      <c r="I1107" s="126" t="str">
        <f t="shared" si="53"/>
        <v>0y 0d 0h 0m</v>
      </c>
    </row>
    <row r="1108" s="91" customFormat="1" spans="1:9">
      <c r="A1108" s="91" t="str">
        <f t="shared" si="51"/>
        <v>Nb-110</v>
      </c>
      <c r="B1108" s="91" t="s">
        <v>1697</v>
      </c>
      <c r="C1108" s="91" t="s">
        <v>1651</v>
      </c>
      <c r="D1108" s="91">
        <v>41</v>
      </c>
      <c r="E1108" s="91">
        <v>110</v>
      </c>
      <c r="F1108" s="91">
        <v>0</v>
      </c>
      <c r="G1108" s="126">
        <v>4.07733635623497</v>
      </c>
      <c r="H1108" s="126">
        <f t="shared" si="52"/>
        <v>0.17</v>
      </c>
      <c r="I1108" s="126" t="str">
        <f t="shared" si="53"/>
        <v>0y 0d 0h 0m</v>
      </c>
    </row>
    <row r="1109" s="91" customFormat="1" spans="1:9">
      <c r="A1109" s="91" t="str">
        <f t="shared" si="51"/>
        <v>Nb-111</v>
      </c>
      <c r="B1109" s="91" t="s">
        <v>1698</v>
      </c>
      <c r="C1109" s="91" t="s">
        <v>1651</v>
      </c>
      <c r="D1109" s="91">
        <v>41</v>
      </c>
      <c r="E1109" s="91">
        <v>111</v>
      </c>
      <c r="F1109" s="91">
        <v>0</v>
      </c>
      <c r="G1109" s="126">
        <v>8.66433975699931</v>
      </c>
      <c r="H1109" s="126">
        <f t="shared" si="52"/>
        <v>0.0800000000000001</v>
      </c>
      <c r="I1109" s="126" t="str">
        <f t="shared" si="53"/>
        <v>0y 0d 0h 0m</v>
      </c>
    </row>
    <row r="1110" s="91" customFormat="1" spans="1:9">
      <c r="A1110" s="91" t="str">
        <f t="shared" si="51"/>
        <v>Nb-112</v>
      </c>
      <c r="B1110" s="91" t="s">
        <v>1699</v>
      </c>
      <c r="C1110" s="91" t="s">
        <v>1651</v>
      </c>
      <c r="D1110" s="91">
        <v>41</v>
      </c>
      <c r="E1110" s="91">
        <v>112</v>
      </c>
      <c r="F1110" s="91">
        <v>0</v>
      </c>
      <c r="G1110" s="126">
        <v>10.0456113124629</v>
      </c>
      <c r="H1110" s="126">
        <f t="shared" si="52"/>
        <v>0.0690000000000005</v>
      </c>
      <c r="I1110" s="126" t="str">
        <f t="shared" si="53"/>
        <v>0y 0d 0h 0m</v>
      </c>
    </row>
    <row r="1111" s="91" customFormat="1" spans="1:9">
      <c r="A1111" s="91" t="str">
        <f t="shared" si="51"/>
        <v>Nb-113</v>
      </c>
      <c r="B1111" s="91" t="s">
        <v>1700</v>
      </c>
      <c r="C1111" s="91" t="s">
        <v>1651</v>
      </c>
      <c r="D1111" s="91">
        <v>41</v>
      </c>
      <c r="E1111" s="91">
        <v>113</v>
      </c>
      <c r="F1111" s="91">
        <v>0</v>
      </c>
      <c r="G1111" s="126">
        <v>23.1049060186648</v>
      </c>
      <c r="H1111" s="126">
        <f t="shared" si="52"/>
        <v>0.0300000000000001</v>
      </c>
      <c r="I1111" s="126" t="str">
        <f t="shared" si="53"/>
        <v>0y 0d 0h 0m</v>
      </c>
    </row>
    <row r="1112" s="91" customFormat="1" spans="1:9">
      <c r="A1112" s="91" t="str">
        <f t="shared" si="51"/>
        <v>Mo-83</v>
      </c>
      <c r="B1112" s="91" t="s">
        <v>1701</v>
      </c>
      <c r="C1112" s="91" t="s">
        <v>1702</v>
      </c>
      <c r="D1112" s="91">
        <v>42</v>
      </c>
      <c r="E1112" s="91">
        <v>83</v>
      </c>
      <c r="F1112" s="91">
        <v>0</v>
      </c>
      <c r="G1112" s="126">
        <v>35.5460092594843</v>
      </c>
      <c r="H1112" s="126">
        <f t="shared" si="52"/>
        <v>0.0195</v>
      </c>
      <c r="I1112" s="126" t="str">
        <f t="shared" si="53"/>
        <v>0y 0d 0h 0m</v>
      </c>
    </row>
    <row r="1113" s="91" customFormat="1" spans="1:9">
      <c r="A1113" s="91" t="str">
        <f t="shared" si="51"/>
        <v>Mo-84</v>
      </c>
      <c r="B1113" s="91" t="s">
        <v>1703</v>
      </c>
      <c r="C1113" s="91" t="s">
        <v>1702</v>
      </c>
      <c r="D1113" s="91">
        <v>42</v>
      </c>
      <c r="E1113" s="91">
        <v>84</v>
      </c>
      <c r="F1113" s="91">
        <v>0</v>
      </c>
      <c r="G1113" s="126">
        <v>0.182407152778933</v>
      </c>
      <c r="H1113" s="126">
        <f t="shared" si="52"/>
        <v>3.8</v>
      </c>
      <c r="I1113" s="126" t="str">
        <f t="shared" si="53"/>
        <v>0y 0d 0h 0m</v>
      </c>
    </row>
    <row r="1114" s="91" customFormat="1" spans="1:9">
      <c r="A1114" s="91" t="str">
        <f t="shared" si="51"/>
        <v>Mo-85</v>
      </c>
      <c r="B1114" s="91" t="s">
        <v>1704</v>
      </c>
      <c r="C1114" s="91" t="s">
        <v>1702</v>
      </c>
      <c r="D1114" s="91">
        <v>42</v>
      </c>
      <c r="E1114" s="91">
        <v>85</v>
      </c>
      <c r="F1114" s="91">
        <v>0</v>
      </c>
      <c r="G1114" s="126">
        <v>0.216608493924982</v>
      </c>
      <c r="H1114" s="126">
        <f t="shared" si="52"/>
        <v>3.20000000000001</v>
      </c>
      <c r="I1114" s="126" t="str">
        <f t="shared" si="53"/>
        <v>0y 0d 0h 0m</v>
      </c>
    </row>
    <row r="1115" s="91" customFormat="1" spans="1:9">
      <c r="A1115" s="91" t="str">
        <f t="shared" si="51"/>
        <v>Mo-86</v>
      </c>
      <c r="B1115" s="91" t="s">
        <v>1705</v>
      </c>
      <c r="C1115" s="91" t="s">
        <v>1702</v>
      </c>
      <c r="D1115" s="91">
        <v>42</v>
      </c>
      <c r="E1115" s="91">
        <v>86</v>
      </c>
      <c r="F1115" s="91">
        <v>0</v>
      </c>
      <c r="G1115" s="126">
        <v>0.0353646520693849</v>
      </c>
      <c r="H1115" s="126">
        <f t="shared" si="52"/>
        <v>19.6</v>
      </c>
      <c r="I1115" s="126" t="str">
        <f t="shared" si="53"/>
        <v>0y 0d 0h 0m</v>
      </c>
    </row>
    <row r="1116" s="91" customFormat="1" spans="1:9">
      <c r="A1116" s="91" t="str">
        <f t="shared" si="51"/>
        <v>Mo-87</v>
      </c>
      <c r="B1116" s="91" t="s">
        <v>1706</v>
      </c>
      <c r="C1116" s="91" t="s">
        <v>1702</v>
      </c>
      <c r="D1116" s="91">
        <v>42</v>
      </c>
      <c r="E1116" s="91">
        <v>87</v>
      </c>
      <c r="F1116" s="91">
        <v>0</v>
      </c>
      <c r="G1116" s="126">
        <v>0.0494398844907236</v>
      </c>
      <c r="H1116" s="126">
        <f t="shared" si="52"/>
        <v>14.02</v>
      </c>
      <c r="I1116" s="126" t="str">
        <f t="shared" si="53"/>
        <v>0y 0d 0h 0m</v>
      </c>
    </row>
    <row r="1117" s="91" customFormat="1" spans="1:9">
      <c r="A1117" s="91" t="str">
        <f t="shared" si="51"/>
        <v>Mo-88</v>
      </c>
      <c r="B1117" s="91" t="s">
        <v>1707</v>
      </c>
      <c r="C1117" s="91" t="s">
        <v>1702</v>
      </c>
      <c r="D1117" s="91">
        <v>42</v>
      </c>
      <c r="E1117" s="91">
        <v>88</v>
      </c>
      <c r="F1117" s="91">
        <v>0</v>
      </c>
      <c r="G1117" s="126">
        <v>0.00144405662616655</v>
      </c>
      <c r="H1117" s="126">
        <f t="shared" si="52"/>
        <v>480.000000000001</v>
      </c>
      <c r="I1117" s="126" t="str">
        <f t="shared" si="53"/>
        <v>0y 0d 0h 8m</v>
      </c>
    </row>
    <row r="1118" s="91" customFormat="1" spans="1:9">
      <c r="A1118" s="91" t="str">
        <f t="shared" si="51"/>
        <v>Mo-89</v>
      </c>
      <c r="B1118" s="91" t="s">
        <v>1708</v>
      </c>
      <c r="C1118" s="91" t="s">
        <v>1702</v>
      </c>
      <c r="D1118" s="91">
        <v>42</v>
      </c>
      <c r="E1118" s="91">
        <v>89</v>
      </c>
      <c r="F1118" s="91">
        <v>0</v>
      </c>
      <c r="G1118" s="126">
        <v>0.00547509621295375</v>
      </c>
      <c r="H1118" s="126">
        <f t="shared" si="52"/>
        <v>126.6</v>
      </c>
      <c r="I1118" s="126" t="str">
        <f t="shared" si="53"/>
        <v>0y 0d 0h 2m</v>
      </c>
    </row>
    <row r="1119" s="91" customFormat="1" spans="1:9">
      <c r="A1119" s="91" t="str">
        <f t="shared" si="51"/>
        <v>Mo-89m</v>
      </c>
      <c r="B1119" s="91" t="s">
        <v>1709</v>
      </c>
      <c r="C1119" s="91" t="s">
        <v>1702</v>
      </c>
      <c r="D1119" s="91">
        <v>42</v>
      </c>
      <c r="E1119" s="91">
        <v>89</v>
      </c>
      <c r="F1119" s="91">
        <v>1</v>
      </c>
      <c r="G1119" s="126">
        <v>3.64814305557865</v>
      </c>
      <c r="H1119" s="126">
        <f t="shared" si="52"/>
        <v>0.190000000000001</v>
      </c>
      <c r="I1119" s="126" t="str">
        <f t="shared" si="53"/>
        <v>0y 0d 0h 0m</v>
      </c>
    </row>
    <row r="1120" s="91" customFormat="1" spans="1:9">
      <c r="A1120" s="91" t="str">
        <f t="shared" si="51"/>
        <v>Mo-90</v>
      </c>
      <c r="B1120" s="91" t="s">
        <v>1710</v>
      </c>
      <c r="C1120" s="91" t="s">
        <v>1702</v>
      </c>
      <c r="D1120" s="91">
        <v>42</v>
      </c>
      <c r="E1120" s="91">
        <v>90</v>
      </c>
      <c r="F1120" s="91">
        <v>0</v>
      </c>
      <c r="G1120" s="126">
        <v>3.39578277758154e-5</v>
      </c>
      <c r="H1120" s="126">
        <f t="shared" si="52"/>
        <v>20412</v>
      </c>
      <c r="I1120" s="126" t="str">
        <f t="shared" si="53"/>
        <v>0y 0d 5h 40m</v>
      </c>
    </row>
    <row r="1121" s="91" customFormat="1" spans="1:9">
      <c r="A1121" s="91" t="str">
        <f t="shared" si="51"/>
        <v>Mo-91</v>
      </c>
      <c r="B1121" s="91" t="s">
        <v>1711</v>
      </c>
      <c r="C1121" s="91" t="s">
        <v>1702</v>
      </c>
      <c r="D1121" s="91">
        <v>42</v>
      </c>
      <c r="E1121" s="91">
        <v>91</v>
      </c>
      <c r="F1121" s="91">
        <v>0</v>
      </c>
      <c r="G1121" s="126">
        <v>0.000745800710738051</v>
      </c>
      <c r="H1121" s="126">
        <f t="shared" si="52"/>
        <v>929.400000000001</v>
      </c>
      <c r="I1121" s="126" t="str">
        <f t="shared" si="53"/>
        <v>0y 0d 0h 15m</v>
      </c>
    </row>
    <row r="1122" s="91" customFormat="1" spans="1:9">
      <c r="A1122" s="91" t="str">
        <f t="shared" si="51"/>
        <v>Mo-91m</v>
      </c>
      <c r="B1122" s="91" t="s">
        <v>1712</v>
      </c>
      <c r="C1122" s="91" t="s">
        <v>1702</v>
      </c>
      <c r="D1122" s="91">
        <v>42</v>
      </c>
      <c r="E1122" s="91">
        <v>91</v>
      </c>
      <c r="F1122" s="91">
        <v>1</v>
      </c>
      <c r="G1122" s="126">
        <v>0.0107298325164078</v>
      </c>
      <c r="H1122" s="126">
        <f t="shared" si="52"/>
        <v>64.6000000000001</v>
      </c>
      <c r="I1122" s="126" t="str">
        <f t="shared" si="53"/>
        <v>0y 0d 0h 1m</v>
      </c>
    </row>
    <row r="1123" s="91" customFormat="1" spans="1:9">
      <c r="A1123" s="91" t="str">
        <f t="shared" si="51"/>
        <v>Mo-92</v>
      </c>
      <c r="B1123" s="91" t="s">
        <v>1713</v>
      </c>
      <c r="C1123" s="91" t="s">
        <v>1702</v>
      </c>
      <c r="D1123" s="91">
        <v>42</v>
      </c>
      <c r="E1123" s="91">
        <v>92</v>
      </c>
      <c r="F1123" s="91">
        <v>0</v>
      </c>
      <c r="G1123" s="126">
        <v>0</v>
      </c>
      <c r="H1123" s="126">
        <f t="shared" si="52"/>
        <v>0</v>
      </c>
      <c r="I1123" s="126" t="str">
        <f t="shared" si="53"/>
        <v>0y 0d 0h 0m</v>
      </c>
    </row>
    <row r="1124" s="91" customFormat="1" spans="1:9">
      <c r="A1124" s="91" t="str">
        <f t="shared" si="51"/>
        <v>Mo-93</v>
      </c>
      <c r="B1124" s="91" t="s">
        <v>1714</v>
      </c>
      <c r="C1124" s="91" t="s">
        <v>1702</v>
      </c>
      <c r="D1124" s="91">
        <v>42</v>
      </c>
      <c r="E1124" s="91">
        <v>93</v>
      </c>
      <c r="F1124" s="91">
        <v>0</v>
      </c>
      <c r="G1124" s="126">
        <v>5.4911445817947e-12</v>
      </c>
      <c r="H1124" s="126">
        <f t="shared" si="52"/>
        <v>126230000000</v>
      </c>
      <c r="I1124" s="126" t="str">
        <f t="shared" si="53"/>
        <v>4002y 265d 8h 53m</v>
      </c>
    </row>
    <row r="1125" s="91" customFormat="1" spans="1:9">
      <c r="A1125" s="91" t="str">
        <f t="shared" si="51"/>
        <v>Mo-93m</v>
      </c>
      <c r="B1125" s="91" t="s">
        <v>1715</v>
      </c>
      <c r="C1125" s="91" t="s">
        <v>1702</v>
      </c>
      <c r="D1125" s="91">
        <v>42</v>
      </c>
      <c r="E1125" s="91">
        <v>93</v>
      </c>
      <c r="F1125" s="91">
        <v>1</v>
      </c>
      <c r="G1125" s="126">
        <v>2.81081581735582e-5</v>
      </c>
      <c r="H1125" s="126">
        <f t="shared" si="52"/>
        <v>24660</v>
      </c>
      <c r="I1125" s="126" t="str">
        <f t="shared" si="53"/>
        <v>0y 0d 6h 51m</v>
      </c>
    </row>
    <row r="1126" s="91" customFormat="1" spans="1:9">
      <c r="A1126" s="91" t="str">
        <f t="shared" si="51"/>
        <v>Mo-94</v>
      </c>
      <c r="B1126" s="91" t="s">
        <v>1716</v>
      </c>
      <c r="C1126" s="91" t="s">
        <v>1702</v>
      </c>
      <c r="D1126" s="91">
        <v>42</v>
      </c>
      <c r="E1126" s="91">
        <v>94</v>
      </c>
      <c r="F1126" s="91">
        <v>0</v>
      </c>
      <c r="G1126" s="126">
        <v>0</v>
      </c>
      <c r="H1126" s="126">
        <f t="shared" si="52"/>
        <v>0</v>
      </c>
      <c r="I1126" s="126" t="str">
        <f t="shared" si="53"/>
        <v>0y 0d 0h 0m</v>
      </c>
    </row>
    <row r="1127" s="91" customFormat="1" spans="1:9">
      <c r="A1127" s="91" t="str">
        <f t="shared" si="51"/>
        <v>Mo-95</v>
      </c>
      <c r="B1127" s="91" t="s">
        <v>1717</v>
      </c>
      <c r="C1127" s="91" t="s">
        <v>1702</v>
      </c>
      <c r="D1127" s="91">
        <v>42</v>
      </c>
      <c r="E1127" s="91">
        <v>95</v>
      </c>
      <c r="F1127" s="91">
        <v>0</v>
      </c>
      <c r="G1127" s="126">
        <v>0</v>
      </c>
      <c r="H1127" s="126">
        <f t="shared" si="52"/>
        <v>0</v>
      </c>
      <c r="I1127" s="126" t="str">
        <f t="shared" si="53"/>
        <v>0y 0d 0h 0m</v>
      </c>
    </row>
    <row r="1128" s="91" customFormat="1" spans="1:9">
      <c r="A1128" s="91" t="str">
        <f t="shared" si="51"/>
        <v>Mo-96</v>
      </c>
      <c r="B1128" s="91" t="s">
        <v>1718</v>
      </c>
      <c r="C1128" s="91" t="s">
        <v>1702</v>
      </c>
      <c r="D1128" s="91">
        <v>42</v>
      </c>
      <c r="E1128" s="91">
        <v>96</v>
      </c>
      <c r="F1128" s="91">
        <v>0</v>
      </c>
      <c r="G1128" s="126">
        <v>0</v>
      </c>
      <c r="H1128" s="126">
        <f t="shared" si="52"/>
        <v>0</v>
      </c>
      <c r="I1128" s="126" t="str">
        <f t="shared" si="53"/>
        <v>0y 0d 0h 0m</v>
      </c>
    </row>
    <row r="1129" s="91" customFormat="1" spans="1:9">
      <c r="A1129" s="91" t="str">
        <f t="shared" si="51"/>
        <v>Mo-97</v>
      </c>
      <c r="B1129" s="91" t="s">
        <v>1719</v>
      </c>
      <c r="C1129" s="91" t="s">
        <v>1702</v>
      </c>
      <c r="D1129" s="91">
        <v>42</v>
      </c>
      <c r="E1129" s="91">
        <v>97</v>
      </c>
      <c r="F1129" s="91">
        <v>0</v>
      </c>
      <c r="G1129" s="126">
        <v>0</v>
      </c>
      <c r="H1129" s="126">
        <f t="shared" si="52"/>
        <v>0</v>
      </c>
      <c r="I1129" s="126" t="str">
        <f t="shared" si="53"/>
        <v>0y 0d 0h 0m</v>
      </c>
    </row>
    <row r="1130" s="91" customFormat="1" spans="1:9">
      <c r="A1130" s="91" t="str">
        <f t="shared" si="51"/>
        <v>Mo-98</v>
      </c>
      <c r="B1130" s="91" t="s">
        <v>1720</v>
      </c>
      <c r="C1130" s="91" t="s">
        <v>1702</v>
      </c>
      <c r="D1130" s="91">
        <v>42</v>
      </c>
      <c r="E1130" s="91">
        <v>98</v>
      </c>
      <c r="F1130" s="91">
        <v>0</v>
      </c>
      <c r="G1130" s="126">
        <v>0</v>
      </c>
      <c r="H1130" s="126">
        <f t="shared" si="52"/>
        <v>0</v>
      </c>
      <c r="I1130" s="126" t="str">
        <f t="shared" si="53"/>
        <v>0y 0d 0h 0m</v>
      </c>
    </row>
    <row r="1131" s="91" customFormat="1" spans="1:9">
      <c r="A1131" s="91" t="str">
        <f t="shared" si="51"/>
        <v>Mo-99</v>
      </c>
      <c r="B1131" s="91" t="s">
        <v>1721</v>
      </c>
      <c r="C1131" s="91" t="s">
        <v>1702</v>
      </c>
      <c r="D1131" s="91">
        <v>42</v>
      </c>
      <c r="E1131" s="91">
        <v>99</v>
      </c>
      <c r="F1131" s="91">
        <v>0</v>
      </c>
      <c r="G1131" s="126">
        <v>2.91834733067893e-6</v>
      </c>
      <c r="H1131" s="126">
        <f t="shared" si="52"/>
        <v>237513.600000001</v>
      </c>
      <c r="I1131" s="126" t="str">
        <f t="shared" si="53"/>
        <v>0y 2d 17h 58m</v>
      </c>
    </row>
    <row r="1132" s="91" customFormat="1" spans="1:9">
      <c r="A1132" s="91" t="str">
        <f t="shared" si="51"/>
        <v>Mo-100</v>
      </c>
      <c r="B1132" s="91" t="s">
        <v>1722</v>
      </c>
      <c r="C1132" s="91" t="s">
        <v>1702</v>
      </c>
      <c r="D1132" s="91">
        <v>42</v>
      </c>
      <c r="E1132" s="91">
        <v>100</v>
      </c>
      <c r="F1132" s="91">
        <v>0</v>
      </c>
      <c r="G1132" s="126">
        <v>3.00884308095648e-27</v>
      </c>
      <c r="H1132" s="126">
        <f t="shared" si="52"/>
        <v>2.3037e+26</v>
      </c>
      <c r="I1132" s="126" t="str">
        <f t="shared" si="53"/>
        <v>7304984779299860000y 0d 0h 0m</v>
      </c>
    </row>
    <row r="1133" s="91" customFormat="1" spans="1:9">
      <c r="A1133" s="91" t="str">
        <f t="shared" si="51"/>
        <v>Mo-101</v>
      </c>
      <c r="B1133" s="91" t="s">
        <v>1723</v>
      </c>
      <c r="C1133" s="91" t="s">
        <v>1702</v>
      </c>
      <c r="D1133" s="91">
        <v>42</v>
      </c>
      <c r="E1133" s="91">
        <v>101</v>
      </c>
      <c r="F1133" s="91">
        <v>0</v>
      </c>
      <c r="G1133" s="126">
        <v>0.000790722314122684</v>
      </c>
      <c r="H1133" s="126">
        <f t="shared" si="52"/>
        <v>876.600000000001</v>
      </c>
      <c r="I1133" s="126" t="str">
        <f t="shared" si="53"/>
        <v>0y 0d 0h 14m</v>
      </c>
    </row>
    <row r="1134" s="91" customFormat="1" spans="1:9">
      <c r="A1134" s="91" t="str">
        <f t="shared" si="51"/>
        <v>Mo-102</v>
      </c>
      <c r="B1134" s="91" t="s">
        <v>1724</v>
      </c>
      <c r="C1134" s="91" t="s">
        <v>1702</v>
      </c>
      <c r="D1134" s="91">
        <v>42</v>
      </c>
      <c r="E1134" s="91">
        <v>102</v>
      </c>
      <c r="F1134" s="91">
        <v>0</v>
      </c>
      <c r="G1134" s="126">
        <v>0.0010223409742772</v>
      </c>
      <c r="H1134" s="126">
        <f t="shared" si="52"/>
        <v>678.000000000004</v>
      </c>
      <c r="I1134" s="126" t="str">
        <f t="shared" si="53"/>
        <v>0y 0d 0h 11m</v>
      </c>
    </row>
    <row r="1135" s="91" customFormat="1" spans="1:9">
      <c r="A1135" s="91" t="str">
        <f t="shared" si="51"/>
        <v>Mo-103</v>
      </c>
      <c r="B1135" s="91" t="s">
        <v>1725</v>
      </c>
      <c r="C1135" s="91" t="s">
        <v>1702</v>
      </c>
      <c r="D1135" s="91">
        <v>42</v>
      </c>
      <c r="E1135" s="91">
        <v>103</v>
      </c>
      <c r="F1135" s="91">
        <v>0</v>
      </c>
      <c r="G1135" s="126">
        <v>0.0102688471194065</v>
      </c>
      <c r="H1135" s="126">
        <f t="shared" si="52"/>
        <v>67.5000000000006</v>
      </c>
      <c r="I1135" s="126" t="str">
        <f t="shared" si="53"/>
        <v>0y 0d 0h 1m</v>
      </c>
    </row>
    <row r="1136" s="91" customFormat="1" spans="1:9">
      <c r="A1136" s="91" t="str">
        <f t="shared" si="51"/>
        <v>Mo-104</v>
      </c>
      <c r="B1136" s="91" t="s">
        <v>1726</v>
      </c>
      <c r="C1136" s="91" t="s">
        <v>1702</v>
      </c>
      <c r="D1136" s="91">
        <v>42</v>
      </c>
      <c r="E1136" s="91">
        <v>104</v>
      </c>
      <c r="F1136" s="91">
        <v>0</v>
      </c>
      <c r="G1136" s="126">
        <v>0.0115524530093324</v>
      </c>
      <c r="H1136" s="126">
        <f t="shared" si="52"/>
        <v>60.0000000000001</v>
      </c>
      <c r="I1136" s="126" t="str">
        <f t="shared" si="53"/>
        <v>0y 0d 0h 1m</v>
      </c>
    </row>
    <row r="1137" s="91" customFormat="1" spans="1:9">
      <c r="A1137" s="91" t="str">
        <f t="shared" si="51"/>
        <v>Mo-105</v>
      </c>
      <c r="B1137" s="91" t="s">
        <v>1727</v>
      </c>
      <c r="C1137" s="91" t="s">
        <v>1702</v>
      </c>
      <c r="D1137" s="91">
        <v>42</v>
      </c>
      <c r="E1137" s="91">
        <v>105</v>
      </c>
      <c r="F1137" s="91">
        <v>0</v>
      </c>
      <c r="G1137" s="126">
        <v>0.0194704264202231</v>
      </c>
      <c r="H1137" s="126">
        <f t="shared" si="52"/>
        <v>35.6000000000002</v>
      </c>
      <c r="I1137" s="126" t="str">
        <f t="shared" si="53"/>
        <v>0y 0d 0h 0m</v>
      </c>
    </row>
    <row r="1138" s="91" customFormat="1" spans="1:9">
      <c r="A1138" s="91" t="str">
        <f t="shared" si="51"/>
        <v>Mo-106</v>
      </c>
      <c r="B1138" s="91" t="s">
        <v>1728</v>
      </c>
      <c r="C1138" s="91" t="s">
        <v>1702</v>
      </c>
      <c r="D1138" s="91">
        <v>42</v>
      </c>
      <c r="E1138" s="91">
        <v>106</v>
      </c>
      <c r="F1138" s="91">
        <v>0</v>
      </c>
      <c r="G1138" s="126">
        <v>0.0793983024696386</v>
      </c>
      <c r="H1138" s="126">
        <f t="shared" si="52"/>
        <v>8.73</v>
      </c>
      <c r="I1138" s="126" t="str">
        <f t="shared" si="53"/>
        <v>0y 0d 0h 0m</v>
      </c>
    </row>
    <row r="1139" s="91" customFormat="1" spans="1:9">
      <c r="A1139" s="91" t="str">
        <f t="shared" si="51"/>
        <v>Mo-107</v>
      </c>
      <c r="B1139" s="91" t="s">
        <v>1729</v>
      </c>
      <c r="C1139" s="91" t="s">
        <v>1702</v>
      </c>
      <c r="D1139" s="91">
        <v>42</v>
      </c>
      <c r="E1139" s="91">
        <v>107</v>
      </c>
      <c r="F1139" s="91">
        <v>0</v>
      </c>
      <c r="G1139" s="126">
        <v>0.198042051588555</v>
      </c>
      <c r="H1139" s="126">
        <f t="shared" si="52"/>
        <v>3.50000000000001</v>
      </c>
      <c r="I1139" s="126" t="str">
        <f t="shared" si="53"/>
        <v>0y 0d 0h 0m</v>
      </c>
    </row>
    <row r="1140" s="91" customFormat="1" spans="1:9">
      <c r="A1140" s="91" t="str">
        <f t="shared" si="51"/>
        <v>Mo-108</v>
      </c>
      <c r="B1140" s="91" t="s">
        <v>1730</v>
      </c>
      <c r="C1140" s="91" t="s">
        <v>1702</v>
      </c>
      <c r="D1140" s="91">
        <v>42</v>
      </c>
      <c r="E1140" s="91">
        <v>108</v>
      </c>
      <c r="F1140" s="91">
        <v>0</v>
      </c>
      <c r="G1140" s="126">
        <v>0.635914844550408</v>
      </c>
      <c r="H1140" s="126">
        <f t="shared" si="52"/>
        <v>1.09</v>
      </c>
      <c r="I1140" s="126" t="str">
        <f t="shared" si="53"/>
        <v>0y 0d 0h 0m</v>
      </c>
    </row>
    <row r="1141" s="91" customFormat="1" spans="1:9">
      <c r="A1141" s="91" t="str">
        <f t="shared" si="51"/>
        <v>Mo-109</v>
      </c>
      <c r="B1141" s="91" t="s">
        <v>1731</v>
      </c>
      <c r="C1141" s="91" t="s">
        <v>1702</v>
      </c>
      <c r="D1141" s="91">
        <v>42</v>
      </c>
      <c r="E1141" s="91">
        <v>109</v>
      </c>
      <c r="F1141" s="91">
        <v>0</v>
      </c>
      <c r="G1141" s="126">
        <v>1.30782486898102</v>
      </c>
      <c r="H1141" s="126">
        <f t="shared" si="52"/>
        <v>0.530000000000004</v>
      </c>
      <c r="I1141" s="126" t="str">
        <f t="shared" si="53"/>
        <v>0y 0d 0h 0m</v>
      </c>
    </row>
    <row r="1142" s="91" customFormat="1" spans="1:9">
      <c r="A1142" s="91" t="str">
        <f t="shared" si="51"/>
        <v>Mo-110</v>
      </c>
      <c r="B1142" s="91" t="s">
        <v>1732</v>
      </c>
      <c r="C1142" s="91" t="s">
        <v>1702</v>
      </c>
      <c r="D1142" s="91">
        <v>42</v>
      </c>
      <c r="E1142" s="91">
        <v>110</v>
      </c>
      <c r="F1142" s="91">
        <v>0</v>
      </c>
      <c r="G1142" s="126">
        <v>2.31049060186648</v>
      </c>
      <c r="H1142" s="126">
        <f t="shared" si="52"/>
        <v>0.300000000000001</v>
      </c>
      <c r="I1142" s="126" t="str">
        <f t="shared" si="53"/>
        <v>0y 0d 0h 0m</v>
      </c>
    </row>
    <row r="1143" s="91" customFormat="1" spans="1:9">
      <c r="A1143" s="91" t="str">
        <f t="shared" si="51"/>
        <v>Mo-111</v>
      </c>
      <c r="B1143" s="91" t="s">
        <v>1733</v>
      </c>
      <c r="C1143" s="91" t="s">
        <v>1702</v>
      </c>
      <c r="D1143" s="91">
        <v>42</v>
      </c>
      <c r="E1143" s="91">
        <v>111</v>
      </c>
      <c r="F1143" s="91">
        <v>0</v>
      </c>
      <c r="G1143" s="126">
        <v>3.46573590279972</v>
      </c>
      <c r="H1143" s="126">
        <f t="shared" si="52"/>
        <v>0.2</v>
      </c>
      <c r="I1143" s="126" t="str">
        <f t="shared" si="53"/>
        <v>0y 0d 0h 0m</v>
      </c>
    </row>
    <row r="1144" s="91" customFormat="1" spans="1:9">
      <c r="A1144" s="91" t="str">
        <f t="shared" si="51"/>
        <v>Mo-112</v>
      </c>
      <c r="B1144" s="91" t="s">
        <v>1734</v>
      </c>
      <c r="C1144" s="91" t="s">
        <v>1702</v>
      </c>
      <c r="D1144" s="91">
        <v>42</v>
      </c>
      <c r="E1144" s="91">
        <v>112</v>
      </c>
      <c r="F1144" s="91">
        <v>0</v>
      </c>
      <c r="G1144" s="126">
        <v>2.41514697059214</v>
      </c>
      <c r="H1144" s="126">
        <f t="shared" si="52"/>
        <v>0.287</v>
      </c>
      <c r="I1144" s="126" t="str">
        <f t="shared" si="53"/>
        <v>0y 0d 0h 0m</v>
      </c>
    </row>
    <row r="1145" s="91" customFormat="1" spans="1:9">
      <c r="A1145" s="91" t="str">
        <f t="shared" si="51"/>
        <v>Mo-113</v>
      </c>
      <c r="B1145" s="91" t="s">
        <v>1735</v>
      </c>
      <c r="C1145" s="91" t="s">
        <v>1702</v>
      </c>
      <c r="D1145" s="91">
        <v>42</v>
      </c>
      <c r="E1145" s="91">
        <v>113</v>
      </c>
      <c r="F1145" s="91">
        <v>0</v>
      </c>
      <c r="G1145" s="126">
        <v>6.93147180559945</v>
      </c>
      <c r="H1145" s="126">
        <f t="shared" si="52"/>
        <v>0.1</v>
      </c>
      <c r="I1145" s="126" t="str">
        <f t="shared" si="53"/>
        <v>0y 0d 0h 0m</v>
      </c>
    </row>
    <row r="1146" s="91" customFormat="1" spans="1:9">
      <c r="A1146" s="91" t="str">
        <f t="shared" si="51"/>
        <v>Mo-114</v>
      </c>
      <c r="B1146" s="91" t="s">
        <v>1736</v>
      </c>
      <c r="C1146" s="91" t="s">
        <v>1702</v>
      </c>
      <c r="D1146" s="91">
        <v>42</v>
      </c>
      <c r="E1146" s="91">
        <v>114</v>
      </c>
      <c r="F1146" s="91">
        <v>0</v>
      </c>
      <c r="G1146" s="126">
        <v>8.66433975699931</v>
      </c>
      <c r="H1146" s="126">
        <f t="shared" si="52"/>
        <v>0.0800000000000001</v>
      </c>
      <c r="I1146" s="126" t="str">
        <f t="shared" si="53"/>
        <v>0y 0d 0h 0m</v>
      </c>
    </row>
    <row r="1147" s="91" customFormat="1" spans="1:9">
      <c r="A1147" s="91" t="str">
        <f t="shared" si="51"/>
        <v>Mo-115</v>
      </c>
      <c r="B1147" s="91" t="s">
        <v>1737</v>
      </c>
      <c r="C1147" s="91" t="s">
        <v>1702</v>
      </c>
      <c r="D1147" s="91">
        <v>42</v>
      </c>
      <c r="E1147" s="91">
        <v>115</v>
      </c>
      <c r="F1147" s="91">
        <v>0</v>
      </c>
      <c r="G1147" s="126">
        <v>7.53420848434723</v>
      </c>
      <c r="H1147" s="126">
        <f t="shared" si="52"/>
        <v>0.092</v>
      </c>
      <c r="I1147" s="126" t="str">
        <f t="shared" si="53"/>
        <v>0y 0d 0h 0m</v>
      </c>
    </row>
    <row r="1148" s="91" customFormat="1" spans="1:9">
      <c r="A1148" s="91" t="str">
        <f t="shared" si="51"/>
        <v>Tc-85</v>
      </c>
      <c r="B1148" s="91" t="s">
        <v>1738</v>
      </c>
      <c r="C1148" s="91" t="s">
        <v>1739</v>
      </c>
      <c r="D1148" s="91">
        <v>43</v>
      </c>
      <c r="E1148" s="91">
        <v>85</v>
      </c>
      <c r="F1148" s="91">
        <v>0</v>
      </c>
      <c r="G1148" s="126">
        <v>1.38629436111989</v>
      </c>
      <c r="H1148" s="126">
        <f t="shared" si="52"/>
        <v>0.5</v>
      </c>
      <c r="I1148" s="126" t="str">
        <f t="shared" si="53"/>
        <v>0y 0d 0h 0m</v>
      </c>
    </row>
    <row r="1149" s="91" customFormat="1" spans="1:9">
      <c r="A1149" s="91" t="str">
        <f t="shared" si="51"/>
        <v>Tc-86</v>
      </c>
      <c r="B1149" s="91" t="s">
        <v>1740</v>
      </c>
      <c r="C1149" s="91" t="s">
        <v>1739</v>
      </c>
      <c r="D1149" s="91">
        <v>43</v>
      </c>
      <c r="E1149" s="91">
        <v>86</v>
      </c>
      <c r="F1149" s="91">
        <v>0</v>
      </c>
      <c r="G1149" s="126">
        <v>12.8360588992582</v>
      </c>
      <c r="H1149" s="126">
        <f t="shared" si="52"/>
        <v>0.0540000000000002</v>
      </c>
      <c r="I1149" s="126" t="str">
        <f t="shared" si="53"/>
        <v>0y 0d 0h 0m</v>
      </c>
    </row>
    <row r="1150" s="91" customFormat="1" spans="1:9">
      <c r="A1150" s="91" t="str">
        <f t="shared" si="51"/>
        <v>Tc-86m</v>
      </c>
      <c r="B1150" s="91" t="s">
        <v>1741</v>
      </c>
      <c r="C1150" s="91" t="s">
        <v>1739</v>
      </c>
      <c r="D1150" s="91">
        <v>43</v>
      </c>
      <c r="E1150" s="91">
        <v>86</v>
      </c>
      <c r="F1150" s="91">
        <v>1</v>
      </c>
      <c r="G1150" s="126">
        <v>630133.800509041</v>
      </c>
      <c r="H1150" s="126">
        <f t="shared" si="52"/>
        <v>1.1e-6</v>
      </c>
      <c r="I1150" s="126" t="str">
        <f t="shared" si="53"/>
        <v>0y 0d 0h 0m</v>
      </c>
    </row>
    <row r="1151" s="91" customFormat="1" spans="1:9">
      <c r="A1151" s="91" t="str">
        <f t="shared" si="51"/>
        <v>Tc-87</v>
      </c>
      <c r="B1151" s="91" t="s">
        <v>1742</v>
      </c>
      <c r="C1151" s="91" t="s">
        <v>1739</v>
      </c>
      <c r="D1151" s="91">
        <v>43</v>
      </c>
      <c r="E1151" s="91">
        <v>87</v>
      </c>
      <c r="F1151" s="91">
        <v>0</v>
      </c>
      <c r="G1151" s="126">
        <v>0.31506690025452</v>
      </c>
      <c r="H1151" s="126">
        <f t="shared" si="52"/>
        <v>2.2</v>
      </c>
      <c r="I1151" s="126" t="str">
        <f t="shared" si="53"/>
        <v>0y 0d 0h 0m</v>
      </c>
    </row>
    <row r="1152" s="91" customFormat="1" spans="1:9">
      <c r="A1152" s="91" t="str">
        <f t="shared" si="51"/>
        <v>Tc-88</v>
      </c>
      <c r="B1152" s="91" t="s">
        <v>1743</v>
      </c>
      <c r="C1152" s="91" t="s">
        <v>1739</v>
      </c>
      <c r="D1152" s="91">
        <v>43</v>
      </c>
      <c r="E1152" s="91">
        <v>88</v>
      </c>
      <c r="F1152" s="91">
        <v>0</v>
      </c>
      <c r="G1152" s="126">
        <v>0.1195081345793</v>
      </c>
      <c r="H1152" s="126">
        <f t="shared" si="52"/>
        <v>5.80000000000004</v>
      </c>
      <c r="I1152" s="126" t="str">
        <f t="shared" si="53"/>
        <v>0y 0d 0h 0m</v>
      </c>
    </row>
    <row r="1153" s="91" customFormat="1" spans="1:9">
      <c r="A1153" s="91" t="str">
        <f t="shared" si="51"/>
        <v>Tc-88m</v>
      </c>
      <c r="B1153" s="91" t="s">
        <v>1744</v>
      </c>
      <c r="C1153" s="91" t="s">
        <v>1739</v>
      </c>
      <c r="D1153" s="91">
        <v>43</v>
      </c>
      <c r="E1153" s="91">
        <v>88</v>
      </c>
      <c r="F1153" s="91">
        <v>1</v>
      </c>
      <c r="G1153" s="126">
        <v>0.108304246962491</v>
      </c>
      <c r="H1153" s="126">
        <f t="shared" si="52"/>
        <v>6.40000000000003</v>
      </c>
      <c r="I1153" s="126" t="str">
        <f t="shared" si="53"/>
        <v>0y 0d 0h 0m</v>
      </c>
    </row>
    <row r="1154" s="91" customFormat="1" spans="1:9">
      <c r="A1154" s="91" t="str">
        <f t="shared" ref="A1154:A1217" si="54">C1154&amp;"-"&amp;E1154&amp;_xlfn.IFS(F1154=0,"",F1154=1,"m",F1154&gt;1,"m"&amp;F1154)</f>
        <v>Tc-89</v>
      </c>
      <c r="B1154" s="91" t="s">
        <v>1745</v>
      </c>
      <c r="C1154" s="91" t="s">
        <v>1739</v>
      </c>
      <c r="D1154" s="91">
        <v>43</v>
      </c>
      <c r="E1154" s="91">
        <v>89</v>
      </c>
      <c r="F1154" s="91">
        <v>0</v>
      </c>
      <c r="G1154" s="126">
        <v>0.0541521234812457</v>
      </c>
      <c r="H1154" s="126">
        <f t="shared" ref="H1154:H1217" si="55">IF(G1154&gt;0,LN(2)/G1154,0)</f>
        <v>12.8</v>
      </c>
      <c r="I1154" s="126" t="str">
        <f t="shared" si="53"/>
        <v>0y 0d 0h 0m</v>
      </c>
    </row>
    <row r="1155" s="91" customFormat="1" spans="1:9">
      <c r="A1155" s="91" t="str">
        <f t="shared" si="54"/>
        <v>Tc-89m</v>
      </c>
      <c r="B1155" s="91" t="s">
        <v>1746</v>
      </c>
      <c r="C1155" s="91" t="s">
        <v>1739</v>
      </c>
      <c r="D1155" s="91">
        <v>43</v>
      </c>
      <c r="E1155" s="91">
        <v>89</v>
      </c>
      <c r="F1155" s="91">
        <v>1</v>
      </c>
      <c r="G1155" s="126">
        <v>0.0537323395782903</v>
      </c>
      <c r="H1155" s="126">
        <f t="shared" si="55"/>
        <v>12.9</v>
      </c>
      <c r="I1155" s="126" t="str">
        <f t="shared" ref="I1155:I1218" si="56">INT(H1155/31536000)&amp;"y "&amp;INT(MOD(H1155,31536000)/86400)&amp;"d "&amp;INT(MOD(MOD(H1155,31536000),86400)/3600)&amp;"h "&amp;INT(MOD(MOD(MOD(H1155,31536000),86400),3600)/60)&amp;"m"</f>
        <v>0y 0d 0h 0m</v>
      </c>
    </row>
    <row r="1156" s="91" customFormat="1" spans="1:9">
      <c r="A1156" s="91" t="str">
        <f t="shared" si="54"/>
        <v>Tc-90</v>
      </c>
      <c r="B1156" s="91" t="s">
        <v>1747</v>
      </c>
      <c r="C1156" s="91" t="s">
        <v>1739</v>
      </c>
      <c r="D1156" s="91">
        <v>43</v>
      </c>
      <c r="E1156" s="91">
        <v>90</v>
      </c>
      <c r="F1156" s="91">
        <v>0</v>
      </c>
      <c r="G1156" s="126">
        <v>0.0796720897195339</v>
      </c>
      <c r="H1156" s="126">
        <f t="shared" si="55"/>
        <v>8.7</v>
      </c>
      <c r="I1156" s="126" t="str">
        <f t="shared" si="56"/>
        <v>0y 0d 0h 0m</v>
      </c>
    </row>
    <row r="1157" s="91" customFormat="1" spans="1:9">
      <c r="A1157" s="91" t="str">
        <f t="shared" si="54"/>
        <v>Tc-90m</v>
      </c>
      <c r="B1157" s="91" t="s">
        <v>1748</v>
      </c>
      <c r="C1157" s="91" t="s">
        <v>1739</v>
      </c>
      <c r="D1157" s="91">
        <v>43</v>
      </c>
      <c r="E1157" s="91">
        <v>90</v>
      </c>
      <c r="F1157" s="91">
        <v>1</v>
      </c>
      <c r="G1157" s="126">
        <v>0.0140883573284541</v>
      </c>
      <c r="H1157" s="126">
        <f t="shared" si="55"/>
        <v>49.2000000000003</v>
      </c>
      <c r="I1157" s="126" t="str">
        <f t="shared" si="56"/>
        <v>0y 0d 0h 0m</v>
      </c>
    </row>
    <row r="1158" s="91" customFormat="1" spans="1:9">
      <c r="A1158" s="91" t="str">
        <f t="shared" si="54"/>
        <v>Tc-91</v>
      </c>
      <c r="B1158" s="91" t="s">
        <v>1749</v>
      </c>
      <c r="C1158" s="91" t="s">
        <v>1739</v>
      </c>
      <c r="D1158" s="91">
        <v>43</v>
      </c>
      <c r="E1158" s="91">
        <v>91</v>
      </c>
      <c r="F1158" s="91">
        <v>0</v>
      </c>
      <c r="G1158" s="126">
        <v>0.00367912516220777</v>
      </c>
      <c r="H1158" s="126">
        <f t="shared" si="55"/>
        <v>188.4</v>
      </c>
      <c r="I1158" s="126" t="str">
        <f t="shared" si="56"/>
        <v>0y 0d 0h 3m</v>
      </c>
    </row>
    <row r="1159" s="91" customFormat="1" spans="1:9">
      <c r="A1159" s="91" t="str">
        <f t="shared" si="54"/>
        <v>Tc-91m</v>
      </c>
      <c r="B1159" s="91" t="s">
        <v>1750</v>
      </c>
      <c r="C1159" s="91" t="s">
        <v>1739</v>
      </c>
      <c r="D1159" s="91">
        <v>43</v>
      </c>
      <c r="E1159" s="91">
        <v>91</v>
      </c>
      <c r="F1159" s="91">
        <v>1</v>
      </c>
      <c r="G1159" s="126">
        <v>0.00350074333616134</v>
      </c>
      <c r="H1159" s="126">
        <f t="shared" si="55"/>
        <v>198</v>
      </c>
      <c r="I1159" s="126" t="str">
        <f t="shared" si="56"/>
        <v>0y 0d 0h 3m</v>
      </c>
    </row>
    <row r="1160" s="91" customFormat="1" spans="1:9">
      <c r="A1160" s="91" t="str">
        <f t="shared" si="54"/>
        <v>Tc-92</v>
      </c>
      <c r="B1160" s="91" t="s">
        <v>1751</v>
      </c>
      <c r="C1160" s="91" t="s">
        <v>1739</v>
      </c>
      <c r="D1160" s="91">
        <v>43</v>
      </c>
      <c r="E1160" s="91">
        <v>92</v>
      </c>
      <c r="F1160" s="91">
        <v>0</v>
      </c>
      <c r="G1160" s="126">
        <v>0.00271822423748998</v>
      </c>
      <c r="H1160" s="126">
        <f t="shared" si="55"/>
        <v>255</v>
      </c>
      <c r="I1160" s="126" t="str">
        <f t="shared" si="56"/>
        <v>0y 0d 0h 4m</v>
      </c>
    </row>
    <row r="1161" s="91" customFormat="1" spans="1:9">
      <c r="A1161" s="91" t="str">
        <f t="shared" si="54"/>
        <v>Tc-93</v>
      </c>
      <c r="B1161" s="91" t="s">
        <v>1752</v>
      </c>
      <c r="C1161" s="91" t="s">
        <v>1739</v>
      </c>
      <c r="D1161" s="91">
        <v>43</v>
      </c>
      <c r="E1161" s="91">
        <v>93</v>
      </c>
      <c r="F1161" s="91">
        <v>0</v>
      </c>
      <c r="G1161" s="126">
        <v>7.00148667232268e-5</v>
      </c>
      <c r="H1161" s="126">
        <f t="shared" si="55"/>
        <v>9900</v>
      </c>
      <c r="I1161" s="126" t="str">
        <f t="shared" si="56"/>
        <v>0y 0d 2h 45m</v>
      </c>
    </row>
    <row r="1162" s="91" customFormat="1" spans="1:9">
      <c r="A1162" s="91" t="str">
        <f t="shared" si="54"/>
        <v>Tc-93m</v>
      </c>
      <c r="B1162" s="91" t="s">
        <v>1753</v>
      </c>
      <c r="C1162" s="91" t="s">
        <v>1739</v>
      </c>
      <c r="D1162" s="91">
        <v>43</v>
      </c>
      <c r="E1162" s="91">
        <v>93</v>
      </c>
      <c r="F1162" s="91">
        <v>1</v>
      </c>
      <c r="G1162" s="126">
        <v>0.000265573632398446</v>
      </c>
      <c r="H1162" s="126">
        <f t="shared" si="55"/>
        <v>2610</v>
      </c>
      <c r="I1162" s="126" t="str">
        <f t="shared" si="56"/>
        <v>0y 0d 0h 43m</v>
      </c>
    </row>
    <row r="1163" s="91" customFormat="1" spans="1:9">
      <c r="A1163" s="91" t="str">
        <f t="shared" si="54"/>
        <v>Tc-94</v>
      </c>
      <c r="B1163" s="91" t="s">
        <v>1754</v>
      </c>
      <c r="C1163" s="91" t="s">
        <v>1739</v>
      </c>
      <c r="D1163" s="91">
        <v>43</v>
      </c>
      <c r="E1163" s="91">
        <v>94</v>
      </c>
      <c r="F1163" s="91">
        <v>0</v>
      </c>
      <c r="G1163" s="126">
        <v>3.94281672673461e-5</v>
      </c>
      <c r="H1163" s="126">
        <f t="shared" si="55"/>
        <v>17580</v>
      </c>
      <c r="I1163" s="126" t="str">
        <f t="shared" si="56"/>
        <v>0y 0d 4h 53m</v>
      </c>
    </row>
    <row r="1164" s="91" customFormat="1" spans="1:9">
      <c r="A1164" s="91" t="str">
        <f t="shared" si="54"/>
        <v>Tc-94m</v>
      </c>
      <c r="B1164" s="91" t="s">
        <v>1755</v>
      </c>
      <c r="C1164" s="91" t="s">
        <v>1739</v>
      </c>
      <c r="D1164" s="91">
        <v>43</v>
      </c>
      <c r="E1164" s="91">
        <v>94</v>
      </c>
      <c r="F1164" s="91">
        <v>1</v>
      </c>
      <c r="G1164" s="126">
        <v>0.000222162557871777</v>
      </c>
      <c r="H1164" s="126">
        <f t="shared" si="55"/>
        <v>3120.00000000001</v>
      </c>
      <c r="I1164" s="126" t="str">
        <f t="shared" si="56"/>
        <v>0y 0d 0h 52m</v>
      </c>
    </row>
    <row r="1165" s="91" customFormat="1" spans="1:9">
      <c r="A1165" s="91" t="str">
        <f t="shared" si="54"/>
        <v>Tc-95</v>
      </c>
      <c r="B1165" s="91" t="s">
        <v>1756</v>
      </c>
      <c r="C1165" s="91" t="s">
        <v>1739</v>
      </c>
      <c r="D1165" s="91">
        <v>43</v>
      </c>
      <c r="E1165" s="91">
        <v>95</v>
      </c>
      <c r="F1165" s="91">
        <v>0</v>
      </c>
      <c r="G1165" s="126">
        <v>9.62704417444368e-6</v>
      </c>
      <c r="H1165" s="126">
        <f t="shared" si="55"/>
        <v>72000</v>
      </c>
      <c r="I1165" s="126" t="str">
        <f t="shared" si="56"/>
        <v>0y 0d 20h 0m</v>
      </c>
    </row>
    <row r="1166" s="91" customFormat="1" spans="1:9">
      <c r="A1166" s="91" t="str">
        <f t="shared" si="54"/>
        <v>Tc-95m</v>
      </c>
      <c r="B1166" s="91" t="s">
        <v>1757</v>
      </c>
      <c r="C1166" s="91" t="s">
        <v>1739</v>
      </c>
      <c r="D1166" s="91">
        <v>43</v>
      </c>
      <c r="E1166" s="91">
        <v>95</v>
      </c>
      <c r="F1166" s="91">
        <v>1</v>
      </c>
      <c r="G1166" s="126">
        <v>1.31516996918629e-7</v>
      </c>
      <c r="H1166" s="126">
        <f t="shared" si="55"/>
        <v>5270400.00000002</v>
      </c>
      <c r="I1166" s="126" t="str">
        <f t="shared" si="56"/>
        <v>0y 61d 0h 0m</v>
      </c>
    </row>
    <row r="1167" s="91" customFormat="1" spans="1:9">
      <c r="A1167" s="91" t="str">
        <f t="shared" si="54"/>
        <v>Tc-96</v>
      </c>
      <c r="B1167" s="91" t="s">
        <v>1758</v>
      </c>
      <c r="C1167" s="91" t="s">
        <v>1739</v>
      </c>
      <c r="D1167" s="91">
        <v>43</v>
      </c>
      <c r="E1167" s="91">
        <v>96</v>
      </c>
      <c r="F1167" s="91">
        <v>0</v>
      </c>
      <c r="G1167" s="126">
        <v>1.87442448879355e-6</v>
      </c>
      <c r="H1167" s="126">
        <f t="shared" si="55"/>
        <v>369792</v>
      </c>
      <c r="I1167" s="126" t="str">
        <f t="shared" si="56"/>
        <v>0y 4d 6h 43m</v>
      </c>
    </row>
    <row r="1168" s="91" customFormat="1" spans="1:9">
      <c r="A1168" s="91" t="str">
        <f t="shared" si="54"/>
        <v>Tc-96m</v>
      </c>
      <c r="B1168" s="91" t="s">
        <v>1759</v>
      </c>
      <c r="C1168" s="91" t="s">
        <v>1739</v>
      </c>
      <c r="D1168" s="91">
        <v>43</v>
      </c>
      <c r="E1168" s="91">
        <v>96</v>
      </c>
      <c r="F1168" s="91">
        <v>1</v>
      </c>
      <c r="G1168" s="126">
        <v>0.000224319475909367</v>
      </c>
      <c r="H1168" s="126">
        <f t="shared" si="55"/>
        <v>3090.00000000001</v>
      </c>
      <c r="I1168" s="126" t="str">
        <f t="shared" si="56"/>
        <v>0y 0d 0h 51m</v>
      </c>
    </row>
    <row r="1169" s="91" customFormat="1" spans="1:9">
      <c r="A1169" s="91" t="str">
        <f t="shared" si="54"/>
        <v>Tc-97</v>
      </c>
      <c r="B1169" s="91" t="s">
        <v>1760</v>
      </c>
      <c r="C1169" s="91" t="s">
        <v>1739</v>
      </c>
      <c r="D1169" s="91">
        <v>43</v>
      </c>
      <c r="E1169" s="91">
        <v>97</v>
      </c>
      <c r="F1169" s="91">
        <v>0</v>
      </c>
      <c r="G1169" s="126">
        <v>5.21724245286244e-15</v>
      </c>
      <c r="H1169" s="126">
        <f t="shared" si="55"/>
        <v>132857000000000</v>
      </c>
      <c r="I1169" s="126" t="str">
        <f t="shared" si="56"/>
        <v>4212867y 304d 6h 13m</v>
      </c>
    </row>
    <row r="1170" s="91" customFormat="1" spans="1:9">
      <c r="A1170" s="91" t="str">
        <f t="shared" si="54"/>
        <v>Tc-97m</v>
      </c>
      <c r="B1170" s="91" t="s">
        <v>1761</v>
      </c>
      <c r="C1170" s="91" t="s">
        <v>1739</v>
      </c>
      <c r="D1170" s="91">
        <v>43</v>
      </c>
      <c r="E1170" s="91">
        <v>97</v>
      </c>
      <c r="F1170" s="91">
        <v>1</v>
      </c>
      <c r="G1170" s="126">
        <v>8.81597451872132e-8</v>
      </c>
      <c r="H1170" s="126">
        <f t="shared" si="55"/>
        <v>7862400</v>
      </c>
      <c r="I1170" s="126" t="str">
        <f t="shared" si="56"/>
        <v>0y 91d 0h 0m</v>
      </c>
    </row>
    <row r="1171" s="91" customFormat="1" spans="1:9">
      <c r="A1171" s="91" t="str">
        <f t="shared" si="54"/>
        <v>Tc-98</v>
      </c>
      <c r="B1171" s="91" t="s">
        <v>1762</v>
      </c>
      <c r="C1171" s="91" t="s">
        <v>1739</v>
      </c>
      <c r="D1171" s="91">
        <v>43</v>
      </c>
      <c r="E1171" s="91">
        <v>98</v>
      </c>
      <c r="F1171" s="91">
        <v>0</v>
      </c>
      <c r="G1171" s="126">
        <v>5.22964177815292e-15</v>
      </c>
      <c r="H1171" s="126">
        <f t="shared" si="55"/>
        <v>132542000000000</v>
      </c>
      <c r="I1171" s="126" t="str">
        <f t="shared" si="56"/>
        <v>4202879y 90d 22h 13m</v>
      </c>
    </row>
    <row r="1172" s="91" customFormat="1" spans="1:9">
      <c r="A1172" s="91" t="str">
        <f t="shared" si="54"/>
        <v>Tc-99</v>
      </c>
      <c r="B1172" s="91" t="s">
        <v>1763</v>
      </c>
      <c r="C1172" s="91" t="s">
        <v>1739</v>
      </c>
      <c r="D1172" s="91">
        <v>43</v>
      </c>
      <c r="E1172" s="91">
        <v>99</v>
      </c>
      <c r="F1172" s="91">
        <v>0</v>
      </c>
      <c r="G1172" s="126">
        <v>1.04047875961629e-13</v>
      </c>
      <c r="H1172" s="126">
        <f t="shared" si="55"/>
        <v>6661810000000.05</v>
      </c>
      <c r="I1172" s="126" t="str">
        <f t="shared" si="56"/>
        <v>211244y 222d 9h 46m</v>
      </c>
    </row>
    <row r="1173" s="91" customFormat="1" spans="1:9">
      <c r="A1173" s="91" t="str">
        <f t="shared" si="54"/>
        <v>Tc-99m</v>
      </c>
      <c r="B1173" s="91" t="s">
        <v>1764</v>
      </c>
      <c r="C1173" s="91" t="s">
        <v>1739</v>
      </c>
      <c r="D1173" s="91">
        <v>43</v>
      </c>
      <c r="E1173" s="91">
        <v>99</v>
      </c>
      <c r="F1173" s="91">
        <v>1</v>
      </c>
      <c r="G1173" s="126">
        <v>3.20543532203828e-5</v>
      </c>
      <c r="H1173" s="126">
        <f t="shared" si="55"/>
        <v>21624.12</v>
      </c>
      <c r="I1173" s="126" t="str">
        <f t="shared" si="56"/>
        <v>0y 0d 6h 0m</v>
      </c>
    </row>
    <row r="1174" s="91" customFormat="1" spans="1:9">
      <c r="A1174" s="91" t="str">
        <f t="shared" si="54"/>
        <v>Tc-100</v>
      </c>
      <c r="B1174" s="91" t="s">
        <v>1765</v>
      </c>
      <c r="C1174" s="91" t="s">
        <v>1739</v>
      </c>
      <c r="D1174" s="91">
        <v>43</v>
      </c>
      <c r="E1174" s="91">
        <v>100</v>
      </c>
      <c r="F1174" s="91">
        <v>0</v>
      </c>
      <c r="G1174" s="126">
        <v>0.0448348758447571</v>
      </c>
      <c r="H1174" s="126">
        <f t="shared" si="55"/>
        <v>15.46</v>
      </c>
      <c r="I1174" s="126" t="str">
        <f t="shared" si="56"/>
        <v>0y 0d 0h 0m</v>
      </c>
    </row>
    <row r="1175" s="91" customFormat="1" spans="1:9">
      <c r="A1175" s="91" t="str">
        <f t="shared" si="54"/>
        <v>Tc-101</v>
      </c>
      <c r="B1175" s="91" t="s">
        <v>1766</v>
      </c>
      <c r="C1175" s="91" t="s">
        <v>1739</v>
      </c>
      <c r="D1175" s="91">
        <v>43</v>
      </c>
      <c r="E1175" s="91">
        <v>101</v>
      </c>
      <c r="F1175" s="91">
        <v>0</v>
      </c>
      <c r="G1175" s="126">
        <v>0.000813553028826226</v>
      </c>
      <c r="H1175" s="126">
        <f t="shared" si="55"/>
        <v>852.000000000001</v>
      </c>
      <c r="I1175" s="126" t="str">
        <f t="shared" si="56"/>
        <v>0y 0d 0h 14m</v>
      </c>
    </row>
    <row r="1176" s="91" customFormat="1" spans="1:9">
      <c r="A1176" s="91" t="str">
        <f t="shared" si="54"/>
        <v>Tc-102</v>
      </c>
      <c r="B1176" s="91" t="s">
        <v>1767</v>
      </c>
      <c r="C1176" s="91" t="s">
        <v>1739</v>
      </c>
      <c r="D1176" s="91">
        <v>43</v>
      </c>
      <c r="E1176" s="91">
        <v>102</v>
      </c>
      <c r="F1176" s="91">
        <v>0</v>
      </c>
      <c r="G1176" s="126">
        <v>0.13127787510605</v>
      </c>
      <c r="H1176" s="126">
        <f t="shared" si="55"/>
        <v>5.28000000000001</v>
      </c>
      <c r="I1176" s="126" t="str">
        <f t="shared" si="56"/>
        <v>0y 0d 0h 0m</v>
      </c>
    </row>
    <row r="1177" s="91" customFormat="1" spans="1:9">
      <c r="A1177" s="91" t="str">
        <f t="shared" si="54"/>
        <v>Tc-102m</v>
      </c>
      <c r="B1177" s="91" t="s">
        <v>1768</v>
      </c>
      <c r="C1177" s="91" t="s">
        <v>1739</v>
      </c>
      <c r="D1177" s="91">
        <v>43</v>
      </c>
      <c r="E1177" s="91">
        <v>102</v>
      </c>
      <c r="F1177" s="91">
        <v>1</v>
      </c>
      <c r="G1177" s="126">
        <v>0.00265573632398446</v>
      </c>
      <c r="H1177" s="126">
        <f t="shared" si="55"/>
        <v>261</v>
      </c>
      <c r="I1177" s="126" t="str">
        <f t="shared" si="56"/>
        <v>0y 0d 0h 4m</v>
      </c>
    </row>
    <row r="1178" s="91" customFormat="1" spans="1:9">
      <c r="A1178" s="91" t="str">
        <f t="shared" si="54"/>
        <v>Tc-103</v>
      </c>
      <c r="B1178" s="91" t="s">
        <v>1769</v>
      </c>
      <c r="C1178" s="91" t="s">
        <v>1739</v>
      </c>
      <c r="D1178" s="91">
        <v>43</v>
      </c>
      <c r="E1178" s="91">
        <v>103</v>
      </c>
      <c r="F1178" s="91">
        <v>0</v>
      </c>
      <c r="G1178" s="126">
        <v>0.0127886933682646</v>
      </c>
      <c r="H1178" s="126">
        <f t="shared" si="55"/>
        <v>54.2000000000003</v>
      </c>
      <c r="I1178" s="126" t="str">
        <f t="shared" si="56"/>
        <v>0y 0d 0h 0m</v>
      </c>
    </row>
    <row r="1179" s="91" customFormat="1" spans="1:9">
      <c r="A1179" s="91" t="str">
        <f t="shared" si="54"/>
        <v>Tc-104</v>
      </c>
      <c r="B1179" s="91" t="s">
        <v>1770</v>
      </c>
      <c r="C1179" s="91" t="s">
        <v>1739</v>
      </c>
      <c r="D1179" s="91">
        <v>43</v>
      </c>
      <c r="E1179" s="91">
        <v>104</v>
      </c>
      <c r="F1179" s="91">
        <v>0</v>
      </c>
      <c r="G1179" s="126">
        <v>0.000631281585209422</v>
      </c>
      <c r="H1179" s="126">
        <f t="shared" si="55"/>
        <v>1098</v>
      </c>
      <c r="I1179" s="126" t="str">
        <f t="shared" si="56"/>
        <v>0y 0d 0h 18m</v>
      </c>
    </row>
    <row r="1180" s="91" customFormat="1" spans="1:9">
      <c r="A1180" s="91" t="str">
        <f t="shared" si="54"/>
        <v>Tc-105</v>
      </c>
      <c r="B1180" s="91" t="s">
        <v>1771</v>
      </c>
      <c r="C1180" s="91" t="s">
        <v>1739</v>
      </c>
      <c r="D1180" s="91">
        <v>43</v>
      </c>
      <c r="E1180" s="91">
        <v>105</v>
      </c>
      <c r="F1180" s="91">
        <v>0</v>
      </c>
      <c r="G1180" s="126">
        <v>0.0015200596064911</v>
      </c>
      <c r="H1180" s="126">
        <f t="shared" si="55"/>
        <v>456.000000000002</v>
      </c>
      <c r="I1180" s="126" t="str">
        <f t="shared" si="56"/>
        <v>0y 0d 0h 7m</v>
      </c>
    </row>
    <row r="1181" s="91" customFormat="1" spans="1:9">
      <c r="A1181" s="91" t="str">
        <f t="shared" si="54"/>
        <v>Tc-106</v>
      </c>
      <c r="B1181" s="91" t="s">
        <v>1772</v>
      </c>
      <c r="C1181" s="91" t="s">
        <v>1739</v>
      </c>
      <c r="D1181" s="91">
        <v>43</v>
      </c>
      <c r="E1181" s="91">
        <v>106</v>
      </c>
      <c r="F1181" s="91">
        <v>0</v>
      </c>
      <c r="G1181" s="126">
        <v>0.0194704264202231</v>
      </c>
      <c r="H1181" s="126">
        <f t="shared" si="55"/>
        <v>35.6000000000002</v>
      </c>
      <c r="I1181" s="126" t="str">
        <f t="shared" si="56"/>
        <v>0y 0d 0h 0m</v>
      </c>
    </row>
    <row r="1182" s="91" customFormat="1" spans="1:9">
      <c r="A1182" s="91" t="str">
        <f t="shared" si="54"/>
        <v>Tc-107</v>
      </c>
      <c r="B1182" s="91" t="s">
        <v>1773</v>
      </c>
      <c r="C1182" s="91" t="s">
        <v>1739</v>
      </c>
      <c r="D1182" s="91">
        <v>43</v>
      </c>
      <c r="E1182" s="91">
        <v>107</v>
      </c>
      <c r="F1182" s="91">
        <v>0</v>
      </c>
      <c r="G1182" s="126">
        <v>0.0326956217245257</v>
      </c>
      <c r="H1182" s="126">
        <f t="shared" si="55"/>
        <v>21.2</v>
      </c>
      <c r="I1182" s="126" t="str">
        <f t="shared" si="56"/>
        <v>0y 0d 0h 0m</v>
      </c>
    </row>
    <row r="1183" s="91" customFormat="1" spans="1:9">
      <c r="A1183" s="91" t="str">
        <f t="shared" si="54"/>
        <v>Tc-108</v>
      </c>
      <c r="B1183" s="91" t="s">
        <v>1774</v>
      </c>
      <c r="C1183" s="91" t="s">
        <v>1739</v>
      </c>
      <c r="D1183" s="91">
        <v>43</v>
      </c>
      <c r="E1183" s="91">
        <v>108</v>
      </c>
      <c r="F1183" s="91">
        <v>0</v>
      </c>
      <c r="G1183" s="126">
        <v>0.134071021384902</v>
      </c>
      <c r="H1183" s="126">
        <f t="shared" si="55"/>
        <v>5.17000000000001</v>
      </c>
      <c r="I1183" s="126" t="str">
        <f t="shared" si="56"/>
        <v>0y 0d 0h 0m</v>
      </c>
    </row>
    <row r="1184" s="91" customFormat="1" spans="1:9">
      <c r="A1184" s="91" t="str">
        <f t="shared" si="54"/>
        <v>Tc-109</v>
      </c>
      <c r="B1184" s="91" t="s">
        <v>1775</v>
      </c>
      <c r="C1184" s="91" t="s">
        <v>1739</v>
      </c>
      <c r="D1184" s="91">
        <v>43</v>
      </c>
      <c r="E1184" s="91">
        <v>109</v>
      </c>
      <c r="F1184" s="91">
        <v>0</v>
      </c>
      <c r="G1184" s="126">
        <v>0.805985093674355</v>
      </c>
      <c r="H1184" s="126">
        <f t="shared" si="55"/>
        <v>0.86</v>
      </c>
      <c r="I1184" s="126" t="str">
        <f t="shared" si="56"/>
        <v>0y 0d 0h 0m</v>
      </c>
    </row>
    <row r="1185" s="91" customFormat="1" spans="1:9">
      <c r="A1185" s="91" t="str">
        <f t="shared" si="54"/>
        <v>Tc-110</v>
      </c>
      <c r="B1185" s="91" t="s">
        <v>1776</v>
      </c>
      <c r="C1185" s="91" t="s">
        <v>1739</v>
      </c>
      <c r="D1185" s="91">
        <v>43</v>
      </c>
      <c r="E1185" s="91">
        <v>110</v>
      </c>
      <c r="F1185" s="91">
        <v>0</v>
      </c>
      <c r="G1185" s="126">
        <v>0.753420848434723</v>
      </c>
      <c r="H1185" s="126">
        <f t="shared" si="55"/>
        <v>0.92</v>
      </c>
      <c r="I1185" s="126" t="str">
        <f t="shared" si="56"/>
        <v>0y 0d 0h 0m</v>
      </c>
    </row>
    <row r="1186" s="91" customFormat="1" spans="1:9">
      <c r="A1186" s="91" t="str">
        <f t="shared" si="54"/>
        <v>Tc-111</v>
      </c>
      <c r="B1186" s="91" t="s">
        <v>1777</v>
      </c>
      <c r="C1186" s="91" t="s">
        <v>1739</v>
      </c>
      <c r="D1186" s="91">
        <v>43</v>
      </c>
      <c r="E1186" s="91">
        <v>111</v>
      </c>
      <c r="F1186" s="91">
        <v>0</v>
      </c>
      <c r="G1186" s="126">
        <v>2.39016269158601</v>
      </c>
      <c r="H1186" s="126">
        <f t="shared" si="55"/>
        <v>0.290000000000001</v>
      </c>
      <c r="I1186" s="126" t="str">
        <f t="shared" si="56"/>
        <v>0y 0d 0h 0m</v>
      </c>
    </row>
    <row r="1187" s="91" customFormat="1" spans="1:9">
      <c r="A1187" s="91" t="str">
        <f t="shared" si="54"/>
        <v>Tc-112</v>
      </c>
      <c r="B1187" s="91" t="s">
        <v>1778</v>
      </c>
      <c r="C1187" s="91" t="s">
        <v>1739</v>
      </c>
      <c r="D1187" s="91">
        <v>43</v>
      </c>
      <c r="E1187" s="91">
        <v>112</v>
      </c>
      <c r="F1187" s="91">
        <v>0</v>
      </c>
      <c r="G1187" s="126">
        <v>2.47552564485694</v>
      </c>
      <c r="H1187" s="126">
        <f t="shared" si="55"/>
        <v>0.280000000000001</v>
      </c>
      <c r="I1187" s="126" t="str">
        <f t="shared" si="56"/>
        <v>0y 0d 0h 0m</v>
      </c>
    </row>
    <row r="1188" s="91" customFormat="1" spans="1:9">
      <c r="A1188" s="91" t="str">
        <f t="shared" si="54"/>
        <v>Tc-113</v>
      </c>
      <c r="B1188" s="91" t="s">
        <v>1779</v>
      </c>
      <c r="C1188" s="91" t="s">
        <v>1739</v>
      </c>
      <c r="D1188" s="91">
        <v>43</v>
      </c>
      <c r="E1188" s="91">
        <v>113</v>
      </c>
      <c r="F1188" s="91">
        <v>0</v>
      </c>
      <c r="G1188" s="126">
        <v>4.33216987849965</v>
      </c>
      <c r="H1188" s="126">
        <f t="shared" si="55"/>
        <v>0.16</v>
      </c>
      <c r="I1188" s="126" t="str">
        <f t="shared" si="56"/>
        <v>0y 0d 0h 0m</v>
      </c>
    </row>
    <row r="1189" s="91" customFormat="1" spans="1:9">
      <c r="A1189" s="91" t="str">
        <f t="shared" si="54"/>
        <v>Tc-114</v>
      </c>
      <c r="B1189" s="91" t="s">
        <v>1780</v>
      </c>
      <c r="C1189" s="91" t="s">
        <v>1739</v>
      </c>
      <c r="D1189" s="91">
        <v>43</v>
      </c>
      <c r="E1189" s="91">
        <v>114</v>
      </c>
      <c r="F1189" s="91">
        <v>0</v>
      </c>
      <c r="G1189" s="126">
        <v>4.62098120373296</v>
      </c>
      <c r="H1189" s="126">
        <f t="shared" si="55"/>
        <v>0.15</v>
      </c>
      <c r="I1189" s="126" t="str">
        <f t="shared" si="56"/>
        <v>0y 0d 0h 0m</v>
      </c>
    </row>
    <row r="1190" s="91" customFormat="1" spans="1:9">
      <c r="A1190" s="91" t="str">
        <f t="shared" si="54"/>
        <v>Tc-115</v>
      </c>
      <c r="B1190" s="91" t="s">
        <v>1781</v>
      </c>
      <c r="C1190" s="91" t="s">
        <v>1739</v>
      </c>
      <c r="D1190" s="91">
        <v>43</v>
      </c>
      <c r="E1190" s="91">
        <v>115</v>
      </c>
      <c r="F1190" s="91">
        <v>0</v>
      </c>
      <c r="G1190" s="126">
        <v>9.49516685698555</v>
      </c>
      <c r="H1190" s="126">
        <f t="shared" si="55"/>
        <v>0.073</v>
      </c>
      <c r="I1190" s="126" t="str">
        <f t="shared" si="56"/>
        <v>0y 0d 0h 0m</v>
      </c>
    </row>
    <row r="1191" s="91" customFormat="1" spans="1:9">
      <c r="A1191" s="91" t="str">
        <f t="shared" si="54"/>
        <v>Tc-116</v>
      </c>
      <c r="B1191" s="91" t="s">
        <v>1782</v>
      </c>
      <c r="C1191" s="91" t="s">
        <v>1739</v>
      </c>
      <c r="D1191" s="91">
        <v>43</v>
      </c>
      <c r="E1191" s="91">
        <v>116</v>
      </c>
      <c r="F1191" s="91">
        <v>0</v>
      </c>
      <c r="G1191" s="126">
        <v>7.70163533955494</v>
      </c>
      <c r="H1191" s="126">
        <f t="shared" si="55"/>
        <v>0.0900000000000001</v>
      </c>
      <c r="I1191" s="126" t="str">
        <f t="shared" si="56"/>
        <v>0y 0d 0h 0m</v>
      </c>
    </row>
    <row r="1192" s="91" customFormat="1" spans="1:9">
      <c r="A1192" s="91" t="str">
        <f t="shared" si="54"/>
        <v>Tc-117</v>
      </c>
      <c r="B1192" s="91" t="s">
        <v>1783</v>
      </c>
      <c r="C1192" s="91" t="s">
        <v>1739</v>
      </c>
      <c r="D1192" s="91">
        <v>43</v>
      </c>
      <c r="E1192" s="91">
        <v>117</v>
      </c>
      <c r="F1192" s="91">
        <v>0</v>
      </c>
      <c r="G1192" s="126">
        <v>17.3286795139986</v>
      </c>
      <c r="H1192" s="126">
        <f t="shared" si="55"/>
        <v>0.0400000000000001</v>
      </c>
      <c r="I1192" s="126" t="str">
        <f t="shared" si="56"/>
        <v>0y 0d 0h 0m</v>
      </c>
    </row>
    <row r="1193" s="91" customFormat="1" spans="1:9">
      <c r="A1193" s="91" t="str">
        <f t="shared" si="54"/>
        <v>Tc-118</v>
      </c>
      <c r="B1193" s="91" t="s">
        <v>1784</v>
      </c>
      <c r="C1193" s="91" t="s">
        <v>1739</v>
      </c>
      <c r="D1193" s="91">
        <v>43</v>
      </c>
      <c r="E1193" s="91">
        <v>118</v>
      </c>
      <c r="F1193" s="91">
        <v>0</v>
      </c>
      <c r="G1193" s="126">
        <v>10.502230008484</v>
      </c>
      <c r="H1193" s="126">
        <f t="shared" si="55"/>
        <v>0.0660000000000001</v>
      </c>
      <c r="I1193" s="126" t="str">
        <f t="shared" si="56"/>
        <v>0y 0d 0h 0m</v>
      </c>
    </row>
    <row r="1194" s="91" customFormat="1" spans="1:9">
      <c r="A1194" s="91" t="str">
        <f t="shared" si="54"/>
        <v>Ru-87</v>
      </c>
      <c r="B1194" s="91" t="s">
        <v>1785</v>
      </c>
      <c r="C1194" s="91" t="s">
        <v>1786</v>
      </c>
      <c r="D1194" s="91">
        <v>44</v>
      </c>
      <c r="E1194" s="91">
        <v>87</v>
      </c>
      <c r="F1194" s="91">
        <v>0</v>
      </c>
      <c r="G1194" s="126">
        <v>462098.120373296</v>
      </c>
      <c r="H1194" s="126">
        <f t="shared" si="55"/>
        <v>1.5e-6</v>
      </c>
      <c r="I1194" s="126" t="str">
        <f t="shared" si="56"/>
        <v>0y 0d 0h 0m</v>
      </c>
    </row>
    <row r="1195" s="91" customFormat="1" spans="1:9">
      <c r="A1195" s="91" t="str">
        <f t="shared" si="54"/>
        <v>Ru-88</v>
      </c>
      <c r="B1195" s="91" t="s">
        <v>1787</v>
      </c>
      <c r="C1195" s="91" t="s">
        <v>1786</v>
      </c>
      <c r="D1195" s="91">
        <v>44</v>
      </c>
      <c r="E1195" s="91">
        <v>88</v>
      </c>
      <c r="F1195" s="91">
        <v>0</v>
      </c>
      <c r="G1195" s="126">
        <v>0.554517744447956</v>
      </c>
      <c r="H1195" s="126">
        <f t="shared" si="55"/>
        <v>1.25</v>
      </c>
      <c r="I1195" s="126" t="str">
        <f t="shared" si="56"/>
        <v>0y 0d 0h 0m</v>
      </c>
    </row>
    <row r="1196" s="91" customFormat="1" spans="1:9">
      <c r="A1196" s="91" t="str">
        <f t="shared" si="54"/>
        <v>Ru-89</v>
      </c>
      <c r="B1196" s="91" t="s">
        <v>1788</v>
      </c>
      <c r="C1196" s="91" t="s">
        <v>1786</v>
      </c>
      <c r="D1196" s="91">
        <v>44</v>
      </c>
      <c r="E1196" s="91">
        <v>89</v>
      </c>
      <c r="F1196" s="91">
        <v>0</v>
      </c>
      <c r="G1196" s="126">
        <v>0.462098120373296</v>
      </c>
      <c r="H1196" s="126">
        <f t="shared" si="55"/>
        <v>1.5</v>
      </c>
      <c r="I1196" s="126" t="str">
        <f t="shared" si="56"/>
        <v>0y 0d 0h 0m</v>
      </c>
    </row>
    <row r="1197" s="91" customFormat="1" spans="1:9">
      <c r="A1197" s="91" t="str">
        <f t="shared" si="54"/>
        <v>Ru-90</v>
      </c>
      <c r="B1197" s="91" t="s">
        <v>1789</v>
      </c>
      <c r="C1197" s="91" t="s">
        <v>1786</v>
      </c>
      <c r="D1197" s="91">
        <v>44</v>
      </c>
      <c r="E1197" s="91">
        <v>90</v>
      </c>
      <c r="F1197" s="91">
        <v>0</v>
      </c>
      <c r="G1197" s="126">
        <v>0.0592433487658072</v>
      </c>
      <c r="H1197" s="126">
        <f t="shared" si="55"/>
        <v>11.7</v>
      </c>
      <c r="I1197" s="126" t="str">
        <f t="shared" si="56"/>
        <v>0y 0d 0h 0m</v>
      </c>
    </row>
    <row r="1198" s="91" customFormat="1" spans="1:9">
      <c r="A1198" s="91" t="str">
        <f t="shared" si="54"/>
        <v>Ru-91</v>
      </c>
      <c r="B1198" s="91" t="s">
        <v>1790</v>
      </c>
      <c r="C1198" s="91" t="s">
        <v>1786</v>
      </c>
      <c r="D1198" s="91">
        <v>44</v>
      </c>
      <c r="E1198" s="91">
        <v>91</v>
      </c>
      <c r="F1198" s="91">
        <v>0</v>
      </c>
      <c r="G1198" s="126">
        <v>0.0877401494379677</v>
      </c>
      <c r="H1198" s="126">
        <f t="shared" si="55"/>
        <v>7.90000000000001</v>
      </c>
      <c r="I1198" s="126" t="str">
        <f t="shared" si="56"/>
        <v>0y 0d 0h 0m</v>
      </c>
    </row>
    <row r="1199" s="91" customFormat="1" spans="1:9">
      <c r="A1199" s="91" t="str">
        <f t="shared" si="54"/>
        <v>Ru-91m</v>
      </c>
      <c r="B1199" s="91" t="s">
        <v>1791</v>
      </c>
      <c r="C1199" s="91" t="s">
        <v>1786</v>
      </c>
      <c r="D1199" s="91">
        <v>44</v>
      </c>
      <c r="E1199" s="91">
        <v>91</v>
      </c>
      <c r="F1199" s="91">
        <v>1</v>
      </c>
      <c r="G1199" s="126">
        <v>0.0912035763894665</v>
      </c>
      <c r="H1199" s="126">
        <f t="shared" si="55"/>
        <v>7.6</v>
      </c>
      <c r="I1199" s="126" t="str">
        <f t="shared" si="56"/>
        <v>0y 0d 0h 0m</v>
      </c>
    </row>
    <row r="1200" s="91" customFormat="1" spans="1:9">
      <c r="A1200" s="91" t="str">
        <f t="shared" si="54"/>
        <v>Ru-92</v>
      </c>
      <c r="B1200" s="91" t="s">
        <v>1792</v>
      </c>
      <c r="C1200" s="91" t="s">
        <v>1786</v>
      </c>
      <c r="D1200" s="91">
        <v>44</v>
      </c>
      <c r="E1200" s="91">
        <v>92</v>
      </c>
      <c r="F1200" s="91">
        <v>0</v>
      </c>
      <c r="G1200" s="126">
        <v>0.00316505561899518</v>
      </c>
      <c r="H1200" s="126">
        <f t="shared" si="55"/>
        <v>219</v>
      </c>
      <c r="I1200" s="126" t="str">
        <f t="shared" si="56"/>
        <v>0y 0d 0h 3m</v>
      </c>
    </row>
    <row r="1201" s="91" customFormat="1" spans="1:9">
      <c r="A1201" s="91" t="str">
        <f t="shared" si="54"/>
        <v>Ru-93</v>
      </c>
      <c r="B1201" s="91" t="s">
        <v>1793</v>
      </c>
      <c r="C1201" s="91" t="s">
        <v>1786</v>
      </c>
      <c r="D1201" s="91">
        <v>44</v>
      </c>
      <c r="E1201" s="91">
        <v>93</v>
      </c>
      <c r="F1201" s="91">
        <v>0</v>
      </c>
      <c r="G1201" s="126">
        <v>0.0116105055370175</v>
      </c>
      <c r="H1201" s="126">
        <f t="shared" si="55"/>
        <v>59.7</v>
      </c>
      <c r="I1201" s="126" t="str">
        <f t="shared" si="56"/>
        <v>0y 0d 0h 0m</v>
      </c>
    </row>
    <row r="1202" s="91" customFormat="1" spans="1:9">
      <c r="A1202" s="91" t="str">
        <f t="shared" si="54"/>
        <v>Ru-93m</v>
      </c>
      <c r="B1202" s="91" t="s">
        <v>1794</v>
      </c>
      <c r="C1202" s="91" t="s">
        <v>1786</v>
      </c>
      <c r="D1202" s="91">
        <v>44</v>
      </c>
      <c r="E1202" s="91">
        <v>93</v>
      </c>
      <c r="F1202" s="91">
        <v>1</v>
      </c>
      <c r="G1202" s="126">
        <v>0.0641802944962912</v>
      </c>
      <c r="H1202" s="126">
        <f t="shared" si="55"/>
        <v>10.8</v>
      </c>
      <c r="I1202" s="126" t="str">
        <f t="shared" si="56"/>
        <v>0y 0d 0h 0m</v>
      </c>
    </row>
    <row r="1203" s="91" customFormat="1" spans="1:9">
      <c r="A1203" s="91" t="str">
        <f t="shared" si="54"/>
        <v>Ru-94</v>
      </c>
      <c r="B1203" s="91" t="s">
        <v>1795</v>
      </c>
      <c r="C1203" s="91" t="s">
        <v>1786</v>
      </c>
      <c r="D1203" s="91">
        <v>44</v>
      </c>
      <c r="E1203" s="91">
        <v>94</v>
      </c>
      <c r="F1203" s="91">
        <v>0</v>
      </c>
      <c r="G1203" s="126">
        <v>0.00022302032836549</v>
      </c>
      <c r="H1203" s="126">
        <f t="shared" si="55"/>
        <v>3108.00000000001</v>
      </c>
      <c r="I1203" s="126" t="str">
        <f t="shared" si="56"/>
        <v>0y 0d 0h 51m</v>
      </c>
    </row>
    <row r="1204" s="91" customFormat="1" spans="1:9">
      <c r="A1204" s="91" t="str">
        <f t="shared" si="54"/>
        <v>Ru-95</v>
      </c>
      <c r="B1204" s="91" t="s">
        <v>1796</v>
      </c>
      <c r="C1204" s="91" t="s">
        <v>1786</v>
      </c>
      <c r="D1204" s="91">
        <v>44</v>
      </c>
      <c r="E1204" s="91">
        <v>95</v>
      </c>
      <c r="F1204" s="91">
        <v>0</v>
      </c>
      <c r="G1204" s="126">
        <v>0.000117188608331633</v>
      </c>
      <c r="H1204" s="126">
        <f t="shared" si="55"/>
        <v>5914.80000000002</v>
      </c>
      <c r="I1204" s="126" t="str">
        <f t="shared" si="56"/>
        <v>0y 0d 1h 38m</v>
      </c>
    </row>
    <row r="1205" s="91" customFormat="1" spans="1:9">
      <c r="A1205" s="91" t="str">
        <f t="shared" si="54"/>
        <v>Ru-96</v>
      </c>
      <c r="B1205" s="91" t="s">
        <v>1797</v>
      </c>
      <c r="C1205" s="91" t="s">
        <v>1786</v>
      </c>
      <c r="D1205" s="91">
        <v>44</v>
      </c>
      <c r="E1205" s="91">
        <v>96</v>
      </c>
      <c r="F1205" s="91">
        <v>0</v>
      </c>
      <c r="G1205" s="126">
        <v>0</v>
      </c>
      <c r="H1205" s="126">
        <f t="shared" si="55"/>
        <v>0</v>
      </c>
      <c r="I1205" s="126" t="str">
        <f t="shared" si="56"/>
        <v>0y 0d 0h 0m</v>
      </c>
    </row>
    <row r="1206" s="91" customFormat="1" spans="1:9">
      <c r="A1206" s="91" t="str">
        <f t="shared" si="54"/>
        <v>Ru-97</v>
      </c>
      <c r="B1206" s="91" t="s">
        <v>1798</v>
      </c>
      <c r="C1206" s="91" t="s">
        <v>1786</v>
      </c>
      <c r="D1206" s="91">
        <v>44</v>
      </c>
      <c r="E1206" s="91">
        <v>97</v>
      </c>
      <c r="F1206" s="91">
        <v>0</v>
      </c>
      <c r="G1206" s="126">
        <v>2.83481866149696e-6</v>
      </c>
      <c r="H1206" s="126">
        <f t="shared" si="55"/>
        <v>244512</v>
      </c>
      <c r="I1206" s="126" t="str">
        <f t="shared" si="56"/>
        <v>0y 2d 19h 55m</v>
      </c>
    </row>
    <row r="1207" s="91" customFormat="1" spans="1:9">
      <c r="A1207" s="91" t="str">
        <f t="shared" si="54"/>
        <v>Ru-98</v>
      </c>
      <c r="B1207" s="91" t="s">
        <v>1799</v>
      </c>
      <c r="C1207" s="91" t="s">
        <v>1786</v>
      </c>
      <c r="D1207" s="91">
        <v>44</v>
      </c>
      <c r="E1207" s="91">
        <v>98</v>
      </c>
      <c r="F1207" s="91">
        <v>0</v>
      </c>
      <c r="G1207" s="126">
        <v>0</v>
      </c>
      <c r="H1207" s="126">
        <f t="shared" si="55"/>
        <v>0</v>
      </c>
      <c r="I1207" s="126" t="str">
        <f t="shared" si="56"/>
        <v>0y 0d 0h 0m</v>
      </c>
    </row>
    <row r="1208" s="91" customFormat="1" spans="1:9">
      <c r="A1208" s="91" t="str">
        <f t="shared" si="54"/>
        <v>Ru-99</v>
      </c>
      <c r="B1208" s="91" t="s">
        <v>1800</v>
      </c>
      <c r="C1208" s="91" t="s">
        <v>1786</v>
      </c>
      <c r="D1208" s="91">
        <v>44</v>
      </c>
      <c r="E1208" s="91">
        <v>99</v>
      </c>
      <c r="F1208" s="91">
        <v>0</v>
      </c>
      <c r="G1208" s="126">
        <v>0</v>
      </c>
      <c r="H1208" s="126">
        <f t="shared" si="55"/>
        <v>0</v>
      </c>
      <c r="I1208" s="126" t="str">
        <f t="shared" si="56"/>
        <v>0y 0d 0h 0m</v>
      </c>
    </row>
    <row r="1209" s="91" customFormat="1" spans="1:9">
      <c r="A1209" s="91" t="str">
        <f t="shared" si="54"/>
        <v>Ru-100</v>
      </c>
      <c r="B1209" s="91" t="s">
        <v>1801</v>
      </c>
      <c r="C1209" s="91" t="s">
        <v>1786</v>
      </c>
      <c r="D1209" s="91">
        <v>44</v>
      </c>
      <c r="E1209" s="91">
        <v>100</v>
      </c>
      <c r="F1209" s="91">
        <v>0</v>
      </c>
      <c r="G1209" s="126">
        <v>0</v>
      </c>
      <c r="H1209" s="126">
        <f t="shared" si="55"/>
        <v>0</v>
      </c>
      <c r="I1209" s="126" t="str">
        <f t="shared" si="56"/>
        <v>0y 0d 0h 0m</v>
      </c>
    </row>
    <row r="1210" s="91" customFormat="1" spans="1:9">
      <c r="A1210" s="91" t="str">
        <f t="shared" si="54"/>
        <v>Ru-101</v>
      </c>
      <c r="B1210" s="91" t="s">
        <v>1802</v>
      </c>
      <c r="C1210" s="91" t="s">
        <v>1786</v>
      </c>
      <c r="D1210" s="91">
        <v>44</v>
      </c>
      <c r="E1210" s="91">
        <v>101</v>
      </c>
      <c r="F1210" s="91">
        <v>0</v>
      </c>
      <c r="G1210" s="126">
        <v>0</v>
      </c>
      <c r="H1210" s="126">
        <f t="shared" si="55"/>
        <v>0</v>
      </c>
      <c r="I1210" s="126" t="str">
        <f t="shared" si="56"/>
        <v>0y 0d 0h 0m</v>
      </c>
    </row>
    <row r="1211" s="91" customFormat="1" spans="1:9">
      <c r="A1211" s="91" t="str">
        <f t="shared" si="54"/>
        <v>Ru-102</v>
      </c>
      <c r="B1211" s="91" t="s">
        <v>1803</v>
      </c>
      <c r="C1211" s="91" t="s">
        <v>1786</v>
      </c>
      <c r="D1211" s="91">
        <v>44</v>
      </c>
      <c r="E1211" s="91">
        <v>102</v>
      </c>
      <c r="F1211" s="91">
        <v>0</v>
      </c>
      <c r="G1211" s="126">
        <v>0</v>
      </c>
      <c r="H1211" s="126">
        <f t="shared" si="55"/>
        <v>0</v>
      </c>
      <c r="I1211" s="126" t="str">
        <f t="shared" si="56"/>
        <v>0y 0d 0h 0m</v>
      </c>
    </row>
    <row r="1212" s="91" customFormat="1" spans="1:9">
      <c r="A1212" s="91" t="str">
        <f t="shared" si="54"/>
        <v>Ru-103</v>
      </c>
      <c r="B1212" s="91" t="s">
        <v>1804</v>
      </c>
      <c r="C1212" s="91" t="s">
        <v>1786</v>
      </c>
      <c r="D1212" s="91">
        <v>44</v>
      </c>
      <c r="E1212" s="91">
        <v>103</v>
      </c>
      <c r="F1212" s="91">
        <v>0</v>
      </c>
      <c r="G1212" s="126">
        <v>2.04411454094879e-7</v>
      </c>
      <c r="H1212" s="126">
        <f t="shared" si="55"/>
        <v>3390941.00000001</v>
      </c>
      <c r="I1212" s="126" t="str">
        <f t="shared" si="56"/>
        <v>0y 39d 5h 55m</v>
      </c>
    </row>
    <row r="1213" s="91" customFormat="1" spans="1:9">
      <c r="A1213" s="91" t="str">
        <f t="shared" si="54"/>
        <v>Ru-103m</v>
      </c>
      <c r="B1213" s="91" t="s">
        <v>1805</v>
      </c>
      <c r="C1213" s="91" t="s">
        <v>1786</v>
      </c>
      <c r="D1213" s="91">
        <v>44</v>
      </c>
      <c r="E1213" s="91">
        <v>103</v>
      </c>
      <c r="F1213" s="91">
        <v>1</v>
      </c>
      <c r="G1213" s="126">
        <v>410.146260686358</v>
      </c>
      <c r="H1213" s="126">
        <f t="shared" si="55"/>
        <v>0.00169</v>
      </c>
      <c r="I1213" s="126" t="str">
        <f t="shared" si="56"/>
        <v>0y 0d 0h 0m</v>
      </c>
    </row>
    <row r="1214" s="91" customFormat="1" spans="1:9">
      <c r="A1214" s="91" t="str">
        <f t="shared" si="54"/>
        <v>Ru-104</v>
      </c>
      <c r="B1214" s="91" t="s">
        <v>1806</v>
      </c>
      <c r="C1214" s="91" t="s">
        <v>1786</v>
      </c>
      <c r="D1214" s="91">
        <v>44</v>
      </c>
      <c r="E1214" s="91">
        <v>104</v>
      </c>
      <c r="F1214" s="91">
        <v>0</v>
      </c>
      <c r="G1214" s="126">
        <v>0</v>
      </c>
      <c r="H1214" s="126">
        <f t="shared" si="55"/>
        <v>0</v>
      </c>
      <c r="I1214" s="126" t="str">
        <f t="shared" si="56"/>
        <v>0y 0d 0h 0m</v>
      </c>
    </row>
    <row r="1215" s="91" customFormat="1" spans="1:9">
      <c r="A1215" s="91" t="str">
        <f t="shared" si="54"/>
        <v>Ru-105</v>
      </c>
      <c r="B1215" s="91" t="s">
        <v>1807</v>
      </c>
      <c r="C1215" s="91" t="s">
        <v>1786</v>
      </c>
      <c r="D1215" s="91">
        <v>44</v>
      </c>
      <c r="E1215" s="91">
        <v>105</v>
      </c>
      <c r="F1215" s="91">
        <v>0</v>
      </c>
      <c r="G1215" s="126">
        <v>4.33650638488454e-5</v>
      </c>
      <c r="H1215" s="126">
        <f t="shared" si="55"/>
        <v>15984</v>
      </c>
      <c r="I1215" s="126" t="str">
        <f t="shared" si="56"/>
        <v>0y 0d 4h 26m</v>
      </c>
    </row>
    <row r="1216" s="91" customFormat="1" spans="1:9">
      <c r="A1216" s="91" t="str">
        <f t="shared" si="54"/>
        <v>Ru-106</v>
      </c>
      <c r="B1216" s="91" t="s">
        <v>1808</v>
      </c>
      <c r="C1216" s="91" t="s">
        <v>1786</v>
      </c>
      <c r="D1216" s="91">
        <v>44</v>
      </c>
      <c r="E1216" s="91">
        <v>106</v>
      </c>
      <c r="F1216" s="91">
        <v>0</v>
      </c>
      <c r="G1216" s="126">
        <v>2.15775600108563e-8</v>
      </c>
      <c r="H1216" s="126">
        <f t="shared" si="55"/>
        <v>32123520.0000001</v>
      </c>
      <c r="I1216" s="126" t="str">
        <f t="shared" si="56"/>
        <v>1y 6d 19h 12m</v>
      </c>
    </row>
    <row r="1217" s="91" customFormat="1" spans="1:9">
      <c r="A1217" s="91" t="str">
        <f t="shared" si="54"/>
        <v>Ru-107</v>
      </c>
      <c r="B1217" s="91" t="s">
        <v>1809</v>
      </c>
      <c r="C1217" s="91" t="s">
        <v>1786</v>
      </c>
      <c r="D1217" s="91">
        <v>44</v>
      </c>
      <c r="E1217" s="91">
        <v>107</v>
      </c>
      <c r="F1217" s="91">
        <v>0</v>
      </c>
      <c r="G1217" s="126">
        <v>0.00308065413582197</v>
      </c>
      <c r="H1217" s="126">
        <f t="shared" si="55"/>
        <v>225.000000000001</v>
      </c>
      <c r="I1217" s="126" t="str">
        <f t="shared" si="56"/>
        <v>0y 0d 0h 3m</v>
      </c>
    </row>
    <row r="1218" s="91" customFormat="1" spans="1:9">
      <c r="A1218" s="91" t="str">
        <f t="shared" ref="A1218:A1281" si="57">C1218&amp;"-"&amp;E1218&amp;_xlfn.IFS(F1218=0,"",F1218=1,"m",F1218&gt;1,"m"&amp;F1218)</f>
        <v>Ru-108</v>
      </c>
      <c r="B1218" s="91" t="s">
        <v>1810</v>
      </c>
      <c r="C1218" s="91" t="s">
        <v>1786</v>
      </c>
      <c r="D1218" s="91">
        <v>44</v>
      </c>
      <c r="E1218" s="91">
        <v>108</v>
      </c>
      <c r="F1218" s="91">
        <v>0</v>
      </c>
      <c r="G1218" s="126">
        <v>0.00253900066139174</v>
      </c>
      <c r="H1218" s="126">
        <f t="shared" ref="H1218:H1281" si="58">IF(G1218&gt;0,LN(2)/G1218,0)</f>
        <v>273</v>
      </c>
      <c r="I1218" s="126" t="str">
        <f t="shared" si="56"/>
        <v>0y 0d 0h 4m</v>
      </c>
    </row>
    <row r="1219" s="91" customFormat="1" spans="1:9">
      <c r="A1219" s="91" t="str">
        <f t="shared" si="57"/>
        <v>Ru-109</v>
      </c>
      <c r="B1219" s="91" t="s">
        <v>1811</v>
      </c>
      <c r="C1219" s="91" t="s">
        <v>1786</v>
      </c>
      <c r="D1219" s="91">
        <v>44</v>
      </c>
      <c r="E1219" s="91">
        <v>109</v>
      </c>
      <c r="F1219" s="91">
        <v>0</v>
      </c>
      <c r="G1219" s="126">
        <v>0.0200912226249259</v>
      </c>
      <c r="H1219" s="126">
        <f t="shared" si="58"/>
        <v>34.5000000000001</v>
      </c>
      <c r="I1219" s="126" t="str">
        <f t="shared" ref="I1219:I1282" si="59">INT(H1219/31536000)&amp;"y "&amp;INT(MOD(H1219,31536000)/86400)&amp;"d "&amp;INT(MOD(MOD(H1219,31536000),86400)/3600)&amp;"h "&amp;INT(MOD(MOD(MOD(H1219,31536000),86400),3600)/60)&amp;"m"</f>
        <v>0y 0d 0h 0m</v>
      </c>
    </row>
    <row r="1220" s="91" customFormat="1" spans="1:9">
      <c r="A1220" s="91" t="str">
        <f t="shared" si="57"/>
        <v>Ru-110</v>
      </c>
      <c r="B1220" s="91" t="s">
        <v>1812</v>
      </c>
      <c r="C1220" s="91" t="s">
        <v>1786</v>
      </c>
      <c r="D1220" s="91">
        <v>44</v>
      </c>
      <c r="E1220" s="91">
        <v>110</v>
      </c>
      <c r="F1220" s="91">
        <v>0</v>
      </c>
      <c r="G1220" s="126">
        <v>0.0597540672896504</v>
      </c>
      <c r="H1220" s="126">
        <f t="shared" si="58"/>
        <v>11.6</v>
      </c>
      <c r="I1220" s="126" t="str">
        <f t="shared" si="59"/>
        <v>0y 0d 0h 0m</v>
      </c>
    </row>
    <row r="1221" s="91" customFormat="1" spans="1:9">
      <c r="A1221" s="91" t="str">
        <f t="shared" si="57"/>
        <v>Ru-111</v>
      </c>
      <c r="B1221" s="91" t="s">
        <v>1813</v>
      </c>
      <c r="C1221" s="91" t="s">
        <v>1786</v>
      </c>
      <c r="D1221" s="91">
        <v>44</v>
      </c>
      <c r="E1221" s="91">
        <v>111</v>
      </c>
      <c r="F1221" s="91">
        <v>0</v>
      </c>
      <c r="G1221" s="126">
        <v>0.326956217245257</v>
      </c>
      <c r="H1221" s="126">
        <f t="shared" si="58"/>
        <v>2.12</v>
      </c>
      <c r="I1221" s="126" t="str">
        <f t="shared" si="59"/>
        <v>0y 0d 0h 0m</v>
      </c>
    </row>
    <row r="1222" s="91" customFormat="1" spans="1:9">
      <c r="A1222" s="91" t="str">
        <f t="shared" si="57"/>
        <v>Ru-112</v>
      </c>
      <c r="B1222" s="91" t="s">
        <v>1814</v>
      </c>
      <c r="C1222" s="91" t="s">
        <v>1786</v>
      </c>
      <c r="D1222" s="91">
        <v>44</v>
      </c>
      <c r="E1222" s="91">
        <v>112</v>
      </c>
      <c r="F1222" s="91">
        <v>0</v>
      </c>
      <c r="G1222" s="126">
        <v>0.396084103177111</v>
      </c>
      <c r="H1222" s="126">
        <f t="shared" si="58"/>
        <v>1.75</v>
      </c>
      <c r="I1222" s="126" t="str">
        <f t="shared" si="59"/>
        <v>0y 0d 0h 0m</v>
      </c>
    </row>
    <row r="1223" s="91" customFormat="1" spans="1:9">
      <c r="A1223" s="91" t="str">
        <f t="shared" si="57"/>
        <v>Ru-113</v>
      </c>
      <c r="B1223" s="91" t="s">
        <v>1815</v>
      </c>
      <c r="C1223" s="91" t="s">
        <v>1786</v>
      </c>
      <c r="D1223" s="91">
        <v>44</v>
      </c>
      <c r="E1223" s="91">
        <v>113</v>
      </c>
      <c r="F1223" s="91">
        <v>0</v>
      </c>
      <c r="G1223" s="126">
        <v>0.866433975699931</v>
      </c>
      <c r="H1223" s="126">
        <f t="shared" si="58"/>
        <v>0.800000000000001</v>
      </c>
      <c r="I1223" s="126" t="str">
        <f t="shared" si="59"/>
        <v>0y 0d 0h 0m</v>
      </c>
    </row>
    <row r="1224" s="91" customFormat="1" spans="1:9">
      <c r="A1224" s="91" t="str">
        <f t="shared" si="57"/>
        <v>Ru-113m</v>
      </c>
      <c r="B1224" s="91" t="s">
        <v>1816</v>
      </c>
      <c r="C1224" s="91" t="s">
        <v>1786</v>
      </c>
      <c r="D1224" s="91">
        <v>44</v>
      </c>
      <c r="E1224" s="91">
        <v>113</v>
      </c>
      <c r="F1224" s="91">
        <v>1</v>
      </c>
      <c r="G1224" s="126">
        <v>1.35911211874499</v>
      </c>
      <c r="H1224" s="126">
        <f t="shared" si="58"/>
        <v>0.51</v>
      </c>
      <c r="I1224" s="126" t="str">
        <f t="shared" si="59"/>
        <v>0y 0d 0h 0m</v>
      </c>
    </row>
    <row r="1225" s="91" customFormat="1" spans="1:9">
      <c r="A1225" s="91" t="str">
        <f t="shared" si="57"/>
        <v>Ru-114</v>
      </c>
      <c r="B1225" s="91" t="s">
        <v>1817</v>
      </c>
      <c r="C1225" s="91" t="s">
        <v>1786</v>
      </c>
      <c r="D1225" s="91">
        <v>44</v>
      </c>
      <c r="E1225" s="91">
        <v>114</v>
      </c>
      <c r="F1225" s="91">
        <v>0</v>
      </c>
      <c r="G1225" s="126">
        <v>1.33297534723066</v>
      </c>
      <c r="H1225" s="126">
        <f t="shared" si="58"/>
        <v>0.520000000000002</v>
      </c>
      <c r="I1225" s="126" t="str">
        <f t="shared" si="59"/>
        <v>0y 0d 0h 0m</v>
      </c>
    </row>
    <row r="1226" s="91" customFormat="1" spans="1:9">
      <c r="A1226" s="91" t="str">
        <f t="shared" si="57"/>
        <v>Ru-115</v>
      </c>
      <c r="B1226" s="91" t="s">
        <v>1818</v>
      </c>
      <c r="C1226" s="91" t="s">
        <v>1786</v>
      </c>
      <c r="D1226" s="91">
        <v>44</v>
      </c>
      <c r="E1226" s="91">
        <v>115</v>
      </c>
      <c r="F1226" s="91">
        <v>0</v>
      </c>
      <c r="G1226" s="126">
        <v>0.936685379135061</v>
      </c>
      <c r="H1226" s="126">
        <f t="shared" si="58"/>
        <v>0.74</v>
      </c>
      <c r="I1226" s="126" t="str">
        <f t="shared" si="59"/>
        <v>0y 0d 0h 0m</v>
      </c>
    </row>
    <row r="1227" s="91" customFormat="1" spans="1:9">
      <c r="A1227" s="91" t="str">
        <f t="shared" si="57"/>
        <v>Ru-116</v>
      </c>
      <c r="B1227" s="91" t="s">
        <v>1819</v>
      </c>
      <c r="C1227" s="91" t="s">
        <v>1786</v>
      </c>
      <c r="D1227" s="91">
        <v>44</v>
      </c>
      <c r="E1227" s="91">
        <v>116</v>
      </c>
      <c r="F1227" s="91">
        <v>0</v>
      </c>
      <c r="G1227" s="126">
        <v>3.39778029686247</v>
      </c>
      <c r="H1227" s="126">
        <f t="shared" si="58"/>
        <v>0.204</v>
      </c>
      <c r="I1227" s="126" t="str">
        <f t="shared" si="59"/>
        <v>0y 0d 0h 0m</v>
      </c>
    </row>
    <row r="1228" s="91" customFormat="1" spans="1:9">
      <c r="A1228" s="91" t="str">
        <f t="shared" si="57"/>
        <v>Ru-117</v>
      </c>
      <c r="B1228" s="91" t="s">
        <v>1820</v>
      </c>
      <c r="C1228" s="91" t="s">
        <v>1786</v>
      </c>
      <c r="D1228" s="91">
        <v>44</v>
      </c>
      <c r="E1228" s="91">
        <v>117</v>
      </c>
      <c r="F1228" s="91">
        <v>0</v>
      </c>
      <c r="G1228" s="126">
        <v>4.88131817295736</v>
      </c>
      <c r="H1228" s="126">
        <f t="shared" si="58"/>
        <v>0.142</v>
      </c>
      <c r="I1228" s="126" t="str">
        <f t="shared" si="59"/>
        <v>0y 0d 0h 0m</v>
      </c>
    </row>
    <row r="1229" s="91" customFormat="1" spans="1:9">
      <c r="A1229" s="91" t="str">
        <f t="shared" si="57"/>
        <v>Ru-118</v>
      </c>
      <c r="B1229" s="91" t="s">
        <v>1821</v>
      </c>
      <c r="C1229" s="91" t="s">
        <v>1786</v>
      </c>
      <c r="D1229" s="91">
        <v>44</v>
      </c>
      <c r="E1229" s="91">
        <v>118</v>
      </c>
      <c r="F1229" s="91">
        <v>0</v>
      </c>
      <c r="G1229" s="126">
        <v>5.63534293138166</v>
      </c>
      <c r="H1229" s="126">
        <f t="shared" si="58"/>
        <v>0.123</v>
      </c>
      <c r="I1229" s="126" t="str">
        <f t="shared" si="59"/>
        <v>0y 0d 0h 0m</v>
      </c>
    </row>
    <row r="1230" s="91" customFormat="1" spans="1:9">
      <c r="A1230" s="91" t="str">
        <f t="shared" si="57"/>
        <v>Ru-119</v>
      </c>
      <c r="B1230" s="91" t="s">
        <v>1822</v>
      </c>
      <c r="C1230" s="91" t="s">
        <v>1786</v>
      </c>
      <c r="D1230" s="91">
        <v>44</v>
      </c>
      <c r="E1230" s="91">
        <v>119</v>
      </c>
      <c r="F1230" s="91">
        <v>0</v>
      </c>
      <c r="G1230" s="126">
        <v>4.27868629975274</v>
      </c>
      <c r="H1230" s="126">
        <f t="shared" si="58"/>
        <v>0.162</v>
      </c>
      <c r="I1230" s="126" t="str">
        <f t="shared" si="59"/>
        <v>0y 0d 0h 0m</v>
      </c>
    </row>
    <row r="1231" s="91" customFormat="1" spans="1:9">
      <c r="A1231" s="91" t="str">
        <f t="shared" si="57"/>
        <v>Ru-120</v>
      </c>
      <c r="B1231" s="91" t="s">
        <v>1823</v>
      </c>
      <c r="C1231" s="91" t="s">
        <v>1786</v>
      </c>
      <c r="D1231" s="91">
        <v>44</v>
      </c>
      <c r="E1231" s="91">
        <v>120</v>
      </c>
      <c r="F1231" s="91">
        <v>0</v>
      </c>
      <c r="G1231" s="126">
        <v>4.65199450040231</v>
      </c>
      <c r="H1231" s="126">
        <f t="shared" si="58"/>
        <v>0.149</v>
      </c>
      <c r="I1231" s="126" t="str">
        <f t="shared" si="59"/>
        <v>0y 0d 0h 0m</v>
      </c>
    </row>
    <row r="1232" s="91" customFormat="1" spans="1:9">
      <c r="A1232" s="91" t="str">
        <f t="shared" si="57"/>
        <v>Rh-89</v>
      </c>
      <c r="B1232" s="91" t="s">
        <v>1824</v>
      </c>
      <c r="C1232" s="91" t="s">
        <v>1825</v>
      </c>
      <c r="D1232" s="91">
        <v>45</v>
      </c>
      <c r="E1232" s="91">
        <v>89</v>
      </c>
      <c r="F1232" s="91">
        <v>0</v>
      </c>
      <c r="G1232" s="126">
        <v>462098.120373296</v>
      </c>
      <c r="H1232" s="126">
        <f t="shared" si="58"/>
        <v>1.5e-6</v>
      </c>
      <c r="I1232" s="126" t="str">
        <f t="shared" si="59"/>
        <v>0y 0d 0h 0m</v>
      </c>
    </row>
    <row r="1233" s="91" customFormat="1" spans="1:9">
      <c r="A1233" s="91" t="str">
        <f t="shared" si="57"/>
        <v>Rh-90</v>
      </c>
      <c r="B1233" s="91" t="s">
        <v>1826</v>
      </c>
      <c r="C1233" s="91" t="s">
        <v>1825</v>
      </c>
      <c r="D1233" s="91">
        <v>45</v>
      </c>
      <c r="E1233" s="91">
        <v>90</v>
      </c>
      <c r="F1233" s="91">
        <v>0</v>
      </c>
      <c r="G1233" s="126">
        <v>47.8032538317203</v>
      </c>
      <c r="H1233" s="126">
        <f t="shared" si="58"/>
        <v>0.0145</v>
      </c>
      <c r="I1233" s="126" t="str">
        <f t="shared" si="59"/>
        <v>0y 0d 0h 0m</v>
      </c>
    </row>
    <row r="1234" s="91" customFormat="1" spans="1:9">
      <c r="A1234" s="91" t="str">
        <f t="shared" si="57"/>
        <v>Rh-90m</v>
      </c>
      <c r="B1234" s="91" t="s">
        <v>1827</v>
      </c>
      <c r="C1234" s="91" t="s">
        <v>1825</v>
      </c>
      <c r="D1234" s="91">
        <v>45</v>
      </c>
      <c r="E1234" s="91">
        <v>90</v>
      </c>
      <c r="F1234" s="91">
        <v>1</v>
      </c>
      <c r="G1234" s="126">
        <v>0.660140171961852</v>
      </c>
      <c r="H1234" s="126">
        <f t="shared" si="58"/>
        <v>1.05</v>
      </c>
      <c r="I1234" s="126" t="str">
        <f t="shared" si="59"/>
        <v>0y 0d 0h 0m</v>
      </c>
    </row>
    <row r="1235" s="91" customFormat="1" spans="1:9">
      <c r="A1235" s="91" t="str">
        <f t="shared" si="57"/>
        <v>Rh-91</v>
      </c>
      <c r="B1235" s="91" t="s">
        <v>1828</v>
      </c>
      <c r="C1235" s="91" t="s">
        <v>1825</v>
      </c>
      <c r="D1235" s="91">
        <v>45</v>
      </c>
      <c r="E1235" s="91">
        <v>91</v>
      </c>
      <c r="F1235" s="91">
        <v>0</v>
      </c>
      <c r="G1235" s="126">
        <v>0.471528694258466</v>
      </c>
      <c r="H1235" s="126">
        <f t="shared" si="58"/>
        <v>1.47</v>
      </c>
      <c r="I1235" s="126" t="str">
        <f t="shared" si="59"/>
        <v>0y 0d 0h 0m</v>
      </c>
    </row>
    <row r="1236" s="91" customFormat="1" spans="1:9">
      <c r="A1236" s="91" t="str">
        <f t="shared" si="57"/>
        <v>Rh-92</v>
      </c>
      <c r="B1236" s="91" t="s">
        <v>1829</v>
      </c>
      <c r="C1236" s="91" t="s">
        <v>1825</v>
      </c>
      <c r="D1236" s="91">
        <v>45</v>
      </c>
      <c r="E1236" s="91">
        <v>92</v>
      </c>
      <c r="F1236" s="91">
        <v>0</v>
      </c>
      <c r="G1236" s="126">
        <v>0.148744030163078</v>
      </c>
      <c r="H1236" s="126">
        <f t="shared" si="58"/>
        <v>4.66000000000001</v>
      </c>
      <c r="I1236" s="126" t="str">
        <f t="shared" si="59"/>
        <v>0y 0d 0h 0m</v>
      </c>
    </row>
    <row r="1237" s="91" customFormat="1" spans="1:9">
      <c r="A1237" s="91" t="str">
        <f t="shared" si="57"/>
        <v>Rh-93</v>
      </c>
      <c r="B1237" s="91" t="s">
        <v>1830</v>
      </c>
      <c r="C1237" s="91" t="s">
        <v>1825</v>
      </c>
      <c r="D1237" s="91">
        <v>45</v>
      </c>
      <c r="E1237" s="91">
        <v>93</v>
      </c>
      <c r="F1237" s="91">
        <v>0</v>
      </c>
      <c r="G1237" s="126">
        <v>0.0582476622319281</v>
      </c>
      <c r="H1237" s="126">
        <f t="shared" si="58"/>
        <v>11.9</v>
      </c>
      <c r="I1237" s="126" t="str">
        <f t="shared" si="59"/>
        <v>0y 0d 0h 0m</v>
      </c>
    </row>
    <row r="1238" s="91" customFormat="1" spans="1:9">
      <c r="A1238" s="91" t="str">
        <f t="shared" si="57"/>
        <v>Rh-94</v>
      </c>
      <c r="B1238" s="91" t="s">
        <v>1831</v>
      </c>
      <c r="C1238" s="91" t="s">
        <v>1825</v>
      </c>
      <c r="D1238" s="91">
        <v>45</v>
      </c>
      <c r="E1238" s="91">
        <v>94</v>
      </c>
      <c r="F1238" s="91">
        <v>0</v>
      </c>
      <c r="G1238" s="126">
        <v>0.0098179487331437</v>
      </c>
      <c r="H1238" s="126">
        <f t="shared" si="58"/>
        <v>70.6</v>
      </c>
      <c r="I1238" s="126" t="str">
        <f t="shared" si="59"/>
        <v>0y 0d 0h 1m</v>
      </c>
    </row>
    <row r="1239" s="91" customFormat="1" spans="1:9">
      <c r="A1239" s="91" t="str">
        <f t="shared" si="57"/>
        <v>Rh-94m</v>
      </c>
      <c r="B1239" s="91" t="s">
        <v>1832</v>
      </c>
      <c r="C1239" s="91" t="s">
        <v>1825</v>
      </c>
      <c r="D1239" s="91">
        <v>45</v>
      </c>
      <c r="E1239" s="91">
        <v>94</v>
      </c>
      <c r="F1239" s="91">
        <v>1</v>
      </c>
      <c r="G1239" s="126">
        <v>0.0268661697891451</v>
      </c>
      <c r="H1239" s="126">
        <f t="shared" si="58"/>
        <v>25.8000000000001</v>
      </c>
      <c r="I1239" s="126" t="str">
        <f t="shared" si="59"/>
        <v>0y 0d 0h 0m</v>
      </c>
    </row>
    <row r="1240" s="91" customFormat="1" spans="1:9">
      <c r="A1240" s="91" t="str">
        <f t="shared" si="57"/>
        <v>Rh-95</v>
      </c>
      <c r="B1240" s="91" t="s">
        <v>1833</v>
      </c>
      <c r="C1240" s="91" t="s">
        <v>1825</v>
      </c>
      <c r="D1240" s="91">
        <v>45</v>
      </c>
      <c r="E1240" s="91">
        <v>95</v>
      </c>
      <c r="F1240" s="91">
        <v>0</v>
      </c>
      <c r="G1240" s="126">
        <v>0.00230128546002637</v>
      </c>
      <c r="H1240" s="126">
        <f t="shared" si="58"/>
        <v>301.200000000001</v>
      </c>
      <c r="I1240" s="126" t="str">
        <f t="shared" si="59"/>
        <v>0y 0d 0h 5m</v>
      </c>
    </row>
    <row r="1241" s="91" customFormat="1" spans="1:9">
      <c r="A1241" s="91" t="str">
        <f t="shared" si="57"/>
        <v>Rh-95m</v>
      </c>
      <c r="B1241" s="91" t="s">
        <v>1834</v>
      </c>
      <c r="C1241" s="91" t="s">
        <v>1825</v>
      </c>
      <c r="D1241" s="91">
        <v>45</v>
      </c>
      <c r="E1241" s="91">
        <v>95</v>
      </c>
      <c r="F1241" s="91">
        <v>1</v>
      </c>
      <c r="G1241" s="126">
        <v>0.00589410867823082</v>
      </c>
      <c r="H1241" s="126">
        <f t="shared" si="58"/>
        <v>117.6</v>
      </c>
      <c r="I1241" s="126" t="str">
        <f t="shared" si="59"/>
        <v>0y 0d 0h 1m</v>
      </c>
    </row>
    <row r="1242" s="91" customFormat="1" spans="1:9">
      <c r="A1242" s="91" t="str">
        <f t="shared" si="57"/>
        <v>Rh-96</v>
      </c>
      <c r="B1242" s="91" t="s">
        <v>1835</v>
      </c>
      <c r="C1242" s="91" t="s">
        <v>1825</v>
      </c>
      <c r="D1242" s="91">
        <v>45</v>
      </c>
      <c r="E1242" s="91">
        <v>96</v>
      </c>
      <c r="F1242" s="91">
        <v>0</v>
      </c>
      <c r="G1242" s="126">
        <v>0.00116691444538711</v>
      </c>
      <c r="H1242" s="126">
        <f t="shared" si="58"/>
        <v>594.000000000002</v>
      </c>
      <c r="I1242" s="126" t="str">
        <f t="shared" si="59"/>
        <v>0y 0d 0h 9m</v>
      </c>
    </row>
    <row r="1243" s="91" customFormat="1" spans="1:9">
      <c r="A1243" s="91" t="str">
        <f t="shared" si="57"/>
        <v>Rh-96m</v>
      </c>
      <c r="B1243" s="91" t="s">
        <v>1836</v>
      </c>
      <c r="C1243" s="91" t="s">
        <v>1825</v>
      </c>
      <c r="D1243" s="91">
        <v>45</v>
      </c>
      <c r="E1243" s="91">
        <v>96</v>
      </c>
      <c r="F1243" s="91">
        <v>1</v>
      </c>
      <c r="G1243" s="126">
        <v>0.00765063113200822</v>
      </c>
      <c r="H1243" s="126">
        <f t="shared" si="58"/>
        <v>90.6000000000001</v>
      </c>
      <c r="I1243" s="126" t="str">
        <f t="shared" si="59"/>
        <v>0y 0d 0h 1m</v>
      </c>
    </row>
    <row r="1244" s="91" customFormat="1" spans="1:9">
      <c r="A1244" s="91" t="str">
        <f t="shared" si="57"/>
        <v>Rh-97</v>
      </c>
      <c r="B1244" s="91" t="s">
        <v>1837</v>
      </c>
      <c r="C1244" s="91" t="s">
        <v>1825</v>
      </c>
      <c r="D1244" s="91">
        <v>45</v>
      </c>
      <c r="E1244" s="91">
        <v>97</v>
      </c>
      <c r="F1244" s="91">
        <v>0</v>
      </c>
      <c r="G1244" s="126">
        <v>0.000376301400955453</v>
      </c>
      <c r="H1244" s="126">
        <f t="shared" si="58"/>
        <v>1842</v>
      </c>
      <c r="I1244" s="126" t="str">
        <f t="shared" si="59"/>
        <v>0y 0d 0h 30m</v>
      </c>
    </row>
    <row r="1245" s="91" customFormat="1" spans="1:9">
      <c r="A1245" s="91" t="str">
        <f t="shared" si="57"/>
        <v>Rh-97m</v>
      </c>
      <c r="B1245" s="91" t="s">
        <v>1838</v>
      </c>
      <c r="C1245" s="91" t="s">
        <v>1825</v>
      </c>
      <c r="D1245" s="91">
        <v>45</v>
      </c>
      <c r="E1245" s="91">
        <v>97</v>
      </c>
      <c r="F1245" s="91">
        <v>1</v>
      </c>
      <c r="G1245" s="126">
        <v>0.000250053095440095</v>
      </c>
      <c r="H1245" s="126">
        <f t="shared" si="58"/>
        <v>2772.00000000001</v>
      </c>
      <c r="I1245" s="126" t="str">
        <f t="shared" si="59"/>
        <v>0y 0d 0h 46m</v>
      </c>
    </row>
    <row r="1246" s="91" customFormat="1" spans="1:9">
      <c r="A1246" s="91" t="str">
        <f t="shared" si="57"/>
        <v>Rh-98</v>
      </c>
      <c r="B1246" s="91" t="s">
        <v>1839</v>
      </c>
      <c r="C1246" s="91" t="s">
        <v>1825</v>
      </c>
      <c r="D1246" s="91">
        <v>45</v>
      </c>
      <c r="E1246" s="91">
        <v>98</v>
      </c>
      <c r="F1246" s="91">
        <v>0</v>
      </c>
      <c r="G1246" s="126">
        <v>0.00132482259281335</v>
      </c>
      <c r="H1246" s="126">
        <f t="shared" si="58"/>
        <v>523.2</v>
      </c>
      <c r="I1246" s="126" t="str">
        <f t="shared" si="59"/>
        <v>0y 0d 0h 8m</v>
      </c>
    </row>
    <row r="1247" s="91" customFormat="1" spans="1:9">
      <c r="A1247" s="91" t="str">
        <f t="shared" si="57"/>
        <v>Rh-98m</v>
      </c>
      <c r="B1247" s="91" t="s">
        <v>1840</v>
      </c>
      <c r="C1247" s="91" t="s">
        <v>1825</v>
      </c>
      <c r="D1247" s="91">
        <v>45</v>
      </c>
      <c r="E1247" s="91">
        <v>98</v>
      </c>
      <c r="F1247" s="91">
        <v>1</v>
      </c>
      <c r="G1247" s="126">
        <v>0.00320901472481456</v>
      </c>
      <c r="H1247" s="126">
        <f t="shared" si="58"/>
        <v>216</v>
      </c>
      <c r="I1247" s="126" t="str">
        <f t="shared" si="59"/>
        <v>0y 0d 0h 3m</v>
      </c>
    </row>
    <row r="1248" s="91" customFormat="1" spans="1:9">
      <c r="A1248" s="91" t="str">
        <f t="shared" si="57"/>
        <v>Rh-99</v>
      </c>
      <c r="B1248" s="91" t="s">
        <v>1841</v>
      </c>
      <c r="C1248" s="91" t="s">
        <v>1825</v>
      </c>
      <c r="D1248" s="91">
        <v>45</v>
      </c>
      <c r="E1248" s="91">
        <v>99</v>
      </c>
      <c r="F1248" s="91">
        <v>0</v>
      </c>
      <c r="G1248" s="126">
        <v>4.98294211927726e-7</v>
      </c>
      <c r="H1248" s="126">
        <f t="shared" si="58"/>
        <v>1391040</v>
      </c>
      <c r="I1248" s="126" t="str">
        <f t="shared" si="59"/>
        <v>0y 16d 2h 24m</v>
      </c>
    </row>
    <row r="1249" s="91" customFormat="1" spans="1:9">
      <c r="A1249" s="91" t="str">
        <f t="shared" si="57"/>
        <v>Rh-99m</v>
      </c>
      <c r="B1249" s="91" t="s">
        <v>1842</v>
      </c>
      <c r="C1249" s="91" t="s">
        <v>1825</v>
      </c>
      <c r="D1249" s="91">
        <v>45</v>
      </c>
      <c r="E1249" s="91">
        <v>99</v>
      </c>
      <c r="F1249" s="91">
        <v>1</v>
      </c>
      <c r="G1249" s="126">
        <v>4.09661454231646e-5</v>
      </c>
      <c r="H1249" s="126">
        <f t="shared" si="58"/>
        <v>16920</v>
      </c>
      <c r="I1249" s="126" t="str">
        <f t="shared" si="59"/>
        <v>0y 0d 4h 42m</v>
      </c>
    </row>
    <row r="1250" s="91" customFormat="1" spans="1:9">
      <c r="A1250" s="91" t="str">
        <f t="shared" si="57"/>
        <v>Rh-100</v>
      </c>
      <c r="B1250" s="91" t="s">
        <v>1843</v>
      </c>
      <c r="C1250" s="91" t="s">
        <v>1825</v>
      </c>
      <c r="D1250" s="91">
        <v>45</v>
      </c>
      <c r="E1250" s="91">
        <v>100</v>
      </c>
      <c r="F1250" s="91">
        <v>0</v>
      </c>
      <c r="G1250" s="126">
        <v>9.25677324465738e-6</v>
      </c>
      <c r="H1250" s="126">
        <f t="shared" si="58"/>
        <v>74880.0000000001</v>
      </c>
      <c r="I1250" s="126" t="str">
        <f t="shared" si="59"/>
        <v>0y 0d 20h 48m</v>
      </c>
    </row>
    <row r="1251" s="91" customFormat="1" spans="1:9">
      <c r="A1251" s="91" t="str">
        <f t="shared" si="57"/>
        <v>Rh-100m</v>
      </c>
      <c r="B1251" s="91" t="s">
        <v>1844</v>
      </c>
      <c r="C1251" s="91" t="s">
        <v>1825</v>
      </c>
      <c r="D1251" s="91">
        <v>45</v>
      </c>
      <c r="E1251" s="91">
        <v>100</v>
      </c>
      <c r="F1251" s="91">
        <v>1</v>
      </c>
      <c r="G1251" s="126">
        <v>0.00251140282811574</v>
      </c>
      <c r="H1251" s="126">
        <f t="shared" si="58"/>
        <v>276</v>
      </c>
      <c r="I1251" s="126" t="str">
        <f t="shared" si="59"/>
        <v>0y 0d 0h 4m</v>
      </c>
    </row>
    <row r="1252" s="91" customFormat="1" spans="1:9">
      <c r="A1252" s="91" t="str">
        <f t="shared" si="57"/>
        <v>Rh-101</v>
      </c>
      <c r="B1252" s="91" t="s">
        <v>1845</v>
      </c>
      <c r="C1252" s="91" t="s">
        <v>1825</v>
      </c>
      <c r="D1252" s="91">
        <v>45</v>
      </c>
      <c r="E1252" s="91">
        <v>101</v>
      </c>
      <c r="F1252" s="91">
        <v>0</v>
      </c>
      <c r="G1252" s="126">
        <v>6.65591045677837e-9</v>
      </c>
      <c r="H1252" s="126">
        <f t="shared" si="58"/>
        <v>104140100</v>
      </c>
      <c r="I1252" s="126" t="str">
        <f t="shared" si="59"/>
        <v>3y 110d 7h 48m</v>
      </c>
    </row>
    <row r="1253" s="91" customFormat="1" spans="1:9">
      <c r="A1253" s="91" t="str">
        <f t="shared" si="57"/>
        <v>Rh-101m</v>
      </c>
      <c r="B1253" s="91" t="s">
        <v>1846</v>
      </c>
      <c r="C1253" s="91" t="s">
        <v>1825</v>
      </c>
      <c r="D1253" s="91">
        <v>45</v>
      </c>
      <c r="E1253" s="91">
        <v>101</v>
      </c>
      <c r="F1253" s="91">
        <v>1</v>
      </c>
      <c r="G1253" s="126">
        <v>1.8485107861835e-6</v>
      </c>
      <c r="H1253" s="126">
        <f t="shared" si="58"/>
        <v>374976.000000001</v>
      </c>
      <c r="I1253" s="126" t="str">
        <f t="shared" si="59"/>
        <v>0y 4d 8h 9m</v>
      </c>
    </row>
    <row r="1254" s="91" customFormat="1" spans="1:9">
      <c r="A1254" s="91" t="str">
        <f t="shared" si="57"/>
        <v>Rh-102</v>
      </c>
      <c r="B1254" s="91" t="s">
        <v>1847</v>
      </c>
      <c r="C1254" s="91" t="s">
        <v>1825</v>
      </c>
      <c r="D1254" s="91">
        <v>45</v>
      </c>
      <c r="E1254" s="91">
        <v>102</v>
      </c>
      <c r="F1254" s="91">
        <v>0</v>
      </c>
      <c r="G1254" s="126">
        <v>3.87001293392976e-8</v>
      </c>
      <c r="H1254" s="126">
        <f t="shared" si="58"/>
        <v>17910720</v>
      </c>
      <c r="I1254" s="126" t="str">
        <f t="shared" si="59"/>
        <v>0y 207d 7h 12m</v>
      </c>
    </row>
    <row r="1255" s="91" customFormat="1" spans="1:9">
      <c r="A1255" s="91" t="str">
        <f t="shared" si="57"/>
        <v>Rh-102m</v>
      </c>
      <c r="B1255" s="91" t="s">
        <v>1848</v>
      </c>
      <c r="C1255" s="91" t="s">
        <v>1825</v>
      </c>
      <c r="D1255" s="91">
        <v>45</v>
      </c>
      <c r="E1255" s="91">
        <v>102</v>
      </c>
      <c r="F1255" s="91">
        <v>1</v>
      </c>
      <c r="G1255" s="126">
        <v>5.86972635404755e-9</v>
      </c>
      <c r="H1255" s="126">
        <f t="shared" si="58"/>
        <v>118088500</v>
      </c>
      <c r="I1255" s="126" t="str">
        <f t="shared" si="59"/>
        <v>3y 271d 18h 21m</v>
      </c>
    </row>
    <row r="1256" s="91" customFormat="1" spans="1:9">
      <c r="A1256" s="91" t="str">
        <f t="shared" si="57"/>
        <v>Rh-103</v>
      </c>
      <c r="B1256" s="91" t="s">
        <v>1849</v>
      </c>
      <c r="C1256" s="91" t="s">
        <v>1825</v>
      </c>
      <c r="D1256" s="91">
        <v>45</v>
      </c>
      <c r="E1256" s="91">
        <v>103</v>
      </c>
      <c r="F1256" s="91">
        <v>0</v>
      </c>
      <c r="G1256" s="126">
        <v>0</v>
      </c>
      <c r="H1256" s="126">
        <f t="shared" si="58"/>
        <v>0</v>
      </c>
      <c r="I1256" s="126" t="str">
        <f t="shared" si="59"/>
        <v>0y 0d 0h 0m</v>
      </c>
    </row>
    <row r="1257" s="91" customFormat="1" spans="1:9">
      <c r="A1257" s="91" t="str">
        <f t="shared" si="57"/>
        <v>Rh-103m</v>
      </c>
      <c r="B1257" s="91" t="s">
        <v>1850</v>
      </c>
      <c r="C1257" s="91" t="s">
        <v>1825</v>
      </c>
      <c r="D1257" s="91">
        <v>45</v>
      </c>
      <c r="E1257" s="91">
        <v>103</v>
      </c>
      <c r="F1257" s="91">
        <v>1</v>
      </c>
      <c r="G1257" s="126">
        <v>0.000205874701666828</v>
      </c>
      <c r="H1257" s="126">
        <f t="shared" si="58"/>
        <v>3366.84000000001</v>
      </c>
      <c r="I1257" s="126" t="str">
        <f t="shared" si="59"/>
        <v>0y 0d 0h 56m</v>
      </c>
    </row>
    <row r="1258" s="91" customFormat="1" spans="1:9">
      <c r="A1258" s="91" t="str">
        <f t="shared" si="57"/>
        <v>Rh-104</v>
      </c>
      <c r="B1258" s="91" t="s">
        <v>1851</v>
      </c>
      <c r="C1258" s="91" t="s">
        <v>1825</v>
      </c>
      <c r="D1258" s="91">
        <v>45</v>
      </c>
      <c r="E1258" s="91">
        <v>104</v>
      </c>
      <c r="F1258" s="91">
        <v>0</v>
      </c>
      <c r="G1258" s="126">
        <v>0.0163864581692658</v>
      </c>
      <c r="H1258" s="126">
        <f t="shared" si="58"/>
        <v>42.3000000000001</v>
      </c>
      <c r="I1258" s="126" t="str">
        <f t="shared" si="59"/>
        <v>0y 0d 0h 0m</v>
      </c>
    </row>
    <row r="1259" s="91" customFormat="1" spans="1:9">
      <c r="A1259" s="91" t="str">
        <f t="shared" si="57"/>
        <v>Rh-104m</v>
      </c>
      <c r="B1259" s="91" t="s">
        <v>1852</v>
      </c>
      <c r="C1259" s="91" t="s">
        <v>1825</v>
      </c>
      <c r="D1259" s="91">
        <v>45</v>
      </c>
      <c r="E1259" s="91">
        <v>104</v>
      </c>
      <c r="F1259" s="91">
        <v>1</v>
      </c>
      <c r="G1259" s="126">
        <v>0.00266185553210424</v>
      </c>
      <c r="H1259" s="126">
        <f t="shared" si="58"/>
        <v>260.4</v>
      </c>
      <c r="I1259" s="126" t="str">
        <f t="shared" si="59"/>
        <v>0y 0d 0h 4m</v>
      </c>
    </row>
    <row r="1260" s="91" customFormat="1" spans="1:9">
      <c r="A1260" s="91" t="str">
        <f t="shared" si="57"/>
        <v>Rh-105</v>
      </c>
      <c r="B1260" s="91" t="s">
        <v>1853</v>
      </c>
      <c r="C1260" s="91" t="s">
        <v>1825</v>
      </c>
      <c r="D1260" s="91">
        <v>45</v>
      </c>
      <c r="E1260" s="91">
        <v>105</v>
      </c>
      <c r="F1260" s="91">
        <v>0</v>
      </c>
      <c r="G1260" s="126">
        <v>5.4451607321514e-6</v>
      </c>
      <c r="H1260" s="126">
        <f t="shared" si="58"/>
        <v>127296</v>
      </c>
      <c r="I1260" s="126" t="str">
        <f t="shared" si="59"/>
        <v>0y 1d 11h 21m</v>
      </c>
    </row>
    <row r="1261" s="91" customFormat="1" spans="1:9">
      <c r="A1261" s="91" t="str">
        <f t="shared" si="57"/>
        <v>Rh-105m</v>
      </c>
      <c r="B1261" s="91" t="s">
        <v>1854</v>
      </c>
      <c r="C1261" s="91" t="s">
        <v>1825</v>
      </c>
      <c r="D1261" s="91">
        <v>45</v>
      </c>
      <c r="E1261" s="91">
        <v>105</v>
      </c>
      <c r="F1261" s="91">
        <v>1</v>
      </c>
      <c r="G1261" s="126">
        <v>0.0173286795139986</v>
      </c>
      <c r="H1261" s="126">
        <f t="shared" si="58"/>
        <v>40.0000000000001</v>
      </c>
      <c r="I1261" s="126" t="str">
        <f t="shared" si="59"/>
        <v>0y 0d 0h 0m</v>
      </c>
    </row>
    <row r="1262" s="91" customFormat="1" spans="1:9">
      <c r="A1262" s="91" t="str">
        <f t="shared" si="57"/>
        <v>Rh-106</v>
      </c>
      <c r="B1262" s="91" t="s">
        <v>1855</v>
      </c>
      <c r="C1262" s="91" t="s">
        <v>1825</v>
      </c>
      <c r="D1262" s="91">
        <v>45</v>
      </c>
      <c r="E1262" s="91">
        <v>106</v>
      </c>
      <c r="F1262" s="91">
        <v>0</v>
      </c>
      <c r="G1262" s="126">
        <v>0.0230511200718305</v>
      </c>
      <c r="H1262" s="126">
        <f t="shared" si="58"/>
        <v>30.0700000000001</v>
      </c>
      <c r="I1262" s="126" t="str">
        <f t="shared" si="59"/>
        <v>0y 0d 0h 0m</v>
      </c>
    </row>
    <row r="1263" s="91" customFormat="1" spans="1:9">
      <c r="A1263" s="91" t="str">
        <f t="shared" si="57"/>
        <v>Rh-106m</v>
      </c>
      <c r="B1263" s="91" t="s">
        <v>1856</v>
      </c>
      <c r="C1263" s="91" t="s">
        <v>1825</v>
      </c>
      <c r="D1263" s="91">
        <v>45</v>
      </c>
      <c r="E1263" s="91">
        <v>106</v>
      </c>
      <c r="F1263" s="91">
        <v>1</v>
      </c>
      <c r="G1263" s="126">
        <v>8.81866641933772e-5</v>
      </c>
      <c r="H1263" s="126">
        <f t="shared" si="58"/>
        <v>7860.00000000001</v>
      </c>
      <c r="I1263" s="126" t="str">
        <f t="shared" si="59"/>
        <v>0y 0d 2h 11m</v>
      </c>
    </row>
    <row r="1264" s="91" customFormat="1" spans="1:9">
      <c r="A1264" s="91" t="str">
        <f t="shared" si="57"/>
        <v>Rh-107</v>
      </c>
      <c r="B1264" s="91" t="s">
        <v>1857</v>
      </c>
      <c r="C1264" s="91" t="s">
        <v>1825</v>
      </c>
      <c r="D1264" s="91">
        <v>45</v>
      </c>
      <c r="E1264" s="91">
        <v>107</v>
      </c>
      <c r="F1264" s="91">
        <v>0</v>
      </c>
      <c r="G1264" s="126">
        <v>0.000532371106420848</v>
      </c>
      <c r="H1264" s="126">
        <f t="shared" si="58"/>
        <v>1302</v>
      </c>
      <c r="I1264" s="126" t="str">
        <f t="shared" si="59"/>
        <v>0y 0d 0h 21m</v>
      </c>
    </row>
    <row r="1265" s="91" customFormat="1" spans="1:9">
      <c r="A1265" s="91" t="str">
        <f t="shared" si="57"/>
        <v>Rh-108</v>
      </c>
      <c r="B1265" s="91" t="s">
        <v>1858</v>
      </c>
      <c r="C1265" s="91" t="s">
        <v>1825</v>
      </c>
      <c r="D1265" s="91">
        <v>45</v>
      </c>
      <c r="E1265" s="91">
        <v>108</v>
      </c>
      <c r="F1265" s="91">
        <v>0</v>
      </c>
      <c r="G1265" s="126">
        <v>0.0412587607476157</v>
      </c>
      <c r="H1265" s="126">
        <f t="shared" si="58"/>
        <v>16.8</v>
      </c>
      <c r="I1265" s="126" t="str">
        <f t="shared" si="59"/>
        <v>0y 0d 0h 0m</v>
      </c>
    </row>
    <row r="1266" s="91" customFormat="1" spans="1:9">
      <c r="A1266" s="91" t="str">
        <f t="shared" si="57"/>
        <v>Rh-108m</v>
      </c>
      <c r="B1266" s="91" t="s">
        <v>1859</v>
      </c>
      <c r="C1266" s="91" t="s">
        <v>1825</v>
      </c>
      <c r="D1266" s="91">
        <v>45</v>
      </c>
      <c r="E1266" s="91">
        <v>108</v>
      </c>
      <c r="F1266" s="91">
        <v>1</v>
      </c>
      <c r="G1266" s="126">
        <v>0.00192540883488873</v>
      </c>
      <c r="H1266" s="126">
        <f t="shared" si="58"/>
        <v>360.000000000001</v>
      </c>
      <c r="I1266" s="126" t="str">
        <f t="shared" si="59"/>
        <v>0y 0d 0h 6m</v>
      </c>
    </row>
    <row r="1267" s="91" customFormat="1" spans="1:9">
      <c r="A1267" s="91" t="str">
        <f t="shared" si="57"/>
        <v>Rh-109</v>
      </c>
      <c r="B1267" s="91" t="s">
        <v>1860</v>
      </c>
      <c r="C1267" s="91" t="s">
        <v>1825</v>
      </c>
      <c r="D1267" s="91">
        <v>45</v>
      </c>
      <c r="E1267" s="91">
        <v>109</v>
      </c>
      <c r="F1267" s="91">
        <v>0</v>
      </c>
      <c r="G1267" s="126">
        <v>0.00866433975699931</v>
      </c>
      <c r="H1267" s="126">
        <f t="shared" si="58"/>
        <v>80.0000000000001</v>
      </c>
      <c r="I1267" s="126" t="str">
        <f t="shared" si="59"/>
        <v>0y 0d 0h 1m</v>
      </c>
    </row>
    <row r="1268" s="91" customFormat="1" spans="1:9">
      <c r="A1268" s="91" t="str">
        <f t="shared" si="57"/>
        <v>Rh-110</v>
      </c>
      <c r="B1268" s="91" t="s">
        <v>1861</v>
      </c>
      <c r="C1268" s="91" t="s">
        <v>1825</v>
      </c>
      <c r="D1268" s="91">
        <v>45</v>
      </c>
      <c r="E1268" s="91">
        <v>110</v>
      </c>
      <c r="F1268" s="91">
        <v>0</v>
      </c>
      <c r="G1268" s="126">
        <v>0.216608493924982</v>
      </c>
      <c r="H1268" s="126">
        <f t="shared" si="58"/>
        <v>3.20000000000001</v>
      </c>
      <c r="I1268" s="126" t="str">
        <f t="shared" si="59"/>
        <v>0y 0d 0h 0m</v>
      </c>
    </row>
    <row r="1269" s="91" customFormat="1" spans="1:9">
      <c r="A1269" s="91" t="str">
        <f t="shared" si="57"/>
        <v>Rh-110m</v>
      </c>
      <c r="B1269" s="91" t="s">
        <v>1862</v>
      </c>
      <c r="C1269" s="91" t="s">
        <v>1825</v>
      </c>
      <c r="D1269" s="91">
        <v>45</v>
      </c>
      <c r="E1269" s="91">
        <v>110</v>
      </c>
      <c r="F1269" s="91">
        <v>1</v>
      </c>
      <c r="G1269" s="126">
        <v>0.0243209537038577</v>
      </c>
      <c r="H1269" s="126">
        <f t="shared" si="58"/>
        <v>28.5</v>
      </c>
      <c r="I1269" s="126" t="str">
        <f t="shared" si="59"/>
        <v>0y 0d 0h 0m</v>
      </c>
    </row>
    <row r="1270" s="91" customFormat="1" spans="1:9">
      <c r="A1270" s="91" t="str">
        <f t="shared" si="57"/>
        <v>Rh-111</v>
      </c>
      <c r="B1270" s="91" t="s">
        <v>1863</v>
      </c>
      <c r="C1270" s="91" t="s">
        <v>1825</v>
      </c>
      <c r="D1270" s="91">
        <v>45</v>
      </c>
      <c r="E1270" s="91">
        <v>111</v>
      </c>
      <c r="F1270" s="91">
        <v>0</v>
      </c>
      <c r="G1270" s="126">
        <v>0.0630133800509041</v>
      </c>
      <c r="H1270" s="126">
        <f t="shared" si="58"/>
        <v>11</v>
      </c>
      <c r="I1270" s="126" t="str">
        <f t="shared" si="59"/>
        <v>0y 0d 0h 0m</v>
      </c>
    </row>
    <row r="1271" s="91" customFormat="1" spans="1:9">
      <c r="A1271" s="91" t="str">
        <f t="shared" si="57"/>
        <v>Rh-112</v>
      </c>
      <c r="B1271" s="91" t="s">
        <v>1864</v>
      </c>
      <c r="C1271" s="91" t="s">
        <v>1825</v>
      </c>
      <c r="D1271" s="91">
        <v>45</v>
      </c>
      <c r="E1271" s="91">
        <v>112</v>
      </c>
      <c r="F1271" s="91">
        <v>0</v>
      </c>
      <c r="G1271" s="126">
        <v>0.330070085980926</v>
      </c>
      <c r="H1271" s="126">
        <f t="shared" si="58"/>
        <v>2.1</v>
      </c>
      <c r="I1271" s="126" t="str">
        <f t="shared" si="59"/>
        <v>0y 0d 0h 0m</v>
      </c>
    </row>
    <row r="1272" s="91" customFormat="1" spans="1:9">
      <c r="A1272" s="91" t="str">
        <f t="shared" si="57"/>
        <v>Rh-112m</v>
      </c>
      <c r="B1272" s="91" t="s">
        <v>1865</v>
      </c>
      <c r="C1272" s="91" t="s">
        <v>1825</v>
      </c>
      <c r="D1272" s="91">
        <v>45</v>
      </c>
      <c r="E1272" s="91">
        <v>112</v>
      </c>
      <c r="F1272" s="91">
        <v>1</v>
      </c>
      <c r="G1272" s="126">
        <v>0.10299363752748</v>
      </c>
      <c r="H1272" s="126">
        <f t="shared" si="58"/>
        <v>6.73000000000005</v>
      </c>
      <c r="I1272" s="126" t="str">
        <f t="shared" si="59"/>
        <v>0y 0d 0h 0m</v>
      </c>
    </row>
    <row r="1273" s="91" customFormat="1" spans="1:9">
      <c r="A1273" s="91" t="str">
        <f t="shared" si="57"/>
        <v>Rh-113</v>
      </c>
      <c r="B1273" s="91" t="s">
        <v>1866</v>
      </c>
      <c r="C1273" s="91" t="s">
        <v>1825</v>
      </c>
      <c r="D1273" s="91">
        <v>45</v>
      </c>
      <c r="E1273" s="91">
        <v>113</v>
      </c>
      <c r="F1273" s="91">
        <v>0</v>
      </c>
      <c r="G1273" s="126">
        <v>0.247552564485694</v>
      </c>
      <c r="H1273" s="126">
        <f t="shared" si="58"/>
        <v>2.80000000000001</v>
      </c>
      <c r="I1273" s="126" t="str">
        <f t="shared" si="59"/>
        <v>0y 0d 0h 0m</v>
      </c>
    </row>
    <row r="1274" s="91" customFormat="1" spans="1:9">
      <c r="A1274" s="91" t="str">
        <f t="shared" si="57"/>
        <v>Rh-114</v>
      </c>
      <c r="B1274" s="91" t="s">
        <v>1867</v>
      </c>
      <c r="C1274" s="91" t="s">
        <v>1825</v>
      </c>
      <c r="D1274" s="91">
        <v>45</v>
      </c>
      <c r="E1274" s="91">
        <v>114</v>
      </c>
      <c r="F1274" s="91">
        <v>0</v>
      </c>
      <c r="G1274" s="126">
        <v>0.374674151654024</v>
      </c>
      <c r="H1274" s="126">
        <f t="shared" si="58"/>
        <v>1.85</v>
      </c>
      <c r="I1274" s="126" t="str">
        <f t="shared" si="59"/>
        <v>0y 0d 0h 0m</v>
      </c>
    </row>
    <row r="1275" s="91" customFormat="1" spans="1:9">
      <c r="A1275" s="91" t="str">
        <f t="shared" si="57"/>
        <v>Rh-115</v>
      </c>
      <c r="B1275" s="91" t="s">
        <v>1868</v>
      </c>
      <c r="C1275" s="91" t="s">
        <v>1825</v>
      </c>
      <c r="D1275" s="91">
        <v>45</v>
      </c>
      <c r="E1275" s="91">
        <v>115</v>
      </c>
      <c r="F1275" s="91">
        <v>0</v>
      </c>
      <c r="G1275" s="126">
        <v>0.700148667232268</v>
      </c>
      <c r="H1275" s="126">
        <f t="shared" si="58"/>
        <v>0.99</v>
      </c>
      <c r="I1275" s="126" t="str">
        <f t="shared" si="59"/>
        <v>0y 0d 0h 0m</v>
      </c>
    </row>
    <row r="1276" s="91" customFormat="1" spans="1:9">
      <c r="A1276" s="91" t="str">
        <f t="shared" si="57"/>
        <v>Rh-116</v>
      </c>
      <c r="B1276" s="91" t="s">
        <v>1869</v>
      </c>
      <c r="C1276" s="91" t="s">
        <v>1825</v>
      </c>
      <c r="D1276" s="91">
        <v>45</v>
      </c>
      <c r="E1276" s="91">
        <v>116</v>
      </c>
      <c r="F1276" s="91">
        <v>0</v>
      </c>
      <c r="G1276" s="126">
        <v>1.01933408905874</v>
      </c>
      <c r="H1276" s="126">
        <f t="shared" si="58"/>
        <v>0.680000000000002</v>
      </c>
      <c r="I1276" s="126" t="str">
        <f t="shared" si="59"/>
        <v>0y 0d 0h 0m</v>
      </c>
    </row>
    <row r="1277" s="91" customFormat="1" spans="1:9">
      <c r="A1277" s="91" t="str">
        <f t="shared" si="57"/>
        <v>Rh-116m</v>
      </c>
      <c r="B1277" s="91" t="s">
        <v>1870</v>
      </c>
      <c r="C1277" s="91" t="s">
        <v>1825</v>
      </c>
      <c r="D1277" s="91">
        <v>45</v>
      </c>
      <c r="E1277" s="91">
        <v>116</v>
      </c>
      <c r="F1277" s="91">
        <v>1</v>
      </c>
      <c r="G1277" s="126">
        <v>1.21604768519288</v>
      </c>
      <c r="H1277" s="126">
        <f t="shared" si="58"/>
        <v>0.570000000000003</v>
      </c>
      <c r="I1277" s="126" t="str">
        <f t="shared" si="59"/>
        <v>0y 0d 0h 0m</v>
      </c>
    </row>
    <row r="1278" s="91" customFormat="1" spans="1:9">
      <c r="A1278" s="91" t="str">
        <f t="shared" si="57"/>
        <v>Rh-117</v>
      </c>
      <c r="B1278" s="91" t="s">
        <v>1871</v>
      </c>
      <c r="C1278" s="91" t="s">
        <v>1825</v>
      </c>
      <c r="D1278" s="91">
        <v>45</v>
      </c>
      <c r="E1278" s="91">
        <v>117</v>
      </c>
      <c r="F1278" s="91">
        <v>0</v>
      </c>
      <c r="G1278" s="126">
        <v>1.5753345012726</v>
      </c>
      <c r="H1278" s="126">
        <f t="shared" si="58"/>
        <v>0.440000000000001</v>
      </c>
      <c r="I1278" s="126" t="str">
        <f t="shared" si="59"/>
        <v>0y 0d 0h 0m</v>
      </c>
    </row>
    <row r="1279" s="91" customFormat="1" spans="1:9">
      <c r="A1279" s="91" t="str">
        <f t="shared" si="57"/>
        <v>Rh-118</v>
      </c>
      <c r="B1279" s="91" t="s">
        <v>1872</v>
      </c>
      <c r="C1279" s="91" t="s">
        <v>1825</v>
      </c>
      <c r="D1279" s="91">
        <v>45</v>
      </c>
      <c r="E1279" s="91">
        <v>118</v>
      </c>
      <c r="F1279" s="91">
        <v>0</v>
      </c>
      <c r="G1279" s="126">
        <v>2.60581646827047</v>
      </c>
      <c r="H1279" s="126">
        <f t="shared" si="58"/>
        <v>0.266</v>
      </c>
      <c r="I1279" s="126" t="str">
        <f t="shared" si="59"/>
        <v>0y 0d 0h 0m</v>
      </c>
    </row>
    <row r="1280" s="91" customFormat="1" spans="1:9">
      <c r="A1280" s="91" t="str">
        <f t="shared" si="57"/>
        <v>Rh-119</v>
      </c>
      <c r="B1280" s="91" t="s">
        <v>1873</v>
      </c>
      <c r="C1280" s="91" t="s">
        <v>1825</v>
      </c>
      <c r="D1280" s="91">
        <v>45</v>
      </c>
      <c r="E1280" s="91">
        <v>119</v>
      </c>
      <c r="F1280" s="91">
        <v>0</v>
      </c>
      <c r="G1280" s="126">
        <v>4.05349228397628</v>
      </c>
      <c r="H1280" s="126">
        <f t="shared" si="58"/>
        <v>0.171</v>
      </c>
      <c r="I1280" s="126" t="str">
        <f t="shared" si="59"/>
        <v>0y 0d 0h 0m</v>
      </c>
    </row>
    <row r="1281" s="91" customFormat="1" spans="1:9">
      <c r="A1281" s="91" t="str">
        <f t="shared" si="57"/>
        <v>Rh-120</v>
      </c>
      <c r="B1281" s="91" t="s">
        <v>1874</v>
      </c>
      <c r="C1281" s="91" t="s">
        <v>1825</v>
      </c>
      <c r="D1281" s="91">
        <v>45</v>
      </c>
      <c r="E1281" s="91">
        <v>120</v>
      </c>
      <c r="F1281" s="91">
        <v>0</v>
      </c>
      <c r="G1281" s="126">
        <v>5.09667044529371</v>
      </c>
      <c r="H1281" s="126">
        <f t="shared" si="58"/>
        <v>0.136</v>
      </c>
      <c r="I1281" s="126" t="str">
        <f t="shared" si="59"/>
        <v>0y 0d 0h 0m</v>
      </c>
    </row>
    <row r="1282" s="91" customFormat="1" spans="1:9">
      <c r="A1282" s="91" t="str">
        <f t="shared" ref="A1282:A1345" si="60">C1282&amp;"-"&amp;E1282&amp;_xlfn.IFS(F1282=0,"",F1282=1,"m",F1282&gt;1,"m"&amp;F1282)</f>
        <v>Rh-121</v>
      </c>
      <c r="B1282" s="91" t="s">
        <v>1875</v>
      </c>
      <c r="C1282" s="91" t="s">
        <v>1825</v>
      </c>
      <c r="D1282" s="91">
        <v>45</v>
      </c>
      <c r="E1282" s="91">
        <v>121</v>
      </c>
      <c r="F1282" s="91">
        <v>0</v>
      </c>
      <c r="G1282" s="126">
        <v>4.59037867920493</v>
      </c>
      <c r="H1282" s="126">
        <f t="shared" ref="H1282:H1345" si="61">IF(G1282&gt;0,LN(2)/G1282,0)</f>
        <v>0.151</v>
      </c>
      <c r="I1282" s="126" t="str">
        <f t="shared" si="59"/>
        <v>0y 0d 0h 0m</v>
      </c>
    </row>
    <row r="1283" s="91" customFormat="1" spans="1:9">
      <c r="A1283" s="91" t="str">
        <f t="shared" si="60"/>
        <v>Rh-122</v>
      </c>
      <c r="B1283" s="91" t="s">
        <v>1876</v>
      </c>
      <c r="C1283" s="91" t="s">
        <v>1825</v>
      </c>
      <c r="D1283" s="91">
        <v>45</v>
      </c>
      <c r="E1283" s="91">
        <v>122</v>
      </c>
      <c r="F1283" s="91">
        <v>0</v>
      </c>
      <c r="G1283" s="126">
        <v>6.41802944962912</v>
      </c>
      <c r="H1283" s="126">
        <f t="shared" si="61"/>
        <v>0.108</v>
      </c>
      <c r="I1283" s="126" t="str">
        <f t="shared" ref="I1283:I1346" si="62">INT(H1283/31536000)&amp;"y "&amp;INT(MOD(H1283,31536000)/86400)&amp;"d "&amp;INT(MOD(MOD(H1283,31536000),86400)/3600)&amp;"h "&amp;INT(MOD(MOD(MOD(H1283,31536000),86400),3600)/60)&amp;"m"</f>
        <v>0y 0d 0h 0m</v>
      </c>
    </row>
    <row r="1284" s="91" customFormat="1" spans="1:9">
      <c r="A1284" s="91" t="str">
        <f t="shared" si="60"/>
        <v>Rh-123</v>
      </c>
      <c r="B1284" s="91" t="s">
        <v>1877</v>
      </c>
      <c r="C1284" s="91" t="s">
        <v>1825</v>
      </c>
      <c r="D1284" s="91">
        <v>45</v>
      </c>
      <c r="E1284" s="91">
        <v>123</v>
      </c>
      <c r="F1284" s="91">
        <v>0</v>
      </c>
      <c r="G1284" s="126">
        <v>14.174788968506</v>
      </c>
      <c r="H1284" s="126">
        <f t="shared" si="61"/>
        <v>0.0489000000000001</v>
      </c>
      <c r="I1284" s="126" t="str">
        <f t="shared" si="62"/>
        <v>0y 0d 0h 0m</v>
      </c>
    </row>
    <row r="1285" s="91" customFormat="1" spans="1:9">
      <c r="A1285" s="91" t="str">
        <f t="shared" si="60"/>
        <v>Pd-91</v>
      </c>
      <c r="B1285" s="91" t="s">
        <v>1878</v>
      </c>
      <c r="C1285" s="91" t="s">
        <v>1879</v>
      </c>
      <c r="D1285" s="91">
        <v>46</v>
      </c>
      <c r="E1285" s="91">
        <v>91</v>
      </c>
      <c r="F1285" s="91">
        <v>0</v>
      </c>
      <c r="G1285" s="126">
        <v>693147.180559945</v>
      </c>
      <c r="H1285" s="126">
        <f t="shared" si="61"/>
        <v>1e-6</v>
      </c>
      <c r="I1285" s="126" t="str">
        <f t="shared" si="62"/>
        <v>0y 0d 0h 0m</v>
      </c>
    </row>
    <row r="1286" s="91" customFormat="1" spans="1:9">
      <c r="A1286" s="91" t="str">
        <f t="shared" si="60"/>
        <v>Pd-92</v>
      </c>
      <c r="B1286" s="91" t="s">
        <v>1880</v>
      </c>
      <c r="C1286" s="91" t="s">
        <v>1879</v>
      </c>
      <c r="D1286" s="91">
        <v>46</v>
      </c>
      <c r="E1286" s="91">
        <v>92</v>
      </c>
      <c r="F1286" s="91">
        <v>0</v>
      </c>
      <c r="G1286" s="126">
        <v>0.866433975699931</v>
      </c>
      <c r="H1286" s="126">
        <f t="shared" si="61"/>
        <v>0.800000000000001</v>
      </c>
      <c r="I1286" s="126" t="str">
        <f t="shared" si="62"/>
        <v>0y 0d 0h 0m</v>
      </c>
    </row>
    <row r="1287" s="91" customFormat="1" spans="1:9">
      <c r="A1287" s="91" t="str">
        <f t="shared" si="60"/>
        <v>Pd-93</v>
      </c>
      <c r="B1287" s="91" t="s">
        <v>1881</v>
      </c>
      <c r="C1287" s="91" t="s">
        <v>1879</v>
      </c>
      <c r="D1287" s="91">
        <v>46</v>
      </c>
      <c r="E1287" s="91">
        <v>93</v>
      </c>
      <c r="F1287" s="91">
        <v>0</v>
      </c>
      <c r="G1287" s="126">
        <v>0.533190138892265</v>
      </c>
      <c r="H1287" s="126">
        <f t="shared" si="61"/>
        <v>1.3</v>
      </c>
      <c r="I1287" s="126" t="str">
        <f t="shared" si="62"/>
        <v>0y 0d 0h 0m</v>
      </c>
    </row>
    <row r="1288" s="91" customFormat="1" spans="1:9">
      <c r="A1288" s="91" t="str">
        <f t="shared" si="60"/>
        <v>Pd-94</v>
      </c>
      <c r="B1288" s="91" t="s">
        <v>1882</v>
      </c>
      <c r="C1288" s="91" t="s">
        <v>1879</v>
      </c>
      <c r="D1288" s="91">
        <v>46</v>
      </c>
      <c r="E1288" s="91">
        <v>94</v>
      </c>
      <c r="F1288" s="91">
        <v>0</v>
      </c>
      <c r="G1288" s="126">
        <v>0.0770163533955494</v>
      </c>
      <c r="H1288" s="126">
        <f t="shared" si="61"/>
        <v>9.00000000000001</v>
      </c>
      <c r="I1288" s="126" t="str">
        <f t="shared" si="62"/>
        <v>0y 0d 0h 0m</v>
      </c>
    </row>
    <row r="1289" s="91" customFormat="1" spans="1:9">
      <c r="A1289" s="91" t="str">
        <f t="shared" si="60"/>
        <v>Pd-95</v>
      </c>
      <c r="B1289" s="91" t="s">
        <v>1883</v>
      </c>
      <c r="C1289" s="91" t="s">
        <v>1879</v>
      </c>
      <c r="D1289" s="91">
        <v>46</v>
      </c>
      <c r="E1289" s="91">
        <v>95</v>
      </c>
      <c r="F1289" s="91">
        <v>0</v>
      </c>
      <c r="G1289" s="126">
        <v>0.0693147180559945</v>
      </c>
      <c r="H1289" s="126">
        <f t="shared" si="61"/>
        <v>10</v>
      </c>
      <c r="I1289" s="126" t="str">
        <f t="shared" si="62"/>
        <v>0y 0d 0h 0m</v>
      </c>
    </row>
    <row r="1290" s="91" customFormat="1" spans="1:9">
      <c r="A1290" s="91" t="str">
        <f t="shared" si="60"/>
        <v>Pd-95m</v>
      </c>
      <c r="B1290" s="91" t="s">
        <v>1884</v>
      </c>
      <c r="C1290" s="91" t="s">
        <v>1879</v>
      </c>
      <c r="D1290" s="91">
        <v>46</v>
      </c>
      <c r="E1290" s="91">
        <v>95</v>
      </c>
      <c r="F1290" s="91">
        <v>1</v>
      </c>
      <c r="G1290" s="126">
        <v>0.0521163293654094</v>
      </c>
      <c r="H1290" s="126">
        <f t="shared" si="61"/>
        <v>13.3</v>
      </c>
      <c r="I1290" s="126" t="str">
        <f t="shared" si="62"/>
        <v>0y 0d 0h 0m</v>
      </c>
    </row>
    <row r="1291" s="91" customFormat="1" spans="1:9">
      <c r="A1291" s="91" t="str">
        <f t="shared" si="60"/>
        <v>Pd-96</v>
      </c>
      <c r="B1291" s="91" t="s">
        <v>1885</v>
      </c>
      <c r="C1291" s="91" t="s">
        <v>1879</v>
      </c>
      <c r="D1291" s="91">
        <v>46</v>
      </c>
      <c r="E1291" s="91">
        <v>96</v>
      </c>
      <c r="F1291" s="91">
        <v>0</v>
      </c>
      <c r="G1291" s="126">
        <v>0.00568153426688479</v>
      </c>
      <c r="H1291" s="126">
        <f t="shared" si="61"/>
        <v>122</v>
      </c>
      <c r="I1291" s="126" t="str">
        <f t="shared" si="62"/>
        <v>0y 0d 0h 2m</v>
      </c>
    </row>
    <row r="1292" s="91" customFormat="1" spans="1:9">
      <c r="A1292" s="91" t="str">
        <f t="shared" si="60"/>
        <v>Pd-97</v>
      </c>
      <c r="B1292" s="91" t="s">
        <v>1886</v>
      </c>
      <c r="C1292" s="91" t="s">
        <v>1879</v>
      </c>
      <c r="D1292" s="91">
        <v>46</v>
      </c>
      <c r="E1292" s="91">
        <v>97</v>
      </c>
      <c r="F1292" s="91">
        <v>0</v>
      </c>
      <c r="G1292" s="126">
        <v>0.00372659774494594</v>
      </c>
      <c r="H1292" s="126">
        <f t="shared" si="61"/>
        <v>186</v>
      </c>
      <c r="I1292" s="126" t="str">
        <f t="shared" si="62"/>
        <v>0y 0d 0h 3m</v>
      </c>
    </row>
    <row r="1293" s="91" customFormat="1" spans="1:9">
      <c r="A1293" s="91" t="str">
        <f t="shared" si="60"/>
        <v>Pd-98</v>
      </c>
      <c r="B1293" s="91" t="s">
        <v>1887</v>
      </c>
      <c r="C1293" s="91" t="s">
        <v>1879</v>
      </c>
      <c r="D1293" s="91">
        <v>46</v>
      </c>
      <c r="E1293" s="91">
        <v>98</v>
      </c>
      <c r="F1293" s="91">
        <v>0</v>
      </c>
      <c r="G1293" s="126">
        <v>0.000652680960979232</v>
      </c>
      <c r="H1293" s="126">
        <f t="shared" si="61"/>
        <v>1062</v>
      </c>
      <c r="I1293" s="126" t="str">
        <f t="shared" si="62"/>
        <v>0y 0d 0h 17m</v>
      </c>
    </row>
    <row r="1294" s="91" customFormat="1" spans="1:9">
      <c r="A1294" s="91" t="str">
        <f t="shared" si="60"/>
        <v>Pd-99</v>
      </c>
      <c r="B1294" s="91" t="s">
        <v>1888</v>
      </c>
      <c r="C1294" s="91" t="s">
        <v>1879</v>
      </c>
      <c r="D1294" s="91">
        <v>46</v>
      </c>
      <c r="E1294" s="91">
        <v>99</v>
      </c>
      <c r="F1294" s="91">
        <v>0</v>
      </c>
      <c r="G1294" s="126">
        <v>0.000539834252772543</v>
      </c>
      <c r="H1294" s="126">
        <f t="shared" si="61"/>
        <v>1284</v>
      </c>
      <c r="I1294" s="126" t="str">
        <f t="shared" si="62"/>
        <v>0y 0d 0h 21m</v>
      </c>
    </row>
    <row r="1295" s="91" customFormat="1" spans="1:9">
      <c r="A1295" s="91" t="str">
        <f t="shared" si="60"/>
        <v>Pd-100</v>
      </c>
      <c r="B1295" s="91" t="s">
        <v>1889</v>
      </c>
      <c r="C1295" s="91" t="s">
        <v>1879</v>
      </c>
      <c r="D1295" s="91">
        <v>46</v>
      </c>
      <c r="E1295" s="91">
        <v>100</v>
      </c>
      <c r="F1295" s="91">
        <v>0</v>
      </c>
      <c r="G1295" s="126">
        <v>2.21006523747559e-6</v>
      </c>
      <c r="H1295" s="126">
        <f t="shared" si="61"/>
        <v>313632</v>
      </c>
      <c r="I1295" s="126" t="str">
        <f t="shared" si="62"/>
        <v>0y 3d 15h 7m</v>
      </c>
    </row>
    <row r="1296" s="91" customFormat="1" spans="1:9">
      <c r="A1296" s="91" t="str">
        <f t="shared" si="60"/>
        <v>Pd-101</v>
      </c>
      <c r="B1296" s="91" t="s">
        <v>1890</v>
      </c>
      <c r="C1296" s="91" t="s">
        <v>1879</v>
      </c>
      <c r="D1296" s="91">
        <v>46</v>
      </c>
      <c r="E1296" s="91">
        <v>101</v>
      </c>
      <c r="F1296" s="91">
        <v>0</v>
      </c>
      <c r="G1296" s="126">
        <v>2.27320995854632e-5</v>
      </c>
      <c r="H1296" s="126">
        <f t="shared" si="61"/>
        <v>30492.0000000001</v>
      </c>
      <c r="I1296" s="126" t="str">
        <f t="shared" si="62"/>
        <v>0y 0d 8h 28m</v>
      </c>
    </row>
    <row r="1297" s="91" customFormat="1" spans="1:9">
      <c r="A1297" s="91" t="str">
        <f t="shared" si="60"/>
        <v>Pd-102</v>
      </c>
      <c r="B1297" s="91" t="s">
        <v>1891</v>
      </c>
      <c r="C1297" s="91" t="s">
        <v>1879</v>
      </c>
      <c r="D1297" s="91">
        <v>46</v>
      </c>
      <c r="E1297" s="91">
        <v>102</v>
      </c>
      <c r="F1297" s="91">
        <v>0</v>
      </c>
      <c r="G1297" s="126">
        <v>0</v>
      </c>
      <c r="H1297" s="126">
        <f t="shared" si="61"/>
        <v>0</v>
      </c>
      <c r="I1297" s="126" t="str">
        <f t="shared" si="62"/>
        <v>0y 0d 0h 0m</v>
      </c>
    </row>
    <row r="1298" s="91" customFormat="1" spans="1:9">
      <c r="A1298" s="91" t="str">
        <f t="shared" si="60"/>
        <v>Pd-103</v>
      </c>
      <c r="B1298" s="91" t="s">
        <v>1892</v>
      </c>
      <c r="C1298" s="91" t="s">
        <v>1879</v>
      </c>
      <c r="D1298" s="91">
        <v>46</v>
      </c>
      <c r="E1298" s="91">
        <v>103</v>
      </c>
      <c r="F1298" s="91">
        <v>0</v>
      </c>
      <c r="G1298" s="126">
        <v>4.72164027896002e-7</v>
      </c>
      <c r="H1298" s="126">
        <f t="shared" si="61"/>
        <v>1468022</v>
      </c>
      <c r="I1298" s="126" t="str">
        <f t="shared" si="62"/>
        <v>0y 16d 23h 47m</v>
      </c>
    </row>
    <row r="1299" s="91" customFormat="1" spans="1:9">
      <c r="A1299" s="91" t="str">
        <f t="shared" si="60"/>
        <v>Pd-104</v>
      </c>
      <c r="B1299" s="91" t="s">
        <v>1893</v>
      </c>
      <c r="C1299" s="91" t="s">
        <v>1879</v>
      </c>
      <c r="D1299" s="91">
        <v>46</v>
      </c>
      <c r="E1299" s="91">
        <v>104</v>
      </c>
      <c r="F1299" s="91">
        <v>0</v>
      </c>
      <c r="G1299" s="126">
        <v>0</v>
      </c>
      <c r="H1299" s="126">
        <f t="shared" si="61"/>
        <v>0</v>
      </c>
      <c r="I1299" s="126" t="str">
        <f t="shared" si="62"/>
        <v>0y 0d 0h 0m</v>
      </c>
    </row>
    <row r="1300" s="91" customFormat="1" spans="1:9">
      <c r="A1300" s="91" t="str">
        <f t="shared" si="60"/>
        <v>Pd-105</v>
      </c>
      <c r="B1300" s="91" t="s">
        <v>1894</v>
      </c>
      <c r="C1300" s="91" t="s">
        <v>1879</v>
      </c>
      <c r="D1300" s="91">
        <v>46</v>
      </c>
      <c r="E1300" s="91">
        <v>105</v>
      </c>
      <c r="F1300" s="91">
        <v>0</v>
      </c>
      <c r="G1300" s="126">
        <v>0</v>
      </c>
      <c r="H1300" s="126">
        <f t="shared" si="61"/>
        <v>0</v>
      </c>
      <c r="I1300" s="126" t="str">
        <f t="shared" si="62"/>
        <v>0y 0d 0h 0m</v>
      </c>
    </row>
    <row r="1301" s="91" customFormat="1" spans="1:9">
      <c r="A1301" s="91" t="str">
        <f t="shared" si="60"/>
        <v>Pd-106</v>
      </c>
      <c r="B1301" s="91" t="s">
        <v>1895</v>
      </c>
      <c r="C1301" s="91" t="s">
        <v>1879</v>
      </c>
      <c r="D1301" s="91">
        <v>46</v>
      </c>
      <c r="E1301" s="91">
        <v>106</v>
      </c>
      <c r="F1301" s="91">
        <v>0</v>
      </c>
      <c r="G1301" s="126">
        <v>0</v>
      </c>
      <c r="H1301" s="126">
        <f t="shared" si="61"/>
        <v>0</v>
      </c>
      <c r="I1301" s="126" t="str">
        <f t="shared" si="62"/>
        <v>0y 0d 0h 0m</v>
      </c>
    </row>
    <row r="1302" s="91" customFormat="1" spans="1:9">
      <c r="A1302" s="91" t="str">
        <f t="shared" si="60"/>
        <v>Pd-107</v>
      </c>
      <c r="B1302" s="91" t="s">
        <v>1896</v>
      </c>
      <c r="C1302" s="91" t="s">
        <v>1879</v>
      </c>
      <c r="D1302" s="91">
        <v>46</v>
      </c>
      <c r="E1302" s="91">
        <v>107</v>
      </c>
      <c r="F1302" s="91">
        <v>0</v>
      </c>
      <c r="G1302" s="126">
        <v>3.37916177804618e-15</v>
      </c>
      <c r="H1302" s="126">
        <f t="shared" si="61"/>
        <v>205124000000000</v>
      </c>
      <c r="I1302" s="126" t="str">
        <f t="shared" si="62"/>
        <v>6504439y 135d 8h 53m</v>
      </c>
    </row>
    <row r="1303" s="91" customFormat="1" spans="1:9">
      <c r="A1303" s="91" t="str">
        <f t="shared" si="60"/>
        <v>Pd-107m</v>
      </c>
      <c r="B1303" s="91" t="s">
        <v>1897</v>
      </c>
      <c r="C1303" s="91" t="s">
        <v>1879</v>
      </c>
      <c r="D1303" s="91">
        <v>46</v>
      </c>
      <c r="E1303" s="91">
        <v>107</v>
      </c>
      <c r="F1303" s="91">
        <v>1</v>
      </c>
      <c r="G1303" s="126">
        <v>0.032542121153049</v>
      </c>
      <c r="H1303" s="126">
        <f t="shared" si="61"/>
        <v>21.3000000000001</v>
      </c>
      <c r="I1303" s="126" t="str">
        <f t="shared" si="62"/>
        <v>0y 0d 0h 0m</v>
      </c>
    </row>
    <row r="1304" s="91" customFormat="1" spans="1:9">
      <c r="A1304" s="91" t="str">
        <f t="shared" si="60"/>
        <v>Pd-108</v>
      </c>
      <c r="B1304" s="91" t="s">
        <v>1898</v>
      </c>
      <c r="C1304" s="91" t="s">
        <v>1879</v>
      </c>
      <c r="D1304" s="91">
        <v>46</v>
      </c>
      <c r="E1304" s="91">
        <v>108</v>
      </c>
      <c r="F1304" s="91">
        <v>0</v>
      </c>
      <c r="G1304" s="126">
        <v>0</v>
      </c>
      <c r="H1304" s="126">
        <f t="shared" si="61"/>
        <v>0</v>
      </c>
      <c r="I1304" s="126" t="str">
        <f t="shared" si="62"/>
        <v>0y 0d 0h 0m</v>
      </c>
    </row>
    <row r="1305" s="91" customFormat="1" spans="1:9">
      <c r="A1305" s="91" t="str">
        <f t="shared" si="60"/>
        <v>Pd-109</v>
      </c>
      <c r="B1305" s="91" t="s">
        <v>1899</v>
      </c>
      <c r="C1305" s="91" t="s">
        <v>1879</v>
      </c>
      <c r="D1305" s="91">
        <v>46</v>
      </c>
      <c r="E1305" s="91">
        <v>109</v>
      </c>
      <c r="F1305" s="91">
        <v>0</v>
      </c>
      <c r="G1305" s="126">
        <v>1.40528481803691e-5</v>
      </c>
      <c r="H1305" s="126">
        <f t="shared" si="61"/>
        <v>49324.3200000001</v>
      </c>
      <c r="I1305" s="126" t="str">
        <f t="shared" si="62"/>
        <v>0y 0d 13h 42m</v>
      </c>
    </row>
    <row r="1306" s="91" customFormat="1" spans="1:9">
      <c r="A1306" s="91" t="str">
        <f t="shared" si="60"/>
        <v>Pd-109m</v>
      </c>
      <c r="B1306" s="91" t="s">
        <v>1900</v>
      </c>
      <c r="C1306" s="91" t="s">
        <v>1879</v>
      </c>
      <c r="D1306" s="91">
        <v>46</v>
      </c>
      <c r="E1306" s="91">
        <v>109</v>
      </c>
      <c r="F1306" s="91">
        <v>1</v>
      </c>
      <c r="G1306" s="126">
        <v>0.00246320959687258</v>
      </c>
      <c r="H1306" s="126">
        <f t="shared" si="61"/>
        <v>281.4</v>
      </c>
      <c r="I1306" s="126" t="str">
        <f t="shared" si="62"/>
        <v>0y 0d 0h 4m</v>
      </c>
    </row>
    <row r="1307" s="91" customFormat="1" spans="1:9">
      <c r="A1307" s="91" t="str">
        <f t="shared" si="60"/>
        <v>Pd-110</v>
      </c>
      <c r="B1307" s="91" t="s">
        <v>1901</v>
      </c>
      <c r="C1307" s="91" t="s">
        <v>1879</v>
      </c>
      <c r="D1307" s="91">
        <v>46</v>
      </c>
      <c r="E1307" s="91">
        <v>110</v>
      </c>
      <c r="F1307" s="91">
        <v>0</v>
      </c>
      <c r="G1307" s="126">
        <v>0</v>
      </c>
      <c r="H1307" s="126">
        <f t="shared" si="61"/>
        <v>0</v>
      </c>
      <c r="I1307" s="126" t="str">
        <f t="shared" si="62"/>
        <v>0y 0d 0h 0m</v>
      </c>
    </row>
    <row r="1308" s="91" customFormat="1" spans="1:9">
      <c r="A1308" s="91" t="str">
        <f t="shared" si="60"/>
        <v>Pd-111</v>
      </c>
      <c r="B1308" s="91" t="s">
        <v>1902</v>
      </c>
      <c r="C1308" s="91" t="s">
        <v>1879</v>
      </c>
      <c r="D1308" s="91">
        <v>46</v>
      </c>
      <c r="E1308" s="91">
        <v>111</v>
      </c>
      <c r="F1308" s="91">
        <v>0</v>
      </c>
      <c r="G1308" s="126">
        <v>0.000493694573048394</v>
      </c>
      <c r="H1308" s="126">
        <f t="shared" si="61"/>
        <v>1404</v>
      </c>
      <c r="I1308" s="126" t="str">
        <f t="shared" si="62"/>
        <v>0y 0d 0h 23m</v>
      </c>
    </row>
    <row r="1309" s="91" customFormat="1" spans="1:9">
      <c r="A1309" s="91" t="str">
        <f t="shared" si="60"/>
        <v>Pd-111m</v>
      </c>
      <c r="B1309" s="91" t="s">
        <v>1903</v>
      </c>
      <c r="C1309" s="91" t="s">
        <v>1879</v>
      </c>
      <c r="D1309" s="91">
        <v>46</v>
      </c>
      <c r="E1309" s="91">
        <v>111</v>
      </c>
      <c r="F1309" s="91">
        <v>1</v>
      </c>
      <c r="G1309" s="126">
        <v>3.50074333616134e-5</v>
      </c>
      <c r="H1309" s="126">
        <f t="shared" si="61"/>
        <v>19800</v>
      </c>
      <c r="I1309" s="126" t="str">
        <f t="shared" si="62"/>
        <v>0y 0d 5h 30m</v>
      </c>
    </row>
    <row r="1310" s="91" customFormat="1" spans="1:9">
      <c r="A1310" s="91" t="str">
        <f t="shared" si="60"/>
        <v>Pd-112</v>
      </c>
      <c r="B1310" s="91" t="s">
        <v>1904</v>
      </c>
      <c r="C1310" s="91" t="s">
        <v>1879</v>
      </c>
      <c r="D1310" s="91">
        <v>46</v>
      </c>
      <c r="E1310" s="91">
        <v>112</v>
      </c>
      <c r="F1310" s="91">
        <v>0</v>
      </c>
      <c r="G1310" s="126">
        <v>9.15553416494882e-6</v>
      </c>
      <c r="H1310" s="126">
        <f t="shared" si="61"/>
        <v>75708</v>
      </c>
      <c r="I1310" s="126" t="str">
        <f t="shared" si="62"/>
        <v>0y 0d 21h 1m</v>
      </c>
    </row>
    <row r="1311" s="91" customFormat="1" spans="1:9">
      <c r="A1311" s="91" t="str">
        <f t="shared" si="60"/>
        <v>Pd-113</v>
      </c>
      <c r="B1311" s="91" t="s">
        <v>1905</v>
      </c>
      <c r="C1311" s="91" t="s">
        <v>1879</v>
      </c>
      <c r="D1311" s="91">
        <v>46</v>
      </c>
      <c r="E1311" s="91">
        <v>113</v>
      </c>
      <c r="F1311" s="91">
        <v>0</v>
      </c>
      <c r="G1311" s="126">
        <v>0.00745319548989188</v>
      </c>
      <c r="H1311" s="126">
        <f t="shared" si="61"/>
        <v>93.0000000000001</v>
      </c>
      <c r="I1311" s="126" t="str">
        <f t="shared" si="62"/>
        <v>0y 0d 0h 1m</v>
      </c>
    </row>
    <row r="1312" s="91" customFormat="1" spans="1:9">
      <c r="A1312" s="91" t="str">
        <f t="shared" si="60"/>
        <v>Pd-113m</v>
      </c>
      <c r="B1312" s="91" t="s">
        <v>1906</v>
      </c>
      <c r="C1312" s="91" t="s">
        <v>1879</v>
      </c>
      <c r="D1312" s="91">
        <v>46</v>
      </c>
      <c r="E1312" s="91">
        <v>113</v>
      </c>
      <c r="F1312" s="91">
        <v>1</v>
      </c>
      <c r="G1312" s="126">
        <v>2.31049060186648</v>
      </c>
      <c r="H1312" s="126">
        <f t="shared" si="61"/>
        <v>0.300000000000001</v>
      </c>
      <c r="I1312" s="126" t="str">
        <f t="shared" si="62"/>
        <v>0y 0d 0h 0m</v>
      </c>
    </row>
    <row r="1313" s="91" customFormat="1" spans="1:9">
      <c r="A1313" s="91" t="str">
        <f t="shared" si="60"/>
        <v>Pd-114</v>
      </c>
      <c r="B1313" s="91" t="s">
        <v>1907</v>
      </c>
      <c r="C1313" s="91" t="s">
        <v>1879</v>
      </c>
      <c r="D1313" s="91">
        <v>46</v>
      </c>
      <c r="E1313" s="91">
        <v>114</v>
      </c>
      <c r="F1313" s="91">
        <v>0</v>
      </c>
      <c r="G1313" s="126">
        <v>0.00477374091294728</v>
      </c>
      <c r="H1313" s="126">
        <f t="shared" si="61"/>
        <v>145.2</v>
      </c>
      <c r="I1313" s="126" t="str">
        <f t="shared" si="62"/>
        <v>0y 0d 0h 2m</v>
      </c>
    </row>
    <row r="1314" s="91" customFormat="1" spans="1:9">
      <c r="A1314" s="91" t="str">
        <f t="shared" si="60"/>
        <v>Pd-115</v>
      </c>
      <c r="B1314" s="91" t="s">
        <v>1908</v>
      </c>
      <c r="C1314" s="91" t="s">
        <v>1879</v>
      </c>
      <c r="D1314" s="91">
        <v>46</v>
      </c>
      <c r="E1314" s="91">
        <v>115</v>
      </c>
      <c r="F1314" s="91">
        <v>0</v>
      </c>
      <c r="G1314" s="126">
        <v>0.0277258872223978</v>
      </c>
      <c r="H1314" s="126">
        <f t="shared" si="61"/>
        <v>25</v>
      </c>
      <c r="I1314" s="126" t="str">
        <f t="shared" si="62"/>
        <v>0y 0d 0h 0m</v>
      </c>
    </row>
    <row r="1315" s="91" customFormat="1" spans="1:9">
      <c r="A1315" s="91" t="str">
        <f t="shared" si="60"/>
        <v>Pd-115m</v>
      </c>
      <c r="B1315" s="91" t="s">
        <v>1909</v>
      </c>
      <c r="C1315" s="91" t="s">
        <v>1879</v>
      </c>
      <c r="D1315" s="91">
        <v>46</v>
      </c>
      <c r="E1315" s="91">
        <v>115</v>
      </c>
      <c r="F1315" s="91">
        <v>1</v>
      </c>
      <c r="G1315" s="126">
        <v>0.0138629436111989</v>
      </c>
      <c r="H1315" s="126">
        <f t="shared" si="61"/>
        <v>50</v>
      </c>
      <c r="I1315" s="126" t="str">
        <f t="shared" si="62"/>
        <v>0y 0d 0h 0m</v>
      </c>
    </row>
    <row r="1316" s="91" customFormat="1" spans="1:9">
      <c r="A1316" s="91" t="str">
        <f t="shared" si="60"/>
        <v>Pd-116</v>
      </c>
      <c r="B1316" s="91" t="s">
        <v>1910</v>
      </c>
      <c r="C1316" s="91" t="s">
        <v>1879</v>
      </c>
      <c r="D1316" s="91">
        <v>46</v>
      </c>
      <c r="E1316" s="91">
        <v>116</v>
      </c>
      <c r="F1316" s="91">
        <v>0</v>
      </c>
      <c r="G1316" s="126">
        <v>0.0587412864881309</v>
      </c>
      <c r="H1316" s="126">
        <f t="shared" si="61"/>
        <v>11.8</v>
      </c>
      <c r="I1316" s="126" t="str">
        <f t="shared" si="62"/>
        <v>0y 0d 0h 0m</v>
      </c>
    </row>
    <row r="1317" s="91" customFormat="1" spans="1:9">
      <c r="A1317" s="91" t="str">
        <f t="shared" si="60"/>
        <v>Pd-117</v>
      </c>
      <c r="B1317" s="91" t="s">
        <v>1911</v>
      </c>
      <c r="C1317" s="91" t="s">
        <v>1879</v>
      </c>
      <c r="D1317" s="91">
        <v>46</v>
      </c>
      <c r="E1317" s="91">
        <v>117</v>
      </c>
      <c r="F1317" s="91">
        <v>0</v>
      </c>
      <c r="G1317" s="126">
        <v>0.161197018734871</v>
      </c>
      <c r="H1317" s="126">
        <f t="shared" si="61"/>
        <v>4.3</v>
      </c>
      <c r="I1317" s="126" t="str">
        <f t="shared" si="62"/>
        <v>0y 0d 0h 0m</v>
      </c>
    </row>
    <row r="1318" s="91" customFormat="1" spans="1:9">
      <c r="A1318" s="91" t="str">
        <f t="shared" si="60"/>
        <v>Pd-117m</v>
      </c>
      <c r="B1318" s="91" t="s">
        <v>1912</v>
      </c>
      <c r="C1318" s="91" t="s">
        <v>1879</v>
      </c>
      <c r="D1318" s="91">
        <v>46</v>
      </c>
      <c r="E1318" s="91">
        <v>117</v>
      </c>
      <c r="F1318" s="91">
        <v>1</v>
      </c>
      <c r="G1318" s="126">
        <v>36.2904283015678</v>
      </c>
      <c r="H1318" s="126">
        <f t="shared" si="61"/>
        <v>0.0191</v>
      </c>
      <c r="I1318" s="126" t="str">
        <f t="shared" si="62"/>
        <v>0y 0d 0h 0m</v>
      </c>
    </row>
    <row r="1319" s="91" customFormat="1" spans="1:9">
      <c r="A1319" s="91" t="str">
        <f t="shared" si="60"/>
        <v>Pd-118</v>
      </c>
      <c r="B1319" s="91" t="s">
        <v>1913</v>
      </c>
      <c r="C1319" s="91" t="s">
        <v>1879</v>
      </c>
      <c r="D1319" s="91">
        <v>46</v>
      </c>
      <c r="E1319" s="91">
        <v>118</v>
      </c>
      <c r="F1319" s="91">
        <v>0</v>
      </c>
      <c r="G1319" s="126">
        <v>0.364814305557866</v>
      </c>
      <c r="H1319" s="126">
        <f t="shared" si="61"/>
        <v>1.9</v>
      </c>
      <c r="I1319" s="126" t="str">
        <f t="shared" si="62"/>
        <v>0y 0d 0h 0m</v>
      </c>
    </row>
    <row r="1320" s="91" customFormat="1" spans="1:9">
      <c r="A1320" s="91" t="str">
        <f t="shared" si="60"/>
        <v>Pd-119</v>
      </c>
      <c r="B1320" s="91" t="s">
        <v>1914</v>
      </c>
      <c r="C1320" s="91" t="s">
        <v>1879</v>
      </c>
      <c r="D1320" s="91">
        <v>46</v>
      </c>
      <c r="E1320" s="91">
        <v>119</v>
      </c>
      <c r="F1320" s="91">
        <v>0</v>
      </c>
      <c r="G1320" s="126">
        <v>0.753420848434723</v>
      </c>
      <c r="H1320" s="126">
        <f t="shared" si="61"/>
        <v>0.92</v>
      </c>
      <c r="I1320" s="126" t="str">
        <f t="shared" si="62"/>
        <v>0y 0d 0h 0m</v>
      </c>
    </row>
    <row r="1321" s="91" customFormat="1" spans="1:9">
      <c r="A1321" s="91" t="str">
        <f t="shared" si="60"/>
        <v>Pd-120</v>
      </c>
      <c r="B1321" s="91" t="s">
        <v>1915</v>
      </c>
      <c r="C1321" s="91" t="s">
        <v>1879</v>
      </c>
      <c r="D1321" s="91">
        <v>46</v>
      </c>
      <c r="E1321" s="91">
        <v>120</v>
      </c>
      <c r="F1321" s="91">
        <v>0</v>
      </c>
      <c r="G1321" s="126">
        <v>1.38629436111989</v>
      </c>
      <c r="H1321" s="126">
        <f t="shared" si="61"/>
        <v>0.5</v>
      </c>
      <c r="I1321" s="126" t="str">
        <f t="shared" si="62"/>
        <v>0y 0d 0h 0m</v>
      </c>
    </row>
    <row r="1322" s="91" customFormat="1" spans="1:9">
      <c r="A1322" s="91" t="str">
        <f t="shared" si="60"/>
        <v>Pd-121</v>
      </c>
      <c r="B1322" s="91" t="s">
        <v>1916</v>
      </c>
      <c r="C1322" s="91" t="s">
        <v>1879</v>
      </c>
      <c r="D1322" s="91">
        <v>46</v>
      </c>
      <c r="E1322" s="91">
        <v>121</v>
      </c>
      <c r="F1322" s="91">
        <v>0</v>
      </c>
      <c r="G1322" s="126">
        <v>2.43209537038577</v>
      </c>
      <c r="H1322" s="126">
        <f t="shared" si="61"/>
        <v>0.285</v>
      </c>
      <c r="I1322" s="126" t="str">
        <f t="shared" si="62"/>
        <v>0y 0d 0h 0m</v>
      </c>
    </row>
    <row r="1323" s="91" customFormat="1" spans="1:9">
      <c r="A1323" s="91" t="str">
        <f t="shared" si="60"/>
        <v>Pd-122</v>
      </c>
      <c r="B1323" s="91" t="s">
        <v>1917</v>
      </c>
      <c r="C1323" s="91" t="s">
        <v>1879</v>
      </c>
      <c r="D1323" s="91">
        <v>46</v>
      </c>
      <c r="E1323" s="91">
        <v>122</v>
      </c>
      <c r="F1323" s="91">
        <v>0</v>
      </c>
      <c r="G1323" s="126">
        <v>3.96084103177111</v>
      </c>
      <c r="H1323" s="126">
        <f t="shared" si="61"/>
        <v>0.175</v>
      </c>
      <c r="I1323" s="126" t="str">
        <f t="shared" si="62"/>
        <v>0y 0d 0h 0m</v>
      </c>
    </row>
    <row r="1324" s="91" customFormat="1" spans="1:9">
      <c r="A1324" s="91" t="str">
        <f t="shared" si="60"/>
        <v>Pd-123</v>
      </c>
      <c r="B1324" s="91" t="s">
        <v>1918</v>
      </c>
      <c r="C1324" s="91" t="s">
        <v>1879</v>
      </c>
      <c r="D1324" s="91">
        <v>46</v>
      </c>
      <c r="E1324" s="91">
        <v>123</v>
      </c>
      <c r="F1324" s="91">
        <v>0</v>
      </c>
      <c r="G1324" s="126">
        <v>2.84076713344239</v>
      </c>
      <c r="H1324" s="126">
        <f t="shared" si="61"/>
        <v>0.244000000000001</v>
      </c>
      <c r="I1324" s="126" t="str">
        <f t="shared" si="62"/>
        <v>0y 0d 0h 0m</v>
      </c>
    </row>
    <row r="1325" s="91" customFormat="1" spans="1:9">
      <c r="A1325" s="91" t="str">
        <f t="shared" si="60"/>
        <v>Pd-124</v>
      </c>
      <c r="B1325" s="91" t="s">
        <v>1919</v>
      </c>
      <c r="C1325" s="91" t="s">
        <v>1879</v>
      </c>
      <c r="D1325" s="91">
        <v>46</v>
      </c>
      <c r="E1325" s="91">
        <v>124</v>
      </c>
      <c r="F1325" s="91">
        <v>0</v>
      </c>
      <c r="G1325" s="126">
        <v>18.2407152778932</v>
      </c>
      <c r="H1325" s="126">
        <f t="shared" si="61"/>
        <v>0.0380000000000002</v>
      </c>
      <c r="I1325" s="126" t="str">
        <f t="shared" si="62"/>
        <v>0y 0d 0h 0m</v>
      </c>
    </row>
    <row r="1326" s="91" customFormat="1" spans="1:9">
      <c r="A1326" s="91" t="str">
        <f t="shared" si="60"/>
        <v>Pd-125</v>
      </c>
      <c r="B1326" s="91" t="s">
        <v>1920</v>
      </c>
      <c r="C1326" s="91" t="s">
        <v>1879</v>
      </c>
      <c r="D1326" s="91">
        <v>46</v>
      </c>
      <c r="E1326" s="91">
        <v>125</v>
      </c>
      <c r="F1326" s="91">
        <v>0</v>
      </c>
      <c r="G1326" s="126">
        <v>1.73851813533971</v>
      </c>
      <c r="H1326" s="126">
        <f t="shared" si="61"/>
        <v>0.398700000000002</v>
      </c>
      <c r="I1326" s="126" t="str">
        <f t="shared" si="62"/>
        <v>0y 0d 0h 0m</v>
      </c>
    </row>
    <row r="1327" s="91" customFormat="1" spans="1:9">
      <c r="A1327" s="91" t="str">
        <f t="shared" si="60"/>
        <v>Pd-126</v>
      </c>
      <c r="B1327" s="91" t="s">
        <v>1921</v>
      </c>
      <c r="C1327" s="91" t="s">
        <v>1879</v>
      </c>
      <c r="D1327" s="91">
        <v>46</v>
      </c>
      <c r="E1327" s="91">
        <v>126</v>
      </c>
      <c r="F1327" s="91">
        <v>0</v>
      </c>
      <c r="G1327" s="126">
        <v>2.77369820152038</v>
      </c>
      <c r="H1327" s="126">
        <f t="shared" si="61"/>
        <v>0.249900000000001</v>
      </c>
      <c r="I1327" s="126" t="str">
        <f t="shared" si="62"/>
        <v>0y 0d 0h 0m</v>
      </c>
    </row>
    <row r="1328" s="91" customFormat="1" spans="1:9">
      <c r="A1328" s="91" t="str">
        <f t="shared" si="60"/>
        <v>Ag-93</v>
      </c>
      <c r="B1328" s="91" t="s">
        <v>1922</v>
      </c>
      <c r="C1328" s="91" t="s">
        <v>1923</v>
      </c>
      <c r="D1328" s="91">
        <v>47</v>
      </c>
      <c r="E1328" s="91">
        <v>93</v>
      </c>
      <c r="F1328" s="91">
        <v>0</v>
      </c>
      <c r="G1328" s="126">
        <v>462098.120373296</v>
      </c>
      <c r="H1328" s="126">
        <f t="shared" si="61"/>
        <v>1.5e-6</v>
      </c>
      <c r="I1328" s="126" t="str">
        <f t="shared" si="62"/>
        <v>0y 0d 0h 0m</v>
      </c>
    </row>
    <row r="1329" s="91" customFormat="1" spans="1:9">
      <c r="A1329" s="91" t="str">
        <f t="shared" si="60"/>
        <v>Ag-94</v>
      </c>
      <c r="B1329" s="91" t="s">
        <v>1924</v>
      </c>
      <c r="C1329" s="91" t="s">
        <v>1923</v>
      </c>
      <c r="D1329" s="91">
        <v>47</v>
      </c>
      <c r="E1329" s="91">
        <v>94</v>
      </c>
      <c r="F1329" s="91">
        <v>0</v>
      </c>
      <c r="G1329" s="126">
        <v>19.8042051588555</v>
      </c>
      <c r="H1329" s="126">
        <f t="shared" si="61"/>
        <v>0.0350000000000001</v>
      </c>
      <c r="I1329" s="126" t="str">
        <f t="shared" si="62"/>
        <v>0y 0d 0h 0m</v>
      </c>
    </row>
    <row r="1330" s="91" customFormat="1" spans="1:9">
      <c r="A1330" s="91" t="str">
        <f t="shared" si="60"/>
        <v>Ag-94m</v>
      </c>
      <c r="B1330" s="91" t="s">
        <v>1925</v>
      </c>
      <c r="C1330" s="91" t="s">
        <v>1923</v>
      </c>
      <c r="D1330" s="91">
        <v>47</v>
      </c>
      <c r="E1330" s="91">
        <v>94</v>
      </c>
      <c r="F1330" s="91">
        <v>1</v>
      </c>
      <c r="G1330" s="126">
        <v>1.26026760101808</v>
      </c>
      <c r="H1330" s="126">
        <f t="shared" si="61"/>
        <v>0.550000000000001</v>
      </c>
      <c r="I1330" s="126" t="str">
        <f t="shared" si="62"/>
        <v>0y 0d 0h 0m</v>
      </c>
    </row>
    <row r="1331" s="91" customFormat="1" spans="1:9">
      <c r="A1331" s="91" t="str">
        <f t="shared" si="60"/>
        <v>Ag-94m2</v>
      </c>
      <c r="B1331" s="91" t="s">
        <v>1926</v>
      </c>
      <c r="C1331" s="91" t="s">
        <v>1923</v>
      </c>
      <c r="D1331" s="91">
        <v>47</v>
      </c>
      <c r="E1331" s="91">
        <v>94</v>
      </c>
      <c r="F1331" s="91">
        <v>2</v>
      </c>
      <c r="G1331" s="126">
        <v>1.73286795139986</v>
      </c>
      <c r="H1331" s="126">
        <f t="shared" si="61"/>
        <v>0.400000000000001</v>
      </c>
      <c r="I1331" s="126" t="str">
        <f t="shared" si="62"/>
        <v>0y 0d 0h 0m</v>
      </c>
    </row>
    <row r="1332" s="91" customFormat="1" spans="1:9">
      <c r="A1332" s="91" t="str">
        <f t="shared" si="60"/>
        <v>Ag-95</v>
      </c>
      <c r="B1332" s="91" t="s">
        <v>1927</v>
      </c>
      <c r="C1332" s="91" t="s">
        <v>1923</v>
      </c>
      <c r="D1332" s="91">
        <v>47</v>
      </c>
      <c r="E1332" s="91">
        <v>95</v>
      </c>
      <c r="F1332" s="91">
        <v>0</v>
      </c>
      <c r="G1332" s="126">
        <v>0.346573590279972</v>
      </c>
      <c r="H1332" s="126">
        <f t="shared" si="61"/>
        <v>2</v>
      </c>
      <c r="I1332" s="126" t="str">
        <f t="shared" si="62"/>
        <v>0y 0d 0h 0m</v>
      </c>
    </row>
    <row r="1333" s="91" customFormat="1" spans="1:9">
      <c r="A1333" s="91" t="str">
        <f t="shared" si="60"/>
        <v>Ag-95m</v>
      </c>
      <c r="B1333" s="91" t="s">
        <v>1928</v>
      </c>
      <c r="C1333" s="91" t="s">
        <v>1923</v>
      </c>
      <c r="D1333" s="91">
        <v>47</v>
      </c>
      <c r="E1333" s="91">
        <v>95</v>
      </c>
      <c r="F1333" s="91">
        <v>1</v>
      </c>
      <c r="G1333" s="126">
        <v>1.38629436111989</v>
      </c>
      <c r="H1333" s="126">
        <f t="shared" si="61"/>
        <v>0.5</v>
      </c>
      <c r="I1333" s="126" t="str">
        <f t="shared" si="62"/>
        <v>0y 0d 0h 0m</v>
      </c>
    </row>
    <row r="1334" s="91" customFormat="1" spans="1:9">
      <c r="A1334" s="91" t="str">
        <f t="shared" si="60"/>
        <v>Ag-95m2</v>
      </c>
      <c r="B1334" s="91" t="s">
        <v>1929</v>
      </c>
      <c r="C1334" s="91" t="s">
        <v>1923</v>
      </c>
      <c r="D1334" s="91">
        <v>47</v>
      </c>
      <c r="E1334" s="91">
        <v>95</v>
      </c>
      <c r="F1334" s="91">
        <v>2</v>
      </c>
      <c r="G1334" s="126">
        <v>43.3216987849965</v>
      </c>
      <c r="H1334" s="126">
        <f t="shared" si="61"/>
        <v>0.016</v>
      </c>
      <c r="I1334" s="126" t="str">
        <f t="shared" si="62"/>
        <v>0y 0d 0h 0m</v>
      </c>
    </row>
    <row r="1335" s="91" customFormat="1" spans="1:9">
      <c r="A1335" s="91" t="str">
        <f t="shared" si="60"/>
        <v>Ag-95m3</v>
      </c>
      <c r="B1335" s="91" t="s">
        <v>1930</v>
      </c>
      <c r="C1335" s="91" t="s">
        <v>1923</v>
      </c>
      <c r="D1335" s="91">
        <v>47</v>
      </c>
      <c r="E1335" s="91">
        <v>95</v>
      </c>
      <c r="F1335" s="91">
        <v>3</v>
      </c>
      <c r="G1335" s="126">
        <v>17.3286795139986</v>
      </c>
      <c r="H1335" s="126">
        <f t="shared" si="61"/>
        <v>0.0400000000000001</v>
      </c>
      <c r="I1335" s="126" t="str">
        <f t="shared" si="62"/>
        <v>0y 0d 0h 0m</v>
      </c>
    </row>
    <row r="1336" s="91" customFormat="1" spans="1:9">
      <c r="A1336" s="91" t="str">
        <f t="shared" si="60"/>
        <v>Ag-96</v>
      </c>
      <c r="B1336" s="91" t="s">
        <v>1931</v>
      </c>
      <c r="C1336" s="91" t="s">
        <v>1923</v>
      </c>
      <c r="D1336" s="91">
        <v>47</v>
      </c>
      <c r="E1336" s="91">
        <v>96</v>
      </c>
      <c r="F1336" s="91">
        <v>0</v>
      </c>
      <c r="G1336" s="126">
        <v>0.15753345012726</v>
      </c>
      <c r="H1336" s="126">
        <f t="shared" si="61"/>
        <v>4.40000000000001</v>
      </c>
      <c r="I1336" s="126" t="str">
        <f t="shared" si="62"/>
        <v>0y 0d 0h 0m</v>
      </c>
    </row>
    <row r="1337" s="91" customFormat="1" spans="1:9">
      <c r="A1337" s="91" t="str">
        <f t="shared" si="60"/>
        <v>Ag-96m</v>
      </c>
      <c r="B1337" s="91" t="s">
        <v>1932</v>
      </c>
      <c r="C1337" s="91" t="s">
        <v>1923</v>
      </c>
      <c r="D1337" s="91">
        <v>47</v>
      </c>
      <c r="E1337" s="91">
        <v>96</v>
      </c>
      <c r="F1337" s="91">
        <v>1</v>
      </c>
      <c r="G1337" s="126">
        <v>0.100456113124629</v>
      </c>
      <c r="H1337" s="126">
        <f t="shared" si="61"/>
        <v>6.90000000000005</v>
      </c>
      <c r="I1337" s="126" t="str">
        <f t="shared" si="62"/>
        <v>0y 0d 0h 0m</v>
      </c>
    </row>
    <row r="1338" s="91" customFormat="1" spans="1:9">
      <c r="A1338" s="91" t="str">
        <f t="shared" si="60"/>
        <v>Ag-97</v>
      </c>
      <c r="B1338" s="91" t="s">
        <v>1933</v>
      </c>
      <c r="C1338" s="91" t="s">
        <v>1923</v>
      </c>
      <c r="D1338" s="91">
        <v>47</v>
      </c>
      <c r="E1338" s="91">
        <v>97</v>
      </c>
      <c r="F1338" s="91">
        <v>0</v>
      </c>
      <c r="G1338" s="126">
        <v>0.0271822423748998</v>
      </c>
      <c r="H1338" s="126">
        <f t="shared" si="61"/>
        <v>25.5</v>
      </c>
      <c r="I1338" s="126" t="str">
        <f t="shared" si="62"/>
        <v>0y 0d 0h 0m</v>
      </c>
    </row>
    <row r="1339" s="91" customFormat="1" spans="1:9">
      <c r="A1339" s="91" t="str">
        <f t="shared" si="60"/>
        <v>Ag-98</v>
      </c>
      <c r="B1339" s="91" t="s">
        <v>1934</v>
      </c>
      <c r="C1339" s="91" t="s">
        <v>1923</v>
      </c>
      <c r="D1339" s="91">
        <v>47</v>
      </c>
      <c r="E1339" s="91">
        <v>98</v>
      </c>
      <c r="F1339" s="91">
        <v>0</v>
      </c>
      <c r="G1339" s="126">
        <v>0.0145925722223146</v>
      </c>
      <c r="H1339" s="126">
        <f t="shared" si="61"/>
        <v>47.5000000000001</v>
      </c>
      <c r="I1339" s="126" t="str">
        <f t="shared" si="62"/>
        <v>0y 0d 0h 0m</v>
      </c>
    </row>
    <row r="1340" s="91" customFormat="1" spans="1:9">
      <c r="A1340" s="91" t="str">
        <f t="shared" si="60"/>
        <v>Ag-99</v>
      </c>
      <c r="B1340" s="91" t="s">
        <v>1935</v>
      </c>
      <c r="C1340" s="91" t="s">
        <v>1923</v>
      </c>
      <c r="D1340" s="91">
        <v>47</v>
      </c>
      <c r="E1340" s="91">
        <v>99</v>
      </c>
      <c r="F1340" s="91">
        <v>0</v>
      </c>
      <c r="G1340" s="126">
        <v>0.00558989661741891</v>
      </c>
      <c r="H1340" s="126">
        <f t="shared" si="61"/>
        <v>124</v>
      </c>
      <c r="I1340" s="126" t="str">
        <f t="shared" si="62"/>
        <v>0y 0d 0h 2m</v>
      </c>
    </row>
    <row r="1341" s="91" customFormat="1" spans="1:9">
      <c r="A1341" s="91" t="str">
        <f t="shared" si="60"/>
        <v>Ag-99m</v>
      </c>
      <c r="B1341" s="91" t="s">
        <v>1936</v>
      </c>
      <c r="C1341" s="91" t="s">
        <v>1923</v>
      </c>
      <c r="D1341" s="91">
        <v>47</v>
      </c>
      <c r="E1341" s="91">
        <v>99</v>
      </c>
      <c r="F1341" s="91">
        <v>1</v>
      </c>
      <c r="G1341" s="126">
        <v>0.0660140171961852</v>
      </c>
      <c r="H1341" s="126">
        <f t="shared" si="61"/>
        <v>10.5</v>
      </c>
      <c r="I1341" s="126" t="str">
        <f t="shared" si="62"/>
        <v>0y 0d 0h 0m</v>
      </c>
    </row>
    <row r="1342" s="91" customFormat="1" spans="1:9">
      <c r="A1342" s="91" t="str">
        <f t="shared" si="60"/>
        <v>Ag-100</v>
      </c>
      <c r="B1342" s="91" t="s">
        <v>1937</v>
      </c>
      <c r="C1342" s="91" t="s">
        <v>1923</v>
      </c>
      <c r="D1342" s="91">
        <v>47</v>
      </c>
      <c r="E1342" s="91">
        <v>100</v>
      </c>
      <c r="F1342" s="91">
        <v>0</v>
      </c>
      <c r="G1342" s="126">
        <v>0.00574748905936936</v>
      </c>
      <c r="H1342" s="126">
        <f t="shared" si="61"/>
        <v>120.6</v>
      </c>
      <c r="I1342" s="126" t="str">
        <f t="shared" si="62"/>
        <v>0y 0d 0h 2m</v>
      </c>
    </row>
    <row r="1343" s="91" customFormat="1" spans="1:9">
      <c r="A1343" s="91" t="str">
        <f t="shared" si="60"/>
        <v>Ag-100m</v>
      </c>
      <c r="B1343" s="91" t="s">
        <v>1938</v>
      </c>
      <c r="C1343" s="91" t="s">
        <v>1923</v>
      </c>
      <c r="D1343" s="91">
        <v>47</v>
      </c>
      <c r="E1343" s="91">
        <v>100</v>
      </c>
      <c r="F1343" s="91">
        <v>1</v>
      </c>
      <c r="G1343" s="126">
        <v>0.00515734509345197</v>
      </c>
      <c r="H1343" s="126">
        <f t="shared" si="61"/>
        <v>134.4</v>
      </c>
      <c r="I1343" s="126" t="str">
        <f t="shared" si="62"/>
        <v>0y 0d 0h 2m</v>
      </c>
    </row>
    <row r="1344" s="91" customFormat="1" spans="1:9">
      <c r="A1344" s="91" t="str">
        <f t="shared" si="60"/>
        <v>Ag-101</v>
      </c>
      <c r="B1344" s="91" t="s">
        <v>1939</v>
      </c>
      <c r="C1344" s="91" t="s">
        <v>1923</v>
      </c>
      <c r="D1344" s="91">
        <v>47</v>
      </c>
      <c r="E1344" s="91">
        <v>101</v>
      </c>
      <c r="F1344" s="91">
        <v>0</v>
      </c>
      <c r="G1344" s="126">
        <v>0.00104076153237229</v>
      </c>
      <c r="H1344" s="126">
        <f t="shared" si="61"/>
        <v>666</v>
      </c>
      <c r="I1344" s="126" t="str">
        <f t="shared" si="62"/>
        <v>0y 0d 0h 11m</v>
      </c>
    </row>
    <row r="1345" s="91" customFormat="1" spans="1:9">
      <c r="A1345" s="91" t="str">
        <f t="shared" si="60"/>
        <v>Ag-101m</v>
      </c>
      <c r="B1345" s="91" t="s">
        <v>1940</v>
      </c>
      <c r="C1345" s="91" t="s">
        <v>1923</v>
      </c>
      <c r="D1345" s="91">
        <v>47</v>
      </c>
      <c r="E1345" s="91">
        <v>101</v>
      </c>
      <c r="F1345" s="91">
        <v>1</v>
      </c>
      <c r="G1345" s="126">
        <v>0.223595864696756</v>
      </c>
      <c r="H1345" s="126">
        <f t="shared" si="61"/>
        <v>3.10000000000001</v>
      </c>
      <c r="I1345" s="126" t="str">
        <f t="shared" si="62"/>
        <v>0y 0d 0h 0m</v>
      </c>
    </row>
    <row r="1346" s="91" customFormat="1" spans="1:9">
      <c r="A1346" s="91" t="str">
        <f t="shared" ref="A1346:A1409" si="63">C1346&amp;"-"&amp;E1346&amp;_xlfn.IFS(F1346=0,"",F1346=1,"m",F1346&gt;1,"m"&amp;F1346)</f>
        <v>Ag-102</v>
      </c>
      <c r="B1346" s="91" t="s">
        <v>1941</v>
      </c>
      <c r="C1346" s="91" t="s">
        <v>1923</v>
      </c>
      <c r="D1346" s="91">
        <v>47</v>
      </c>
      <c r="E1346" s="91">
        <v>102</v>
      </c>
      <c r="F1346" s="91">
        <v>0</v>
      </c>
      <c r="G1346" s="126">
        <v>0.000895538992971505</v>
      </c>
      <c r="H1346" s="126">
        <f t="shared" ref="H1346:H1409" si="64">IF(G1346&gt;0,LN(2)/G1346,0)</f>
        <v>774</v>
      </c>
      <c r="I1346" s="126" t="str">
        <f t="shared" si="62"/>
        <v>0y 0d 0h 12m</v>
      </c>
    </row>
    <row r="1347" s="91" customFormat="1" spans="1:9">
      <c r="A1347" s="91" t="str">
        <f t="shared" si="63"/>
        <v>Ag-102m</v>
      </c>
      <c r="B1347" s="91" t="s">
        <v>1942</v>
      </c>
      <c r="C1347" s="91" t="s">
        <v>1923</v>
      </c>
      <c r="D1347" s="91">
        <v>47</v>
      </c>
      <c r="E1347" s="91">
        <v>102</v>
      </c>
      <c r="F1347" s="91">
        <v>1</v>
      </c>
      <c r="G1347" s="126">
        <v>0.00150031857264057</v>
      </c>
      <c r="H1347" s="126">
        <f t="shared" si="64"/>
        <v>462.000000000001</v>
      </c>
      <c r="I1347" s="126" t="str">
        <f t="shared" ref="I1347:I1410" si="65">INT(H1347/31536000)&amp;"y "&amp;INT(MOD(H1347,31536000)/86400)&amp;"d "&amp;INT(MOD(MOD(H1347,31536000),86400)/3600)&amp;"h "&amp;INT(MOD(MOD(MOD(H1347,31536000),86400),3600)/60)&amp;"m"</f>
        <v>0y 0d 0h 7m</v>
      </c>
    </row>
    <row r="1348" s="91" customFormat="1" spans="1:9">
      <c r="A1348" s="91" t="str">
        <f t="shared" si="63"/>
        <v>Ag-103</v>
      </c>
      <c r="B1348" s="91" t="s">
        <v>1943</v>
      </c>
      <c r="C1348" s="91" t="s">
        <v>1923</v>
      </c>
      <c r="D1348" s="91">
        <v>47</v>
      </c>
      <c r="E1348" s="91">
        <v>103</v>
      </c>
      <c r="F1348" s="91">
        <v>0</v>
      </c>
      <c r="G1348" s="126">
        <v>0.00017583642327751</v>
      </c>
      <c r="H1348" s="126">
        <f t="shared" si="64"/>
        <v>3942</v>
      </c>
      <c r="I1348" s="126" t="str">
        <f t="shared" si="65"/>
        <v>0y 0d 1h 5m</v>
      </c>
    </row>
    <row r="1349" s="91" customFormat="1" spans="1:9">
      <c r="A1349" s="91" t="str">
        <f t="shared" si="63"/>
        <v>Ag-103m</v>
      </c>
      <c r="B1349" s="91" t="s">
        <v>1944</v>
      </c>
      <c r="C1349" s="91" t="s">
        <v>1923</v>
      </c>
      <c r="D1349" s="91">
        <v>47</v>
      </c>
      <c r="E1349" s="91">
        <v>103</v>
      </c>
      <c r="F1349" s="91">
        <v>1</v>
      </c>
      <c r="G1349" s="126">
        <v>0.121604768519288</v>
      </c>
      <c r="H1349" s="126">
        <f t="shared" si="64"/>
        <v>5.70000000000003</v>
      </c>
      <c r="I1349" s="126" t="str">
        <f t="shared" si="65"/>
        <v>0y 0d 0h 0m</v>
      </c>
    </row>
    <row r="1350" s="91" customFormat="1" spans="1:9">
      <c r="A1350" s="91" t="str">
        <f t="shared" si="63"/>
        <v>Ag-104</v>
      </c>
      <c r="B1350" s="91" t="s">
        <v>1945</v>
      </c>
      <c r="C1350" s="91" t="s">
        <v>1923</v>
      </c>
      <c r="D1350" s="91">
        <v>47</v>
      </c>
      <c r="E1350" s="91">
        <v>104</v>
      </c>
      <c r="F1350" s="91">
        <v>0</v>
      </c>
      <c r="G1350" s="126">
        <v>0.000166942962562607</v>
      </c>
      <c r="H1350" s="126">
        <f t="shared" si="64"/>
        <v>4152.00000000001</v>
      </c>
      <c r="I1350" s="126" t="str">
        <f t="shared" si="65"/>
        <v>0y 0d 1h 9m</v>
      </c>
    </row>
    <row r="1351" s="91" customFormat="1" spans="1:9">
      <c r="A1351" s="91" t="str">
        <f t="shared" si="63"/>
        <v>Ag-104m</v>
      </c>
      <c r="B1351" s="91" t="s">
        <v>1946</v>
      </c>
      <c r="C1351" s="91" t="s">
        <v>1923</v>
      </c>
      <c r="D1351" s="91">
        <v>47</v>
      </c>
      <c r="E1351" s="91">
        <v>104</v>
      </c>
      <c r="F1351" s="91">
        <v>1</v>
      </c>
      <c r="G1351" s="126">
        <v>0.000344849343562161</v>
      </c>
      <c r="H1351" s="126">
        <f t="shared" si="64"/>
        <v>2010</v>
      </c>
      <c r="I1351" s="126" t="str">
        <f t="shared" si="65"/>
        <v>0y 0d 0h 33m</v>
      </c>
    </row>
    <row r="1352" s="91" customFormat="1" spans="1:9">
      <c r="A1352" s="91" t="str">
        <f t="shared" si="63"/>
        <v>Ag-105</v>
      </c>
      <c r="B1352" s="91" t="s">
        <v>1947</v>
      </c>
      <c r="C1352" s="91" t="s">
        <v>1923</v>
      </c>
      <c r="D1352" s="91">
        <v>47</v>
      </c>
      <c r="E1352" s="91">
        <v>105</v>
      </c>
      <c r="F1352" s="91">
        <v>0</v>
      </c>
      <c r="G1352" s="126">
        <v>1.94297331364407e-7</v>
      </c>
      <c r="H1352" s="126">
        <f t="shared" si="64"/>
        <v>3567456.00000002</v>
      </c>
      <c r="I1352" s="126" t="str">
        <f t="shared" si="65"/>
        <v>0y 41d 6h 57m</v>
      </c>
    </row>
    <row r="1353" s="91" customFormat="1" spans="1:9">
      <c r="A1353" s="91" t="str">
        <f t="shared" si="63"/>
        <v>Ag-105m</v>
      </c>
      <c r="B1353" s="91" t="s">
        <v>1948</v>
      </c>
      <c r="C1353" s="91" t="s">
        <v>1923</v>
      </c>
      <c r="D1353" s="91">
        <v>47</v>
      </c>
      <c r="E1353" s="91">
        <v>105</v>
      </c>
      <c r="F1353" s="91">
        <v>1</v>
      </c>
      <c r="G1353" s="126">
        <v>0.00159784965550932</v>
      </c>
      <c r="H1353" s="126">
        <f t="shared" si="64"/>
        <v>433.800000000001</v>
      </c>
      <c r="I1353" s="126" t="str">
        <f t="shared" si="65"/>
        <v>0y 0d 0h 7m</v>
      </c>
    </row>
    <row r="1354" s="91" customFormat="1" spans="1:9">
      <c r="A1354" s="91" t="str">
        <f t="shared" si="63"/>
        <v>Ag-106</v>
      </c>
      <c r="B1354" s="91" t="s">
        <v>1949</v>
      </c>
      <c r="C1354" s="91" t="s">
        <v>1923</v>
      </c>
      <c r="D1354" s="91">
        <v>47</v>
      </c>
      <c r="E1354" s="91">
        <v>106</v>
      </c>
      <c r="F1354" s="91">
        <v>0</v>
      </c>
      <c r="G1354" s="126">
        <v>0.000482155801725059</v>
      </c>
      <c r="H1354" s="126">
        <f t="shared" si="64"/>
        <v>1437.6</v>
      </c>
      <c r="I1354" s="126" t="str">
        <f t="shared" si="65"/>
        <v>0y 0d 0h 23m</v>
      </c>
    </row>
    <row r="1355" s="91" customFormat="1" spans="1:9">
      <c r="A1355" s="91" t="str">
        <f t="shared" si="63"/>
        <v>Ag-106m</v>
      </c>
      <c r="B1355" s="91" t="s">
        <v>1950</v>
      </c>
      <c r="C1355" s="91" t="s">
        <v>1923</v>
      </c>
      <c r="D1355" s="91">
        <v>47</v>
      </c>
      <c r="E1355" s="91">
        <v>106</v>
      </c>
      <c r="F1355" s="91">
        <v>1</v>
      </c>
      <c r="G1355" s="126">
        <v>9.68905412081691e-7</v>
      </c>
      <c r="H1355" s="126">
        <f t="shared" si="64"/>
        <v>715392</v>
      </c>
      <c r="I1355" s="126" t="str">
        <f t="shared" si="65"/>
        <v>0y 8d 6h 43m</v>
      </c>
    </row>
    <row r="1356" s="91" customFormat="1" spans="1:9">
      <c r="A1356" s="91" t="str">
        <f t="shared" si="63"/>
        <v>Ag-107</v>
      </c>
      <c r="B1356" s="91" t="s">
        <v>1951</v>
      </c>
      <c r="C1356" s="91" t="s">
        <v>1923</v>
      </c>
      <c r="D1356" s="91">
        <v>47</v>
      </c>
      <c r="E1356" s="91">
        <v>107</v>
      </c>
      <c r="F1356" s="91">
        <v>0</v>
      </c>
      <c r="G1356" s="126">
        <v>0</v>
      </c>
      <c r="H1356" s="126">
        <f t="shared" si="64"/>
        <v>0</v>
      </c>
      <c r="I1356" s="126" t="str">
        <f t="shared" si="65"/>
        <v>0y 0d 0h 0m</v>
      </c>
    </row>
    <row r="1357" s="91" customFormat="1" spans="1:9">
      <c r="A1357" s="91" t="str">
        <f t="shared" si="63"/>
        <v>Ag-107m</v>
      </c>
      <c r="B1357" s="91" t="s">
        <v>1952</v>
      </c>
      <c r="C1357" s="91" t="s">
        <v>1923</v>
      </c>
      <c r="D1357" s="91">
        <v>47</v>
      </c>
      <c r="E1357" s="91">
        <v>107</v>
      </c>
      <c r="F1357" s="91">
        <v>1</v>
      </c>
      <c r="G1357" s="126">
        <v>0.0156466632180574</v>
      </c>
      <c r="H1357" s="126">
        <f t="shared" si="64"/>
        <v>44.3000000000002</v>
      </c>
      <c r="I1357" s="126" t="str">
        <f t="shared" si="65"/>
        <v>0y 0d 0h 0m</v>
      </c>
    </row>
    <row r="1358" s="91" customFormat="1" spans="1:9">
      <c r="A1358" s="91" t="str">
        <f t="shared" si="63"/>
        <v>Ag-108</v>
      </c>
      <c r="B1358" s="91" t="s">
        <v>1953</v>
      </c>
      <c r="C1358" s="91" t="s">
        <v>1923</v>
      </c>
      <c r="D1358" s="91">
        <v>47</v>
      </c>
      <c r="E1358" s="91">
        <v>108</v>
      </c>
      <c r="F1358" s="91">
        <v>0</v>
      </c>
      <c r="G1358" s="126">
        <v>0.00484989630954341</v>
      </c>
      <c r="H1358" s="126">
        <f t="shared" si="64"/>
        <v>142.92</v>
      </c>
      <c r="I1358" s="126" t="str">
        <f t="shared" si="65"/>
        <v>0y 0d 0h 2m</v>
      </c>
    </row>
    <row r="1359" s="91" customFormat="1" spans="1:9">
      <c r="A1359" s="91" t="str">
        <f t="shared" si="63"/>
        <v>Ag-108m</v>
      </c>
      <c r="B1359" s="91" t="s">
        <v>1954</v>
      </c>
      <c r="C1359" s="91" t="s">
        <v>1923</v>
      </c>
      <c r="D1359" s="91">
        <v>47</v>
      </c>
      <c r="E1359" s="91">
        <v>108</v>
      </c>
      <c r="F1359" s="91">
        <v>1</v>
      </c>
      <c r="G1359" s="126">
        <v>5.0147384682608e-11</v>
      </c>
      <c r="H1359" s="126">
        <f t="shared" si="64"/>
        <v>13822200000</v>
      </c>
      <c r="I1359" s="126" t="str">
        <f t="shared" si="65"/>
        <v>438y 109d 4h 0m</v>
      </c>
    </row>
    <row r="1360" s="91" customFormat="1" spans="1:9">
      <c r="A1360" s="91" t="str">
        <f t="shared" si="63"/>
        <v>Ag-109</v>
      </c>
      <c r="B1360" s="91" t="s">
        <v>1955</v>
      </c>
      <c r="C1360" s="91" t="s">
        <v>1923</v>
      </c>
      <c r="D1360" s="91">
        <v>47</v>
      </c>
      <c r="E1360" s="91">
        <v>109</v>
      </c>
      <c r="F1360" s="91">
        <v>0</v>
      </c>
      <c r="G1360" s="126">
        <v>0</v>
      </c>
      <c r="H1360" s="126">
        <f t="shared" si="64"/>
        <v>0</v>
      </c>
      <c r="I1360" s="126" t="str">
        <f t="shared" si="65"/>
        <v>0y 0d 0h 0m</v>
      </c>
    </row>
    <row r="1361" s="91" customFormat="1" spans="1:9">
      <c r="A1361" s="91" t="str">
        <f t="shared" si="63"/>
        <v>Ag-109m</v>
      </c>
      <c r="B1361" s="91" t="s">
        <v>1956</v>
      </c>
      <c r="C1361" s="91" t="s">
        <v>1923</v>
      </c>
      <c r="D1361" s="91">
        <v>47</v>
      </c>
      <c r="E1361" s="91">
        <v>109</v>
      </c>
      <c r="F1361" s="91">
        <v>1</v>
      </c>
      <c r="G1361" s="126">
        <v>0.0175037166808066</v>
      </c>
      <c r="H1361" s="126">
        <f t="shared" si="64"/>
        <v>39.6000000000002</v>
      </c>
      <c r="I1361" s="126" t="str">
        <f t="shared" si="65"/>
        <v>0y 0d 0h 0m</v>
      </c>
    </row>
    <row r="1362" s="91" customFormat="1" spans="1:9">
      <c r="A1362" s="91" t="str">
        <f t="shared" si="63"/>
        <v>Ag-110</v>
      </c>
      <c r="B1362" s="91" t="s">
        <v>1957</v>
      </c>
      <c r="C1362" s="91" t="s">
        <v>1923</v>
      </c>
      <c r="D1362" s="91">
        <v>47</v>
      </c>
      <c r="E1362" s="91">
        <v>110</v>
      </c>
      <c r="F1362" s="91">
        <v>0</v>
      </c>
      <c r="G1362" s="126">
        <v>0.0281767146569083</v>
      </c>
      <c r="H1362" s="126">
        <f t="shared" si="64"/>
        <v>24.6</v>
      </c>
      <c r="I1362" s="126" t="str">
        <f t="shared" si="65"/>
        <v>0y 0d 0h 0m</v>
      </c>
    </row>
    <row r="1363" s="91" customFormat="1" spans="1:9">
      <c r="A1363" s="91" t="str">
        <f t="shared" si="63"/>
        <v>Ag-110m</v>
      </c>
      <c r="B1363" s="91" t="s">
        <v>1958</v>
      </c>
      <c r="C1363" s="91" t="s">
        <v>1923</v>
      </c>
      <c r="D1363" s="91">
        <v>47</v>
      </c>
      <c r="E1363" s="91">
        <v>110</v>
      </c>
      <c r="F1363" s="91">
        <v>1</v>
      </c>
      <c r="G1363" s="126">
        <v>3.21209893462493e-8</v>
      </c>
      <c r="H1363" s="126">
        <f t="shared" si="64"/>
        <v>21579260</v>
      </c>
      <c r="I1363" s="126" t="str">
        <f t="shared" si="65"/>
        <v>0y 249d 18h 14m</v>
      </c>
    </row>
    <row r="1364" s="91" customFormat="1" spans="1:9">
      <c r="A1364" s="91" t="str">
        <f t="shared" si="63"/>
        <v>Ag-111</v>
      </c>
      <c r="B1364" s="91" t="s">
        <v>1959</v>
      </c>
      <c r="C1364" s="91" t="s">
        <v>1923</v>
      </c>
      <c r="D1364" s="91">
        <v>47</v>
      </c>
      <c r="E1364" s="91">
        <v>111</v>
      </c>
      <c r="F1364" s="91">
        <v>0</v>
      </c>
      <c r="G1364" s="126">
        <v>1.07685057879683e-6</v>
      </c>
      <c r="H1364" s="126">
        <f t="shared" si="64"/>
        <v>643680.000000002</v>
      </c>
      <c r="I1364" s="126" t="str">
        <f t="shared" si="65"/>
        <v>0y 7d 10h 48m</v>
      </c>
    </row>
    <row r="1365" s="91" customFormat="1" spans="1:9">
      <c r="A1365" s="91" t="str">
        <f t="shared" si="63"/>
        <v>Ag-111m</v>
      </c>
      <c r="B1365" s="91" t="s">
        <v>1960</v>
      </c>
      <c r="C1365" s="91" t="s">
        <v>1923</v>
      </c>
      <c r="D1365" s="91">
        <v>47</v>
      </c>
      <c r="E1365" s="91">
        <v>111</v>
      </c>
      <c r="F1365" s="91">
        <v>1</v>
      </c>
      <c r="G1365" s="126">
        <v>0.0106967157493818</v>
      </c>
      <c r="H1365" s="126">
        <f t="shared" si="64"/>
        <v>64.8000000000004</v>
      </c>
      <c r="I1365" s="126" t="str">
        <f t="shared" si="65"/>
        <v>0y 0d 0h 1m</v>
      </c>
    </row>
    <row r="1366" s="91" customFormat="1" spans="1:9">
      <c r="A1366" s="91" t="str">
        <f t="shared" si="63"/>
        <v>Ag-112</v>
      </c>
      <c r="B1366" s="91" t="s">
        <v>1961</v>
      </c>
      <c r="C1366" s="91" t="s">
        <v>1923</v>
      </c>
      <c r="D1366" s="91">
        <v>47</v>
      </c>
      <c r="E1366" s="91">
        <v>112</v>
      </c>
      <c r="F1366" s="91">
        <v>0</v>
      </c>
      <c r="G1366" s="126">
        <v>6.15146592616209e-5</v>
      </c>
      <c r="H1366" s="126">
        <f t="shared" si="64"/>
        <v>11268</v>
      </c>
      <c r="I1366" s="126" t="str">
        <f t="shared" si="65"/>
        <v>0y 0d 3h 7m</v>
      </c>
    </row>
    <row r="1367" s="91" customFormat="1" spans="1:9">
      <c r="A1367" s="91" t="str">
        <f t="shared" si="63"/>
        <v>Ag-113</v>
      </c>
      <c r="B1367" s="91" t="s">
        <v>1962</v>
      </c>
      <c r="C1367" s="91" t="s">
        <v>1923</v>
      </c>
      <c r="D1367" s="91">
        <v>47</v>
      </c>
      <c r="E1367" s="91">
        <v>113</v>
      </c>
      <c r="F1367" s="91">
        <v>0</v>
      </c>
      <c r="G1367" s="126">
        <v>3.58549131264196e-5</v>
      </c>
      <c r="H1367" s="126">
        <f t="shared" si="64"/>
        <v>19332</v>
      </c>
      <c r="I1367" s="126" t="str">
        <f t="shared" si="65"/>
        <v>0y 0d 5h 22m</v>
      </c>
    </row>
    <row r="1368" s="91" customFormat="1" spans="1:9">
      <c r="A1368" s="91" t="str">
        <f t="shared" si="63"/>
        <v>Ag-113m</v>
      </c>
      <c r="B1368" s="91" t="s">
        <v>1963</v>
      </c>
      <c r="C1368" s="91" t="s">
        <v>1923</v>
      </c>
      <c r="D1368" s="91">
        <v>47</v>
      </c>
      <c r="E1368" s="91">
        <v>113</v>
      </c>
      <c r="F1368" s="91">
        <v>1</v>
      </c>
      <c r="G1368" s="126">
        <v>0.0100894786107706</v>
      </c>
      <c r="H1368" s="126">
        <f t="shared" si="64"/>
        <v>68.7000000000005</v>
      </c>
      <c r="I1368" s="126" t="str">
        <f t="shared" si="65"/>
        <v>0y 0d 0h 1m</v>
      </c>
    </row>
    <row r="1369" s="91" customFormat="1" spans="1:9">
      <c r="A1369" s="91" t="str">
        <f t="shared" si="63"/>
        <v>Ag-114</v>
      </c>
      <c r="B1369" s="91" t="s">
        <v>1964</v>
      </c>
      <c r="C1369" s="91" t="s">
        <v>1923</v>
      </c>
      <c r="D1369" s="91">
        <v>47</v>
      </c>
      <c r="E1369" s="91">
        <v>114</v>
      </c>
      <c r="F1369" s="91">
        <v>0</v>
      </c>
      <c r="G1369" s="126">
        <v>0.150684169686944</v>
      </c>
      <c r="H1369" s="126">
        <f t="shared" si="64"/>
        <v>4.60000000000002</v>
      </c>
      <c r="I1369" s="126" t="str">
        <f t="shared" si="65"/>
        <v>0y 0d 0h 0m</v>
      </c>
    </row>
    <row r="1370" s="91" customFormat="1" spans="1:9">
      <c r="A1370" s="91" t="str">
        <f t="shared" si="63"/>
        <v>Ag-114m</v>
      </c>
      <c r="B1370" s="91" t="s">
        <v>1965</v>
      </c>
      <c r="C1370" s="91" t="s">
        <v>1923</v>
      </c>
      <c r="D1370" s="91">
        <v>47</v>
      </c>
      <c r="E1370" s="91">
        <v>114</v>
      </c>
      <c r="F1370" s="91">
        <v>1</v>
      </c>
      <c r="G1370" s="126">
        <v>462.098120373296</v>
      </c>
      <c r="H1370" s="126">
        <f t="shared" si="64"/>
        <v>0.0015</v>
      </c>
      <c r="I1370" s="126" t="str">
        <f t="shared" si="65"/>
        <v>0y 0d 0h 0m</v>
      </c>
    </row>
    <row r="1371" s="91" customFormat="1" spans="1:9">
      <c r="A1371" s="91" t="str">
        <f t="shared" si="63"/>
        <v>Ag-115</v>
      </c>
      <c r="B1371" s="91" t="s">
        <v>1966</v>
      </c>
      <c r="C1371" s="91" t="s">
        <v>1923</v>
      </c>
      <c r="D1371" s="91">
        <v>47</v>
      </c>
      <c r="E1371" s="91">
        <v>115</v>
      </c>
      <c r="F1371" s="91">
        <v>0</v>
      </c>
      <c r="G1371" s="126">
        <v>0.000577622650466621</v>
      </c>
      <c r="H1371" s="126">
        <f t="shared" si="64"/>
        <v>1200</v>
      </c>
      <c r="I1371" s="126" t="str">
        <f t="shared" si="65"/>
        <v>0y 0d 0h 20m</v>
      </c>
    </row>
    <row r="1372" s="91" customFormat="1" spans="1:9">
      <c r="A1372" s="91" t="str">
        <f t="shared" si="63"/>
        <v>Ag-115m</v>
      </c>
      <c r="B1372" s="91" t="s">
        <v>1967</v>
      </c>
      <c r="C1372" s="91" t="s">
        <v>1923</v>
      </c>
      <c r="D1372" s="91">
        <v>47</v>
      </c>
      <c r="E1372" s="91">
        <v>115</v>
      </c>
      <c r="F1372" s="91">
        <v>1</v>
      </c>
      <c r="G1372" s="126">
        <v>0.0385081766977747</v>
      </c>
      <c r="H1372" s="126">
        <f t="shared" si="64"/>
        <v>18</v>
      </c>
      <c r="I1372" s="126" t="str">
        <f t="shared" si="65"/>
        <v>0y 0d 0h 0m</v>
      </c>
    </row>
    <row r="1373" s="91" customFormat="1" spans="1:9">
      <c r="A1373" s="91" t="str">
        <f t="shared" si="63"/>
        <v>Ag-116</v>
      </c>
      <c r="B1373" s="91" t="s">
        <v>1968</v>
      </c>
      <c r="C1373" s="91" t="s">
        <v>1923</v>
      </c>
      <c r="D1373" s="91">
        <v>47</v>
      </c>
      <c r="E1373" s="91">
        <v>116</v>
      </c>
      <c r="F1373" s="91">
        <v>0</v>
      </c>
      <c r="G1373" s="126">
        <v>0.00292467164793225</v>
      </c>
      <c r="H1373" s="126">
        <f t="shared" si="64"/>
        <v>237.000000000001</v>
      </c>
      <c r="I1373" s="126" t="str">
        <f t="shared" si="65"/>
        <v>0y 0d 0h 3m</v>
      </c>
    </row>
    <row r="1374" s="91" customFormat="1" spans="1:9">
      <c r="A1374" s="91" t="str">
        <f t="shared" si="63"/>
        <v>Ag-116m</v>
      </c>
      <c r="B1374" s="91" t="s">
        <v>1969</v>
      </c>
      <c r="C1374" s="91" t="s">
        <v>1923</v>
      </c>
      <c r="D1374" s="91">
        <v>47</v>
      </c>
      <c r="E1374" s="91">
        <v>116</v>
      </c>
      <c r="F1374" s="91">
        <v>1</v>
      </c>
      <c r="G1374" s="126">
        <v>0.0346573590279972</v>
      </c>
      <c r="H1374" s="126">
        <f t="shared" si="64"/>
        <v>20</v>
      </c>
      <c r="I1374" s="126" t="str">
        <f t="shared" si="65"/>
        <v>0y 0d 0h 0m</v>
      </c>
    </row>
    <row r="1375" s="91" customFormat="1" spans="1:9">
      <c r="A1375" s="91" t="str">
        <f t="shared" si="63"/>
        <v>Ag-116m2</v>
      </c>
      <c r="B1375" s="91" t="s">
        <v>1970</v>
      </c>
      <c r="C1375" s="91" t="s">
        <v>1923</v>
      </c>
      <c r="D1375" s="91">
        <v>47</v>
      </c>
      <c r="E1375" s="91">
        <v>116</v>
      </c>
      <c r="F1375" s="91">
        <v>2</v>
      </c>
      <c r="G1375" s="126">
        <v>0.0745319548989188</v>
      </c>
      <c r="H1375" s="126">
        <f t="shared" si="64"/>
        <v>9.30000000000001</v>
      </c>
      <c r="I1375" s="126" t="str">
        <f t="shared" si="65"/>
        <v>0y 0d 0h 0m</v>
      </c>
    </row>
    <row r="1376" s="91" customFormat="1" spans="1:9">
      <c r="A1376" s="91" t="str">
        <f t="shared" si="63"/>
        <v>Ag-117</v>
      </c>
      <c r="B1376" s="91" t="s">
        <v>1971</v>
      </c>
      <c r="C1376" s="91" t="s">
        <v>1923</v>
      </c>
      <c r="D1376" s="91">
        <v>47</v>
      </c>
      <c r="E1376" s="91">
        <v>117</v>
      </c>
      <c r="F1376" s="91">
        <v>0</v>
      </c>
      <c r="G1376" s="126">
        <v>0.00952125248021902</v>
      </c>
      <c r="H1376" s="126">
        <f t="shared" si="64"/>
        <v>72.8000000000001</v>
      </c>
      <c r="I1376" s="126" t="str">
        <f t="shared" si="65"/>
        <v>0y 0d 0h 1m</v>
      </c>
    </row>
    <row r="1377" s="91" customFormat="1" spans="1:9">
      <c r="A1377" s="91" t="str">
        <f t="shared" si="63"/>
        <v>Ag-117m</v>
      </c>
      <c r="B1377" s="91" t="s">
        <v>1972</v>
      </c>
      <c r="C1377" s="91" t="s">
        <v>1923</v>
      </c>
      <c r="D1377" s="91">
        <v>47</v>
      </c>
      <c r="E1377" s="91">
        <v>117</v>
      </c>
      <c r="F1377" s="91">
        <v>1</v>
      </c>
      <c r="G1377" s="126">
        <v>0.129802842801487</v>
      </c>
      <c r="H1377" s="126">
        <f t="shared" si="64"/>
        <v>5.34000000000004</v>
      </c>
      <c r="I1377" s="126" t="str">
        <f t="shared" si="65"/>
        <v>0y 0d 0h 0m</v>
      </c>
    </row>
    <row r="1378" s="91" customFormat="1" spans="1:9">
      <c r="A1378" s="91" t="str">
        <f t="shared" si="63"/>
        <v>Ag-118</v>
      </c>
      <c r="B1378" s="91" t="s">
        <v>1973</v>
      </c>
      <c r="C1378" s="91" t="s">
        <v>1923</v>
      </c>
      <c r="D1378" s="91">
        <v>47</v>
      </c>
      <c r="E1378" s="91">
        <v>118</v>
      </c>
      <c r="F1378" s="91">
        <v>0</v>
      </c>
      <c r="G1378" s="126">
        <v>0.18434765440424</v>
      </c>
      <c r="H1378" s="126">
        <f t="shared" si="64"/>
        <v>3.76000000000002</v>
      </c>
      <c r="I1378" s="126" t="str">
        <f t="shared" si="65"/>
        <v>0y 0d 0h 0m</v>
      </c>
    </row>
    <row r="1379" s="91" customFormat="1" spans="1:9">
      <c r="A1379" s="91" t="str">
        <f t="shared" si="63"/>
        <v>Ag-118m</v>
      </c>
      <c r="B1379" s="91" t="s">
        <v>1974</v>
      </c>
      <c r="C1379" s="91" t="s">
        <v>1923</v>
      </c>
      <c r="D1379" s="91">
        <v>47</v>
      </c>
      <c r="E1379" s="91">
        <v>118</v>
      </c>
      <c r="F1379" s="91">
        <v>1</v>
      </c>
      <c r="G1379" s="126">
        <v>0.346573590279972</v>
      </c>
      <c r="H1379" s="126">
        <f t="shared" si="64"/>
        <v>2</v>
      </c>
      <c r="I1379" s="126" t="str">
        <f t="shared" si="65"/>
        <v>0y 0d 0h 0m</v>
      </c>
    </row>
    <row r="1380" s="91" customFormat="1" spans="1:9">
      <c r="A1380" s="91" t="str">
        <f t="shared" si="63"/>
        <v>Ag-119</v>
      </c>
      <c r="B1380" s="91" t="s">
        <v>1975</v>
      </c>
      <c r="C1380" s="91" t="s">
        <v>1923</v>
      </c>
      <c r="D1380" s="91">
        <v>47</v>
      </c>
      <c r="E1380" s="91">
        <v>119</v>
      </c>
      <c r="F1380" s="91">
        <v>0</v>
      </c>
      <c r="G1380" s="126">
        <v>0.330070085980926</v>
      </c>
      <c r="H1380" s="126">
        <f t="shared" si="64"/>
        <v>2.1</v>
      </c>
      <c r="I1380" s="126" t="str">
        <f t="shared" si="65"/>
        <v>0y 0d 0h 0m</v>
      </c>
    </row>
    <row r="1381" s="91" customFormat="1" spans="1:9">
      <c r="A1381" s="91" t="str">
        <f t="shared" si="63"/>
        <v>Ag-119m</v>
      </c>
      <c r="B1381" s="91" t="s">
        <v>1976</v>
      </c>
      <c r="C1381" s="91" t="s">
        <v>1923</v>
      </c>
      <c r="D1381" s="91">
        <v>47</v>
      </c>
      <c r="E1381" s="91">
        <v>119</v>
      </c>
      <c r="F1381" s="91">
        <v>1</v>
      </c>
      <c r="G1381" s="126">
        <v>0.115524530093324</v>
      </c>
      <c r="H1381" s="126">
        <f t="shared" si="64"/>
        <v>6.00000000000001</v>
      </c>
      <c r="I1381" s="126" t="str">
        <f t="shared" si="65"/>
        <v>0y 0d 0h 0m</v>
      </c>
    </row>
    <row r="1382" s="91" customFormat="1" spans="1:9">
      <c r="A1382" s="91" t="str">
        <f t="shared" si="63"/>
        <v>Ag-120</v>
      </c>
      <c r="B1382" s="91" t="s">
        <v>1977</v>
      </c>
      <c r="C1382" s="91" t="s">
        <v>1923</v>
      </c>
      <c r="D1382" s="91">
        <v>47</v>
      </c>
      <c r="E1382" s="91">
        <v>120</v>
      </c>
      <c r="F1382" s="91">
        <v>0</v>
      </c>
      <c r="G1382" s="126">
        <v>0.563534293138166</v>
      </c>
      <c r="H1382" s="126">
        <f t="shared" si="64"/>
        <v>1.23</v>
      </c>
      <c r="I1382" s="126" t="str">
        <f t="shared" si="65"/>
        <v>0y 0d 0h 0m</v>
      </c>
    </row>
    <row r="1383" s="91" customFormat="1" spans="1:9">
      <c r="A1383" s="91" t="str">
        <f t="shared" si="63"/>
        <v>Ag-120m</v>
      </c>
      <c r="B1383" s="91" t="s">
        <v>1978</v>
      </c>
      <c r="C1383" s="91" t="s">
        <v>1923</v>
      </c>
      <c r="D1383" s="91">
        <v>47</v>
      </c>
      <c r="E1383" s="91">
        <v>120</v>
      </c>
      <c r="F1383" s="91">
        <v>1</v>
      </c>
      <c r="G1383" s="126">
        <v>2.16608493924982</v>
      </c>
      <c r="H1383" s="126">
        <f t="shared" si="64"/>
        <v>0.320000000000001</v>
      </c>
      <c r="I1383" s="126" t="str">
        <f t="shared" si="65"/>
        <v>0y 0d 0h 0m</v>
      </c>
    </row>
    <row r="1384" s="91" customFormat="1" spans="1:9">
      <c r="A1384" s="91" t="str">
        <f t="shared" si="63"/>
        <v>Ag-121</v>
      </c>
      <c r="B1384" s="91" t="s">
        <v>1979</v>
      </c>
      <c r="C1384" s="91" t="s">
        <v>1923</v>
      </c>
      <c r="D1384" s="91">
        <v>47</v>
      </c>
      <c r="E1384" s="91">
        <v>121</v>
      </c>
      <c r="F1384" s="91">
        <v>0</v>
      </c>
      <c r="G1384" s="126">
        <v>0.888650231487109</v>
      </c>
      <c r="H1384" s="126">
        <f t="shared" si="64"/>
        <v>0.78</v>
      </c>
      <c r="I1384" s="126" t="str">
        <f t="shared" si="65"/>
        <v>0y 0d 0h 0m</v>
      </c>
    </row>
    <row r="1385" s="91" customFormat="1" spans="1:9">
      <c r="A1385" s="91" t="str">
        <f t="shared" si="63"/>
        <v>Ag-122</v>
      </c>
      <c r="B1385" s="91" t="s">
        <v>1980</v>
      </c>
      <c r="C1385" s="91" t="s">
        <v>1923</v>
      </c>
      <c r="D1385" s="91">
        <v>47</v>
      </c>
      <c r="E1385" s="91">
        <v>122</v>
      </c>
      <c r="F1385" s="91">
        <v>0</v>
      </c>
      <c r="G1385" s="126">
        <v>1.31029712771256</v>
      </c>
      <c r="H1385" s="126">
        <f t="shared" si="64"/>
        <v>0.529000000000001</v>
      </c>
      <c r="I1385" s="126" t="str">
        <f t="shared" si="65"/>
        <v>0y 0d 0h 0m</v>
      </c>
    </row>
    <row r="1386" s="91" customFormat="1" spans="1:9">
      <c r="A1386" s="91" t="str">
        <f t="shared" si="63"/>
        <v>Ag-122m</v>
      </c>
      <c r="B1386" s="91" t="s">
        <v>1981</v>
      </c>
      <c r="C1386" s="91" t="s">
        <v>1923</v>
      </c>
      <c r="D1386" s="91">
        <v>47</v>
      </c>
      <c r="E1386" s="91">
        <v>122</v>
      </c>
      <c r="F1386" s="91">
        <v>1</v>
      </c>
      <c r="G1386" s="126">
        <v>3.46573590279972</v>
      </c>
      <c r="H1386" s="126">
        <f t="shared" si="64"/>
        <v>0.2</v>
      </c>
      <c r="I1386" s="126" t="str">
        <f t="shared" si="65"/>
        <v>0y 0d 0h 0m</v>
      </c>
    </row>
    <row r="1387" s="91" customFormat="1" spans="1:9">
      <c r="A1387" s="91" t="str">
        <f t="shared" si="63"/>
        <v>Ag-123</v>
      </c>
      <c r="B1387" s="91" t="s">
        <v>1982</v>
      </c>
      <c r="C1387" s="91" t="s">
        <v>1923</v>
      </c>
      <c r="D1387" s="91">
        <v>47</v>
      </c>
      <c r="E1387" s="91">
        <v>123</v>
      </c>
      <c r="F1387" s="91">
        <v>0</v>
      </c>
      <c r="G1387" s="126">
        <v>2.31049060186648</v>
      </c>
      <c r="H1387" s="126">
        <f t="shared" si="64"/>
        <v>0.300000000000001</v>
      </c>
      <c r="I1387" s="126" t="str">
        <f t="shared" si="65"/>
        <v>0y 0d 0h 0m</v>
      </c>
    </row>
    <row r="1388" s="91" customFormat="1" spans="1:9">
      <c r="A1388" s="91" t="str">
        <f t="shared" si="63"/>
        <v>Ag-124</v>
      </c>
      <c r="B1388" s="91" t="s">
        <v>1983</v>
      </c>
      <c r="C1388" s="91" t="s">
        <v>1923</v>
      </c>
      <c r="D1388" s="91">
        <v>47</v>
      </c>
      <c r="E1388" s="91">
        <v>124</v>
      </c>
      <c r="F1388" s="91">
        <v>0</v>
      </c>
      <c r="G1388" s="126">
        <v>4.02992546837177</v>
      </c>
      <c r="H1388" s="126">
        <f t="shared" si="64"/>
        <v>0.172</v>
      </c>
      <c r="I1388" s="126" t="str">
        <f t="shared" si="65"/>
        <v>0y 0d 0h 0m</v>
      </c>
    </row>
    <row r="1389" s="91" customFormat="1" spans="1:9">
      <c r="A1389" s="91" t="str">
        <f t="shared" si="63"/>
        <v>Ag-125</v>
      </c>
      <c r="B1389" s="91" t="s">
        <v>1984</v>
      </c>
      <c r="C1389" s="91" t="s">
        <v>1923</v>
      </c>
      <c r="D1389" s="91">
        <v>47</v>
      </c>
      <c r="E1389" s="91">
        <v>125</v>
      </c>
      <c r="F1389" s="91">
        <v>0</v>
      </c>
      <c r="G1389" s="126">
        <v>4.17558542505991</v>
      </c>
      <c r="H1389" s="126">
        <f t="shared" si="64"/>
        <v>0.166</v>
      </c>
      <c r="I1389" s="126" t="str">
        <f t="shared" si="65"/>
        <v>0y 0d 0h 0m</v>
      </c>
    </row>
    <row r="1390" s="91" customFormat="1" spans="1:9">
      <c r="A1390" s="91" t="str">
        <f t="shared" si="63"/>
        <v>Ag-126</v>
      </c>
      <c r="B1390" s="91" t="s">
        <v>1985</v>
      </c>
      <c r="C1390" s="91" t="s">
        <v>1923</v>
      </c>
      <c r="D1390" s="91">
        <v>47</v>
      </c>
      <c r="E1390" s="91">
        <v>126</v>
      </c>
      <c r="F1390" s="91">
        <v>0</v>
      </c>
      <c r="G1390" s="126">
        <v>6.47801103327051</v>
      </c>
      <c r="H1390" s="126">
        <f t="shared" si="64"/>
        <v>0.107</v>
      </c>
      <c r="I1390" s="126" t="str">
        <f t="shared" si="65"/>
        <v>0y 0d 0h 0m</v>
      </c>
    </row>
    <row r="1391" s="91" customFormat="1" spans="1:9">
      <c r="A1391" s="91" t="str">
        <f t="shared" si="63"/>
        <v>Ag-127</v>
      </c>
      <c r="B1391" s="91" t="s">
        <v>1986</v>
      </c>
      <c r="C1391" s="91" t="s">
        <v>1923</v>
      </c>
      <c r="D1391" s="91">
        <v>47</v>
      </c>
      <c r="E1391" s="91">
        <v>127</v>
      </c>
      <c r="F1391" s="91">
        <v>0</v>
      </c>
      <c r="G1391" s="126">
        <v>6.35914844550408</v>
      </c>
      <c r="H1391" s="126">
        <f t="shared" si="64"/>
        <v>0.109</v>
      </c>
      <c r="I1391" s="126" t="str">
        <f t="shared" si="65"/>
        <v>0y 0d 0h 0m</v>
      </c>
    </row>
    <row r="1392" s="91" customFormat="1" spans="1:9">
      <c r="A1392" s="91" t="str">
        <f t="shared" si="63"/>
        <v>Ag-128</v>
      </c>
      <c r="B1392" s="91" t="s">
        <v>1987</v>
      </c>
      <c r="C1392" s="91" t="s">
        <v>1923</v>
      </c>
      <c r="D1392" s="91">
        <v>47</v>
      </c>
      <c r="E1392" s="91">
        <v>128</v>
      </c>
      <c r="F1392" s="91">
        <v>0</v>
      </c>
      <c r="G1392" s="126">
        <v>11.95081345793</v>
      </c>
      <c r="H1392" s="126">
        <f t="shared" si="64"/>
        <v>0.0580000000000004</v>
      </c>
      <c r="I1392" s="126" t="str">
        <f t="shared" si="65"/>
        <v>0y 0d 0h 0m</v>
      </c>
    </row>
    <row r="1393" s="91" customFormat="1" spans="1:9">
      <c r="A1393" s="91" t="str">
        <f t="shared" si="63"/>
        <v>Ag-129</v>
      </c>
      <c r="B1393" s="91" t="s">
        <v>1988</v>
      </c>
      <c r="C1393" s="91" t="s">
        <v>1923</v>
      </c>
      <c r="D1393" s="91">
        <v>47</v>
      </c>
      <c r="E1393" s="91">
        <v>129</v>
      </c>
      <c r="F1393" s="91">
        <v>0</v>
      </c>
      <c r="G1393" s="126">
        <v>15.0684169686944</v>
      </c>
      <c r="H1393" s="126">
        <f t="shared" si="64"/>
        <v>0.0460000000000002</v>
      </c>
      <c r="I1393" s="126" t="str">
        <f t="shared" si="65"/>
        <v>0y 0d 0h 0m</v>
      </c>
    </row>
    <row r="1394" s="91" customFormat="1" spans="1:9">
      <c r="A1394" s="91" t="str">
        <f t="shared" si="63"/>
        <v>Ag-130</v>
      </c>
      <c r="B1394" s="91" t="s">
        <v>1989</v>
      </c>
      <c r="C1394" s="91" t="s">
        <v>1923</v>
      </c>
      <c r="D1394" s="91">
        <v>47</v>
      </c>
      <c r="E1394" s="91">
        <v>130</v>
      </c>
      <c r="F1394" s="91">
        <v>0</v>
      </c>
      <c r="G1394" s="126">
        <v>13.8629436111989</v>
      </c>
      <c r="H1394" s="126">
        <f t="shared" si="64"/>
        <v>0.05</v>
      </c>
      <c r="I1394" s="126" t="str">
        <f t="shared" si="65"/>
        <v>0y 0d 0h 0m</v>
      </c>
    </row>
    <row r="1395" s="91" customFormat="1" spans="1:9">
      <c r="A1395" s="91" t="str">
        <f t="shared" si="63"/>
        <v>Cd-95</v>
      </c>
      <c r="B1395" s="91" t="s">
        <v>1990</v>
      </c>
      <c r="C1395" s="91" t="s">
        <v>1991</v>
      </c>
      <c r="D1395" s="91">
        <v>48</v>
      </c>
      <c r="E1395" s="91">
        <v>95</v>
      </c>
      <c r="F1395" s="91">
        <v>0</v>
      </c>
      <c r="G1395" s="126">
        <v>138.629436111989</v>
      </c>
      <c r="H1395" s="126">
        <f t="shared" si="64"/>
        <v>0.005</v>
      </c>
      <c r="I1395" s="126" t="str">
        <f t="shared" si="65"/>
        <v>0y 0d 0h 0m</v>
      </c>
    </row>
    <row r="1396" s="91" customFormat="1" spans="1:9">
      <c r="A1396" s="91" t="str">
        <f t="shared" si="63"/>
        <v>Cd-96</v>
      </c>
      <c r="B1396" s="91" t="s">
        <v>1992</v>
      </c>
      <c r="C1396" s="91" t="s">
        <v>1991</v>
      </c>
      <c r="D1396" s="91">
        <v>48</v>
      </c>
      <c r="E1396" s="91">
        <v>96</v>
      </c>
      <c r="F1396" s="91">
        <v>0</v>
      </c>
      <c r="G1396" s="126">
        <v>0.693147180559945</v>
      </c>
      <c r="H1396" s="126">
        <f t="shared" si="64"/>
        <v>1</v>
      </c>
      <c r="I1396" s="126" t="str">
        <f t="shared" si="65"/>
        <v>0y 0d 0h 0m</v>
      </c>
    </row>
    <row r="1397" s="91" customFormat="1" spans="1:9">
      <c r="A1397" s="91" t="str">
        <f t="shared" si="63"/>
        <v>Cd-97</v>
      </c>
      <c r="B1397" s="91" t="s">
        <v>1993</v>
      </c>
      <c r="C1397" s="91" t="s">
        <v>1991</v>
      </c>
      <c r="D1397" s="91">
        <v>48</v>
      </c>
      <c r="E1397" s="91">
        <v>97</v>
      </c>
      <c r="F1397" s="91">
        <v>0</v>
      </c>
      <c r="G1397" s="126">
        <v>0.247552564485694</v>
      </c>
      <c r="H1397" s="126">
        <f t="shared" si="64"/>
        <v>2.80000000000001</v>
      </c>
      <c r="I1397" s="126" t="str">
        <f t="shared" si="65"/>
        <v>0y 0d 0h 0m</v>
      </c>
    </row>
    <row r="1398" s="91" customFormat="1" spans="1:9">
      <c r="A1398" s="91" t="str">
        <f t="shared" si="63"/>
        <v>Cd-98</v>
      </c>
      <c r="B1398" s="91" t="s">
        <v>1994</v>
      </c>
      <c r="C1398" s="91" t="s">
        <v>1991</v>
      </c>
      <c r="D1398" s="91">
        <v>48</v>
      </c>
      <c r="E1398" s="91">
        <v>98</v>
      </c>
      <c r="F1398" s="91">
        <v>0</v>
      </c>
      <c r="G1398" s="126">
        <v>0.0753420848434723</v>
      </c>
      <c r="H1398" s="126">
        <f t="shared" si="64"/>
        <v>9.2</v>
      </c>
      <c r="I1398" s="126" t="str">
        <f t="shared" si="65"/>
        <v>0y 0d 0h 0m</v>
      </c>
    </row>
    <row r="1399" s="91" customFormat="1" spans="1:9">
      <c r="A1399" s="91" t="str">
        <f t="shared" si="63"/>
        <v>Cd-99</v>
      </c>
      <c r="B1399" s="91" t="s">
        <v>1995</v>
      </c>
      <c r="C1399" s="91" t="s">
        <v>1991</v>
      </c>
      <c r="D1399" s="91">
        <v>48</v>
      </c>
      <c r="E1399" s="91">
        <v>99</v>
      </c>
      <c r="F1399" s="91">
        <v>0</v>
      </c>
      <c r="G1399" s="126">
        <v>0.0433216987849965</v>
      </c>
      <c r="H1399" s="126">
        <f t="shared" si="64"/>
        <v>16</v>
      </c>
      <c r="I1399" s="126" t="str">
        <f t="shared" si="65"/>
        <v>0y 0d 0h 0m</v>
      </c>
    </row>
    <row r="1400" s="91" customFormat="1" spans="1:9">
      <c r="A1400" s="91" t="str">
        <f t="shared" si="63"/>
        <v>Cd-100</v>
      </c>
      <c r="B1400" s="91" t="s">
        <v>1996</v>
      </c>
      <c r="C1400" s="91" t="s">
        <v>1991</v>
      </c>
      <c r="D1400" s="91">
        <v>48</v>
      </c>
      <c r="E1400" s="91">
        <v>100</v>
      </c>
      <c r="F1400" s="91">
        <v>0</v>
      </c>
      <c r="G1400" s="126">
        <v>0.0141170505205691</v>
      </c>
      <c r="H1400" s="126">
        <f t="shared" si="64"/>
        <v>49.1000000000002</v>
      </c>
      <c r="I1400" s="126" t="str">
        <f t="shared" si="65"/>
        <v>0y 0d 0h 0m</v>
      </c>
    </row>
    <row r="1401" s="91" customFormat="1" spans="1:9">
      <c r="A1401" s="91" t="str">
        <f t="shared" si="63"/>
        <v>Cd-101</v>
      </c>
      <c r="B1401" s="91" t="s">
        <v>1997</v>
      </c>
      <c r="C1401" s="91" t="s">
        <v>1991</v>
      </c>
      <c r="D1401" s="91">
        <v>48</v>
      </c>
      <c r="E1401" s="91">
        <v>101</v>
      </c>
      <c r="F1401" s="91">
        <v>0</v>
      </c>
      <c r="G1401" s="126">
        <v>0.00849445074215619</v>
      </c>
      <c r="H1401" s="126">
        <f t="shared" si="64"/>
        <v>81.6</v>
      </c>
      <c r="I1401" s="126" t="str">
        <f t="shared" si="65"/>
        <v>0y 0d 0h 1m</v>
      </c>
    </row>
    <row r="1402" s="91" customFormat="1" spans="1:9">
      <c r="A1402" s="91" t="str">
        <f t="shared" si="63"/>
        <v>Cd-102</v>
      </c>
      <c r="B1402" s="91" t="s">
        <v>1998</v>
      </c>
      <c r="C1402" s="91" t="s">
        <v>1991</v>
      </c>
      <c r="D1402" s="91">
        <v>48</v>
      </c>
      <c r="E1402" s="91">
        <v>102</v>
      </c>
      <c r="F1402" s="91">
        <v>0</v>
      </c>
      <c r="G1402" s="126">
        <v>0.0021004460016968</v>
      </c>
      <c r="H1402" s="126">
        <f t="shared" si="64"/>
        <v>330.000000000001</v>
      </c>
      <c r="I1402" s="126" t="str">
        <f t="shared" si="65"/>
        <v>0y 0d 0h 5m</v>
      </c>
    </row>
    <row r="1403" s="91" customFormat="1" spans="1:9">
      <c r="A1403" s="91" t="str">
        <f t="shared" si="63"/>
        <v>Cd-103</v>
      </c>
      <c r="B1403" s="91" t="s">
        <v>1999</v>
      </c>
      <c r="C1403" s="91" t="s">
        <v>1991</v>
      </c>
      <c r="D1403" s="91">
        <v>48</v>
      </c>
      <c r="E1403" s="91">
        <v>103</v>
      </c>
      <c r="F1403" s="91">
        <v>0</v>
      </c>
      <c r="G1403" s="126">
        <v>0.00158252780949759</v>
      </c>
      <c r="H1403" s="126">
        <f t="shared" si="64"/>
        <v>438.000000000001</v>
      </c>
      <c r="I1403" s="126" t="str">
        <f t="shared" si="65"/>
        <v>0y 0d 0h 7m</v>
      </c>
    </row>
    <row r="1404" s="91" customFormat="1" spans="1:9">
      <c r="A1404" s="91" t="str">
        <f t="shared" si="63"/>
        <v>Cd-104</v>
      </c>
      <c r="B1404" s="91" t="s">
        <v>2000</v>
      </c>
      <c r="C1404" s="91" t="s">
        <v>1991</v>
      </c>
      <c r="D1404" s="91">
        <v>48</v>
      </c>
      <c r="E1404" s="91">
        <v>104</v>
      </c>
      <c r="F1404" s="91">
        <v>0</v>
      </c>
      <c r="G1404" s="126">
        <v>0.00020021582338531</v>
      </c>
      <c r="H1404" s="126">
        <f t="shared" si="64"/>
        <v>3462.00000000001</v>
      </c>
      <c r="I1404" s="126" t="str">
        <f t="shared" si="65"/>
        <v>0y 0d 0h 57m</v>
      </c>
    </row>
    <row r="1405" s="91" customFormat="1" spans="1:9">
      <c r="A1405" s="91" t="str">
        <f t="shared" si="63"/>
        <v>Cd-105</v>
      </c>
      <c r="B1405" s="91" t="s">
        <v>2001</v>
      </c>
      <c r="C1405" s="91" t="s">
        <v>1991</v>
      </c>
      <c r="D1405" s="91">
        <v>48</v>
      </c>
      <c r="E1405" s="91">
        <v>105</v>
      </c>
      <c r="F1405" s="91">
        <v>0</v>
      </c>
      <c r="G1405" s="126">
        <v>0.000208152306474458</v>
      </c>
      <c r="H1405" s="126">
        <f t="shared" si="64"/>
        <v>3330</v>
      </c>
      <c r="I1405" s="126" t="str">
        <f t="shared" si="65"/>
        <v>0y 0d 0h 55m</v>
      </c>
    </row>
    <row r="1406" s="91" customFormat="1" spans="1:9">
      <c r="A1406" s="91" t="str">
        <f t="shared" si="63"/>
        <v>Cd-106</v>
      </c>
      <c r="B1406" s="91" t="s">
        <v>2002</v>
      </c>
      <c r="C1406" s="91" t="s">
        <v>1991</v>
      </c>
      <c r="D1406" s="91">
        <v>48</v>
      </c>
      <c r="E1406" s="91">
        <v>106</v>
      </c>
      <c r="F1406" s="91">
        <v>0</v>
      </c>
      <c r="G1406" s="126">
        <v>0</v>
      </c>
      <c r="H1406" s="126">
        <f t="shared" si="64"/>
        <v>0</v>
      </c>
      <c r="I1406" s="126" t="str">
        <f t="shared" si="65"/>
        <v>0y 0d 0h 0m</v>
      </c>
    </row>
    <row r="1407" s="91" customFormat="1" spans="1:9">
      <c r="A1407" s="91" t="str">
        <f t="shared" si="63"/>
        <v>Cd-107</v>
      </c>
      <c r="B1407" s="91" t="s">
        <v>2003</v>
      </c>
      <c r="C1407" s="91" t="s">
        <v>1991</v>
      </c>
      <c r="D1407" s="91">
        <v>48</v>
      </c>
      <c r="E1407" s="91">
        <v>107</v>
      </c>
      <c r="F1407" s="91">
        <v>0</v>
      </c>
      <c r="G1407" s="126">
        <v>2.96216743829036e-5</v>
      </c>
      <c r="H1407" s="126">
        <f t="shared" si="64"/>
        <v>23400</v>
      </c>
      <c r="I1407" s="126" t="str">
        <f t="shared" si="65"/>
        <v>0y 0d 6h 30m</v>
      </c>
    </row>
    <row r="1408" s="91" customFormat="1" spans="1:9">
      <c r="A1408" s="91" t="str">
        <f t="shared" si="63"/>
        <v>Cd-108</v>
      </c>
      <c r="B1408" s="91" t="s">
        <v>2004</v>
      </c>
      <c r="C1408" s="91" t="s">
        <v>1991</v>
      </c>
      <c r="D1408" s="91">
        <v>48</v>
      </c>
      <c r="E1408" s="91">
        <v>108</v>
      </c>
      <c r="F1408" s="91">
        <v>0</v>
      </c>
      <c r="G1408" s="126">
        <v>0</v>
      </c>
      <c r="H1408" s="126">
        <f t="shared" si="64"/>
        <v>0</v>
      </c>
      <c r="I1408" s="126" t="str">
        <f t="shared" si="65"/>
        <v>0y 0d 0h 0m</v>
      </c>
    </row>
    <row r="1409" s="91" customFormat="1" spans="1:9">
      <c r="A1409" s="91" t="str">
        <f t="shared" si="63"/>
        <v>Cd-109</v>
      </c>
      <c r="B1409" s="91" t="s">
        <v>2005</v>
      </c>
      <c r="C1409" s="91" t="s">
        <v>1991</v>
      </c>
      <c r="D1409" s="91">
        <v>48</v>
      </c>
      <c r="E1409" s="91">
        <v>109</v>
      </c>
      <c r="F1409" s="91">
        <v>0</v>
      </c>
      <c r="G1409" s="126">
        <v>1.73873793065375e-8</v>
      </c>
      <c r="H1409" s="126">
        <f t="shared" si="64"/>
        <v>39864960</v>
      </c>
      <c r="I1409" s="126" t="str">
        <f t="shared" si="65"/>
        <v>1y 96d 9h 36m</v>
      </c>
    </row>
    <row r="1410" s="91" customFormat="1" spans="1:9">
      <c r="A1410" s="91" t="str">
        <f t="shared" ref="A1410:A1473" si="66">C1410&amp;"-"&amp;E1410&amp;_xlfn.IFS(F1410=0,"",F1410=1,"m",F1410&gt;1,"m"&amp;F1410)</f>
        <v>Cd-110</v>
      </c>
      <c r="B1410" s="91" t="s">
        <v>2006</v>
      </c>
      <c r="C1410" s="91" t="s">
        <v>1991</v>
      </c>
      <c r="D1410" s="91">
        <v>48</v>
      </c>
      <c r="E1410" s="91">
        <v>110</v>
      </c>
      <c r="F1410" s="91">
        <v>0</v>
      </c>
      <c r="G1410" s="126">
        <v>0</v>
      </c>
      <c r="H1410" s="126">
        <f t="shared" ref="H1410:H1473" si="67">IF(G1410&gt;0,LN(2)/G1410,0)</f>
        <v>0</v>
      </c>
      <c r="I1410" s="126" t="str">
        <f t="shared" si="65"/>
        <v>0y 0d 0h 0m</v>
      </c>
    </row>
    <row r="1411" s="91" customFormat="1" spans="1:9">
      <c r="A1411" s="91" t="str">
        <f t="shared" si="66"/>
        <v>Cd-111</v>
      </c>
      <c r="B1411" s="91" t="s">
        <v>2007</v>
      </c>
      <c r="C1411" s="91" t="s">
        <v>1991</v>
      </c>
      <c r="D1411" s="91">
        <v>48</v>
      </c>
      <c r="E1411" s="91">
        <v>111</v>
      </c>
      <c r="F1411" s="91">
        <v>0</v>
      </c>
      <c r="G1411" s="126">
        <v>0</v>
      </c>
      <c r="H1411" s="126">
        <f t="shared" si="67"/>
        <v>0</v>
      </c>
      <c r="I1411" s="126" t="str">
        <f t="shared" ref="I1411:I1474" si="68">INT(H1411/31536000)&amp;"y "&amp;INT(MOD(H1411,31536000)/86400)&amp;"d "&amp;INT(MOD(MOD(H1411,31536000),86400)/3600)&amp;"h "&amp;INT(MOD(MOD(MOD(H1411,31536000),86400),3600)/60)&amp;"m"</f>
        <v>0y 0d 0h 0m</v>
      </c>
    </row>
    <row r="1412" s="91" customFormat="1" spans="1:9">
      <c r="A1412" s="91" t="str">
        <f t="shared" si="66"/>
        <v>Cd-111m</v>
      </c>
      <c r="B1412" s="91" t="s">
        <v>2008</v>
      </c>
      <c r="C1412" s="91" t="s">
        <v>1991</v>
      </c>
      <c r="D1412" s="91">
        <v>48</v>
      </c>
      <c r="E1412" s="91">
        <v>111</v>
      </c>
      <c r="F1412" s="91">
        <v>1</v>
      </c>
      <c r="G1412" s="126">
        <v>0.000237998619887359</v>
      </c>
      <c r="H1412" s="126">
        <f t="shared" si="67"/>
        <v>2912.4</v>
      </c>
      <c r="I1412" s="126" t="str">
        <f t="shared" si="68"/>
        <v>0y 0d 0h 48m</v>
      </c>
    </row>
    <row r="1413" s="91" customFormat="1" spans="1:9">
      <c r="A1413" s="91" t="str">
        <f t="shared" si="66"/>
        <v>Cd-112</v>
      </c>
      <c r="B1413" s="91" t="s">
        <v>2009</v>
      </c>
      <c r="C1413" s="91" t="s">
        <v>1991</v>
      </c>
      <c r="D1413" s="91">
        <v>48</v>
      </c>
      <c r="E1413" s="91">
        <v>112</v>
      </c>
      <c r="F1413" s="91">
        <v>0</v>
      </c>
      <c r="G1413" s="126">
        <v>0</v>
      </c>
      <c r="H1413" s="126">
        <f t="shared" si="67"/>
        <v>0</v>
      </c>
      <c r="I1413" s="126" t="str">
        <f t="shared" si="68"/>
        <v>0y 0d 0h 0m</v>
      </c>
    </row>
    <row r="1414" s="91" customFormat="1" spans="1:9">
      <c r="A1414" s="91" t="str">
        <f t="shared" si="66"/>
        <v>Cd-113</v>
      </c>
      <c r="B1414" s="91" t="s">
        <v>2010</v>
      </c>
      <c r="C1414" s="91" t="s">
        <v>1991</v>
      </c>
      <c r="D1414" s="91">
        <v>48</v>
      </c>
      <c r="E1414" s="91">
        <v>113</v>
      </c>
      <c r="F1414" s="91">
        <v>0</v>
      </c>
      <c r="G1414" s="126">
        <v>2.73190519014809e-24</v>
      </c>
      <c r="H1414" s="126">
        <f t="shared" si="67"/>
        <v>2.53723000000001e+23</v>
      </c>
      <c r="I1414" s="126" t="str">
        <f t="shared" si="68"/>
        <v>8045503551496720y 0d 0h 0m</v>
      </c>
    </row>
    <row r="1415" s="91" customFormat="1" spans="1:9">
      <c r="A1415" s="91" t="str">
        <f t="shared" si="66"/>
        <v>Cd-113m</v>
      </c>
      <c r="B1415" s="91" t="s">
        <v>2011</v>
      </c>
      <c r="C1415" s="91" t="s">
        <v>1991</v>
      </c>
      <c r="D1415" s="91">
        <v>48</v>
      </c>
      <c r="E1415" s="91">
        <v>113</v>
      </c>
      <c r="F1415" s="91">
        <v>1</v>
      </c>
      <c r="G1415" s="126">
        <v>1.55776643624996e-9</v>
      </c>
      <c r="H1415" s="126">
        <f t="shared" si="67"/>
        <v>444962200.000002</v>
      </c>
      <c r="I1415" s="126" t="str">
        <f t="shared" si="68"/>
        <v>14y 40d 0h 36m</v>
      </c>
    </row>
    <row r="1416" s="91" customFormat="1" spans="1:9">
      <c r="A1416" s="91" t="str">
        <f t="shared" si="66"/>
        <v>Cd-114</v>
      </c>
      <c r="B1416" s="91" t="s">
        <v>2012</v>
      </c>
      <c r="C1416" s="91" t="s">
        <v>1991</v>
      </c>
      <c r="D1416" s="91">
        <v>48</v>
      </c>
      <c r="E1416" s="91">
        <v>114</v>
      </c>
      <c r="F1416" s="91">
        <v>0</v>
      </c>
      <c r="G1416" s="126">
        <v>0</v>
      </c>
      <c r="H1416" s="126">
        <f t="shared" si="67"/>
        <v>0</v>
      </c>
      <c r="I1416" s="126" t="str">
        <f t="shared" si="68"/>
        <v>0y 0d 0h 0m</v>
      </c>
    </row>
    <row r="1417" s="91" customFormat="1" spans="1:9">
      <c r="A1417" s="91" t="str">
        <f t="shared" si="66"/>
        <v>Cd-115</v>
      </c>
      <c r="B1417" s="91" t="s">
        <v>2013</v>
      </c>
      <c r="C1417" s="91" t="s">
        <v>1991</v>
      </c>
      <c r="D1417" s="91">
        <v>48</v>
      </c>
      <c r="E1417" s="91">
        <v>115</v>
      </c>
      <c r="F1417" s="91">
        <v>0</v>
      </c>
      <c r="G1417" s="126">
        <v>3.60158779440467e-6</v>
      </c>
      <c r="H1417" s="126">
        <f t="shared" si="67"/>
        <v>192456</v>
      </c>
      <c r="I1417" s="126" t="str">
        <f t="shared" si="68"/>
        <v>0y 2d 5h 27m</v>
      </c>
    </row>
    <row r="1418" s="91" customFormat="1" spans="1:9">
      <c r="A1418" s="91" t="str">
        <f t="shared" si="66"/>
        <v>Cd-115m</v>
      </c>
      <c r="B1418" s="91" t="s">
        <v>2014</v>
      </c>
      <c r="C1418" s="91" t="s">
        <v>1991</v>
      </c>
      <c r="D1418" s="91">
        <v>48</v>
      </c>
      <c r="E1418" s="91">
        <v>115</v>
      </c>
      <c r="F1418" s="91">
        <v>1</v>
      </c>
      <c r="G1418" s="126">
        <v>1.80038976930799e-7</v>
      </c>
      <c r="H1418" s="126">
        <f t="shared" si="67"/>
        <v>3849984</v>
      </c>
      <c r="I1418" s="126" t="str">
        <f t="shared" si="68"/>
        <v>0y 44d 13h 26m</v>
      </c>
    </row>
    <row r="1419" s="91" customFormat="1" spans="1:9">
      <c r="A1419" s="91" t="str">
        <f t="shared" si="66"/>
        <v>Cd-116</v>
      </c>
      <c r="B1419" s="91" t="s">
        <v>2015</v>
      </c>
      <c r="C1419" s="91" t="s">
        <v>1991</v>
      </c>
      <c r="D1419" s="91">
        <v>48</v>
      </c>
      <c r="E1419" s="91">
        <v>116</v>
      </c>
      <c r="F1419" s="91">
        <v>0</v>
      </c>
      <c r="G1419" s="126">
        <v>7.08532249832815e-28</v>
      </c>
      <c r="H1419" s="126">
        <f t="shared" si="67"/>
        <v>9.78286e+26</v>
      </c>
      <c r="I1419" s="126" t="str">
        <f t="shared" si="68"/>
        <v>3.10212455606291E+19y 0d 0h 0m</v>
      </c>
    </row>
    <row r="1420" s="91" customFormat="1" spans="1:9">
      <c r="A1420" s="91" t="str">
        <f t="shared" si="66"/>
        <v>Cd-117</v>
      </c>
      <c r="B1420" s="91" t="s">
        <v>2016</v>
      </c>
      <c r="C1420" s="91" t="s">
        <v>1991</v>
      </c>
      <c r="D1420" s="91">
        <v>48</v>
      </c>
      <c r="E1420" s="91">
        <v>117</v>
      </c>
      <c r="F1420" s="91">
        <v>0</v>
      </c>
      <c r="G1420" s="126">
        <v>7.7325656019628e-5</v>
      </c>
      <c r="H1420" s="126">
        <f t="shared" si="67"/>
        <v>8964</v>
      </c>
      <c r="I1420" s="126" t="str">
        <f t="shared" si="68"/>
        <v>0y 0d 2h 29m</v>
      </c>
    </row>
    <row r="1421" s="91" customFormat="1" spans="1:9">
      <c r="A1421" s="91" t="str">
        <f t="shared" si="66"/>
        <v>Cd-117m</v>
      </c>
      <c r="B1421" s="91" t="s">
        <v>2017</v>
      </c>
      <c r="C1421" s="91" t="s">
        <v>1991</v>
      </c>
      <c r="D1421" s="91">
        <v>48</v>
      </c>
      <c r="E1421" s="91">
        <v>117</v>
      </c>
      <c r="F1421" s="91">
        <v>1</v>
      </c>
      <c r="G1421" s="126">
        <v>5.73038343716886e-5</v>
      </c>
      <c r="H1421" s="126">
        <f t="shared" si="67"/>
        <v>12096</v>
      </c>
      <c r="I1421" s="126" t="str">
        <f t="shared" si="68"/>
        <v>0y 0d 3h 21m</v>
      </c>
    </row>
    <row r="1422" s="91" customFormat="1" spans="1:9">
      <c r="A1422" s="91" t="str">
        <f t="shared" si="66"/>
        <v>Cd-118</v>
      </c>
      <c r="B1422" s="91" t="s">
        <v>2018</v>
      </c>
      <c r="C1422" s="91" t="s">
        <v>1991</v>
      </c>
      <c r="D1422" s="91">
        <v>48</v>
      </c>
      <c r="E1422" s="91">
        <v>118</v>
      </c>
      <c r="F1422" s="91">
        <v>0</v>
      </c>
      <c r="G1422" s="126">
        <v>0.000229671033982751</v>
      </c>
      <c r="H1422" s="126">
        <f t="shared" si="67"/>
        <v>3018.00000000001</v>
      </c>
      <c r="I1422" s="126" t="str">
        <f t="shared" si="68"/>
        <v>0y 0d 0h 50m</v>
      </c>
    </row>
    <row r="1423" s="91" customFormat="1" spans="1:9">
      <c r="A1423" s="91" t="str">
        <f t="shared" si="66"/>
        <v>Cd-119</v>
      </c>
      <c r="B1423" s="91" t="s">
        <v>2019</v>
      </c>
      <c r="C1423" s="91" t="s">
        <v>1991</v>
      </c>
      <c r="D1423" s="91">
        <v>48</v>
      </c>
      <c r="E1423" s="91">
        <v>119</v>
      </c>
      <c r="F1423" s="91">
        <v>0</v>
      </c>
      <c r="G1423" s="126">
        <v>0.00429459219677785</v>
      </c>
      <c r="H1423" s="126">
        <f t="shared" si="67"/>
        <v>161.4</v>
      </c>
      <c r="I1423" s="126" t="str">
        <f t="shared" si="68"/>
        <v>0y 0d 0h 2m</v>
      </c>
    </row>
    <row r="1424" s="91" customFormat="1" spans="1:9">
      <c r="A1424" s="91" t="str">
        <f t="shared" si="66"/>
        <v>Cd-119m</v>
      </c>
      <c r="B1424" s="91" t="s">
        <v>2020</v>
      </c>
      <c r="C1424" s="91" t="s">
        <v>1991</v>
      </c>
      <c r="D1424" s="91">
        <v>48</v>
      </c>
      <c r="E1424" s="91">
        <v>119</v>
      </c>
      <c r="F1424" s="91">
        <v>1</v>
      </c>
      <c r="G1424" s="126">
        <v>0.00525111500424201</v>
      </c>
      <c r="H1424" s="126">
        <f t="shared" si="67"/>
        <v>132</v>
      </c>
      <c r="I1424" s="126" t="str">
        <f t="shared" si="68"/>
        <v>0y 0d 0h 2m</v>
      </c>
    </row>
    <row r="1425" s="91" customFormat="1" spans="1:9">
      <c r="A1425" s="91" t="str">
        <f t="shared" si="66"/>
        <v>Cd-120</v>
      </c>
      <c r="B1425" s="91" t="s">
        <v>2021</v>
      </c>
      <c r="C1425" s="91" t="s">
        <v>1991</v>
      </c>
      <c r="D1425" s="91">
        <v>48</v>
      </c>
      <c r="E1425" s="91">
        <v>120</v>
      </c>
      <c r="F1425" s="91">
        <v>0</v>
      </c>
      <c r="G1425" s="126">
        <v>0.0136446295385816</v>
      </c>
      <c r="H1425" s="126">
        <f t="shared" si="67"/>
        <v>50.8</v>
      </c>
      <c r="I1425" s="126" t="str">
        <f t="shared" si="68"/>
        <v>0y 0d 0h 0m</v>
      </c>
    </row>
    <row r="1426" s="91" customFormat="1" spans="1:9">
      <c r="A1426" s="91" t="str">
        <f t="shared" si="66"/>
        <v>Cd-121</v>
      </c>
      <c r="B1426" s="91" t="s">
        <v>2022</v>
      </c>
      <c r="C1426" s="91" t="s">
        <v>1991</v>
      </c>
      <c r="D1426" s="91">
        <v>48</v>
      </c>
      <c r="E1426" s="91">
        <v>121</v>
      </c>
      <c r="F1426" s="91">
        <v>0</v>
      </c>
      <c r="G1426" s="126">
        <v>0.0513442355970329</v>
      </c>
      <c r="H1426" s="126">
        <f t="shared" si="67"/>
        <v>13.5</v>
      </c>
      <c r="I1426" s="126" t="str">
        <f t="shared" si="68"/>
        <v>0y 0d 0h 0m</v>
      </c>
    </row>
    <row r="1427" s="91" customFormat="1" spans="1:9">
      <c r="A1427" s="91" t="str">
        <f t="shared" si="66"/>
        <v>Cd-121m</v>
      </c>
      <c r="B1427" s="91" t="s">
        <v>2023</v>
      </c>
      <c r="C1427" s="91" t="s">
        <v>1991</v>
      </c>
      <c r="D1427" s="91">
        <v>48</v>
      </c>
      <c r="E1427" s="91">
        <v>121</v>
      </c>
      <c r="F1427" s="91">
        <v>1</v>
      </c>
      <c r="G1427" s="126">
        <v>0.0835117085011982</v>
      </c>
      <c r="H1427" s="126">
        <f t="shared" si="67"/>
        <v>8.3</v>
      </c>
      <c r="I1427" s="126" t="str">
        <f t="shared" si="68"/>
        <v>0y 0d 0h 0m</v>
      </c>
    </row>
    <row r="1428" s="91" customFormat="1" spans="1:9">
      <c r="A1428" s="91" t="str">
        <f t="shared" si="66"/>
        <v>Cd-122</v>
      </c>
      <c r="B1428" s="91" t="s">
        <v>2024</v>
      </c>
      <c r="C1428" s="91" t="s">
        <v>1991</v>
      </c>
      <c r="D1428" s="91">
        <v>48</v>
      </c>
      <c r="E1428" s="91">
        <v>122</v>
      </c>
      <c r="F1428" s="91">
        <v>0</v>
      </c>
      <c r="G1428" s="126">
        <v>0.132279996290065</v>
      </c>
      <c r="H1428" s="126">
        <f t="shared" si="67"/>
        <v>5.24000000000003</v>
      </c>
      <c r="I1428" s="126" t="str">
        <f t="shared" si="68"/>
        <v>0y 0d 0h 0m</v>
      </c>
    </row>
    <row r="1429" s="91" customFormat="1" spans="1:9">
      <c r="A1429" s="91" t="str">
        <f t="shared" si="66"/>
        <v>Cd-123</v>
      </c>
      <c r="B1429" s="91" t="s">
        <v>2025</v>
      </c>
      <c r="C1429" s="91" t="s">
        <v>1991</v>
      </c>
      <c r="D1429" s="91">
        <v>48</v>
      </c>
      <c r="E1429" s="91">
        <v>123</v>
      </c>
      <c r="F1429" s="91">
        <v>0</v>
      </c>
      <c r="G1429" s="126">
        <v>0.330070085980926</v>
      </c>
      <c r="H1429" s="126">
        <f t="shared" si="67"/>
        <v>2.1</v>
      </c>
      <c r="I1429" s="126" t="str">
        <f t="shared" si="68"/>
        <v>0y 0d 0h 0m</v>
      </c>
    </row>
    <row r="1430" s="91" customFormat="1" spans="1:9">
      <c r="A1430" s="91" t="str">
        <f t="shared" si="66"/>
        <v>Cd-123m</v>
      </c>
      <c r="B1430" s="91" t="s">
        <v>2026</v>
      </c>
      <c r="C1430" s="91" t="s">
        <v>1991</v>
      </c>
      <c r="D1430" s="91">
        <v>48</v>
      </c>
      <c r="E1430" s="91">
        <v>123</v>
      </c>
      <c r="F1430" s="91">
        <v>1</v>
      </c>
      <c r="G1430" s="126">
        <v>0.380850099208761</v>
      </c>
      <c r="H1430" s="126">
        <f t="shared" si="67"/>
        <v>1.82</v>
      </c>
      <c r="I1430" s="126" t="str">
        <f t="shared" si="68"/>
        <v>0y 0d 0h 0m</v>
      </c>
    </row>
    <row r="1431" s="91" customFormat="1" spans="1:9">
      <c r="A1431" s="91" t="str">
        <f t="shared" si="66"/>
        <v>Cd-124</v>
      </c>
      <c r="B1431" s="91" t="s">
        <v>2027</v>
      </c>
      <c r="C1431" s="91" t="s">
        <v>1991</v>
      </c>
      <c r="D1431" s="91">
        <v>48</v>
      </c>
      <c r="E1431" s="91">
        <v>124</v>
      </c>
      <c r="F1431" s="91">
        <v>0</v>
      </c>
      <c r="G1431" s="126">
        <v>0.554517744447956</v>
      </c>
      <c r="H1431" s="126">
        <f t="shared" si="67"/>
        <v>1.25</v>
      </c>
      <c r="I1431" s="126" t="str">
        <f t="shared" si="68"/>
        <v>0y 0d 0h 0m</v>
      </c>
    </row>
    <row r="1432" s="91" customFormat="1" spans="1:9">
      <c r="A1432" s="91" t="str">
        <f t="shared" si="66"/>
        <v>Cd-125</v>
      </c>
      <c r="B1432" s="91" t="s">
        <v>2028</v>
      </c>
      <c r="C1432" s="91" t="s">
        <v>1991</v>
      </c>
      <c r="D1432" s="91">
        <v>48</v>
      </c>
      <c r="E1432" s="91">
        <v>125</v>
      </c>
      <c r="F1432" s="91">
        <v>0</v>
      </c>
      <c r="G1432" s="126">
        <v>1.01933408905874</v>
      </c>
      <c r="H1432" s="126">
        <f t="shared" si="67"/>
        <v>0.680000000000002</v>
      </c>
      <c r="I1432" s="126" t="str">
        <f t="shared" si="68"/>
        <v>0y 0d 0h 0m</v>
      </c>
    </row>
    <row r="1433" s="91" customFormat="1" spans="1:9">
      <c r="A1433" s="91" t="str">
        <f t="shared" si="66"/>
        <v>Cd-125m</v>
      </c>
      <c r="B1433" s="91" t="s">
        <v>2029</v>
      </c>
      <c r="C1433" s="91" t="s">
        <v>1991</v>
      </c>
      <c r="D1433" s="91">
        <v>48</v>
      </c>
      <c r="E1433" s="91">
        <v>125</v>
      </c>
      <c r="F1433" s="91">
        <v>1</v>
      </c>
      <c r="G1433" s="126">
        <v>1.44405662616655</v>
      </c>
      <c r="H1433" s="126">
        <f t="shared" si="67"/>
        <v>0.480000000000001</v>
      </c>
      <c r="I1433" s="126" t="str">
        <f t="shared" si="68"/>
        <v>0y 0d 0h 0m</v>
      </c>
    </row>
    <row r="1434" s="91" customFormat="1" spans="1:9">
      <c r="A1434" s="91" t="str">
        <f t="shared" si="66"/>
        <v>Cd-126</v>
      </c>
      <c r="B1434" s="91" t="s">
        <v>2030</v>
      </c>
      <c r="C1434" s="91" t="s">
        <v>1991</v>
      </c>
      <c r="D1434" s="91">
        <v>48</v>
      </c>
      <c r="E1434" s="91">
        <v>126</v>
      </c>
      <c r="F1434" s="91">
        <v>0</v>
      </c>
      <c r="G1434" s="126">
        <v>1.3459168554562</v>
      </c>
      <c r="H1434" s="126">
        <f t="shared" si="67"/>
        <v>0.515000000000002</v>
      </c>
      <c r="I1434" s="126" t="str">
        <f t="shared" si="68"/>
        <v>0y 0d 0h 0m</v>
      </c>
    </row>
    <row r="1435" s="91" customFormat="1" spans="1:9">
      <c r="A1435" s="91" t="str">
        <f t="shared" si="66"/>
        <v>Cd-127</v>
      </c>
      <c r="B1435" s="91" t="s">
        <v>2031</v>
      </c>
      <c r="C1435" s="91" t="s">
        <v>1991</v>
      </c>
      <c r="D1435" s="91">
        <v>48</v>
      </c>
      <c r="E1435" s="91">
        <v>127</v>
      </c>
      <c r="F1435" s="91">
        <v>0</v>
      </c>
      <c r="G1435" s="126">
        <v>1.87337075827012</v>
      </c>
      <c r="H1435" s="126">
        <f t="shared" si="67"/>
        <v>0.37</v>
      </c>
      <c r="I1435" s="126" t="str">
        <f t="shared" si="68"/>
        <v>0y 0d 0h 0m</v>
      </c>
    </row>
    <row r="1436" s="91" customFormat="1" spans="1:9">
      <c r="A1436" s="91" t="str">
        <f t="shared" si="66"/>
        <v>Cd-128</v>
      </c>
      <c r="B1436" s="91" t="s">
        <v>2032</v>
      </c>
      <c r="C1436" s="91" t="s">
        <v>1991</v>
      </c>
      <c r="D1436" s="91">
        <v>48</v>
      </c>
      <c r="E1436" s="91">
        <v>128</v>
      </c>
      <c r="F1436" s="91">
        <v>0</v>
      </c>
      <c r="G1436" s="126">
        <v>2.47552564485694</v>
      </c>
      <c r="H1436" s="126">
        <f t="shared" si="67"/>
        <v>0.280000000000001</v>
      </c>
      <c r="I1436" s="126" t="str">
        <f t="shared" si="68"/>
        <v>0y 0d 0h 0m</v>
      </c>
    </row>
    <row r="1437" s="91" customFormat="1" spans="1:9">
      <c r="A1437" s="91" t="str">
        <f t="shared" si="66"/>
        <v>Cd-129</v>
      </c>
      <c r="B1437" s="91" t="s">
        <v>2033</v>
      </c>
      <c r="C1437" s="91" t="s">
        <v>1991</v>
      </c>
      <c r="D1437" s="91">
        <v>48</v>
      </c>
      <c r="E1437" s="91">
        <v>129</v>
      </c>
      <c r="F1437" s="91">
        <v>0</v>
      </c>
      <c r="G1437" s="126">
        <v>2.56721177985164</v>
      </c>
      <c r="H1437" s="126">
        <f t="shared" si="67"/>
        <v>0.270000000000001</v>
      </c>
      <c r="I1437" s="126" t="str">
        <f t="shared" si="68"/>
        <v>0y 0d 0h 0m</v>
      </c>
    </row>
    <row r="1438" s="91" customFormat="1" spans="1:9">
      <c r="A1438" s="91" t="str">
        <f t="shared" si="66"/>
        <v>Cd-130</v>
      </c>
      <c r="B1438" s="91" t="s">
        <v>2034</v>
      </c>
      <c r="C1438" s="91" t="s">
        <v>1991</v>
      </c>
      <c r="D1438" s="91">
        <v>48</v>
      </c>
      <c r="E1438" s="91">
        <v>130</v>
      </c>
      <c r="F1438" s="91">
        <v>0</v>
      </c>
      <c r="G1438" s="126">
        <v>4.27868629975274</v>
      </c>
      <c r="H1438" s="126">
        <f t="shared" si="67"/>
        <v>0.162</v>
      </c>
      <c r="I1438" s="126" t="str">
        <f t="shared" si="68"/>
        <v>0y 0d 0h 0m</v>
      </c>
    </row>
    <row r="1439" s="91" customFormat="1" spans="1:9">
      <c r="A1439" s="91" t="str">
        <f t="shared" si="66"/>
        <v>Cd-131</v>
      </c>
      <c r="B1439" s="91" t="s">
        <v>2035</v>
      </c>
      <c r="C1439" s="91" t="s">
        <v>1991</v>
      </c>
      <c r="D1439" s="91">
        <v>48</v>
      </c>
      <c r="E1439" s="91">
        <v>131</v>
      </c>
      <c r="F1439" s="91">
        <v>0</v>
      </c>
      <c r="G1439" s="126">
        <v>10.1933408905874</v>
      </c>
      <c r="H1439" s="126">
        <f t="shared" si="67"/>
        <v>0.0680000000000002</v>
      </c>
      <c r="I1439" s="126" t="str">
        <f t="shared" si="68"/>
        <v>0y 0d 0h 0m</v>
      </c>
    </row>
    <row r="1440" s="91" customFormat="1" spans="1:9">
      <c r="A1440" s="91" t="str">
        <f t="shared" si="66"/>
        <v>Cd-132</v>
      </c>
      <c r="B1440" s="91" t="s">
        <v>2036</v>
      </c>
      <c r="C1440" s="91" t="s">
        <v>1991</v>
      </c>
      <c r="D1440" s="91">
        <v>48</v>
      </c>
      <c r="E1440" s="91">
        <v>132</v>
      </c>
      <c r="F1440" s="91">
        <v>0</v>
      </c>
      <c r="G1440" s="126">
        <v>7.14584722226747</v>
      </c>
      <c r="H1440" s="126">
        <f t="shared" si="67"/>
        <v>0.0970000000000001</v>
      </c>
      <c r="I1440" s="126" t="str">
        <f t="shared" si="68"/>
        <v>0y 0d 0h 0m</v>
      </c>
    </row>
    <row r="1441" s="91" customFormat="1" spans="1:9">
      <c r="A1441" s="91" t="str">
        <f t="shared" si="66"/>
        <v>In-97</v>
      </c>
      <c r="B1441" s="91" t="s">
        <v>2037</v>
      </c>
      <c r="C1441" s="91" t="s">
        <v>2038</v>
      </c>
      <c r="D1441" s="91">
        <v>49</v>
      </c>
      <c r="E1441" s="91">
        <v>97</v>
      </c>
      <c r="F1441" s="91">
        <v>0</v>
      </c>
      <c r="G1441" s="126">
        <v>138.629436111989</v>
      </c>
      <c r="H1441" s="126">
        <f t="shared" si="67"/>
        <v>0.005</v>
      </c>
      <c r="I1441" s="126" t="str">
        <f t="shared" si="68"/>
        <v>0y 0d 0h 0m</v>
      </c>
    </row>
    <row r="1442" s="91" customFormat="1" spans="1:9">
      <c r="A1442" s="91" t="str">
        <f t="shared" si="66"/>
        <v>In-98</v>
      </c>
      <c r="B1442" s="91" t="s">
        <v>2039</v>
      </c>
      <c r="C1442" s="91" t="s">
        <v>2038</v>
      </c>
      <c r="D1442" s="91">
        <v>49</v>
      </c>
      <c r="E1442" s="91">
        <v>98</v>
      </c>
      <c r="F1442" s="91">
        <v>0</v>
      </c>
      <c r="G1442" s="126">
        <v>16.3093454249398</v>
      </c>
      <c r="H1442" s="126">
        <f t="shared" si="67"/>
        <v>0.0425000000000002</v>
      </c>
      <c r="I1442" s="126" t="str">
        <f t="shared" si="68"/>
        <v>0y 0d 0h 0m</v>
      </c>
    </row>
    <row r="1443" s="91" customFormat="1" spans="1:9">
      <c r="A1443" s="91" t="str">
        <f t="shared" si="66"/>
        <v>In-98m</v>
      </c>
      <c r="B1443" s="91" t="s">
        <v>2040</v>
      </c>
      <c r="C1443" s="91" t="s">
        <v>2038</v>
      </c>
      <c r="D1443" s="91">
        <v>49</v>
      </c>
      <c r="E1443" s="91">
        <v>98</v>
      </c>
      <c r="F1443" s="91">
        <v>1</v>
      </c>
      <c r="G1443" s="126">
        <v>0.433216987849965</v>
      </c>
      <c r="H1443" s="126">
        <f t="shared" si="67"/>
        <v>1.6</v>
      </c>
      <c r="I1443" s="126" t="str">
        <f t="shared" si="68"/>
        <v>0y 0d 0h 0m</v>
      </c>
    </row>
    <row r="1444" s="91" customFormat="1" spans="1:9">
      <c r="A1444" s="91" t="str">
        <f t="shared" si="66"/>
        <v>In-99</v>
      </c>
      <c r="B1444" s="91" t="s">
        <v>2041</v>
      </c>
      <c r="C1444" s="91" t="s">
        <v>2038</v>
      </c>
      <c r="D1444" s="91">
        <v>49</v>
      </c>
      <c r="E1444" s="91">
        <v>99</v>
      </c>
      <c r="F1444" s="91">
        <v>0</v>
      </c>
      <c r="G1444" s="126">
        <v>0.227261370675391</v>
      </c>
      <c r="H1444" s="126">
        <f t="shared" si="67"/>
        <v>3.05000000000001</v>
      </c>
      <c r="I1444" s="126" t="str">
        <f t="shared" si="68"/>
        <v>0y 0d 0h 0m</v>
      </c>
    </row>
    <row r="1445" s="91" customFormat="1" spans="1:9">
      <c r="A1445" s="91" t="str">
        <f t="shared" si="66"/>
        <v>In-100</v>
      </c>
      <c r="B1445" s="91" t="s">
        <v>2042</v>
      </c>
      <c r="C1445" s="91" t="s">
        <v>2038</v>
      </c>
      <c r="D1445" s="91">
        <v>49</v>
      </c>
      <c r="E1445" s="91">
        <v>100</v>
      </c>
      <c r="F1445" s="91">
        <v>0</v>
      </c>
      <c r="G1445" s="126">
        <v>0.117482572976261</v>
      </c>
      <c r="H1445" s="126">
        <f t="shared" si="67"/>
        <v>5.90000000000005</v>
      </c>
      <c r="I1445" s="126" t="str">
        <f t="shared" si="68"/>
        <v>0y 0d 0h 0m</v>
      </c>
    </row>
    <row r="1446" s="91" customFormat="1" spans="1:9">
      <c r="A1446" s="91" t="str">
        <f t="shared" si="66"/>
        <v>In-101</v>
      </c>
      <c r="B1446" s="91" t="s">
        <v>2043</v>
      </c>
      <c r="C1446" s="91" t="s">
        <v>2038</v>
      </c>
      <c r="D1446" s="91">
        <v>49</v>
      </c>
      <c r="E1446" s="91">
        <v>101</v>
      </c>
      <c r="F1446" s="91">
        <v>0</v>
      </c>
      <c r="G1446" s="126">
        <v>0.0459037867920493</v>
      </c>
      <c r="H1446" s="126">
        <f t="shared" si="67"/>
        <v>15.1</v>
      </c>
      <c r="I1446" s="126" t="str">
        <f t="shared" si="68"/>
        <v>0y 0d 0h 0m</v>
      </c>
    </row>
    <row r="1447" s="91" customFormat="1" spans="1:9">
      <c r="A1447" s="91" t="str">
        <f t="shared" si="66"/>
        <v>In-102</v>
      </c>
      <c r="B1447" s="91" t="s">
        <v>2044</v>
      </c>
      <c r="C1447" s="91" t="s">
        <v>2038</v>
      </c>
      <c r="D1447" s="91">
        <v>49</v>
      </c>
      <c r="E1447" s="91">
        <v>102</v>
      </c>
      <c r="F1447" s="91">
        <v>0</v>
      </c>
      <c r="G1447" s="126">
        <v>0.0297488060326156</v>
      </c>
      <c r="H1447" s="126">
        <f t="shared" si="67"/>
        <v>23.3000000000001</v>
      </c>
      <c r="I1447" s="126" t="str">
        <f t="shared" si="68"/>
        <v>0y 0d 0h 0m</v>
      </c>
    </row>
    <row r="1448" s="91" customFormat="1" spans="1:9">
      <c r="A1448" s="91" t="str">
        <f t="shared" si="66"/>
        <v>In-103</v>
      </c>
      <c r="B1448" s="91" t="s">
        <v>2045</v>
      </c>
      <c r="C1448" s="91" t="s">
        <v>2038</v>
      </c>
      <c r="D1448" s="91">
        <v>49</v>
      </c>
      <c r="E1448" s="91">
        <v>103</v>
      </c>
      <c r="F1448" s="91">
        <v>0</v>
      </c>
      <c r="G1448" s="126">
        <v>0.0106638027778453</v>
      </c>
      <c r="H1448" s="126">
        <f t="shared" si="67"/>
        <v>65.0000000000001</v>
      </c>
      <c r="I1448" s="126" t="str">
        <f t="shared" si="68"/>
        <v>0y 0d 0h 1m</v>
      </c>
    </row>
    <row r="1449" s="91" customFormat="1" spans="1:9">
      <c r="A1449" s="91" t="str">
        <f t="shared" si="66"/>
        <v>In-103m</v>
      </c>
      <c r="B1449" s="91" t="s">
        <v>2046</v>
      </c>
      <c r="C1449" s="91" t="s">
        <v>2038</v>
      </c>
      <c r="D1449" s="91">
        <v>49</v>
      </c>
      <c r="E1449" s="91">
        <v>103</v>
      </c>
      <c r="F1449" s="91">
        <v>1</v>
      </c>
      <c r="G1449" s="126">
        <v>0.0203866817811748</v>
      </c>
      <c r="H1449" s="126">
        <f t="shared" si="67"/>
        <v>34.0000000000001</v>
      </c>
      <c r="I1449" s="126" t="str">
        <f t="shared" si="68"/>
        <v>0y 0d 0h 0m</v>
      </c>
    </row>
    <row r="1450" s="91" customFormat="1" spans="1:9">
      <c r="A1450" s="91" t="str">
        <f t="shared" si="66"/>
        <v>In-104</v>
      </c>
      <c r="B1450" s="91" t="s">
        <v>2047</v>
      </c>
      <c r="C1450" s="91" t="s">
        <v>2038</v>
      </c>
      <c r="D1450" s="91">
        <v>49</v>
      </c>
      <c r="E1450" s="91">
        <v>104</v>
      </c>
      <c r="F1450" s="91">
        <v>0</v>
      </c>
      <c r="G1450" s="126">
        <v>0.00641802944962912</v>
      </c>
      <c r="H1450" s="126">
        <f t="shared" si="67"/>
        <v>108</v>
      </c>
      <c r="I1450" s="126" t="str">
        <f t="shared" si="68"/>
        <v>0y 0d 0h 1m</v>
      </c>
    </row>
    <row r="1451" s="91" customFormat="1" spans="1:9">
      <c r="A1451" s="91" t="str">
        <f t="shared" si="66"/>
        <v>In-104m</v>
      </c>
      <c r="B1451" s="91" t="s">
        <v>2048</v>
      </c>
      <c r="C1451" s="91" t="s">
        <v>2038</v>
      </c>
      <c r="D1451" s="91">
        <v>49</v>
      </c>
      <c r="E1451" s="91">
        <v>104</v>
      </c>
      <c r="F1451" s="91">
        <v>1</v>
      </c>
      <c r="G1451" s="126">
        <v>0.0441495019464933</v>
      </c>
      <c r="H1451" s="126">
        <f t="shared" si="67"/>
        <v>15.7</v>
      </c>
      <c r="I1451" s="126" t="str">
        <f t="shared" si="68"/>
        <v>0y 0d 0h 0m</v>
      </c>
    </row>
    <row r="1452" s="91" customFormat="1" spans="1:9">
      <c r="A1452" s="91" t="str">
        <f t="shared" si="66"/>
        <v>In-105</v>
      </c>
      <c r="B1452" s="91" t="s">
        <v>2049</v>
      </c>
      <c r="C1452" s="91" t="s">
        <v>2038</v>
      </c>
      <c r="D1452" s="91">
        <v>49</v>
      </c>
      <c r="E1452" s="91">
        <v>105</v>
      </c>
      <c r="F1452" s="91">
        <v>0</v>
      </c>
      <c r="G1452" s="126">
        <v>0.00227859033714643</v>
      </c>
      <c r="H1452" s="126">
        <f t="shared" si="67"/>
        <v>304.200000000001</v>
      </c>
      <c r="I1452" s="126" t="str">
        <f t="shared" si="68"/>
        <v>0y 0d 0h 5m</v>
      </c>
    </row>
    <row r="1453" s="91" customFormat="1" spans="1:9">
      <c r="A1453" s="91" t="str">
        <f t="shared" si="66"/>
        <v>In-105m</v>
      </c>
      <c r="B1453" s="91" t="s">
        <v>2050</v>
      </c>
      <c r="C1453" s="91" t="s">
        <v>2038</v>
      </c>
      <c r="D1453" s="91">
        <v>49</v>
      </c>
      <c r="E1453" s="91">
        <v>105</v>
      </c>
      <c r="F1453" s="91">
        <v>1</v>
      </c>
      <c r="G1453" s="126">
        <v>0.0144405662616655</v>
      </c>
      <c r="H1453" s="126">
        <f t="shared" si="67"/>
        <v>48.0000000000001</v>
      </c>
      <c r="I1453" s="126" t="str">
        <f t="shared" si="68"/>
        <v>0y 0d 0h 0m</v>
      </c>
    </row>
    <row r="1454" s="91" customFormat="1" spans="1:9">
      <c r="A1454" s="91" t="str">
        <f t="shared" si="66"/>
        <v>In-106</v>
      </c>
      <c r="B1454" s="91" t="s">
        <v>2051</v>
      </c>
      <c r="C1454" s="91" t="s">
        <v>2038</v>
      </c>
      <c r="D1454" s="91">
        <v>49</v>
      </c>
      <c r="E1454" s="91">
        <v>106</v>
      </c>
      <c r="F1454" s="91">
        <v>0</v>
      </c>
      <c r="G1454" s="126">
        <v>0.00186329887247297</v>
      </c>
      <c r="H1454" s="126">
        <f t="shared" si="67"/>
        <v>372</v>
      </c>
      <c r="I1454" s="126" t="str">
        <f t="shared" si="68"/>
        <v>0y 0d 0h 6m</v>
      </c>
    </row>
    <row r="1455" s="91" customFormat="1" spans="1:9">
      <c r="A1455" s="91" t="str">
        <f t="shared" si="66"/>
        <v>In-106m</v>
      </c>
      <c r="B1455" s="91" t="s">
        <v>2052</v>
      </c>
      <c r="C1455" s="91" t="s">
        <v>2038</v>
      </c>
      <c r="D1455" s="91">
        <v>49</v>
      </c>
      <c r="E1455" s="91">
        <v>106</v>
      </c>
      <c r="F1455" s="91">
        <v>1</v>
      </c>
      <c r="G1455" s="126">
        <v>0.00222162557871777</v>
      </c>
      <c r="H1455" s="126">
        <f t="shared" si="67"/>
        <v>312</v>
      </c>
      <c r="I1455" s="126" t="str">
        <f t="shared" si="68"/>
        <v>0y 0d 0h 5m</v>
      </c>
    </row>
    <row r="1456" s="91" customFormat="1" spans="1:9">
      <c r="A1456" s="91" t="str">
        <f t="shared" si="66"/>
        <v>In-107</v>
      </c>
      <c r="B1456" s="91" t="s">
        <v>2053</v>
      </c>
      <c r="C1456" s="91" t="s">
        <v>2038</v>
      </c>
      <c r="D1456" s="91">
        <v>49</v>
      </c>
      <c r="E1456" s="91">
        <v>107</v>
      </c>
      <c r="F1456" s="91">
        <v>0</v>
      </c>
      <c r="G1456" s="126">
        <v>0.000356557191646062</v>
      </c>
      <c r="H1456" s="126">
        <f t="shared" si="67"/>
        <v>1944</v>
      </c>
      <c r="I1456" s="126" t="str">
        <f t="shared" si="68"/>
        <v>0y 0d 0h 32m</v>
      </c>
    </row>
    <row r="1457" s="91" customFormat="1" spans="1:9">
      <c r="A1457" s="91" t="str">
        <f t="shared" si="66"/>
        <v>In-107m</v>
      </c>
      <c r="B1457" s="91" t="s">
        <v>2054</v>
      </c>
      <c r="C1457" s="91" t="s">
        <v>2038</v>
      </c>
      <c r="D1457" s="91">
        <v>49</v>
      </c>
      <c r="E1457" s="91">
        <v>107</v>
      </c>
      <c r="F1457" s="91">
        <v>1</v>
      </c>
      <c r="G1457" s="126">
        <v>0.0137529202492052</v>
      </c>
      <c r="H1457" s="126">
        <f t="shared" si="67"/>
        <v>50.4000000000002</v>
      </c>
      <c r="I1457" s="126" t="str">
        <f t="shared" si="68"/>
        <v>0y 0d 0h 0m</v>
      </c>
    </row>
    <row r="1458" s="91" customFormat="1" spans="1:9">
      <c r="A1458" s="91" t="str">
        <f t="shared" si="66"/>
        <v>In-108</v>
      </c>
      <c r="B1458" s="91" t="s">
        <v>2055</v>
      </c>
      <c r="C1458" s="91" t="s">
        <v>2038</v>
      </c>
      <c r="D1458" s="91">
        <v>49</v>
      </c>
      <c r="E1458" s="91">
        <v>108</v>
      </c>
      <c r="F1458" s="91">
        <v>0</v>
      </c>
      <c r="G1458" s="126">
        <v>0.000199180224298834</v>
      </c>
      <c r="H1458" s="126">
        <f t="shared" si="67"/>
        <v>3480.00000000001</v>
      </c>
      <c r="I1458" s="126" t="str">
        <f t="shared" si="68"/>
        <v>0y 0d 0h 58m</v>
      </c>
    </row>
    <row r="1459" s="91" customFormat="1" spans="1:9">
      <c r="A1459" s="91" t="str">
        <f t="shared" si="66"/>
        <v>In-108m</v>
      </c>
      <c r="B1459" s="91" t="s">
        <v>2056</v>
      </c>
      <c r="C1459" s="91" t="s">
        <v>2038</v>
      </c>
      <c r="D1459" s="91">
        <v>49</v>
      </c>
      <c r="E1459" s="91">
        <v>108</v>
      </c>
      <c r="F1459" s="91">
        <v>1</v>
      </c>
      <c r="G1459" s="126">
        <v>0.000291728611346778</v>
      </c>
      <c r="H1459" s="126">
        <f t="shared" si="67"/>
        <v>2376</v>
      </c>
      <c r="I1459" s="126" t="str">
        <f t="shared" si="68"/>
        <v>0y 0d 0h 39m</v>
      </c>
    </row>
    <row r="1460" s="91" customFormat="1" spans="1:9">
      <c r="A1460" s="91" t="str">
        <f t="shared" si="66"/>
        <v>In-109</v>
      </c>
      <c r="B1460" s="91" t="s">
        <v>2057</v>
      </c>
      <c r="C1460" s="91" t="s">
        <v>2038</v>
      </c>
      <c r="D1460" s="91">
        <v>49</v>
      </c>
      <c r="E1460" s="91">
        <v>109</v>
      </c>
      <c r="F1460" s="91">
        <v>0</v>
      </c>
      <c r="G1460" s="126">
        <v>4.62061155480858e-5</v>
      </c>
      <c r="H1460" s="126">
        <f t="shared" si="67"/>
        <v>15001.2</v>
      </c>
      <c r="I1460" s="126" t="str">
        <f t="shared" si="68"/>
        <v>0y 0d 4h 10m</v>
      </c>
    </row>
    <row r="1461" s="91" customFormat="1" spans="1:9">
      <c r="A1461" s="91" t="str">
        <f t="shared" si="66"/>
        <v>In-109m</v>
      </c>
      <c r="B1461" s="91" t="s">
        <v>2058</v>
      </c>
      <c r="C1461" s="91" t="s">
        <v>2038</v>
      </c>
      <c r="D1461" s="91">
        <v>49</v>
      </c>
      <c r="E1461" s="91">
        <v>109</v>
      </c>
      <c r="F1461" s="91">
        <v>1</v>
      </c>
      <c r="G1461" s="126">
        <v>0.00862123358905404</v>
      </c>
      <c r="H1461" s="126">
        <f t="shared" si="67"/>
        <v>80.4</v>
      </c>
      <c r="I1461" s="126" t="str">
        <f t="shared" si="68"/>
        <v>0y 0d 0h 1m</v>
      </c>
    </row>
    <row r="1462" s="91" customFormat="1" spans="1:9">
      <c r="A1462" s="91" t="str">
        <f t="shared" si="66"/>
        <v>In-109m2</v>
      </c>
      <c r="B1462" s="91" t="s">
        <v>2059</v>
      </c>
      <c r="C1462" s="91" t="s">
        <v>2038</v>
      </c>
      <c r="D1462" s="91">
        <v>49</v>
      </c>
      <c r="E1462" s="91">
        <v>109</v>
      </c>
      <c r="F1462" s="91">
        <v>2</v>
      </c>
      <c r="G1462" s="126">
        <v>3.31649368688969</v>
      </c>
      <c r="H1462" s="126">
        <f t="shared" si="67"/>
        <v>0.209</v>
      </c>
      <c r="I1462" s="126" t="str">
        <f t="shared" si="68"/>
        <v>0y 0d 0h 0m</v>
      </c>
    </row>
    <row r="1463" s="91" customFormat="1" spans="1:9">
      <c r="A1463" s="91" t="str">
        <f t="shared" si="66"/>
        <v>In-110</v>
      </c>
      <c r="B1463" s="91" t="s">
        <v>2060</v>
      </c>
      <c r="C1463" s="91" t="s">
        <v>2038</v>
      </c>
      <c r="D1463" s="91">
        <v>49</v>
      </c>
      <c r="E1463" s="91">
        <v>110</v>
      </c>
      <c r="F1463" s="91">
        <v>0</v>
      </c>
      <c r="G1463" s="126">
        <v>3.92940578548721e-5</v>
      </c>
      <c r="H1463" s="126">
        <f t="shared" si="67"/>
        <v>17640</v>
      </c>
      <c r="I1463" s="126" t="str">
        <f t="shared" si="68"/>
        <v>0y 0d 4h 54m</v>
      </c>
    </row>
    <row r="1464" s="91" customFormat="1" spans="1:9">
      <c r="A1464" s="91" t="str">
        <f t="shared" si="66"/>
        <v>In-110m</v>
      </c>
      <c r="B1464" s="91" t="s">
        <v>2061</v>
      </c>
      <c r="C1464" s="91" t="s">
        <v>2038</v>
      </c>
      <c r="D1464" s="91">
        <v>49</v>
      </c>
      <c r="E1464" s="91">
        <v>110</v>
      </c>
      <c r="F1464" s="91">
        <v>1</v>
      </c>
      <c r="G1464" s="126">
        <v>0.000167184558745765</v>
      </c>
      <c r="H1464" s="126">
        <f t="shared" si="67"/>
        <v>4146.00000000002</v>
      </c>
      <c r="I1464" s="126" t="str">
        <f t="shared" si="68"/>
        <v>0y 0d 1h 9m</v>
      </c>
    </row>
    <row r="1465" s="91" customFormat="1" spans="1:9">
      <c r="A1465" s="91" t="str">
        <f t="shared" si="66"/>
        <v>In-111</v>
      </c>
      <c r="B1465" s="91" t="s">
        <v>2062</v>
      </c>
      <c r="C1465" s="91" t="s">
        <v>2038</v>
      </c>
      <c r="D1465" s="91">
        <v>49</v>
      </c>
      <c r="E1465" s="91">
        <v>111</v>
      </c>
      <c r="F1465" s="91">
        <v>0</v>
      </c>
      <c r="G1465" s="126">
        <v>2.86039011299214e-6</v>
      </c>
      <c r="H1465" s="126">
        <f t="shared" si="67"/>
        <v>242326.1</v>
      </c>
      <c r="I1465" s="126" t="str">
        <f t="shared" si="68"/>
        <v>0y 2d 19h 18m</v>
      </c>
    </row>
    <row r="1466" s="91" customFormat="1" spans="1:9">
      <c r="A1466" s="91" t="str">
        <f t="shared" si="66"/>
        <v>In-111m</v>
      </c>
      <c r="B1466" s="91" t="s">
        <v>2063</v>
      </c>
      <c r="C1466" s="91" t="s">
        <v>2038</v>
      </c>
      <c r="D1466" s="91">
        <v>49</v>
      </c>
      <c r="E1466" s="91">
        <v>111</v>
      </c>
      <c r="F1466" s="91">
        <v>1</v>
      </c>
      <c r="G1466" s="126">
        <v>0.00150031857264057</v>
      </c>
      <c r="H1466" s="126">
        <f t="shared" si="67"/>
        <v>462.000000000001</v>
      </c>
      <c r="I1466" s="126" t="str">
        <f t="shared" si="68"/>
        <v>0y 0d 0h 7m</v>
      </c>
    </row>
    <row r="1467" s="91" customFormat="1" spans="1:9">
      <c r="A1467" s="91" t="str">
        <f t="shared" si="66"/>
        <v>In-112</v>
      </c>
      <c r="B1467" s="91" t="s">
        <v>2064</v>
      </c>
      <c r="C1467" s="91" t="s">
        <v>2038</v>
      </c>
      <c r="D1467" s="91">
        <v>49</v>
      </c>
      <c r="E1467" s="91">
        <v>112</v>
      </c>
      <c r="F1467" s="91">
        <v>0</v>
      </c>
      <c r="G1467" s="126">
        <v>0.000771706947851197</v>
      </c>
      <c r="H1467" s="126">
        <f t="shared" si="67"/>
        <v>898.2</v>
      </c>
      <c r="I1467" s="126" t="str">
        <f t="shared" si="68"/>
        <v>0y 0d 0h 14m</v>
      </c>
    </row>
    <row r="1468" s="91" customFormat="1" spans="1:9">
      <c r="A1468" s="91" t="str">
        <f t="shared" si="66"/>
        <v>In-112m</v>
      </c>
      <c r="B1468" s="91" t="s">
        <v>2065</v>
      </c>
      <c r="C1468" s="91" t="s">
        <v>2038</v>
      </c>
      <c r="D1468" s="91">
        <v>49</v>
      </c>
      <c r="E1468" s="91">
        <v>112</v>
      </c>
      <c r="F1468" s="91">
        <v>1</v>
      </c>
      <c r="G1468" s="126">
        <v>0.000561889737807997</v>
      </c>
      <c r="H1468" s="126">
        <f t="shared" si="67"/>
        <v>1233.6</v>
      </c>
      <c r="I1468" s="126" t="str">
        <f t="shared" si="68"/>
        <v>0y 0d 0h 20m</v>
      </c>
    </row>
    <row r="1469" s="91" customFormat="1" spans="1:9">
      <c r="A1469" s="91" t="str">
        <f t="shared" si="66"/>
        <v>In-113</v>
      </c>
      <c r="B1469" s="91" t="s">
        <v>2066</v>
      </c>
      <c r="C1469" s="91" t="s">
        <v>2038</v>
      </c>
      <c r="D1469" s="91">
        <v>49</v>
      </c>
      <c r="E1469" s="91">
        <v>113</v>
      </c>
      <c r="F1469" s="91">
        <v>0</v>
      </c>
      <c r="G1469" s="126">
        <v>0</v>
      </c>
      <c r="H1469" s="126">
        <f t="shared" si="67"/>
        <v>0</v>
      </c>
      <c r="I1469" s="126" t="str">
        <f t="shared" si="68"/>
        <v>0y 0d 0h 0m</v>
      </c>
    </row>
    <row r="1470" s="91" customFormat="1" spans="1:9">
      <c r="A1470" s="91" t="str">
        <f t="shared" si="66"/>
        <v>In-113m</v>
      </c>
      <c r="B1470" s="91" t="s">
        <v>2067</v>
      </c>
      <c r="C1470" s="91" t="s">
        <v>2038</v>
      </c>
      <c r="D1470" s="91">
        <v>49</v>
      </c>
      <c r="E1470" s="91">
        <v>113</v>
      </c>
      <c r="F1470" s="91">
        <v>1</v>
      </c>
      <c r="G1470" s="126">
        <v>0.000116133067366323</v>
      </c>
      <c r="H1470" s="126">
        <f t="shared" si="67"/>
        <v>5968.56000000004</v>
      </c>
      <c r="I1470" s="126" t="str">
        <f t="shared" si="68"/>
        <v>0y 0d 1h 39m</v>
      </c>
    </row>
    <row r="1471" s="91" customFormat="1" spans="1:9">
      <c r="A1471" s="91" t="str">
        <f t="shared" si="66"/>
        <v>In-114</v>
      </c>
      <c r="B1471" s="91" t="s">
        <v>2068</v>
      </c>
      <c r="C1471" s="91" t="s">
        <v>2038</v>
      </c>
      <c r="D1471" s="91">
        <v>49</v>
      </c>
      <c r="E1471" s="91">
        <v>114</v>
      </c>
      <c r="F1471" s="91">
        <v>0</v>
      </c>
      <c r="G1471" s="126">
        <v>0.00964043366564597</v>
      </c>
      <c r="H1471" s="126">
        <f t="shared" si="67"/>
        <v>71.9</v>
      </c>
      <c r="I1471" s="126" t="str">
        <f t="shared" si="68"/>
        <v>0y 0d 0h 1m</v>
      </c>
    </row>
    <row r="1472" s="91" customFormat="1" spans="1:9">
      <c r="A1472" s="91" t="str">
        <f t="shared" si="66"/>
        <v>In-114m</v>
      </c>
      <c r="B1472" s="91" t="s">
        <v>2069</v>
      </c>
      <c r="C1472" s="91" t="s">
        <v>2038</v>
      </c>
      <c r="D1472" s="91">
        <v>49</v>
      </c>
      <c r="E1472" s="91">
        <v>114</v>
      </c>
      <c r="F1472" s="91">
        <v>1</v>
      </c>
      <c r="G1472" s="126">
        <v>1.62038715654138e-7</v>
      </c>
      <c r="H1472" s="126">
        <f t="shared" si="67"/>
        <v>4277664.00000002</v>
      </c>
      <c r="I1472" s="126" t="str">
        <f t="shared" si="68"/>
        <v>0y 49d 12h 14m</v>
      </c>
    </row>
    <row r="1473" s="91" customFormat="1" spans="1:9">
      <c r="A1473" s="91" t="str">
        <f t="shared" si="66"/>
        <v>In-114m2</v>
      </c>
      <c r="B1473" s="91" t="s">
        <v>2070</v>
      </c>
      <c r="C1473" s="91" t="s">
        <v>2038</v>
      </c>
      <c r="D1473" s="91">
        <v>49</v>
      </c>
      <c r="E1473" s="91">
        <v>114</v>
      </c>
      <c r="F1473" s="91">
        <v>2</v>
      </c>
      <c r="G1473" s="126">
        <v>16.0823011730845</v>
      </c>
      <c r="H1473" s="126">
        <f t="shared" si="67"/>
        <v>0.0431000000000002</v>
      </c>
      <c r="I1473" s="126" t="str">
        <f t="shared" si="68"/>
        <v>0y 0d 0h 0m</v>
      </c>
    </row>
    <row r="1474" s="91" customFormat="1" spans="1:9">
      <c r="A1474" s="91" t="str">
        <f t="shared" ref="A1474:A1537" si="69">C1474&amp;"-"&amp;E1474&amp;_xlfn.IFS(F1474=0,"",F1474=1,"m",F1474&gt;1,"m"&amp;F1474)</f>
        <v>In-115</v>
      </c>
      <c r="B1474" s="91" t="s">
        <v>2071</v>
      </c>
      <c r="C1474" s="91" t="s">
        <v>2038</v>
      </c>
      <c r="D1474" s="91">
        <v>49</v>
      </c>
      <c r="E1474" s="91">
        <v>115</v>
      </c>
      <c r="F1474" s="91">
        <v>0</v>
      </c>
      <c r="G1474" s="126">
        <v>4.98061479611081e-23</v>
      </c>
      <c r="H1474" s="126">
        <f t="shared" ref="H1474:H1537" si="70">IF(G1474&gt;0,LN(2)/G1474,0)</f>
        <v>1.39169e+22</v>
      </c>
      <c r="I1474" s="126" t="str">
        <f t="shared" si="68"/>
        <v>441302004058853y 121d 8h 42m</v>
      </c>
    </row>
    <row r="1475" s="91" customFormat="1" spans="1:9">
      <c r="A1475" s="91" t="str">
        <f t="shared" si="69"/>
        <v>In-115m</v>
      </c>
      <c r="B1475" s="91" t="s">
        <v>2072</v>
      </c>
      <c r="C1475" s="91" t="s">
        <v>2038</v>
      </c>
      <c r="D1475" s="91">
        <v>49</v>
      </c>
      <c r="E1475" s="91">
        <v>115</v>
      </c>
      <c r="F1475" s="91">
        <v>1</v>
      </c>
      <c r="G1475" s="126">
        <v>4.29203931094234e-5</v>
      </c>
      <c r="H1475" s="126">
        <f t="shared" si="70"/>
        <v>16149.6</v>
      </c>
      <c r="I1475" s="126" t="str">
        <f t="shared" ref="I1475:I1538" si="71">INT(H1475/31536000)&amp;"y "&amp;INT(MOD(H1475,31536000)/86400)&amp;"d "&amp;INT(MOD(MOD(H1475,31536000),86400)/3600)&amp;"h "&amp;INT(MOD(MOD(MOD(H1475,31536000),86400),3600)/60)&amp;"m"</f>
        <v>0y 0d 4h 29m</v>
      </c>
    </row>
    <row r="1476" s="91" customFormat="1" spans="1:9">
      <c r="A1476" s="91" t="str">
        <f t="shared" si="69"/>
        <v>In-116</v>
      </c>
      <c r="B1476" s="91" t="s">
        <v>2073</v>
      </c>
      <c r="C1476" s="91" t="s">
        <v>2038</v>
      </c>
      <c r="D1476" s="91">
        <v>49</v>
      </c>
      <c r="E1476" s="91">
        <v>116</v>
      </c>
      <c r="F1476" s="91">
        <v>0</v>
      </c>
      <c r="G1476" s="126">
        <v>0.0491593745077975</v>
      </c>
      <c r="H1476" s="126">
        <f t="shared" si="70"/>
        <v>14.1</v>
      </c>
      <c r="I1476" s="126" t="str">
        <f t="shared" si="71"/>
        <v>0y 0d 0h 0m</v>
      </c>
    </row>
    <row r="1477" s="91" customFormat="1" spans="1:9">
      <c r="A1477" s="91" t="str">
        <f t="shared" si="69"/>
        <v>In-116m</v>
      </c>
      <c r="B1477" s="91" t="s">
        <v>2074</v>
      </c>
      <c r="C1477" s="91" t="s">
        <v>2038</v>
      </c>
      <c r="D1477" s="91">
        <v>49</v>
      </c>
      <c r="E1477" s="91">
        <v>116</v>
      </c>
      <c r="F1477" s="91">
        <v>1</v>
      </c>
      <c r="G1477" s="126">
        <v>0.000212791545576209</v>
      </c>
      <c r="H1477" s="126">
        <f t="shared" si="70"/>
        <v>3257.40000000001</v>
      </c>
      <c r="I1477" s="126" t="str">
        <f t="shared" si="71"/>
        <v>0y 0d 0h 54m</v>
      </c>
    </row>
    <row r="1478" s="91" customFormat="1" spans="1:9">
      <c r="A1478" s="91" t="str">
        <f t="shared" si="69"/>
        <v>In-116m2</v>
      </c>
      <c r="B1478" s="91" t="s">
        <v>2075</v>
      </c>
      <c r="C1478" s="91" t="s">
        <v>2038</v>
      </c>
      <c r="D1478" s="91">
        <v>49</v>
      </c>
      <c r="E1478" s="91">
        <v>116</v>
      </c>
      <c r="F1478" s="91">
        <v>2</v>
      </c>
      <c r="G1478" s="126">
        <v>0.317957422275204</v>
      </c>
      <c r="H1478" s="126">
        <f t="shared" si="70"/>
        <v>2.18</v>
      </c>
      <c r="I1478" s="126" t="str">
        <f t="shared" si="71"/>
        <v>0y 0d 0h 0m</v>
      </c>
    </row>
    <row r="1479" s="91" customFormat="1" spans="1:9">
      <c r="A1479" s="91" t="str">
        <f t="shared" si="69"/>
        <v>In-117</v>
      </c>
      <c r="B1479" s="91" t="s">
        <v>2076</v>
      </c>
      <c r="C1479" s="91" t="s">
        <v>2038</v>
      </c>
      <c r="D1479" s="91">
        <v>49</v>
      </c>
      <c r="E1479" s="91">
        <v>117</v>
      </c>
      <c r="F1479" s="91">
        <v>0</v>
      </c>
      <c r="G1479" s="126">
        <v>0.000267417893734546</v>
      </c>
      <c r="H1479" s="126">
        <f t="shared" si="70"/>
        <v>2592.00000000001</v>
      </c>
      <c r="I1479" s="126" t="str">
        <f t="shared" si="71"/>
        <v>0y 0d 0h 43m</v>
      </c>
    </row>
    <row r="1480" s="91" customFormat="1" spans="1:9">
      <c r="A1480" s="91" t="str">
        <f t="shared" si="69"/>
        <v>In-117m</v>
      </c>
      <c r="B1480" s="91" t="s">
        <v>2077</v>
      </c>
      <c r="C1480" s="91" t="s">
        <v>2038</v>
      </c>
      <c r="D1480" s="91">
        <v>49</v>
      </c>
      <c r="E1480" s="91">
        <v>117</v>
      </c>
      <c r="F1480" s="91">
        <v>1</v>
      </c>
      <c r="G1480" s="126">
        <v>9.94187005966645e-5</v>
      </c>
      <c r="H1480" s="126">
        <f t="shared" si="70"/>
        <v>6972</v>
      </c>
      <c r="I1480" s="126" t="str">
        <f t="shared" si="71"/>
        <v>0y 0d 1h 56m</v>
      </c>
    </row>
    <row r="1481" s="91" customFormat="1" spans="1:9">
      <c r="A1481" s="91" t="str">
        <f t="shared" si="69"/>
        <v>In-118</v>
      </c>
      <c r="B1481" s="91" t="s">
        <v>2078</v>
      </c>
      <c r="C1481" s="91" t="s">
        <v>2038</v>
      </c>
      <c r="D1481" s="91">
        <v>49</v>
      </c>
      <c r="E1481" s="91">
        <v>118</v>
      </c>
      <c r="F1481" s="91">
        <v>0</v>
      </c>
      <c r="G1481" s="126">
        <v>0.138629436111989</v>
      </c>
      <c r="H1481" s="126">
        <f t="shared" si="70"/>
        <v>5</v>
      </c>
      <c r="I1481" s="126" t="str">
        <f t="shared" si="71"/>
        <v>0y 0d 0h 0m</v>
      </c>
    </row>
    <row r="1482" s="91" customFormat="1" spans="1:9">
      <c r="A1482" s="91" t="str">
        <f t="shared" si="69"/>
        <v>In-118m</v>
      </c>
      <c r="B1482" s="91" t="s">
        <v>2079</v>
      </c>
      <c r="C1482" s="91" t="s">
        <v>2038</v>
      </c>
      <c r="D1482" s="91">
        <v>49</v>
      </c>
      <c r="E1482" s="91">
        <v>118</v>
      </c>
      <c r="F1482" s="91">
        <v>1</v>
      </c>
      <c r="G1482" s="126">
        <v>0.00259605685602975</v>
      </c>
      <c r="H1482" s="126">
        <f t="shared" si="70"/>
        <v>267.000000000001</v>
      </c>
      <c r="I1482" s="126" t="str">
        <f t="shared" si="71"/>
        <v>0y 0d 0h 4m</v>
      </c>
    </row>
    <row r="1483" s="91" customFormat="1" spans="1:9">
      <c r="A1483" s="91" t="str">
        <f t="shared" si="69"/>
        <v>In-118m2</v>
      </c>
      <c r="B1483" s="91" t="s">
        <v>2080</v>
      </c>
      <c r="C1483" s="91" t="s">
        <v>2038</v>
      </c>
      <c r="D1483" s="91">
        <v>49</v>
      </c>
      <c r="E1483" s="91">
        <v>118</v>
      </c>
      <c r="F1483" s="91">
        <v>2</v>
      </c>
      <c r="G1483" s="126">
        <v>0.0815467271246994</v>
      </c>
      <c r="H1483" s="126">
        <f t="shared" si="70"/>
        <v>8.5</v>
      </c>
      <c r="I1483" s="126" t="str">
        <f t="shared" si="71"/>
        <v>0y 0d 0h 0m</v>
      </c>
    </row>
    <row r="1484" s="91" customFormat="1" spans="1:9">
      <c r="A1484" s="91" t="str">
        <f t="shared" si="69"/>
        <v>In-119</v>
      </c>
      <c r="B1484" s="91" t="s">
        <v>2081</v>
      </c>
      <c r="C1484" s="91" t="s">
        <v>2038</v>
      </c>
      <c r="D1484" s="91">
        <v>49</v>
      </c>
      <c r="E1484" s="91">
        <v>119</v>
      </c>
      <c r="F1484" s="91">
        <v>0</v>
      </c>
      <c r="G1484" s="126">
        <v>0.00481352208722184</v>
      </c>
      <c r="H1484" s="126">
        <f t="shared" si="70"/>
        <v>144</v>
      </c>
      <c r="I1484" s="126" t="str">
        <f t="shared" si="71"/>
        <v>0y 0d 0h 2m</v>
      </c>
    </row>
    <row r="1485" s="91" customFormat="1" spans="1:9">
      <c r="A1485" s="91" t="str">
        <f t="shared" si="69"/>
        <v>In-119m</v>
      </c>
      <c r="B1485" s="91" t="s">
        <v>2082</v>
      </c>
      <c r="C1485" s="91" t="s">
        <v>2038</v>
      </c>
      <c r="D1485" s="91">
        <v>49</v>
      </c>
      <c r="E1485" s="91">
        <v>119</v>
      </c>
      <c r="F1485" s="91">
        <v>1</v>
      </c>
      <c r="G1485" s="126">
        <v>0.000641802944962912</v>
      </c>
      <c r="H1485" s="126">
        <f t="shared" si="70"/>
        <v>1080</v>
      </c>
      <c r="I1485" s="126" t="str">
        <f t="shared" si="71"/>
        <v>0y 0d 0h 18m</v>
      </c>
    </row>
    <row r="1486" s="91" customFormat="1" spans="1:9">
      <c r="A1486" s="91" t="str">
        <f t="shared" si="69"/>
        <v>In-120</v>
      </c>
      <c r="B1486" s="91" t="s">
        <v>2083</v>
      </c>
      <c r="C1486" s="91" t="s">
        <v>2038</v>
      </c>
      <c r="D1486" s="91">
        <v>49</v>
      </c>
      <c r="E1486" s="91">
        <v>120</v>
      </c>
      <c r="F1486" s="91">
        <v>0</v>
      </c>
      <c r="G1486" s="126">
        <v>0.225047785896086</v>
      </c>
      <c r="H1486" s="126">
        <f t="shared" si="70"/>
        <v>3.08</v>
      </c>
      <c r="I1486" s="126" t="str">
        <f t="shared" si="71"/>
        <v>0y 0d 0h 0m</v>
      </c>
    </row>
    <row r="1487" s="91" customFormat="1" spans="1:9">
      <c r="A1487" s="91" t="str">
        <f t="shared" si="69"/>
        <v>In-120m</v>
      </c>
      <c r="B1487" s="91" t="s">
        <v>2084</v>
      </c>
      <c r="C1487" s="91" t="s">
        <v>2038</v>
      </c>
      <c r="D1487" s="91">
        <v>49</v>
      </c>
      <c r="E1487" s="91">
        <v>120</v>
      </c>
      <c r="F1487" s="91">
        <v>1</v>
      </c>
      <c r="G1487" s="126">
        <v>0.0150031857264057</v>
      </c>
      <c r="H1487" s="126">
        <f t="shared" si="70"/>
        <v>46.2000000000001</v>
      </c>
      <c r="I1487" s="126" t="str">
        <f t="shared" si="71"/>
        <v>0y 0d 0h 0m</v>
      </c>
    </row>
    <row r="1488" s="91" customFormat="1" spans="1:9">
      <c r="A1488" s="91" t="str">
        <f t="shared" si="69"/>
        <v>In-120m2</v>
      </c>
      <c r="B1488" s="91" t="s">
        <v>2085</v>
      </c>
      <c r="C1488" s="91" t="s">
        <v>2038</v>
      </c>
      <c r="D1488" s="91">
        <v>49</v>
      </c>
      <c r="E1488" s="91">
        <v>120</v>
      </c>
      <c r="F1488" s="91">
        <v>2</v>
      </c>
      <c r="G1488" s="126">
        <v>0.0146542744304428</v>
      </c>
      <c r="H1488" s="126">
        <f t="shared" si="70"/>
        <v>47.3000000000001</v>
      </c>
      <c r="I1488" s="126" t="str">
        <f t="shared" si="71"/>
        <v>0y 0d 0h 0m</v>
      </c>
    </row>
    <row r="1489" s="91" customFormat="1" spans="1:9">
      <c r="A1489" s="91" t="str">
        <f t="shared" si="69"/>
        <v>In-121</v>
      </c>
      <c r="B1489" s="91" t="s">
        <v>2086</v>
      </c>
      <c r="C1489" s="91" t="s">
        <v>2038</v>
      </c>
      <c r="D1489" s="91">
        <v>49</v>
      </c>
      <c r="E1489" s="91">
        <v>121</v>
      </c>
      <c r="F1489" s="91">
        <v>0</v>
      </c>
      <c r="G1489" s="126">
        <v>0.0300063714528114</v>
      </c>
      <c r="H1489" s="126">
        <f t="shared" si="70"/>
        <v>23.1000000000001</v>
      </c>
      <c r="I1489" s="126" t="str">
        <f t="shared" si="71"/>
        <v>0y 0d 0h 0m</v>
      </c>
    </row>
    <row r="1490" s="91" customFormat="1" spans="1:9">
      <c r="A1490" s="91" t="str">
        <f t="shared" si="69"/>
        <v>In-121m</v>
      </c>
      <c r="B1490" s="91" t="s">
        <v>2087</v>
      </c>
      <c r="C1490" s="91" t="s">
        <v>2038</v>
      </c>
      <c r="D1490" s="91">
        <v>49</v>
      </c>
      <c r="E1490" s="91">
        <v>121</v>
      </c>
      <c r="F1490" s="91">
        <v>1</v>
      </c>
      <c r="G1490" s="126">
        <v>0.00297743634261144</v>
      </c>
      <c r="H1490" s="126">
        <f t="shared" si="70"/>
        <v>232.800000000001</v>
      </c>
      <c r="I1490" s="126" t="str">
        <f t="shared" si="71"/>
        <v>0y 0d 0h 3m</v>
      </c>
    </row>
    <row r="1491" s="91" customFormat="1" spans="1:9">
      <c r="A1491" s="91" t="str">
        <f t="shared" si="69"/>
        <v>In-122</v>
      </c>
      <c r="B1491" s="91" t="s">
        <v>2088</v>
      </c>
      <c r="C1491" s="91" t="s">
        <v>2038</v>
      </c>
      <c r="D1491" s="91">
        <v>49</v>
      </c>
      <c r="E1491" s="91">
        <v>122</v>
      </c>
      <c r="F1491" s="91">
        <v>0</v>
      </c>
      <c r="G1491" s="126">
        <v>0.462098120373296</v>
      </c>
      <c r="H1491" s="126">
        <f t="shared" si="70"/>
        <v>1.5</v>
      </c>
      <c r="I1491" s="126" t="str">
        <f t="shared" si="71"/>
        <v>0y 0d 0h 0m</v>
      </c>
    </row>
    <row r="1492" s="91" customFormat="1" spans="1:9">
      <c r="A1492" s="91" t="str">
        <f t="shared" si="69"/>
        <v>In-122m</v>
      </c>
      <c r="B1492" s="91" t="s">
        <v>2089</v>
      </c>
      <c r="C1492" s="91" t="s">
        <v>2038</v>
      </c>
      <c r="D1492" s="91">
        <v>49</v>
      </c>
      <c r="E1492" s="91">
        <v>122</v>
      </c>
      <c r="F1492" s="91">
        <v>1</v>
      </c>
      <c r="G1492" s="126">
        <v>0.0672958427728102</v>
      </c>
      <c r="H1492" s="126">
        <f t="shared" si="70"/>
        <v>10.3</v>
      </c>
      <c r="I1492" s="126" t="str">
        <f t="shared" si="71"/>
        <v>0y 0d 0h 0m</v>
      </c>
    </row>
    <row r="1493" s="91" customFormat="1" spans="1:9">
      <c r="A1493" s="91" t="str">
        <f t="shared" si="69"/>
        <v>In-122m2</v>
      </c>
      <c r="B1493" s="91" t="s">
        <v>2090</v>
      </c>
      <c r="C1493" s="91" t="s">
        <v>2038</v>
      </c>
      <c r="D1493" s="91">
        <v>49</v>
      </c>
      <c r="E1493" s="91">
        <v>122</v>
      </c>
      <c r="F1493" s="91">
        <v>2</v>
      </c>
      <c r="G1493" s="126">
        <v>0.0641802944962912</v>
      </c>
      <c r="H1493" s="126">
        <f t="shared" si="70"/>
        <v>10.8</v>
      </c>
      <c r="I1493" s="126" t="str">
        <f t="shared" si="71"/>
        <v>0y 0d 0h 0m</v>
      </c>
    </row>
    <row r="1494" s="91" customFormat="1" spans="1:9">
      <c r="A1494" s="91" t="str">
        <f t="shared" si="69"/>
        <v>In-123</v>
      </c>
      <c r="B1494" s="91" t="s">
        <v>2091</v>
      </c>
      <c r="C1494" s="91" t="s">
        <v>2038</v>
      </c>
      <c r="D1494" s="91">
        <v>49</v>
      </c>
      <c r="E1494" s="91">
        <v>123</v>
      </c>
      <c r="F1494" s="91">
        <v>0</v>
      </c>
      <c r="G1494" s="126">
        <v>0.112341520350072</v>
      </c>
      <c r="H1494" s="126">
        <f t="shared" si="70"/>
        <v>6.17000000000001</v>
      </c>
      <c r="I1494" s="126" t="str">
        <f t="shared" si="71"/>
        <v>0y 0d 0h 0m</v>
      </c>
    </row>
    <row r="1495" s="91" customFormat="1" spans="1:9">
      <c r="A1495" s="91" t="str">
        <f t="shared" si="69"/>
        <v>In-123m</v>
      </c>
      <c r="B1495" s="91" t="s">
        <v>2092</v>
      </c>
      <c r="C1495" s="91" t="s">
        <v>2038</v>
      </c>
      <c r="D1495" s="91">
        <v>49</v>
      </c>
      <c r="E1495" s="91">
        <v>123</v>
      </c>
      <c r="F1495" s="91">
        <v>1</v>
      </c>
      <c r="G1495" s="126">
        <v>0.0146233582396612</v>
      </c>
      <c r="H1495" s="126">
        <f t="shared" si="70"/>
        <v>47.4000000000003</v>
      </c>
      <c r="I1495" s="126" t="str">
        <f t="shared" si="71"/>
        <v>0y 0d 0h 0m</v>
      </c>
    </row>
    <row r="1496" s="91" customFormat="1" spans="1:9">
      <c r="A1496" s="91" t="str">
        <f t="shared" si="69"/>
        <v>In-124</v>
      </c>
      <c r="B1496" s="91" t="s">
        <v>2093</v>
      </c>
      <c r="C1496" s="91" t="s">
        <v>2038</v>
      </c>
      <c r="D1496" s="91">
        <v>49</v>
      </c>
      <c r="E1496" s="91">
        <v>124</v>
      </c>
      <c r="F1496" s="91">
        <v>0</v>
      </c>
      <c r="G1496" s="126">
        <v>0.222162557871777</v>
      </c>
      <c r="H1496" s="126">
        <f t="shared" si="70"/>
        <v>3.12</v>
      </c>
      <c r="I1496" s="126" t="str">
        <f t="shared" si="71"/>
        <v>0y 0d 0h 0m</v>
      </c>
    </row>
    <row r="1497" s="91" customFormat="1" spans="1:9">
      <c r="A1497" s="91" t="str">
        <f t="shared" si="69"/>
        <v>In-124m</v>
      </c>
      <c r="B1497" s="91" t="s">
        <v>2094</v>
      </c>
      <c r="C1497" s="91" t="s">
        <v>2038</v>
      </c>
      <c r="D1497" s="91">
        <v>49</v>
      </c>
      <c r="E1497" s="91">
        <v>124</v>
      </c>
      <c r="F1497" s="91">
        <v>1</v>
      </c>
      <c r="G1497" s="126">
        <v>0.187337075827012</v>
      </c>
      <c r="H1497" s="126">
        <f t="shared" si="70"/>
        <v>3.7</v>
      </c>
      <c r="I1497" s="126" t="str">
        <f t="shared" si="71"/>
        <v>0y 0d 0h 0m</v>
      </c>
    </row>
    <row r="1498" s="91" customFormat="1" spans="1:9">
      <c r="A1498" s="91" t="str">
        <f t="shared" si="69"/>
        <v>In-125</v>
      </c>
      <c r="B1498" s="91" t="s">
        <v>2095</v>
      </c>
      <c r="C1498" s="91" t="s">
        <v>2038</v>
      </c>
      <c r="D1498" s="91">
        <v>49</v>
      </c>
      <c r="E1498" s="91">
        <v>125</v>
      </c>
      <c r="F1498" s="91">
        <v>0</v>
      </c>
      <c r="G1498" s="126">
        <v>0.293706432440654</v>
      </c>
      <c r="H1498" s="126">
        <f t="shared" si="70"/>
        <v>2.36000000000001</v>
      </c>
      <c r="I1498" s="126" t="str">
        <f t="shared" si="71"/>
        <v>0y 0d 0h 0m</v>
      </c>
    </row>
    <row r="1499" s="91" customFormat="1" spans="1:9">
      <c r="A1499" s="91" t="str">
        <f t="shared" si="69"/>
        <v>In-125m</v>
      </c>
      <c r="B1499" s="91" t="s">
        <v>2096</v>
      </c>
      <c r="C1499" s="91" t="s">
        <v>2038</v>
      </c>
      <c r="D1499" s="91">
        <v>49</v>
      </c>
      <c r="E1499" s="91">
        <v>125</v>
      </c>
      <c r="F1499" s="91">
        <v>1</v>
      </c>
      <c r="G1499" s="126">
        <v>0.0568153426688479</v>
      </c>
      <c r="H1499" s="126">
        <f t="shared" si="70"/>
        <v>12.2</v>
      </c>
      <c r="I1499" s="126" t="str">
        <f t="shared" si="71"/>
        <v>0y 0d 0h 0m</v>
      </c>
    </row>
    <row r="1500" s="91" customFormat="1" spans="1:9">
      <c r="A1500" s="91" t="str">
        <f t="shared" si="69"/>
        <v>In-126</v>
      </c>
      <c r="B1500" s="91" t="s">
        <v>2097</v>
      </c>
      <c r="C1500" s="91" t="s">
        <v>2038</v>
      </c>
      <c r="D1500" s="91">
        <v>49</v>
      </c>
      <c r="E1500" s="91">
        <v>126</v>
      </c>
      <c r="F1500" s="91">
        <v>0</v>
      </c>
      <c r="G1500" s="126">
        <v>0.453037372914996</v>
      </c>
      <c r="H1500" s="126">
        <f t="shared" si="70"/>
        <v>1.53</v>
      </c>
      <c r="I1500" s="126" t="str">
        <f t="shared" si="71"/>
        <v>0y 0d 0h 0m</v>
      </c>
    </row>
    <row r="1501" s="91" customFormat="1" spans="1:9">
      <c r="A1501" s="91" t="str">
        <f t="shared" si="69"/>
        <v>In-126m</v>
      </c>
      <c r="B1501" s="91" t="s">
        <v>2098</v>
      </c>
      <c r="C1501" s="91" t="s">
        <v>2038</v>
      </c>
      <c r="D1501" s="91">
        <v>49</v>
      </c>
      <c r="E1501" s="91">
        <v>126</v>
      </c>
      <c r="F1501" s="91">
        <v>1</v>
      </c>
      <c r="G1501" s="126">
        <v>0.422650719853625</v>
      </c>
      <c r="H1501" s="126">
        <f t="shared" si="70"/>
        <v>1.64</v>
      </c>
      <c r="I1501" s="126" t="str">
        <f t="shared" si="71"/>
        <v>0y 0d 0h 0m</v>
      </c>
    </row>
    <row r="1502" s="91" customFormat="1" spans="1:9">
      <c r="A1502" s="91" t="str">
        <f t="shared" si="69"/>
        <v>In-127</v>
      </c>
      <c r="B1502" s="91" t="s">
        <v>2099</v>
      </c>
      <c r="C1502" s="91" t="s">
        <v>2038</v>
      </c>
      <c r="D1502" s="91">
        <v>49</v>
      </c>
      <c r="E1502" s="91">
        <v>127</v>
      </c>
      <c r="F1502" s="91">
        <v>0</v>
      </c>
      <c r="G1502" s="126">
        <v>0.635914844550408</v>
      </c>
      <c r="H1502" s="126">
        <f t="shared" si="70"/>
        <v>1.09</v>
      </c>
      <c r="I1502" s="126" t="str">
        <f t="shared" si="71"/>
        <v>0y 0d 0h 0m</v>
      </c>
    </row>
    <row r="1503" s="91" customFormat="1" spans="1:9">
      <c r="A1503" s="91" t="str">
        <f t="shared" si="69"/>
        <v>In-127m</v>
      </c>
      <c r="B1503" s="91" t="s">
        <v>2100</v>
      </c>
      <c r="C1503" s="91" t="s">
        <v>2038</v>
      </c>
      <c r="D1503" s="91">
        <v>49</v>
      </c>
      <c r="E1503" s="91">
        <v>127</v>
      </c>
      <c r="F1503" s="91">
        <v>1</v>
      </c>
      <c r="G1503" s="126">
        <v>0.188868441569467</v>
      </c>
      <c r="H1503" s="126">
        <f t="shared" si="70"/>
        <v>3.67000000000001</v>
      </c>
      <c r="I1503" s="126" t="str">
        <f t="shared" si="71"/>
        <v>0y 0d 0h 0m</v>
      </c>
    </row>
    <row r="1504" s="91" customFormat="1" spans="1:9">
      <c r="A1504" s="91" t="str">
        <f t="shared" si="69"/>
        <v>In-128</v>
      </c>
      <c r="B1504" s="91" t="s">
        <v>2101</v>
      </c>
      <c r="C1504" s="91" t="s">
        <v>2038</v>
      </c>
      <c r="D1504" s="91">
        <v>49</v>
      </c>
      <c r="E1504" s="91">
        <v>128</v>
      </c>
      <c r="F1504" s="91">
        <v>0</v>
      </c>
      <c r="G1504" s="126">
        <v>0.825175214952315</v>
      </c>
      <c r="H1504" s="126">
        <f t="shared" si="70"/>
        <v>0.840000000000001</v>
      </c>
      <c r="I1504" s="126" t="str">
        <f t="shared" si="71"/>
        <v>0y 0d 0h 0m</v>
      </c>
    </row>
    <row r="1505" s="91" customFormat="1" spans="1:9">
      <c r="A1505" s="91" t="str">
        <f t="shared" si="69"/>
        <v>In-128m</v>
      </c>
      <c r="B1505" s="91" t="s">
        <v>2102</v>
      </c>
      <c r="C1505" s="91" t="s">
        <v>2038</v>
      </c>
      <c r="D1505" s="91">
        <v>49</v>
      </c>
      <c r="E1505" s="91">
        <v>128</v>
      </c>
      <c r="F1505" s="91">
        <v>1</v>
      </c>
      <c r="G1505" s="126">
        <v>0.962704417444368</v>
      </c>
      <c r="H1505" s="126">
        <f t="shared" si="70"/>
        <v>0.72</v>
      </c>
      <c r="I1505" s="126" t="str">
        <f t="shared" si="71"/>
        <v>0y 0d 0h 0m</v>
      </c>
    </row>
    <row r="1506" s="91" customFormat="1" spans="1:9">
      <c r="A1506" s="91" t="str">
        <f t="shared" si="69"/>
        <v>In-129</v>
      </c>
      <c r="B1506" s="91" t="s">
        <v>2103</v>
      </c>
      <c r="C1506" s="91" t="s">
        <v>2038</v>
      </c>
      <c r="D1506" s="91">
        <v>49</v>
      </c>
      <c r="E1506" s="91">
        <v>129</v>
      </c>
      <c r="F1506" s="91">
        <v>0</v>
      </c>
      <c r="G1506" s="126">
        <v>1.13630685337695</v>
      </c>
      <c r="H1506" s="126">
        <f t="shared" si="70"/>
        <v>0.610000000000005</v>
      </c>
      <c r="I1506" s="126" t="str">
        <f t="shared" si="71"/>
        <v>0y 0d 0h 0m</v>
      </c>
    </row>
    <row r="1507" s="91" customFormat="1" spans="1:9">
      <c r="A1507" s="91" t="str">
        <f t="shared" si="69"/>
        <v>In-129m</v>
      </c>
      <c r="B1507" s="91" t="s">
        <v>2104</v>
      </c>
      <c r="C1507" s="91" t="s">
        <v>2038</v>
      </c>
      <c r="D1507" s="91">
        <v>49</v>
      </c>
      <c r="E1507" s="91">
        <v>129</v>
      </c>
      <c r="F1507" s="91">
        <v>1</v>
      </c>
      <c r="G1507" s="126">
        <v>0.563534293138166</v>
      </c>
      <c r="H1507" s="126">
        <f t="shared" si="70"/>
        <v>1.23</v>
      </c>
      <c r="I1507" s="126" t="str">
        <f t="shared" si="71"/>
        <v>0y 0d 0h 0m</v>
      </c>
    </row>
    <row r="1508" s="91" customFormat="1" spans="1:9">
      <c r="A1508" s="91" t="str">
        <f t="shared" si="69"/>
        <v>In-130</v>
      </c>
      <c r="B1508" s="91" t="s">
        <v>2105</v>
      </c>
      <c r="C1508" s="91" t="s">
        <v>2038</v>
      </c>
      <c r="D1508" s="91">
        <v>49</v>
      </c>
      <c r="E1508" s="91">
        <v>130</v>
      </c>
      <c r="F1508" s="91">
        <v>0</v>
      </c>
      <c r="G1508" s="126">
        <v>2.39016269158601</v>
      </c>
      <c r="H1508" s="126">
        <f t="shared" si="70"/>
        <v>0.290000000000001</v>
      </c>
      <c r="I1508" s="126" t="str">
        <f t="shared" si="71"/>
        <v>0y 0d 0h 0m</v>
      </c>
    </row>
    <row r="1509" s="91" customFormat="1" spans="1:9">
      <c r="A1509" s="91" t="str">
        <f t="shared" si="69"/>
        <v>In-130m</v>
      </c>
      <c r="B1509" s="91" t="s">
        <v>2106</v>
      </c>
      <c r="C1509" s="91" t="s">
        <v>2038</v>
      </c>
      <c r="D1509" s="91">
        <v>49</v>
      </c>
      <c r="E1509" s="91">
        <v>130</v>
      </c>
      <c r="F1509" s="91">
        <v>1</v>
      </c>
      <c r="G1509" s="126">
        <v>1.28360588992582</v>
      </c>
      <c r="H1509" s="126">
        <f t="shared" si="70"/>
        <v>0.540000000000002</v>
      </c>
      <c r="I1509" s="126" t="str">
        <f t="shared" si="71"/>
        <v>0y 0d 0h 0m</v>
      </c>
    </row>
    <row r="1510" s="91" customFormat="1" spans="1:9">
      <c r="A1510" s="91" t="str">
        <f t="shared" si="69"/>
        <v>In-130m2</v>
      </c>
      <c r="B1510" s="91" t="s">
        <v>2107</v>
      </c>
      <c r="C1510" s="91" t="s">
        <v>2038</v>
      </c>
      <c r="D1510" s="91">
        <v>49</v>
      </c>
      <c r="E1510" s="91">
        <v>130</v>
      </c>
      <c r="F1510" s="91">
        <v>2</v>
      </c>
      <c r="G1510" s="126">
        <v>1.28360588992582</v>
      </c>
      <c r="H1510" s="126">
        <f t="shared" si="70"/>
        <v>0.540000000000002</v>
      </c>
      <c r="I1510" s="126" t="str">
        <f t="shared" si="71"/>
        <v>0y 0d 0h 0m</v>
      </c>
    </row>
    <row r="1511" s="91" customFormat="1" spans="1:9">
      <c r="A1511" s="91" t="str">
        <f t="shared" si="69"/>
        <v>In-131</v>
      </c>
      <c r="B1511" s="91" t="s">
        <v>2108</v>
      </c>
      <c r="C1511" s="91" t="s">
        <v>2038</v>
      </c>
      <c r="D1511" s="91">
        <v>49</v>
      </c>
      <c r="E1511" s="91">
        <v>131</v>
      </c>
      <c r="F1511" s="91">
        <v>0</v>
      </c>
      <c r="G1511" s="126">
        <v>2.47552564485694</v>
      </c>
      <c r="H1511" s="126">
        <f t="shared" si="70"/>
        <v>0.280000000000001</v>
      </c>
      <c r="I1511" s="126" t="str">
        <f t="shared" si="71"/>
        <v>0y 0d 0h 0m</v>
      </c>
    </row>
    <row r="1512" s="91" customFormat="1" spans="1:9">
      <c r="A1512" s="91" t="str">
        <f t="shared" si="69"/>
        <v>In-131m</v>
      </c>
      <c r="B1512" s="91" t="s">
        <v>2109</v>
      </c>
      <c r="C1512" s="91" t="s">
        <v>2038</v>
      </c>
      <c r="D1512" s="91">
        <v>49</v>
      </c>
      <c r="E1512" s="91">
        <v>131</v>
      </c>
      <c r="F1512" s="91">
        <v>1</v>
      </c>
      <c r="G1512" s="126">
        <v>1.98042051588555</v>
      </c>
      <c r="H1512" s="126">
        <f t="shared" si="70"/>
        <v>0.350000000000001</v>
      </c>
      <c r="I1512" s="126" t="str">
        <f t="shared" si="71"/>
        <v>0y 0d 0h 0m</v>
      </c>
    </row>
    <row r="1513" s="91" customFormat="1" spans="1:9">
      <c r="A1513" s="91" t="str">
        <f t="shared" si="69"/>
        <v>In-131m2</v>
      </c>
      <c r="B1513" s="91" t="s">
        <v>2110</v>
      </c>
      <c r="C1513" s="91" t="s">
        <v>2038</v>
      </c>
      <c r="D1513" s="91">
        <v>49</v>
      </c>
      <c r="E1513" s="91">
        <v>131</v>
      </c>
      <c r="F1513" s="91">
        <v>2</v>
      </c>
      <c r="G1513" s="126">
        <v>2.16608493924982</v>
      </c>
      <c r="H1513" s="126">
        <f t="shared" si="70"/>
        <v>0.320000000000001</v>
      </c>
      <c r="I1513" s="126" t="str">
        <f t="shared" si="71"/>
        <v>0y 0d 0h 0m</v>
      </c>
    </row>
    <row r="1514" s="91" customFormat="1" spans="1:9">
      <c r="A1514" s="91" t="str">
        <f t="shared" si="69"/>
        <v>In-132</v>
      </c>
      <c r="B1514" s="91" t="s">
        <v>2111</v>
      </c>
      <c r="C1514" s="91" t="s">
        <v>2038</v>
      </c>
      <c r="D1514" s="91">
        <v>49</v>
      </c>
      <c r="E1514" s="91">
        <v>132</v>
      </c>
      <c r="F1514" s="91">
        <v>0</v>
      </c>
      <c r="G1514" s="126">
        <v>3.34853710415432</v>
      </c>
      <c r="H1514" s="126">
        <f t="shared" si="70"/>
        <v>0.207</v>
      </c>
      <c r="I1514" s="126" t="str">
        <f t="shared" si="71"/>
        <v>0y 0d 0h 0m</v>
      </c>
    </row>
    <row r="1515" s="91" customFormat="1" spans="1:9">
      <c r="A1515" s="91" t="str">
        <f t="shared" si="69"/>
        <v>In-133</v>
      </c>
      <c r="B1515" s="91" t="s">
        <v>2112</v>
      </c>
      <c r="C1515" s="91" t="s">
        <v>2038</v>
      </c>
      <c r="D1515" s="91">
        <v>49</v>
      </c>
      <c r="E1515" s="91">
        <v>133</v>
      </c>
      <c r="F1515" s="91">
        <v>0</v>
      </c>
      <c r="G1515" s="126">
        <v>4.2008920033936</v>
      </c>
      <c r="H1515" s="126">
        <f t="shared" si="70"/>
        <v>0.165</v>
      </c>
      <c r="I1515" s="126" t="str">
        <f t="shared" si="71"/>
        <v>0y 0d 0h 0m</v>
      </c>
    </row>
    <row r="1516" s="91" customFormat="1" spans="1:9">
      <c r="A1516" s="91" t="str">
        <f t="shared" si="69"/>
        <v>In-133m</v>
      </c>
      <c r="B1516" s="91" t="s">
        <v>2113</v>
      </c>
      <c r="C1516" s="91" t="s">
        <v>2038</v>
      </c>
      <c r="D1516" s="91">
        <v>49</v>
      </c>
      <c r="E1516" s="91">
        <v>133</v>
      </c>
      <c r="F1516" s="91">
        <v>1</v>
      </c>
      <c r="G1516" s="126">
        <v>3.85081766977747</v>
      </c>
      <c r="H1516" s="126">
        <f t="shared" si="70"/>
        <v>0.18</v>
      </c>
      <c r="I1516" s="126" t="str">
        <f t="shared" si="71"/>
        <v>0y 0d 0h 0m</v>
      </c>
    </row>
    <row r="1517" s="91" customFormat="1" spans="1:9">
      <c r="A1517" s="91" t="str">
        <f t="shared" si="69"/>
        <v>In-134</v>
      </c>
      <c r="B1517" s="91" t="s">
        <v>2114</v>
      </c>
      <c r="C1517" s="91" t="s">
        <v>2038</v>
      </c>
      <c r="D1517" s="91">
        <v>49</v>
      </c>
      <c r="E1517" s="91">
        <v>134</v>
      </c>
      <c r="F1517" s="91">
        <v>0</v>
      </c>
      <c r="G1517" s="126">
        <v>4.95105128971389</v>
      </c>
      <c r="H1517" s="126">
        <f t="shared" si="70"/>
        <v>0.14</v>
      </c>
      <c r="I1517" s="126" t="str">
        <f t="shared" si="71"/>
        <v>0y 0d 0h 0m</v>
      </c>
    </row>
    <row r="1518" s="91" customFormat="1" spans="1:9">
      <c r="A1518" s="91" t="str">
        <f t="shared" si="69"/>
        <v>In-135</v>
      </c>
      <c r="B1518" s="91" t="s">
        <v>2115</v>
      </c>
      <c r="C1518" s="91" t="s">
        <v>2038</v>
      </c>
      <c r="D1518" s="91">
        <v>49</v>
      </c>
      <c r="E1518" s="91">
        <v>135</v>
      </c>
      <c r="F1518" s="91">
        <v>0</v>
      </c>
      <c r="G1518" s="126">
        <v>7.53420848434723</v>
      </c>
      <c r="H1518" s="126">
        <f t="shared" si="70"/>
        <v>0.092</v>
      </c>
      <c r="I1518" s="126" t="str">
        <f t="shared" si="71"/>
        <v>0y 0d 0h 0m</v>
      </c>
    </row>
    <row r="1519" s="91" customFormat="1" spans="1:9">
      <c r="A1519" s="91" t="str">
        <f t="shared" si="69"/>
        <v>Sn-99</v>
      </c>
      <c r="B1519" s="91" t="s">
        <v>2116</v>
      </c>
      <c r="C1519" s="91" t="s">
        <v>2117</v>
      </c>
      <c r="D1519" s="91">
        <v>50</v>
      </c>
      <c r="E1519" s="91">
        <v>99</v>
      </c>
      <c r="F1519" s="91">
        <v>0</v>
      </c>
      <c r="G1519" s="126">
        <v>138.629436111989</v>
      </c>
      <c r="H1519" s="126">
        <f t="shared" si="70"/>
        <v>0.005</v>
      </c>
      <c r="I1519" s="126" t="str">
        <f t="shared" si="71"/>
        <v>0y 0d 0h 0m</v>
      </c>
    </row>
    <row r="1520" s="91" customFormat="1" spans="1:9">
      <c r="A1520" s="91" t="str">
        <f t="shared" si="69"/>
        <v>Sn-100</v>
      </c>
      <c r="B1520" s="91" t="s">
        <v>2118</v>
      </c>
      <c r="C1520" s="91" t="s">
        <v>2117</v>
      </c>
      <c r="D1520" s="91">
        <v>50</v>
      </c>
      <c r="E1520" s="91">
        <v>100</v>
      </c>
      <c r="F1520" s="91">
        <v>0</v>
      </c>
      <c r="G1520" s="126">
        <v>0.805985093674355</v>
      </c>
      <c r="H1520" s="126">
        <f t="shared" si="70"/>
        <v>0.86</v>
      </c>
      <c r="I1520" s="126" t="str">
        <f t="shared" si="71"/>
        <v>0y 0d 0h 0m</v>
      </c>
    </row>
    <row r="1521" s="91" customFormat="1" spans="1:9">
      <c r="A1521" s="91" t="str">
        <f t="shared" si="69"/>
        <v>Sn-101</v>
      </c>
      <c r="B1521" s="91" t="s">
        <v>2119</v>
      </c>
      <c r="C1521" s="91" t="s">
        <v>2117</v>
      </c>
      <c r="D1521" s="91">
        <v>50</v>
      </c>
      <c r="E1521" s="91">
        <v>101</v>
      </c>
      <c r="F1521" s="91">
        <v>0</v>
      </c>
      <c r="G1521" s="126">
        <v>0.407733635623497</v>
      </c>
      <c r="H1521" s="126">
        <f t="shared" si="70"/>
        <v>1.7</v>
      </c>
      <c r="I1521" s="126" t="str">
        <f t="shared" si="71"/>
        <v>0y 0d 0h 0m</v>
      </c>
    </row>
    <row r="1522" s="91" customFormat="1" spans="1:9">
      <c r="A1522" s="91" t="str">
        <f t="shared" si="69"/>
        <v>Sn-102</v>
      </c>
      <c r="B1522" s="91" t="s">
        <v>2120</v>
      </c>
      <c r="C1522" s="91" t="s">
        <v>2117</v>
      </c>
      <c r="D1522" s="91">
        <v>50</v>
      </c>
      <c r="E1522" s="91">
        <v>102</v>
      </c>
      <c r="F1522" s="91">
        <v>0</v>
      </c>
      <c r="G1522" s="126">
        <v>0.154032706791098</v>
      </c>
      <c r="H1522" s="126">
        <f t="shared" si="70"/>
        <v>4.50000000000003</v>
      </c>
      <c r="I1522" s="126" t="str">
        <f t="shared" si="71"/>
        <v>0y 0d 0h 0m</v>
      </c>
    </row>
    <row r="1523" s="91" customFormat="1" spans="1:9">
      <c r="A1523" s="91" t="str">
        <f t="shared" si="69"/>
        <v>Sn-103</v>
      </c>
      <c r="B1523" s="91" t="s">
        <v>2121</v>
      </c>
      <c r="C1523" s="91" t="s">
        <v>2117</v>
      </c>
      <c r="D1523" s="91">
        <v>50</v>
      </c>
      <c r="E1523" s="91">
        <v>103</v>
      </c>
      <c r="F1523" s="91">
        <v>0</v>
      </c>
      <c r="G1523" s="126">
        <v>0.0990210257942778</v>
      </c>
      <c r="H1523" s="126">
        <f t="shared" si="70"/>
        <v>7.00000000000001</v>
      </c>
      <c r="I1523" s="126" t="str">
        <f t="shared" si="71"/>
        <v>0y 0d 0h 0m</v>
      </c>
    </row>
    <row r="1524" s="91" customFormat="1" spans="1:9">
      <c r="A1524" s="91" t="str">
        <f t="shared" si="69"/>
        <v>Sn-104</v>
      </c>
      <c r="B1524" s="91" t="s">
        <v>2122</v>
      </c>
      <c r="C1524" s="91" t="s">
        <v>2117</v>
      </c>
      <c r="D1524" s="91">
        <v>50</v>
      </c>
      <c r="E1524" s="91">
        <v>104</v>
      </c>
      <c r="F1524" s="91">
        <v>0</v>
      </c>
      <c r="G1524" s="126">
        <v>0.0333243836807666</v>
      </c>
      <c r="H1524" s="126">
        <f t="shared" si="70"/>
        <v>20.8</v>
      </c>
      <c r="I1524" s="126" t="str">
        <f t="shared" si="71"/>
        <v>0y 0d 0h 0m</v>
      </c>
    </row>
    <row r="1525" s="91" customFormat="1" spans="1:9">
      <c r="A1525" s="91" t="str">
        <f t="shared" si="69"/>
        <v>Sn-105</v>
      </c>
      <c r="B1525" s="91" t="s">
        <v>2123</v>
      </c>
      <c r="C1525" s="91" t="s">
        <v>2117</v>
      </c>
      <c r="D1525" s="91">
        <v>50</v>
      </c>
      <c r="E1525" s="91">
        <v>105</v>
      </c>
      <c r="F1525" s="91">
        <v>0</v>
      </c>
      <c r="G1525" s="126">
        <v>0.0203866817811748</v>
      </c>
      <c r="H1525" s="126">
        <f t="shared" si="70"/>
        <v>34.0000000000001</v>
      </c>
      <c r="I1525" s="126" t="str">
        <f t="shared" si="71"/>
        <v>0y 0d 0h 0m</v>
      </c>
    </row>
    <row r="1526" s="91" customFormat="1" spans="1:9">
      <c r="A1526" s="91" t="str">
        <f t="shared" si="69"/>
        <v>Sn-106</v>
      </c>
      <c r="B1526" s="91" t="s">
        <v>2124</v>
      </c>
      <c r="C1526" s="91" t="s">
        <v>2117</v>
      </c>
      <c r="D1526" s="91">
        <v>50</v>
      </c>
      <c r="E1526" s="91">
        <v>106</v>
      </c>
      <c r="F1526" s="91">
        <v>0</v>
      </c>
      <c r="G1526" s="126">
        <v>0.00602736678747778</v>
      </c>
      <c r="H1526" s="126">
        <f t="shared" si="70"/>
        <v>115</v>
      </c>
      <c r="I1526" s="126" t="str">
        <f t="shared" si="71"/>
        <v>0y 0d 0h 1m</v>
      </c>
    </row>
    <row r="1527" s="91" customFormat="1" spans="1:9">
      <c r="A1527" s="91" t="str">
        <f t="shared" si="69"/>
        <v>Sn-107</v>
      </c>
      <c r="B1527" s="91" t="s">
        <v>2125</v>
      </c>
      <c r="C1527" s="91" t="s">
        <v>2117</v>
      </c>
      <c r="D1527" s="91">
        <v>50</v>
      </c>
      <c r="E1527" s="91">
        <v>107</v>
      </c>
      <c r="F1527" s="91">
        <v>0</v>
      </c>
      <c r="G1527" s="126">
        <v>0.00398360448597669</v>
      </c>
      <c r="H1527" s="126">
        <f t="shared" si="70"/>
        <v>174</v>
      </c>
      <c r="I1527" s="126" t="str">
        <f t="shared" si="71"/>
        <v>0y 0d 0h 2m</v>
      </c>
    </row>
    <row r="1528" s="91" customFormat="1" spans="1:9">
      <c r="A1528" s="91" t="str">
        <f t="shared" si="69"/>
        <v>Sn-108</v>
      </c>
      <c r="B1528" s="91" t="s">
        <v>2126</v>
      </c>
      <c r="C1528" s="91" t="s">
        <v>2117</v>
      </c>
      <c r="D1528" s="91">
        <v>50</v>
      </c>
      <c r="E1528" s="91">
        <v>108</v>
      </c>
      <c r="F1528" s="91">
        <v>0</v>
      </c>
      <c r="G1528" s="126">
        <v>0.00112159737954683</v>
      </c>
      <c r="H1528" s="126">
        <f t="shared" si="70"/>
        <v>618.000000000004</v>
      </c>
      <c r="I1528" s="126" t="str">
        <f t="shared" si="71"/>
        <v>0y 0d 0h 10m</v>
      </c>
    </row>
    <row r="1529" s="91" customFormat="1" spans="1:9">
      <c r="A1529" s="91" t="str">
        <f t="shared" si="69"/>
        <v>Sn-109</v>
      </c>
      <c r="B1529" s="91" t="s">
        <v>2127</v>
      </c>
      <c r="C1529" s="91" t="s">
        <v>2117</v>
      </c>
      <c r="D1529" s="91">
        <v>50</v>
      </c>
      <c r="E1529" s="91">
        <v>109</v>
      </c>
      <c r="F1529" s="91">
        <v>0</v>
      </c>
      <c r="G1529" s="126">
        <v>0.000641802944962912</v>
      </c>
      <c r="H1529" s="126">
        <f t="shared" si="70"/>
        <v>1080</v>
      </c>
      <c r="I1529" s="126" t="str">
        <f t="shared" si="71"/>
        <v>0y 0d 0h 18m</v>
      </c>
    </row>
    <row r="1530" s="91" customFormat="1" spans="1:9">
      <c r="A1530" s="91" t="str">
        <f t="shared" si="69"/>
        <v>Sn-110</v>
      </c>
      <c r="B1530" s="91" t="s">
        <v>2128</v>
      </c>
      <c r="C1530" s="91" t="s">
        <v>2117</v>
      </c>
      <c r="D1530" s="91">
        <v>50</v>
      </c>
      <c r="E1530" s="91">
        <v>110</v>
      </c>
      <c r="F1530" s="91">
        <v>0</v>
      </c>
      <c r="G1530" s="126">
        <v>4.68469302892636e-5</v>
      </c>
      <c r="H1530" s="126">
        <f t="shared" si="70"/>
        <v>14796</v>
      </c>
      <c r="I1530" s="126" t="str">
        <f t="shared" si="71"/>
        <v>0y 0d 4h 6m</v>
      </c>
    </row>
    <row r="1531" s="91" customFormat="1" spans="1:9">
      <c r="A1531" s="91" t="str">
        <f t="shared" si="69"/>
        <v>Sn-111</v>
      </c>
      <c r="B1531" s="91" t="s">
        <v>2129</v>
      </c>
      <c r="C1531" s="91" t="s">
        <v>2117</v>
      </c>
      <c r="D1531" s="91">
        <v>50</v>
      </c>
      <c r="E1531" s="91">
        <v>111</v>
      </c>
      <c r="F1531" s="91">
        <v>0</v>
      </c>
      <c r="G1531" s="126">
        <v>0.000327264957771456</v>
      </c>
      <c r="H1531" s="126">
        <f t="shared" si="70"/>
        <v>2118</v>
      </c>
      <c r="I1531" s="126" t="str">
        <f t="shared" si="71"/>
        <v>0y 0d 0h 35m</v>
      </c>
    </row>
    <row r="1532" s="91" customFormat="1" spans="1:9">
      <c r="A1532" s="91" t="str">
        <f t="shared" si="69"/>
        <v>Sn-112</v>
      </c>
      <c r="B1532" s="91" t="s">
        <v>2130</v>
      </c>
      <c r="C1532" s="91" t="s">
        <v>2117</v>
      </c>
      <c r="D1532" s="91">
        <v>50</v>
      </c>
      <c r="E1532" s="91">
        <v>112</v>
      </c>
      <c r="F1532" s="91">
        <v>0</v>
      </c>
      <c r="G1532" s="126">
        <v>0</v>
      </c>
      <c r="H1532" s="126">
        <f t="shared" si="70"/>
        <v>0</v>
      </c>
      <c r="I1532" s="126" t="str">
        <f t="shared" si="71"/>
        <v>0y 0d 0h 0m</v>
      </c>
    </row>
    <row r="1533" s="91" customFormat="1" spans="1:9">
      <c r="A1533" s="91" t="str">
        <f t="shared" si="69"/>
        <v>Sn-113</v>
      </c>
      <c r="B1533" s="91" t="s">
        <v>2131</v>
      </c>
      <c r="C1533" s="91" t="s">
        <v>2117</v>
      </c>
      <c r="D1533" s="91">
        <v>50</v>
      </c>
      <c r="E1533" s="91">
        <v>113</v>
      </c>
      <c r="F1533" s="91">
        <v>0</v>
      </c>
      <c r="G1533" s="126">
        <v>6.97066366498949e-8</v>
      </c>
      <c r="H1533" s="126">
        <f t="shared" si="70"/>
        <v>9943776</v>
      </c>
      <c r="I1533" s="126" t="str">
        <f t="shared" si="71"/>
        <v>0y 115d 2h 9m</v>
      </c>
    </row>
    <row r="1534" s="91" customFormat="1" spans="1:9">
      <c r="A1534" s="91" t="str">
        <f t="shared" si="69"/>
        <v>Sn-113m</v>
      </c>
      <c r="B1534" s="91" t="s">
        <v>2132</v>
      </c>
      <c r="C1534" s="91" t="s">
        <v>2117</v>
      </c>
      <c r="D1534" s="91">
        <v>50</v>
      </c>
      <c r="E1534" s="91">
        <v>113</v>
      </c>
      <c r="F1534" s="91">
        <v>1</v>
      </c>
      <c r="G1534" s="126">
        <v>0.000539834252772543</v>
      </c>
      <c r="H1534" s="126">
        <f t="shared" si="70"/>
        <v>1284</v>
      </c>
      <c r="I1534" s="126" t="str">
        <f t="shared" si="71"/>
        <v>0y 0d 0h 21m</v>
      </c>
    </row>
    <row r="1535" s="91" customFormat="1" spans="1:9">
      <c r="A1535" s="91" t="str">
        <f t="shared" si="69"/>
        <v>Sn-114</v>
      </c>
      <c r="B1535" s="91" t="s">
        <v>2133</v>
      </c>
      <c r="C1535" s="91" t="s">
        <v>2117</v>
      </c>
      <c r="D1535" s="91">
        <v>50</v>
      </c>
      <c r="E1535" s="91">
        <v>114</v>
      </c>
      <c r="F1535" s="91">
        <v>0</v>
      </c>
      <c r="G1535" s="126">
        <v>0</v>
      </c>
      <c r="H1535" s="126">
        <f t="shared" si="70"/>
        <v>0</v>
      </c>
      <c r="I1535" s="126" t="str">
        <f t="shared" si="71"/>
        <v>0y 0d 0h 0m</v>
      </c>
    </row>
    <row r="1536" s="91" customFormat="1" spans="1:9">
      <c r="A1536" s="91" t="str">
        <f t="shared" si="69"/>
        <v>Sn-115</v>
      </c>
      <c r="B1536" s="91" t="s">
        <v>2134</v>
      </c>
      <c r="C1536" s="91" t="s">
        <v>2117</v>
      </c>
      <c r="D1536" s="91">
        <v>50</v>
      </c>
      <c r="E1536" s="91">
        <v>115</v>
      </c>
      <c r="F1536" s="91">
        <v>0</v>
      </c>
      <c r="G1536" s="126">
        <v>0</v>
      </c>
      <c r="H1536" s="126">
        <f t="shared" si="70"/>
        <v>0</v>
      </c>
      <c r="I1536" s="126" t="str">
        <f t="shared" si="71"/>
        <v>0y 0d 0h 0m</v>
      </c>
    </row>
    <row r="1537" s="91" customFormat="1" spans="1:9">
      <c r="A1537" s="91" t="str">
        <f t="shared" si="69"/>
        <v>Sn-116</v>
      </c>
      <c r="B1537" s="91" t="s">
        <v>2135</v>
      </c>
      <c r="C1537" s="91" t="s">
        <v>2117</v>
      </c>
      <c r="D1537" s="91">
        <v>50</v>
      </c>
      <c r="E1537" s="91">
        <v>116</v>
      </c>
      <c r="F1537" s="91">
        <v>0</v>
      </c>
      <c r="G1537" s="126">
        <v>0</v>
      </c>
      <c r="H1537" s="126">
        <f t="shared" si="70"/>
        <v>0</v>
      </c>
      <c r="I1537" s="126" t="str">
        <f t="shared" si="71"/>
        <v>0y 0d 0h 0m</v>
      </c>
    </row>
    <row r="1538" s="91" customFormat="1" spans="1:9">
      <c r="A1538" s="91" t="str">
        <f t="shared" ref="A1538:A1601" si="72">C1538&amp;"-"&amp;E1538&amp;_xlfn.IFS(F1538=0,"",F1538=1,"m",F1538&gt;1,"m"&amp;F1538)</f>
        <v>Sn-117</v>
      </c>
      <c r="B1538" s="91" t="s">
        <v>2136</v>
      </c>
      <c r="C1538" s="91" t="s">
        <v>2117</v>
      </c>
      <c r="D1538" s="91">
        <v>50</v>
      </c>
      <c r="E1538" s="91">
        <v>117</v>
      </c>
      <c r="F1538" s="91">
        <v>0</v>
      </c>
      <c r="G1538" s="126">
        <v>0</v>
      </c>
      <c r="H1538" s="126">
        <f t="shared" ref="H1538:H1601" si="73">IF(G1538&gt;0,LN(2)/G1538,0)</f>
        <v>0</v>
      </c>
      <c r="I1538" s="126" t="str">
        <f t="shared" si="71"/>
        <v>0y 0d 0h 0m</v>
      </c>
    </row>
    <row r="1539" s="91" customFormat="1" spans="1:9">
      <c r="A1539" s="91" t="str">
        <f t="shared" si="72"/>
        <v>Sn-117m</v>
      </c>
      <c r="B1539" s="91" t="s">
        <v>2137</v>
      </c>
      <c r="C1539" s="91" t="s">
        <v>2117</v>
      </c>
      <c r="D1539" s="91">
        <v>50</v>
      </c>
      <c r="E1539" s="91">
        <v>117</v>
      </c>
      <c r="F1539" s="91">
        <v>1</v>
      </c>
      <c r="G1539" s="126">
        <v>5.89892412649735e-7</v>
      </c>
      <c r="H1539" s="126">
        <f t="shared" si="73"/>
        <v>1175040</v>
      </c>
      <c r="I1539" s="126" t="str">
        <f t="shared" ref="I1539:I1602" si="74">INT(H1539/31536000)&amp;"y "&amp;INT(MOD(H1539,31536000)/86400)&amp;"d "&amp;INT(MOD(MOD(H1539,31536000),86400)/3600)&amp;"h "&amp;INT(MOD(MOD(MOD(H1539,31536000),86400),3600)/60)&amp;"m"</f>
        <v>0y 13d 14h 24m</v>
      </c>
    </row>
    <row r="1540" s="91" customFormat="1" spans="1:9">
      <c r="A1540" s="91" t="str">
        <f t="shared" si="72"/>
        <v>Sn-118</v>
      </c>
      <c r="B1540" s="91" t="s">
        <v>2138</v>
      </c>
      <c r="C1540" s="91" t="s">
        <v>2117</v>
      </c>
      <c r="D1540" s="91">
        <v>50</v>
      </c>
      <c r="E1540" s="91">
        <v>118</v>
      </c>
      <c r="F1540" s="91">
        <v>0</v>
      </c>
      <c r="G1540" s="126">
        <v>0</v>
      </c>
      <c r="H1540" s="126">
        <f t="shared" si="73"/>
        <v>0</v>
      </c>
      <c r="I1540" s="126" t="str">
        <f t="shared" si="74"/>
        <v>0y 0d 0h 0m</v>
      </c>
    </row>
    <row r="1541" s="91" customFormat="1" spans="1:9">
      <c r="A1541" s="91" t="str">
        <f t="shared" si="72"/>
        <v>Sn-119</v>
      </c>
      <c r="B1541" s="91" t="s">
        <v>2139</v>
      </c>
      <c r="C1541" s="91" t="s">
        <v>2117</v>
      </c>
      <c r="D1541" s="91">
        <v>50</v>
      </c>
      <c r="E1541" s="91">
        <v>119</v>
      </c>
      <c r="F1541" s="91">
        <v>0</v>
      </c>
      <c r="G1541" s="126">
        <v>0</v>
      </c>
      <c r="H1541" s="126">
        <f t="shared" si="73"/>
        <v>0</v>
      </c>
      <c r="I1541" s="126" t="str">
        <f t="shared" si="74"/>
        <v>0y 0d 0h 0m</v>
      </c>
    </row>
    <row r="1542" s="91" customFormat="1" spans="1:9">
      <c r="A1542" s="91" t="str">
        <f t="shared" si="72"/>
        <v>Sn-119m</v>
      </c>
      <c r="B1542" s="91" t="s">
        <v>2140</v>
      </c>
      <c r="C1542" s="91" t="s">
        <v>2117</v>
      </c>
      <c r="D1542" s="91">
        <v>50</v>
      </c>
      <c r="E1542" s="91">
        <v>119</v>
      </c>
      <c r="F1542" s="91">
        <v>1</v>
      </c>
      <c r="G1542" s="126">
        <v>2.73806717134348e-8</v>
      </c>
      <c r="H1542" s="126">
        <f t="shared" si="73"/>
        <v>25315200</v>
      </c>
      <c r="I1542" s="126" t="str">
        <f t="shared" si="74"/>
        <v>0y 293d 0h 0m</v>
      </c>
    </row>
    <row r="1543" s="91" customFormat="1" spans="1:9">
      <c r="A1543" s="91" t="str">
        <f t="shared" si="72"/>
        <v>Sn-120</v>
      </c>
      <c r="B1543" s="91" t="s">
        <v>2141</v>
      </c>
      <c r="C1543" s="91" t="s">
        <v>2117</v>
      </c>
      <c r="D1543" s="91">
        <v>50</v>
      </c>
      <c r="E1543" s="91">
        <v>120</v>
      </c>
      <c r="F1543" s="91">
        <v>0</v>
      </c>
      <c r="G1543" s="126">
        <v>0</v>
      </c>
      <c r="H1543" s="126">
        <f t="shared" si="73"/>
        <v>0</v>
      </c>
      <c r="I1543" s="126" t="str">
        <f t="shared" si="74"/>
        <v>0y 0d 0h 0m</v>
      </c>
    </row>
    <row r="1544" s="91" customFormat="1" spans="1:9">
      <c r="A1544" s="91" t="str">
        <f t="shared" si="72"/>
        <v>Sn-121</v>
      </c>
      <c r="B1544" s="91" t="s">
        <v>2142</v>
      </c>
      <c r="C1544" s="91" t="s">
        <v>2117</v>
      </c>
      <c r="D1544" s="91">
        <v>50</v>
      </c>
      <c r="E1544" s="91">
        <v>121</v>
      </c>
      <c r="F1544" s="91">
        <v>0</v>
      </c>
      <c r="G1544" s="126">
        <v>7.1232291338836e-6</v>
      </c>
      <c r="H1544" s="126">
        <f t="shared" si="73"/>
        <v>97308</v>
      </c>
      <c r="I1544" s="126" t="str">
        <f t="shared" si="74"/>
        <v>0y 1d 3h 1m</v>
      </c>
    </row>
    <row r="1545" s="91" customFormat="1" spans="1:9">
      <c r="A1545" s="91" t="str">
        <f t="shared" si="72"/>
        <v>Sn-121m</v>
      </c>
      <c r="B1545" s="91" t="s">
        <v>2143</v>
      </c>
      <c r="C1545" s="91" t="s">
        <v>2117</v>
      </c>
      <c r="D1545" s="91">
        <v>50</v>
      </c>
      <c r="E1545" s="91">
        <v>121</v>
      </c>
      <c r="F1545" s="91">
        <v>1</v>
      </c>
      <c r="G1545" s="126">
        <v>5.0033000372457e-10</v>
      </c>
      <c r="H1545" s="126">
        <f t="shared" si="73"/>
        <v>1385380000</v>
      </c>
      <c r="I1545" s="126" t="str">
        <f t="shared" si="74"/>
        <v>43y 339d 11h 46m</v>
      </c>
    </row>
    <row r="1546" s="91" customFormat="1" spans="1:9">
      <c r="A1546" s="91" t="str">
        <f t="shared" si="72"/>
        <v>Sn-122</v>
      </c>
      <c r="B1546" s="91" t="s">
        <v>2144</v>
      </c>
      <c r="C1546" s="91" t="s">
        <v>2117</v>
      </c>
      <c r="D1546" s="91">
        <v>50</v>
      </c>
      <c r="E1546" s="91">
        <v>122</v>
      </c>
      <c r="F1546" s="91">
        <v>0</v>
      </c>
      <c r="G1546" s="126">
        <v>0</v>
      </c>
      <c r="H1546" s="126">
        <f t="shared" si="73"/>
        <v>0</v>
      </c>
      <c r="I1546" s="126" t="str">
        <f t="shared" si="74"/>
        <v>0y 0d 0h 0m</v>
      </c>
    </row>
    <row r="1547" s="91" customFormat="1" spans="1:9">
      <c r="A1547" s="91" t="str">
        <f t="shared" si="72"/>
        <v>Sn-123</v>
      </c>
      <c r="B1547" s="91" t="s">
        <v>2145</v>
      </c>
      <c r="C1547" s="91" t="s">
        <v>2117</v>
      </c>
      <c r="D1547" s="91">
        <v>50</v>
      </c>
      <c r="E1547" s="91">
        <v>123</v>
      </c>
      <c r="F1547" s="91">
        <v>0</v>
      </c>
      <c r="G1547" s="126">
        <v>6.20939381736563e-8</v>
      </c>
      <c r="H1547" s="126">
        <f t="shared" si="73"/>
        <v>11162880</v>
      </c>
      <c r="I1547" s="126" t="str">
        <f t="shared" si="74"/>
        <v>0y 129d 4h 48m</v>
      </c>
    </row>
    <row r="1548" s="91" customFormat="1" spans="1:9">
      <c r="A1548" s="91" t="str">
        <f t="shared" si="72"/>
        <v>Sn-123m</v>
      </c>
      <c r="B1548" s="91" t="s">
        <v>2146</v>
      </c>
      <c r="C1548" s="91" t="s">
        <v>2117</v>
      </c>
      <c r="D1548" s="91">
        <v>50</v>
      </c>
      <c r="E1548" s="91">
        <v>123</v>
      </c>
      <c r="F1548" s="91">
        <v>1</v>
      </c>
      <c r="G1548" s="126">
        <v>0.000288378757097664</v>
      </c>
      <c r="H1548" s="126">
        <f t="shared" si="73"/>
        <v>2403.6</v>
      </c>
      <c r="I1548" s="126" t="str">
        <f t="shared" si="74"/>
        <v>0y 0d 0h 40m</v>
      </c>
    </row>
    <row r="1549" s="91" customFormat="1" spans="1:9">
      <c r="A1549" s="91" t="str">
        <f t="shared" si="72"/>
        <v>Sn-124</v>
      </c>
      <c r="B1549" s="91" t="s">
        <v>2147</v>
      </c>
      <c r="C1549" s="91" t="s">
        <v>2117</v>
      </c>
      <c r="D1549" s="91">
        <v>50</v>
      </c>
      <c r="E1549" s="91">
        <v>124</v>
      </c>
      <c r="F1549" s="91">
        <v>0</v>
      </c>
      <c r="G1549" s="126">
        <v>0</v>
      </c>
      <c r="H1549" s="126">
        <f t="shared" si="73"/>
        <v>0</v>
      </c>
      <c r="I1549" s="126" t="str">
        <f t="shared" si="74"/>
        <v>0y 0d 0h 0m</v>
      </c>
    </row>
    <row r="1550" s="91" customFormat="1" spans="1:9">
      <c r="A1550" s="91" t="str">
        <f t="shared" si="72"/>
        <v>Sn-125</v>
      </c>
      <c r="B1550" s="91" t="s">
        <v>2148</v>
      </c>
      <c r="C1550" s="91" t="s">
        <v>2117</v>
      </c>
      <c r="D1550" s="91">
        <v>50</v>
      </c>
      <c r="E1550" s="91">
        <v>125</v>
      </c>
      <c r="F1550" s="91">
        <v>0</v>
      </c>
      <c r="G1550" s="126">
        <v>8.3221336224444e-7</v>
      </c>
      <c r="H1550" s="126">
        <f t="shared" si="73"/>
        <v>832896</v>
      </c>
      <c r="I1550" s="126" t="str">
        <f t="shared" si="74"/>
        <v>0y 9d 15h 21m</v>
      </c>
    </row>
    <row r="1551" s="91" customFormat="1" spans="1:9">
      <c r="A1551" s="91" t="str">
        <f t="shared" si="72"/>
        <v>Sn-125m</v>
      </c>
      <c r="B1551" s="91" t="s">
        <v>2149</v>
      </c>
      <c r="C1551" s="91" t="s">
        <v>2117</v>
      </c>
      <c r="D1551" s="91">
        <v>50</v>
      </c>
      <c r="E1551" s="91">
        <v>125</v>
      </c>
      <c r="F1551" s="91">
        <v>1</v>
      </c>
      <c r="G1551" s="126">
        <v>0.00121349296316517</v>
      </c>
      <c r="H1551" s="126">
        <f t="shared" si="73"/>
        <v>571.2</v>
      </c>
      <c r="I1551" s="126" t="str">
        <f t="shared" si="74"/>
        <v>0y 0d 0h 9m</v>
      </c>
    </row>
    <row r="1552" s="91" customFormat="1" spans="1:9">
      <c r="A1552" s="91" t="str">
        <f t="shared" si="72"/>
        <v>Sn-126</v>
      </c>
      <c r="B1552" s="91" t="s">
        <v>2150</v>
      </c>
      <c r="C1552" s="91" t="s">
        <v>2117</v>
      </c>
      <c r="D1552" s="91">
        <v>50</v>
      </c>
      <c r="E1552" s="91">
        <v>126</v>
      </c>
      <c r="F1552" s="91">
        <v>0</v>
      </c>
      <c r="G1552" s="126">
        <v>9.54978377101843e-14</v>
      </c>
      <c r="H1552" s="126">
        <f t="shared" si="73"/>
        <v>7258250000000</v>
      </c>
      <c r="I1552" s="126" t="str">
        <f t="shared" si="74"/>
        <v>230157y 218d 3h 33m</v>
      </c>
    </row>
    <row r="1553" s="91" customFormat="1" spans="1:9">
      <c r="A1553" s="91" t="str">
        <f t="shared" si="72"/>
        <v>Sn-127</v>
      </c>
      <c r="B1553" s="91" t="s">
        <v>2151</v>
      </c>
      <c r="C1553" s="91" t="s">
        <v>2117</v>
      </c>
      <c r="D1553" s="91">
        <v>50</v>
      </c>
      <c r="E1553" s="91">
        <v>127</v>
      </c>
      <c r="F1553" s="91">
        <v>0</v>
      </c>
      <c r="G1553" s="126">
        <v>9.16861349947017e-5</v>
      </c>
      <c r="H1553" s="126">
        <f t="shared" si="73"/>
        <v>7560</v>
      </c>
      <c r="I1553" s="126" t="str">
        <f t="shared" si="74"/>
        <v>0y 0d 2h 6m</v>
      </c>
    </row>
    <row r="1554" s="91" customFormat="1" spans="1:9">
      <c r="A1554" s="91" t="str">
        <f t="shared" si="72"/>
        <v>Sn-127m</v>
      </c>
      <c r="B1554" s="91" t="s">
        <v>2152</v>
      </c>
      <c r="C1554" s="91" t="s">
        <v>2117</v>
      </c>
      <c r="D1554" s="91">
        <v>50</v>
      </c>
      <c r="E1554" s="91">
        <v>127</v>
      </c>
      <c r="F1554" s="91">
        <v>1</v>
      </c>
      <c r="G1554" s="126">
        <v>0.00279720411848242</v>
      </c>
      <c r="H1554" s="126">
        <f t="shared" si="73"/>
        <v>247.800000000001</v>
      </c>
      <c r="I1554" s="126" t="str">
        <f t="shared" si="74"/>
        <v>0y 0d 0h 4m</v>
      </c>
    </row>
    <row r="1555" s="91" customFormat="1" spans="1:9">
      <c r="A1555" s="91" t="str">
        <f t="shared" si="72"/>
        <v>Sn-128</v>
      </c>
      <c r="B1555" s="91" t="s">
        <v>2153</v>
      </c>
      <c r="C1555" s="91" t="s">
        <v>2117</v>
      </c>
      <c r="D1555" s="91">
        <v>50</v>
      </c>
      <c r="E1555" s="91">
        <v>128</v>
      </c>
      <c r="F1555" s="91">
        <v>0</v>
      </c>
      <c r="G1555" s="126">
        <v>0.000195572253416834</v>
      </c>
      <c r="H1555" s="126">
        <f t="shared" si="73"/>
        <v>3544.20000000001</v>
      </c>
      <c r="I1555" s="126" t="str">
        <f t="shared" si="74"/>
        <v>0y 0d 0h 59m</v>
      </c>
    </row>
    <row r="1556" s="91" customFormat="1" spans="1:9">
      <c r="A1556" s="91" t="str">
        <f t="shared" si="72"/>
        <v>Sn-128m</v>
      </c>
      <c r="B1556" s="91" t="s">
        <v>2154</v>
      </c>
      <c r="C1556" s="91" t="s">
        <v>2117</v>
      </c>
      <c r="D1556" s="91">
        <v>50</v>
      </c>
      <c r="E1556" s="91">
        <v>128</v>
      </c>
      <c r="F1556" s="91">
        <v>1</v>
      </c>
      <c r="G1556" s="126">
        <v>0.106638027778453</v>
      </c>
      <c r="H1556" s="126">
        <f t="shared" si="73"/>
        <v>6.50000000000001</v>
      </c>
      <c r="I1556" s="126" t="str">
        <f t="shared" si="74"/>
        <v>0y 0d 0h 0m</v>
      </c>
    </row>
    <row r="1557" s="91" customFormat="1" spans="1:9">
      <c r="A1557" s="91" t="str">
        <f t="shared" si="72"/>
        <v>Sn-129</v>
      </c>
      <c r="B1557" s="91" t="s">
        <v>2155</v>
      </c>
      <c r="C1557" s="91" t="s">
        <v>2117</v>
      </c>
      <c r="D1557" s="91">
        <v>50</v>
      </c>
      <c r="E1557" s="91">
        <v>129</v>
      </c>
      <c r="F1557" s="91">
        <v>0</v>
      </c>
      <c r="G1557" s="126">
        <v>0.00518047220149435</v>
      </c>
      <c r="H1557" s="126">
        <f t="shared" si="73"/>
        <v>133.8</v>
      </c>
      <c r="I1557" s="126" t="str">
        <f t="shared" si="74"/>
        <v>0y 0d 0h 2m</v>
      </c>
    </row>
    <row r="1558" s="91" customFormat="1" spans="1:9">
      <c r="A1558" s="91" t="str">
        <f t="shared" si="72"/>
        <v>Sn-129m</v>
      </c>
      <c r="B1558" s="91" t="s">
        <v>2156</v>
      </c>
      <c r="C1558" s="91" t="s">
        <v>2117</v>
      </c>
      <c r="D1558" s="91">
        <v>50</v>
      </c>
      <c r="E1558" s="91">
        <v>129</v>
      </c>
      <c r="F1558" s="91">
        <v>1</v>
      </c>
      <c r="G1558" s="126">
        <v>0.00167426855207716</v>
      </c>
      <c r="H1558" s="126">
        <f t="shared" si="73"/>
        <v>414.000000000001</v>
      </c>
      <c r="I1558" s="126" t="str">
        <f t="shared" si="74"/>
        <v>0y 0d 0h 6m</v>
      </c>
    </row>
    <row r="1559" s="91" customFormat="1" spans="1:9">
      <c r="A1559" s="91" t="str">
        <f t="shared" si="72"/>
        <v>Sn-130</v>
      </c>
      <c r="B1559" s="91" t="s">
        <v>2157</v>
      </c>
      <c r="C1559" s="91" t="s">
        <v>2117</v>
      </c>
      <c r="D1559" s="91">
        <v>50</v>
      </c>
      <c r="E1559" s="91">
        <v>130</v>
      </c>
      <c r="F1559" s="91">
        <v>0</v>
      </c>
      <c r="G1559" s="126">
        <v>0.00310549812078828</v>
      </c>
      <c r="H1559" s="126">
        <f t="shared" si="73"/>
        <v>223.2</v>
      </c>
      <c r="I1559" s="126" t="str">
        <f t="shared" si="74"/>
        <v>0y 0d 0h 3m</v>
      </c>
    </row>
    <row r="1560" s="91" customFormat="1" spans="1:9">
      <c r="A1560" s="91" t="str">
        <f t="shared" si="72"/>
        <v>Sn-130m</v>
      </c>
      <c r="B1560" s="91" t="s">
        <v>2158</v>
      </c>
      <c r="C1560" s="91" t="s">
        <v>2117</v>
      </c>
      <c r="D1560" s="91">
        <v>50</v>
      </c>
      <c r="E1560" s="91">
        <v>130</v>
      </c>
      <c r="F1560" s="91">
        <v>1</v>
      </c>
      <c r="G1560" s="126">
        <v>0.00679556059372495</v>
      </c>
      <c r="H1560" s="126">
        <f t="shared" si="73"/>
        <v>102</v>
      </c>
      <c r="I1560" s="126" t="str">
        <f t="shared" si="74"/>
        <v>0y 0d 0h 1m</v>
      </c>
    </row>
    <row r="1561" s="91" customFormat="1" spans="1:9">
      <c r="A1561" s="91" t="str">
        <f t="shared" si="72"/>
        <v>Sn-131</v>
      </c>
      <c r="B1561" s="91" t="s">
        <v>2159</v>
      </c>
      <c r="C1561" s="91" t="s">
        <v>2117</v>
      </c>
      <c r="D1561" s="91">
        <v>50</v>
      </c>
      <c r="E1561" s="91">
        <v>131</v>
      </c>
      <c r="F1561" s="91">
        <v>0</v>
      </c>
      <c r="G1561" s="126">
        <v>0.0123776282242847</v>
      </c>
      <c r="H1561" s="126">
        <f t="shared" si="73"/>
        <v>56.0000000000002</v>
      </c>
      <c r="I1561" s="126" t="str">
        <f t="shared" si="74"/>
        <v>0y 0d 0h 0m</v>
      </c>
    </row>
    <row r="1562" s="91" customFormat="1" spans="1:9">
      <c r="A1562" s="91" t="str">
        <f t="shared" si="72"/>
        <v>Sn-131m</v>
      </c>
      <c r="B1562" s="91" t="s">
        <v>2160</v>
      </c>
      <c r="C1562" s="91" t="s">
        <v>2117</v>
      </c>
      <c r="D1562" s="91">
        <v>50</v>
      </c>
      <c r="E1562" s="91">
        <v>131</v>
      </c>
      <c r="F1562" s="91">
        <v>1</v>
      </c>
      <c r="G1562" s="126">
        <v>0.0118689585712319</v>
      </c>
      <c r="H1562" s="126">
        <f t="shared" si="73"/>
        <v>58.4000000000002</v>
      </c>
      <c r="I1562" s="126" t="str">
        <f t="shared" si="74"/>
        <v>0y 0d 0h 0m</v>
      </c>
    </row>
    <row r="1563" s="91" customFormat="1" spans="1:9">
      <c r="A1563" s="91" t="str">
        <f t="shared" si="72"/>
        <v>Sn-132</v>
      </c>
      <c r="B1563" s="91" t="s">
        <v>2161</v>
      </c>
      <c r="C1563" s="91" t="s">
        <v>2117</v>
      </c>
      <c r="D1563" s="91">
        <v>50</v>
      </c>
      <c r="E1563" s="91">
        <v>132</v>
      </c>
      <c r="F1563" s="91">
        <v>0</v>
      </c>
      <c r="G1563" s="126">
        <v>0.0174596267143563</v>
      </c>
      <c r="H1563" s="126">
        <f t="shared" si="73"/>
        <v>39.7</v>
      </c>
      <c r="I1563" s="126" t="str">
        <f t="shared" si="74"/>
        <v>0y 0d 0h 0m</v>
      </c>
    </row>
    <row r="1564" s="91" customFormat="1" spans="1:9">
      <c r="A1564" s="91" t="str">
        <f t="shared" si="72"/>
        <v>Sn-133</v>
      </c>
      <c r="B1564" s="91" t="s">
        <v>2162</v>
      </c>
      <c r="C1564" s="91" t="s">
        <v>2117</v>
      </c>
      <c r="D1564" s="91">
        <v>50</v>
      </c>
      <c r="E1564" s="91">
        <v>133</v>
      </c>
      <c r="F1564" s="91">
        <v>0</v>
      </c>
      <c r="G1564" s="126">
        <v>0.474758342849277</v>
      </c>
      <c r="H1564" s="126">
        <f t="shared" si="73"/>
        <v>1.46</v>
      </c>
      <c r="I1564" s="126" t="str">
        <f t="shared" si="74"/>
        <v>0y 0d 0h 0m</v>
      </c>
    </row>
    <row r="1565" s="91" customFormat="1" spans="1:9">
      <c r="A1565" s="91" t="str">
        <f t="shared" si="72"/>
        <v>Sn-134</v>
      </c>
      <c r="B1565" s="91" t="s">
        <v>2163</v>
      </c>
      <c r="C1565" s="91" t="s">
        <v>2117</v>
      </c>
      <c r="D1565" s="91">
        <v>50</v>
      </c>
      <c r="E1565" s="91">
        <v>134</v>
      </c>
      <c r="F1565" s="91">
        <v>0</v>
      </c>
      <c r="G1565" s="126">
        <v>0.660140171961852</v>
      </c>
      <c r="H1565" s="126">
        <f t="shared" si="73"/>
        <v>1.05</v>
      </c>
      <c r="I1565" s="126" t="str">
        <f t="shared" si="74"/>
        <v>0y 0d 0h 0m</v>
      </c>
    </row>
    <row r="1566" s="91" customFormat="1" spans="1:9">
      <c r="A1566" s="91" t="str">
        <f t="shared" si="72"/>
        <v>Sn-135</v>
      </c>
      <c r="B1566" s="91" t="s">
        <v>2164</v>
      </c>
      <c r="C1566" s="91" t="s">
        <v>2117</v>
      </c>
      <c r="D1566" s="91">
        <v>50</v>
      </c>
      <c r="E1566" s="91">
        <v>135</v>
      </c>
      <c r="F1566" s="91">
        <v>0</v>
      </c>
      <c r="G1566" s="126">
        <v>1.30782486898102</v>
      </c>
      <c r="H1566" s="126">
        <f t="shared" si="73"/>
        <v>0.530000000000004</v>
      </c>
      <c r="I1566" s="126" t="str">
        <f t="shared" si="74"/>
        <v>0y 0d 0h 0m</v>
      </c>
    </row>
    <row r="1567" s="91" customFormat="1" spans="1:9">
      <c r="A1567" s="91" t="str">
        <f t="shared" si="72"/>
        <v>Sn-136</v>
      </c>
      <c r="B1567" s="91" t="s">
        <v>2165</v>
      </c>
      <c r="C1567" s="91" t="s">
        <v>2117</v>
      </c>
      <c r="D1567" s="91">
        <v>50</v>
      </c>
      <c r="E1567" s="91">
        <v>136</v>
      </c>
      <c r="F1567" s="91">
        <v>0</v>
      </c>
      <c r="G1567" s="126">
        <v>2.77258872223978</v>
      </c>
      <c r="H1567" s="126">
        <f t="shared" si="73"/>
        <v>0.25</v>
      </c>
      <c r="I1567" s="126" t="str">
        <f t="shared" si="74"/>
        <v>0y 0d 0h 0m</v>
      </c>
    </row>
    <row r="1568" s="91" customFormat="1" spans="1:9">
      <c r="A1568" s="91" t="str">
        <f t="shared" si="72"/>
        <v>Sn-137</v>
      </c>
      <c r="B1568" s="91" t="s">
        <v>2166</v>
      </c>
      <c r="C1568" s="91" t="s">
        <v>2117</v>
      </c>
      <c r="D1568" s="91">
        <v>50</v>
      </c>
      <c r="E1568" s="91">
        <v>137</v>
      </c>
      <c r="F1568" s="91">
        <v>0</v>
      </c>
      <c r="G1568" s="126">
        <v>3.64814305557865</v>
      </c>
      <c r="H1568" s="126">
        <f t="shared" si="73"/>
        <v>0.190000000000001</v>
      </c>
      <c r="I1568" s="126" t="str">
        <f t="shared" si="74"/>
        <v>0y 0d 0h 0m</v>
      </c>
    </row>
    <row r="1569" s="91" customFormat="1" spans="1:9">
      <c r="A1569" s="91" t="str">
        <f t="shared" si="72"/>
        <v>Sb-103</v>
      </c>
      <c r="B1569" s="91" t="s">
        <v>2167</v>
      </c>
      <c r="C1569" s="91" t="s">
        <v>2168</v>
      </c>
      <c r="D1569" s="91">
        <v>51</v>
      </c>
      <c r="E1569" s="91">
        <v>103</v>
      </c>
      <c r="F1569" s="91">
        <v>0</v>
      </c>
      <c r="G1569" s="126">
        <v>462098.120373296</v>
      </c>
      <c r="H1569" s="126">
        <f t="shared" si="73"/>
        <v>1.5e-6</v>
      </c>
      <c r="I1569" s="126" t="str">
        <f t="shared" si="74"/>
        <v>0y 0d 0h 0m</v>
      </c>
    </row>
    <row r="1570" s="91" customFormat="1" spans="1:9">
      <c r="A1570" s="91" t="str">
        <f t="shared" si="72"/>
        <v>Sb-104</v>
      </c>
      <c r="B1570" s="91" t="s">
        <v>2169</v>
      </c>
      <c r="C1570" s="91" t="s">
        <v>2168</v>
      </c>
      <c r="D1570" s="91">
        <v>51</v>
      </c>
      <c r="E1570" s="91">
        <v>104</v>
      </c>
      <c r="F1570" s="91">
        <v>0</v>
      </c>
      <c r="G1570" s="126">
        <v>1.50684169686944</v>
      </c>
      <c r="H1570" s="126">
        <f t="shared" si="73"/>
        <v>0.460000000000002</v>
      </c>
      <c r="I1570" s="126" t="str">
        <f t="shared" si="74"/>
        <v>0y 0d 0h 0m</v>
      </c>
    </row>
    <row r="1571" s="91" customFormat="1" spans="1:9">
      <c r="A1571" s="91" t="str">
        <f t="shared" si="72"/>
        <v>Sb-105</v>
      </c>
      <c r="B1571" s="91" t="s">
        <v>2170</v>
      </c>
      <c r="C1571" s="91" t="s">
        <v>2168</v>
      </c>
      <c r="D1571" s="91">
        <v>51</v>
      </c>
      <c r="E1571" s="91">
        <v>105</v>
      </c>
      <c r="F1571" s="91">
        <v>0</v>
      </c>
      <c r="G1571" s="126">
        <v>0.568153426688479</v>
      </c>
      <c r="H1571" s="126">
        <f t="shared" si="73"/>
        <v>1.22</v>
      </c>
      <c r="I1571" s="126" t="str">
        <f t="shared" si="74"/>
        <v>0y 0d 0h 0m</v>
      </c>
    </row>
    <row r="1572" s="91" customFormat="1" spans="1:9">
      <c r="A1572" s="91" t="str">
        <f t="shared" si="72"/>
        <v>Sb-106</v>
      </c>
      <c r="B1572" s="91" t="s">
        <v>2171</v>
      </c>
      <c r="C1572" s="91" t="s">
        <v>2168</v>
      </c>
      <c r="D1572" s="91">
        <v>51</v>
      </c>
      <c r="E1572" s="91">
        <v>106</v>
      </c>
      <c r="F1572" s="91">
        <v>0</v>
      </c>
      <c r="G1572" s="126">
        <v>1.15524530093324</v>
      </c>
      <c r="H1572" s="126">
        <f t="shared" si="73"/>
        <v>0.600000000000001</v>
      </c>
      <c r="I1572" s="126" t="str">
        <f t="shared" si="74"/>
        <v>0y 0d 0h 0m</v>
      </c>
    </row>
    <row r="1573" s="91" customFormat="1" spans="1:9">
      <c r="A1573" s="91" t="str">
        <f t="shared" si="72"/>
        <v>Sb-107</v>
      </c>
      <c r="B1573" s="91" t="s">
        <v>2172</v>
      </c>
      <c r="C1573" s="91" t="s">
        <v>2168</v>
      </c>
      <c r="D1573" s="91">
        <v>51</v>
      </c>
      <c r="E1573" s="91">
        <v>107</v>
      </c>
      <c r="F1573" s="91">
        <v>0</v>
      </c>
      <c r="G1573" s="126">
        <v>0.173286795139986</v>
      </c>
      <c r="H1573" s="126">
        <f t="shared" si="73"/>
        <v>4.00000000000001</v>
      </c>
      <c r="I1573" s="126" t="str">
        <f t="shared" si="74"/>
        <v>0y 0d 0h 0m</v>
      </c>
    </row>
    <row r="1574" s="91" customFormat="1" spans="1:9">
      <c r="A1574" s="91" t="str">
        <f t="shared" si="72"/>
        <v>Sb-108</v>
      </c>
      <c r="B1574" s="91" t="s">
        <v>2173</v>
      </c>
      <c r="C1574" s="91" t="s">
        <v>2168</v>
      </c>
      <c r="D1574" s="91">
        <v>51</v>
      </c>
      <c r="E1574" s="91">
        <v>108</v>
      </c>
      <c r="F1574" s="91">
        <v>0</v>
      </c>
      <c r="G1574" s="126">
        <v>0.0936685379135061</v>
      </c>
      <c r="H1574" s="126">
        <f t="shared" si="73"/>
        <v>7.4</v>
      </c>
      <c r="I1574" s="126" t="str">
        <f t="shared" si="74"/>
        <v>0y 0d 0h 0m</v>
      </c>
    </row>
    <row r="1575" s="91" customFormat="1" spans="1:9">
      <c r="A1575" s="91" t="str">
        <f t="shared" si="72"/>
        <v>Sb-109</v>
      </c>
      <c r="B1575" s="91" t="s">
        <v>2174</v>
      </c>
      <c r="C1575" s="91" t="s">
        <v>2168</v>
      </c>
      <c r="D1575" s="91">
        <v>51</v>
      </c>
      <c r="E1575" s="91">
        <v>109</v>
      </c>
      <c r="F1575" s="91">
        <v>0</v>
      </c>
      <c r="G1575" s="126">
        <v>0.0407733635623497</v>
      </c>
      <c r="H1575" s="126">
        <f t="shared" si="73"/>
        <v>17</v>
      </c>
      <c r="I1575" s="126" t="str">
        <f t="shared" si="74"/>
        <v>0y 0d 0h 0m</v>
      </c>
    </row>
    <row r="1576" s="91" customFormat="1" spans="1:9">
      <c r="A1576" s="91" t="str">
        <f t="shared" si="72"/>
        <v>Sb-110</v>
      </c>
      <c r="B1576" s="91" t="s">
        <v>2175</v>
      </c>
      <c r="C1576" s="91" t="s">
        <v>2168</v>
      </c>
      <c r="D1576" s="91">
        <v>51</v>
      </c>
      <c r="E1576" s="91">
        <v>110</v>
      </c>
      <c r="F1576" s="91">
        <v>0</v>
      </c>
      <c r="G1576" s="126">
        <v>0.0301368339373889</v>
      </c>
      <c r="H1576" s="126">
        <f t="shared" si="73"/>
        <v>23</v>
      </c>
      <c r="I1576" s="126" t="str">
        <f t="shared" si="74"/>
        <v>0y 0d 0h 0m</v>
      </c>
    </row>
    <row r="1577" s="91" customFormat="1" spans="1:9">
      <c r="A1577" s="91" t="str">
        <f t="shared" si="72"/>
        <v>Sb-111</v>
      </c>
      <c r="B1577" s="91" t="s">
        <v>2176</v>
      </c>
      <c r="C1577" s="91" t="s">
        <v>2168</v>
      </c>
      <c r="D1577" s="91">
        <v>51</v>
      </c>
      <c r="E1577" s="91">
        <v>111</v>
      </c>
      <c r="F1577" s="91">
        <v>0</v>
      </c>
      <c r="G1577" s="126">
        <v>0.00924196240746593</v>
      </c>
      <c r="H1577" s="126">
        <f t="shared" si="73"/>
        <v>75.0000000000001</v>
      </c>
      <c r="I1577" s="126" t="str">
        <f t="shared" si="74"/>
        <v>0y 0d 0h 1m</v>
      </c>
    </row>
    <row r="1578" s="91" customFormat="1" spans="1:9">
      <c r="A1578" s="91" t="str">
        <f t="shared" si="72"/>
        <v>Sb-112</v>
      </c>
      <c r="B1578" s="91" t="s">
        <v>2177</v>
      </c>
      <c r="C1578" s="91" t="s">
        <v>2168</v>
      </c>
      <c r="D1578" s="91">
        <v>51</v>
      </c>
      <c r="E1578" s="91">
        <v>112</v>
      </c>
      <c r="F1578" s="91">
        <v>0</v>
      </c>
      <c r="G1578" s="126">
        <v>0.0134853537073919</v>
      </c>
      <c r="H1578" s="126">
        <f t="shared" si="73"/>
        <v>51.4000000000001</v>
      </c>
      <c r="I1578" s="126" t="str">
        <f t="shared" si="74"/>
        <v>0y 0d 0h 0m</v>
      </c>
    </row>
    <row r="1579" s="91" customFormat="1" spans="1:9">
      <c r="A1579" s="91" t="str">
        <f t="shared" si="72"/>
        <v>Sb-113</v>
      </c>
      <c r="B1579" s="91" t="s">
        <v>2178</v>
      </c>
      <c r="C1579" s="91" t="s">
        <v>2168</v>
      </c>
      <c r="D1579" s="91">
        <v>51</v>
      </c>
      <c r="E1579" s="91">
        <v>113</v>
      </c>
      <c r="F1579" s="91">
        <v>0</v>
      </c>
      <c r="G1579" s="126">
        <v>0.00173200195042465</v>
      </c>
      <c r="H1579" s="126">
        <f t="shared" si="73"/>
        <v>400.2</v>
      </c>
      <c r="I1579" s="126" t="str">
        <f t="shared" si="74"/>
        <v>0y 0d 0h 6m</v>
      </c>
    </row>
    <row r="1580" s="91" customFormat="1" spans="1:9">
      <c r="A1580" s="91" t="str">
        <f t="shared" si="72"/>
        <v>Sb-114</v>
      </c>
      <c r="B1580" s="91" t="s">
        <v>2179</v>
      </c>
      <c r="C1580" s="91" t="s">
        <v>2168</v>
      </c>
      <c r="D1580" s="91">
        <v>51</v>
      </c>
      <c r="E1580" s="91">
        <v>114</v>
      </c>
      <c r="F1580" s="91">
        <v>0</v>
      </c>
      <c r="G1580" s="126">
        <v>0.0033101584553961</v>
      </c>
      <c r="H1580" s="126">
        <f t="shared" si="73"/>
        <v>209.400000000001</v>
      </c>
      <c r="I1580" s="126" t="str">
        <f t="shared" si="74"/>
        <v>0y 0d 0h 3m</v>
      </c>
    </row>
    <row r="1581" s="91" customFormat="1" spans="1:9">
      <c r="A1581" s="91" t="str">
        <f t="shared" si="72"/>
        <v>Sb-115</v>
      </c>
      <c r="B1581" s="91" t="s">
        <v>2180</v>
      </c>
      <c r="C1581" s="91" t="s">
        <v>2168</v>
      </c>
      <c r="D1581" s="91">
        <v>51</v>
      </c>
      <c r="E1581" s="91">
        <v>115</v>
      </c>
      <c r="F1581" s="91">
        <v>0</v>
      </c>
      <c r="G1581" s="126">
        <v>0.000359889501848362</v>
      </c>
      <c r="H1581" s="126">
        <f t="shared" si="73"/>
        <v>1926</v>
      </c>
      <c r="I1581" s="126" t="str">
        <f t="shared" si="74"/>
        <v>0y 0d 0h 32m</v>
      </c>
    </row>
    <row r="1582" s="91" customFormat="1" spans="1:9">
      <c r="A1582" s="91" t="str">
        <f t="shared" si="72"/>
        <v>Sb-116</v>
      </c>
      <c r="B1582" s="91" t="s">
        <v>2181</v>
      </c>
      <c r="C1582" s="91" t="s">
        <v>2168</v>
      </c>
      <c r="D1582" s="91">
        <v>51</v>
      </c>
      <c r="E1582" s="91">
        <v>116</v>
      </c>
      <c r="F1582" s="91">
        <v>0</v>
      </c>
      <c r="G1582" s="126">
        <v>0.000731167911983064</v>
      </c>
      <c r="H1582" s="126">
        <f t="shared" si="73"/>
        <v>948.000000000001</v>
      </c>
      <c r="I1582" s="126" t="str">
        <f t="shared" si="74"/>
        <v>0y 0d 0h 15m</v>
      </c>
    </row>
    <row r="1583" s="91" customFormat="1" spans="1:9">
      <c r="A1583" s="91" t="str">
        <f t="shared" si="72"/>
        <v>Sb-116m</v>
      </c>
      <c r="B1583" s="91" t="s">
        <v>2182</v>
      </c>
      <c r="C1583" s="91" t="s">
        <v>2168</v>
      </c>
      <c r="D1583" s="91">
        <v>51</v>
      </c>
      <c r="E1583" s="91">
        <v>116</v>
      </c>
      <c r="F1583" s="91">
        <v>1</v>
      </c>
      <c r="G1583" s="126">
        <v>0.000191582968645645</v>
      </c>
      <c r="H1583" s="126">
        <f t="shared" si="73"/>
        <v>3618.00000000001</v>
      </c>
      <c r="I1583" s="126" t="str">
        <f t="shared" si="74"/>
        <v>0y 0d 1h 0m</v>
      </c>
    </row>
    <row r="1584" s="91" customFormat="1" spans="1:9">
      <c r="A1584" s="91" t="str">
        <f t="shared" si="72"/>
        <v>Sb-117</v>
      </c>
      <c r="B1584" s="91" t="s">
        <v>2183</v>
      </c>
      <c r="C1584" s="91" t="s">
        <v>2168</v>
      </c>
      <c r="D1584" s="91">
        <v>51</v>
      </c>
      <c r="E1584" s="91">
        <v>117</v>
      </c>
      <c r="F1584" s="91">
        <v>0</v>
      </c>
      <c r="G1584" s="126">
        <v>6.87646012460263e-5</v>
      </c>
      <c r="H1584" s="126">
        <f t="shared" si="73"/>
        <v>10080</v>
      </c>
      <c r="I1584" s="126" t="str">
        <f t="shared" si="74"/>
        <v>0y 0d 2h 48m</v>
      </c>
    </row>
    <row r="1585" s="91" customFormat="1" spans="1:9">
      <c r="A1585" s="91" t="str">
        <f t="shared" si="72"/>
        <v>Sb-118</v>
      </c>
      <c r="B1585" s="91" t="s">
        <v>2184</v>
      </c>
      <c r="C1585" s="91" t="s">
        <v>2168</v>
      </c>
      <c r="D1585" s="91">
        <v>51</v>
      </c>
      <c r="E1585" s="91">
        <v>118</v>
      </c>
      <c r="F1585" s="91">
        <v>0</v>
      </c>
      <c r="G1585" s="126">
        <v>0.00320901472481456</v>
      </c>
      <c r="H1585" s="126">
        <f t="shared" si="73"/>
        <v>216</v>
      </c>
      <c r="I1585" s="126" t="str">
        <f t="shared" si="74"/>
        <v>0y 0d 0h 3m</v>
      </c>
    </row>
    <row r="1586" s="91" customFormat="1" spans="1:9">
      <c r="A1586" s="91" t="str">
        <f t="shared" si="72"/>
        <v>Sb-118m</v>
      </c>
      <c r="B1586" s="91" t="s">
        <v>2185</v>
      </c>
      <c r="C1586" s="91" t="s">
        <v>2168</v>
      </c>
      <c r="D1586" s="91">
        <v>51</v>
      </c>
      <c r="E1586" s="91">
        <v>118</v>
      </c>
      <c r="F1586" s="91">
        <v>1</v>
      </c>
      <c r="G1586" s="126">
        <v>3.85081766977747e-5</v>
      </c>
      <c r="H1586" s="126">
        <f t="shared" si="73"/>
        <v>18000</v>
      </c>
      <c r="I1586" s="126" t="str">
        <f t="shared" si="74"/>
        <v>0y 0d 5h 0m</v>
      </c>
    </row>
    <row r="1587" s="91" customFormat="1" spans="1:9">
      <c r="A1587" s="91" t="str">
        <f t="shared" si="72"/>
        <v>Sb-119</v>
      </c>
      <c r="B1587" s="91" t="s">
        <v>2186</v>
      </c>
      <c r="C1587" s="91" t="s">
        <v>2168</v>
      </c>
      <c r="D1587" s="91">
        <v>51</v>
      </c>
      <c r="E1587" s="91">
        <v>119</v>
      </c>
      <c r="F1587" s="91">
        <v>0</v>
      </c>
      <c r="G1587" s="126">
        <v>5.04165706962224e-6</v>
      </c>
      <c r="H1587" s="126">
        <f t="shared" si="73"/>
        <v>137484</v>
      </c>
      <c r="I1587" s="126" t="str">
        <f t="shared" si="74"/>
        <v>0y 1d 14h 11m</v>
      </c>
    </row>
    <row r="1588" s="91" customFormat="1" spans="1:9">
      <c r="A1588" s="91" t="str">
        <f t="shared" si="72"/>
        <v>Sb-119m</v>
      </c>
      <c r="B1588" s="91" t="s">
        <v>2187</v>
      </c>
      <c r="C1588" s="91" t="s">
        <v>2168</v>
      </c>
      <c r="D1588" s="91">
        <v>51</v>
      </c>
      <c r="E1588" s="91">
        <v>119</v>
      </c>
      <c r="F1588" s="91">
        <v>1</v>
      </c>
      <c r="G1588" s="126">
        <v>0.815467271246994</v>
      </c>
      <c r="H1588" s="126">
        <f t="shared" si="73"/>
        <v>0.85</v>
      </c>
      <c r="I1588" s="126" t="str">
        <f t="shared" si="74"/>
        <v>0y 0d 0h 0m</v>
      </c>
    </row>
    <row r="1589" s="91" customFormat="1" spans="1:9">
      <c r="A1589" s="91" t="str">
        <f t="shared" si="72"/>
        <v>Sb-120</v>
      </c>
      <c r="B1589" s="91" t="s">
        <v>2188</v>
      </c>
      <c r="C1589" s="91" t="s">
        <v>2168</v>
      </c>
      <c r="D1589" s="91">
        <v>51</v>
      </c>
      <c r="E1589" s="91">
        <v>120</v>
      </c>
      <c r="F1589" s="91">
        <v>0</v>
      </c>
      <c r="G1589" s="126">
        <v>0.000727026621103362</v>
      </c>
      <c r="H1589" s="126">
        <f t="shared" si="73"/>
        <v>953.4</v>
      </c>
      <c r="I1589" s="126" t="str">
        <f t="shared" si="74"/>
        <v>0y 0d 0h 15m</v>
      </c>
    </row>
    <row r="1590" s="91" customFormat="1" spans="1:9">
      <c r="A1590" s="91" t="str">
        <f t="shared" si="72"/>
        <v>Sb-120m</v>
      </c>
      <c r="B1590" s="91" t="s">
        <v>2189</v>
      </c>
      <c r="C1590" s="91" t="s">
        <v>2168</v>
      </c>
      <c r="D1590" s="91">
        <v>51</v>
      </c>
      <c r="E1590" s="91">
        <v>120</v>
      </c>
      <c r="F1590" s="91">
        <v>1</v>
      </c>
      <c r="G1590" s="126">
        <v>1.39280152986743e-6</v>
      </c>
      <c r="H1590" s="126">
        <f t="shared" si="73"/>
        <v>497664</v>
      </c>
      <c r="I1590" s="126" t="str">
        <f t="shared" si="74"/>
        <v>0y 5d 18h 14m</v>
      </c>
    </row>
    <row r="1591" s="91" customFormat="1" spans="1:9">
      <c r="A1591" s="91" t="str">
        <f t="shared" si="72"/>
        <v>Sb-121</v>
      </c>
      <c r="B1591" s="91" t="s">
        <v>2190</v>
      </c>
      <c r="C1591" s="91" t="s">
        <v>2168</v>
      </c>
      <c r="D1591" s="91">
        <v>51</v>
      </c>
      <c r="E1591" s="91">
        <v>121</v>
      </c>
      <c r="F1591" s="91">
        <v>0</v>
      </c>
      <c r="G1591" s="126">
        <v>0</v>
      </c>
      <c r="H1591" s="126">
        <f t="shared" si="73"/>
        <v>0</v>
      </c>
      <c r="I1591" s="126" t="str">
        <f t="shared" si="74"/>
        <v>0y 0d 0h 0m</v>
      </c>
    </row>
    <row r="1592" s="91" customFormat="1" spans="1:9">
      <c r="A1592" s="91" t="str">
        <f t="shared" si="72"/>
        <v>Sb-122</v>
      </c>
      <c r="B1592" s="91" t="s">
        <v>2191</v>
      </c>
      <c r="C1592" s="91" t="s">
        <v>2168</v>
      </c>
      <c r="D1592" s="91">
        <v>51</v>
      </c>
      <c r="E1592" s="91">
        <v>122</v>
      </c>
      <c r="F1592" s="91">
        <v>0</v>
      </c>
      <c r="G1592" s="126">
        <v>2.94534749020846e-6</v>
      </c>
      <c r="H1592" s="126">
        <f t="shared" si="73"/>
        <v>235336.3</v>
      </c>
      <c r="I1592" s="126" t="str">
        <f t="shared" si="74"/>
        <v>0y 2d 17h 22m</v>
      </c>
    </row>
    <row r="1593" s="91" customFormat="1" spans="1:9">
      <c r="A1593" s="91" t="str">
        <f t="shared" si="72"/>
        <v>Sb-122m</v>
      </c>
      <c r="B1593" s="91" t="s">
        <v>2192</v>
      </c>
      <c r="C1593" s="91" t="s">
        <v>2168</v>
      </c>
      <c r="D1593" s="91">
        <v>51</v>
      </c>
      <c r="E1593" s="91">
        <v>122</v>
      </c>
      <c r="F1593" s="91">
        <v>1</v>
      </c>
      <c r="G1593" s="126">
        <v>0.00275649081587507</v>
      </c>
      <c r="H1593" s="126">
        <f t="shared" si="73"/>
        <v>251.46</v>
      </c>
      <c r="I1593" s="126" t="str">
        <f t="shared" si="74"/>
        <v>0y 0d 0h 4m</v>
      </c>
    </row>
    <row r="1594" s="91" customFormat="1" spans="1:9">
      <c r="A1594" s="91" t="str">
        <f t="shared" si="72"/>
        <v>Sb-123</v>
      </c>
      <c r="B1594" s="91" t="s">
        <v>2193</v>
      </c>
      <c r="C1594" s="91" t="s">
        <v>2168</v>
      </c>
      <c r="D1594" s="91">
        <v>51</v>
      </c>
      <c r="E1594" s="91">
        <v>123</v>
      </c>
      <c r="F1594" s="91">
        <v>0</v>
      </c>
      <c r="G1594" s="126">
        <v>0</v>
      </c>
      <c r="H1594" s="126">
        <f t="shared" si="73"/>
        <v>0</v>
      </c>
      <c r="I1594" s="126" t="str">
        <f t="shared" si="74"/>
        <v>0y 0d 0h 0m</v>
      </c>
    </row>
    <row r="1595" s="91" customFormat="1" spans="1:9">
      <c r="A1595" s="91" t="str">
        <f t="shared" si="72"/>
        <v>Sb-124</v>
      </c>
      <c r="B1595" s="91" t="s">
        <v>2194</v>
      </c>
      <c r="C1595" s="91" t="s">
        <v>2168</v>
      </c>
      <c r="D1595" s="91">
        <v>51</v>
      </c>
      <c r="E1595" s="91">
        <v>124</v>
      </c>
      <c r="F1595" s="91">
        <v>0</v>
      </c>
      <c r="G1595" s="126">
        <v>1.3326473109695e-7</v>
      </c>
      <c r="H1595" s="126">
        <f t="shared" si="73"/>
        <v>5201280.00000001</v>
      </c>
      <c r="I1595" s="126" t="str">
        <f t="shared" si="74"/>
        <v>0y 60d 4h 48m</v>
      </c>
    </row>
    <row r="1596" s="91" customFormat="1" spans="1:9">
      <c r="A1596" s="91" t="str">
        <f t="shared" si="72"/>
        <v>Sb-124m</v>
      </c>
      <c r="B1596" s="91" t="s">
        <v>2195</v>
      </c>
      <c r="C1596" s="91" t="s">
        <v>2168</v>
      </c>
      <c r="D1596" s="91">
        <v>51</v>
      </c>
      <c r="E1596" s="91">
        <v>124</v>
      </c>
      <c r="F1596" s="91">
        <v>1</v>
      </c>
      <c r="G1596" s="126">
        <v>0.00745319548989188</v>
      </c>
      <c r="H1596" s="126">
        <f t="shared" si="73"/>
        <v>93.0000000000001</v>
      </c>
      <c r="I1596" s="126" t="str">
        <f t="shared" si="74"/>
        <v>0y 0d 0h 1m</v>
      </c>
    </row>
    <row r="1597" s="91" customFormat="1" spans="1:9">
      <c r="A1597" s="91" t="str">
        <f t="shared" si="72"/>
        <v>Sb-124m2</v>
      </c>
      <c r="B1597" s="91" t="s">
        <v>2196</v>
      </c>
      <c r="C1597" s="91" t="s">
        <v>2168</v>
      </c>
      <c r="D1597" s="91">
        <v>51</v>
      </c>
      <c r="E1597" s="91">
        <v>124</v>
      </c>
      <c r="F1597" s="91">
        <v>2</v>
      </c>
      <c r="G1597" s="126">
        <v>0.000571903614323387</v>
      </c>
      <c r="H1597" s="126">
        <f t="shared" si="73"/>
        <v>1212</v>
      </c>
      <c r="I1597" s="126" t="str">
        <f t="shared" si="74"/>
        <v>0y 0d 0h 20m</v>
      </c>
    </row>
    <row r="1598" s="91" customFormat="1" spans="1:9">
      <c r="A1598" s="91" t="str">
        <f t="shared" si="72"/>
        <v>Sb-125</v>
      </c>
      <c r="B1598" s="91" t="s">
        <v>2197</v>
      </c>
      <c r="C1598" s="91" t="s">
        <v>2168</v>
      </c>
      <c r="D1598" s="91">
        <v>51</v>
      </c>
      <c r="E1598" s="91">
        <v>125</v>
      </c>
      <c r="F1598" s="91">
        <v>0</v>
      </c>
      <c r="G1598" s="126">
        <v>7.96230986336734e-9</v>
      </c>
      <c r="H1598" s="126">
        <f t="shared" si="73"/>
        <v>87053530.0000001</v>
      </c>
      <c r="I1598" s="126" t="str">
        <f t="shared" si="74"/>
        <v>2y 277d 13h 32m</v>
      </c>
    </row>
    <row r="1599" s="91" customFormat="1" spans="1:9">
      <c r="A1599" s="91" t="str">
        <f t="shared" si="72"/>
        <v>Sb-126</v>
      </c>
      <c r="B1599" s="91" t="s">
        <v>2198</v>
      </c>
      <c r="C1599" s="91" t="s">
        <v>2168</v>
      </c>
      <c r="D1599" s="91">
        <v>51</v>
      </c>
      <c r="E1599" s="91">
        <v>126</v>
      </c>
      <c r="F1599" s="91">
        <v>0</v>
      </c>
      <c r="G1599" s="126">
        <v>6.49598122432097e-7</v>
      </c>
      <c r="H1599" s="126">
        <f t="shared" si="73"/>
        <v>1067040</v>
      </c>
      <c r="I1599" s="126" t="str">
        <f t="shared" si="74"/>
        <v>0y 12d 8h 24m</v>
      </c>
    </row>
    <row r="1600" s="91" customFormat="1" spans="1:9">
      <c r="A1600" s="91" t="str">
        <f t="shared" si="72"/>
        <v>Sb-126m</v>
      </c>
      <c r="B1600" s="91" t="s">
        <v>2199</v>
      </c>
      <c r="C1600" s="91" t="s">
        <v>2168</v>
      </c>
      <c r="D1600" s="91">
        <v>51</v>
      </c>
      <c r="E1600" s="91">
        <v>126</v>
      </c>
      <c r="F1600" s="91">
        <v>1</v>
      </c>
      <c r="G1600" s="126">
        <v>0.00060326125375104</v>
      </c>
      <c r="H1600" s="126">
        <f t="shared" si="73"/>
        <v>1149</v>
      </c>
      <c r="I1600" s="126" t="str">
        <f t="shared" si="74"/>
        <v>0y 0d 0h 19m</v>
      </c>
    </row>
    <row r="1601" s="91" customFormat="1" spans="1:9">
      <c r="A1601" s="91" t="str">
        <f t="shared" si="72"/>
        <v>Sb-126m2</v>
      </c>
      <c r="B1601" s="91" t="s">
        <v>2200</v>
      </c>
      <c r="C1601" s="91" t="s">
        <v>2168</v>
      </c>
      <c r="D1601" s="91">
        <v>51</v>
      </c>
      <c r="E1601" s="91">
        <v>126</v>
      </c>
      <c r="F1601" s="91">
        <v>2</v>
      </c>
      <c r="G1601" s="126">
        <v>0.0630133800509041</v>
      </c>
      <c r="H1601" s="126">
        <f t="shared" si="73"/>
        <v>11</v>
      </c>
      <c r="I1601" s="126" t="str">
        <f t="shared" si="74"/>
        <v>0y 0d 0h 0m</v>
      </c>
    </row>
    <row r="1602" s="91" customFormat="1" spans="1:9">
      <c r="A1602" s="91" t="str">
        <f t="shared" ref="A1602:A1665" si="75">C1602&amp;"-"&amp;E1602&amp;_xlfn.IFS(F1602=0,"",F1602=1,"m",F1602&gt;1,"m"&amp;F1602)</f>
        <v>Sb-127</v>
      </c>
      <c r="B1602" s="91" t="s">
        <v>2201</v>
      </c>
      <c r="C1602" s="91" t="s">
        <v>2168</v>
      </c>
      <c r="D1602" s="91">
        <v>51</v>
      </c>
      <c r="E1602" s="91">
        <v>127</v>
      </c>
      <c r="F1602" s="91">
        <v>0</v>
      </c>
      <c r="G1602" s="126">
        <v>2.08377579533413e-6</v>
      </c>
      <c r="H1602" s="126">
        <f t="shared" ref="H1602:H1665" si="76">IF(G1602&gt;0,LN(2)/G1602,0)</f>
        <v>332640</v>
      </c>
      <c r="I1602" s="126" t="str">
        <f t="shared" si="74"/>
        <v>0y 3d 20h 24m</v>
      </c>
    </row>
    <row r="1603" s="91" customFormat="1" spans="1:9">
      <c r="A1603" s="91" t="str">
        <f t="shared" si="75"/>
        <v>Sb-128</v>
      </c>
      <c r="B1603" s="91" t="s">
        <v>2202</v>
      </c>
      <c r="C1603" s="91" t="s">
        <v>2168</v>
      </c>
      <c r="D1603" s="91">
        <v>51</v>
      </c>
      <c r="E1603" s="91">
        <v>128</v>
      </c>
      <c r="F1603" s="91">
        <v>0</v>
      </c>
      <c r="G1603" s="126">
        <v>2.13696874016507e-5</v>
      </c>
      <c r="H1603" s="126">
        <f t="shared" si="76"/>
        <v>32436.0000000002</v>
      </c>
      <c r="I1603" s="126" t="str">
        <f t="shared" ref="I1603:I1666" si="77">INT(H1603/31536000)&amp;"y "&amp;INT(MOD(H1603,31536000)/86400)&amp;"d "&amp;INT(MOD(MOD(H1603,31536000),86400)/3600)&amp;"h "&amp;INT(MOD(MOD(MOD(H1603,31536000),86400),3600)/60)&amp;"m"</f>
        <v>0y 0d 9h 0m</v>
      </c>
    </row>
    <row r="1604" s="91" customFormat="1" spans="1:9">
      <c r="A1604" s="91" t="str">
        <f t="shared" si="75"/>
        <v>Sb-128m</v>
      </c>
      <c r="B1604" s="91" t="s">
        <v>2203</v>
      </c>
      <c r="C1604" s="91" t="s">
        <v>2168</v>
      </c>
      <c r="D1604" s="91">
        <v>51</v>
      </c>
      <c r="E1604" s="91">
        <v>128</v>
      </c>
      <c r="F1604" s="91">
        <v>1</v>
      </c>
      <c r="G1604" s="126">
        <v>0.00111081278935888</v>
      </c>
      <c r="H1604" s="126">
        <f t="shared" si="76"/>
        <v>624.000000000004</v>
      </c>
      <c r="I1604" s="126" t="str">
        <f t="shared" si="77"/>
        <v>0y 0d 0h 10m</v>
      </c>
    </row>
    <row r="1605" s="91" customFormat="1" spans="1:9">
      <c r="A1605" s="91" t="str">
        <f t="shared" si="75"/>
        <v>Sb-129</v>
      </c>
      <c r="B1605" s="91" t="s">
        <v>2204</v>
      </c>
      <c r="C1605" s="91" t="s">
        <v>2168</v>
      </c>
      <c r="D1605" s="91">
        <v>51</v>
      </c>
      <c r="E1605" s="91">
        <v>129</v>
      </c>
      <c r="F1605" s="91">
        <v>0</v>
      </c>
      <c r="G1605" s="126">
        <v>4.37592917020167e-5</v>
      </c>
      <c r="H1605" s="126">
        <f t="shared" si="76"/>
        <v>15840</v>
      </c>
      <c r="I1605" s="126" t="str">
        <f t="shared" si="77"/>
        <v>0y 0d 4h 24m</v>
      </c>
    </row>
    <row r="1606" s="91" customFormat="1" spans="1:9">
      <c r="A1606" s="91" t="str">
        <f t="shared" si="75"/>
        <v>Sb-129m</v>
      </c>
      <c r="B1606" s="91" t="s">
        <v>2205</v>
      </c>
      <c r="C1606" s="91" t="s">
        <v>2168</v>
      </c>
      <c r="D1606" s="91">
        <v>51</v>
      </c>
      <c r="E1606" s="91">
        <v>129</v>
      </c>
      <c r="F1606" s="91">
        <v>1</v>
      </c>
      <c r="G1606" s="126">
        <v>0.000652680960979232</v>
      </c>
      <c r="H1606" s="126">
        <f t="shared" si="76"/>
        <v>1062</v>
      </c>
      <c r="I1606" s="126" t="str">
        <f t="shared" si="77"/>
        <v>0y 0d 0h 17m</v>
      </c>
    </row>
    <row r="1607" s="91" customFormat="1" spans="1:9">
      <c r="A1607" s="91" t="str">
        <f t="shared" si="75"/>
        <v>Sb-130</v>
      </c>
      <c r="B1607" s="91" t="s">
        <v>2206</v>
      </c>
      <c r="C1607" s="91" t="s">
        <v>2168</v>
      </c>
      <c r="D1607" s="91">
        <v>51</v>
      </c>
      <c r="E1607" s="91">
        <v>130</v>
      </c>
      <c r="F1607" s="91">
        <v>0</v>
      </c>
      <c r="G1607" s="126">
        <v>0.000292467164793225</v>
      </c>
      <c r="H1607" s="126">
        <f t="shared" si="76"/>
        <v>2370.00000000001</v>
      </c>
      <c r="I1607" s="126" t="str">
        <f t="shared" si="77"/>
        <v>0y 0d 0h 39m</v>
      </c>
    </row>
    <row r="1608" s="91" customFormat="1" spans="1:9">
      <c r="A1608" s="91" t="str">
        <f t="shared" si="75"/>
        <v>Sb-130m</v>
      </c>
      <c r="B1608" s="91" t="s">
        <v>2207</v>
      </c>
      <c r="C1608" s="91" t="s">
        <v>2168</v>
      </c>
      <c r="D1608" s="91">
        <v>51</v>
      </c>
      <c r="E1608" s="91">
        <v>130</v>
      </c>
      <c r="F1608" s="91">
        <v>1</v>
      </c>
      <c r="G1608" s="126">
        <v>0.00183372269989403</v>
      </c>
      <c r="H1608" s="126">
        <f t="shared" si="76"/>
        <v>378.000000000001</v>
      </c>
      <c r="I1608" s="126" t="str">
        <f t="shared" si="77"/>
        <v>0y 0d 0h 6m</v>
      </c>
    </row>
    <row r="1609" s="91" customFormat="1" spans="1:9">
      <c r="A1609" s="91" t="str">
        <f t="shared" si="75"/>
        <v>Sb-131</v>
      </c>
      <c r="B1609" s="91" t="s">
        <v>2208</v>
      </c>
      <c r="C1609" s="91" t="s">
        <v>2168</v>
      </c>
      <c r="D1609" s="91">
        <v>51</v>
      </c>
      <c r="E1609" s="91">
        <v>131</v>
      </c>
      <c r="F1609" s="91">
        <v>0</v>
      </c>
      <c r="G1609" s="126">
        <v>0.00050162627048773</v>
      </c>
      <c r="H1609" s="126">
        <f t="shared" si="76"/>
        <v>1381.8</v>
      </c>
      <c r="I1609" s="126" t="str">
        <f t="shared" si="77"/>
        <v>0y 0d 0h 23m</v>
      </c>
    </row>
    <row r="1610" s="91" customFormat="1" spans="1:9">
      <c r="A1610" s="91" t="str">
        <f t="shared" si="75"/>
        <v>Sb-132</v>
      </c>
      <c r="B1610" s="91" t="s">
        <v>2209</v>
      </c>
      <c r="C1610" s="91" t="s">
        <v>2168</v>
      </c>
      <c r="D1610" s="91">
        <v>51</v>
      </c>
      <c r="E1610" s="91">
        <v>132</v>
      </c>
      <c r="F1610" s="91">
        <v>0</v>
      </c>
      <c r="G1610" s="126">
        <v>0.00414066416105104</v>
      </c>
      <c r="H1610" s="126">
        <f t="shared" si="76"/>
        <v>167.4</v>
      </c>
      <c r="I1610" s="126" t="str">
        <f t="shared" si="77"/>
        <v>0y 0d 0h 2m</v>
      </c>
    </row>
    <row r="1611" s="91" customFormat="1" spans="1:9">
      <c r="A1611" s="91" t="str">
        <f t="shared" si="75"/>
        <v>Sb-132m</v>
      </c>
      <c r="B1611" s="91" t="s">
        <v>2210</v>
      </c>
      <c r="C1611" s="91" t="s">
        <v>2168</v>
      </c>
      <c r="D1611" s="91">
        <v>51</v>
      </c>
      <c r="E1611" s="91">
        <v>132</v>
      </c>
      <c r="F1611" s="91">
        <v>1</v>
      </c>
      <c r="G1611" s="126">
        <v>0.00281767146569083</v>
      </c>
      <c r="H1611" s="126">
        <f t="shared" si="76"/>
        <v>246</v>
      </c>
      <c r="I1611" s="126" t="str">
        <f t="shared" si="77"/>
        <v>0y 0d 0h 4m</v>
      </c>
    </row>
    <row r="1612" s="91" customFormat="1" spans="1:9">
      <c r="A1612" s="91" t="str">
        <f t="shared" si="75"/>
        <v>Sb-133</v>
      </c>
      <c r="B1612" s="91" t="s">
        <v>2211</v>
      </c>
      <c r="C1612" s="91" t="s">
        <v>2168</v>
      </c>
      <c r="D1612" s="91">
        <v>51</v>
      </c>
      <c r="E1612" s="91">
        <v>133</v>
      </c>
      <c r="F1612" s="91">
        <v>0</v>
      </c>
      <c r="G1612" s="126">
        <v>0.00462098120373296</v>
      </c>
      <c r="H1612" s="126">
        <f t="shared" si="76"/>
        <v>150</v>
      </c>
      <c r="I1612" s="126" t="str">
        <f t="shared" si="77"/>
        <v>0y 0d 0h 2m</v>
      </c>
    </row>
    <row r="1613" s="91" customFormat="1" spans="1:9">
      <c r="A1613" s="91" t="str">
        <f t="shared" si="75"/>
        <v>Sb-134</v>
      </c>
      <c r="B1613" s="91" t="s">
        <v>2212</v>
      </c>
      <c r="C1613" s="91" t="s">
        <v>2168</v>
      </c>
      <c r="D1613" s="91">
        <v>51</v>
      </c>
      <c r="E1613" s="91">
        <v>134</v>
      </c>
      <c r="F1613" s="91">
        <v>0</v>
      </c>
      <c r="G1613" s="126">
        <v>0.888650231487109</v>
      </c>
      <c r="H1613" s="126">
        <f t="shared" si="76"/>
        <v>0.78</v>
      </c>
      <c r="I1613" s="126" t="str">
        <f t="shared" si="77"/>
        <v>0y 0d 0h 0m</v>
      </c>
    </row>
    <row r="1614" s="91" customFormat="1" spans="1:9">
      <c r="A1614" s="91" t="str">
        <f t="shared" si="75"/>
        <v>Sb-134m</v>
      </c>
      <c r="B1614" s="91" t="s">
        <v>2213</v>
      </c>
      <c r="C1614" s="91" t="s">
        <v>2168</v>
      </c>
      <c r="D1614" s="91">
        <v>51</v>
      </c>
      <c r="E1614" s="91">
        <v>134</v>
      </c>
      <c r="F1614" s="91">
        <v>1</v>
      </c>
      <c r="G1614" s="126">
        <v>0.0688328878411067</v>
      </c>
      <c r="H1614" s="126">
        <f t="shared" si="76"/>
        <v>10.07</v>
      </c>
      <c r="I1614" s="126" t="str">
        <f t="shared" si="77"/>
        <v>0y 0d 0h 0m</v>
      </c>
    </row>
    <row r="1615" s="91" customFormat="1" spans="1:9">
      <c r="A1615" s="91" t="str">
        <f t="shared" si="75"/>
        <v>Sb-135</v>
      </c>
      <c r="B1615" s="91" t="s">
        <v>2214</v>
      </c>
      <c r="C1615" s="91" t="s">
        <v>2168</v>
      </c>
      <c r="D1615" s="91">
        <v>51</v>
      </c>
      <c r="E1615" s="91">
        <v>135</v>
      </c>
      <c r="F1615" s="91">
        <v>0</v>
      </c>
      <c r="G1615" s="126">
        <v>0.412833341608067</v>
      </c>
      <c r="H1615" s="126">
        <f t="shared" si="76"/>
        <v>1.679</v>
      </c>
      <c r="I1615" s="126" t="str">
        <f t="shared" si="77"/>
        <v>0y 0d 0h 0m</v>
      </c>
    </row>
    <row r="1616" s="91" customFormat="1" spans="1:9">
      <c r="A1616" s="91" t="str">
        <f t="shared" si="75"/>
        <v>Sb-136</v>
      </c>
      <c r="B1616" s="91" t="s">
        <v>2215</v>
      </c>
      <c r="C1616" s="91" t="s">
        <v>2168</v>
      </c>
      <c r="D1616" s="91">
        <v>51</v>
      </c>
      <c r="E1616" s="91">
        <v>136</v>
      </c>
      <c r="F1616" s="91">
        <v>0</v>
      </c>
      <c r="G1616" s="126">
        <v>0.750972026608824</v>
      </c>
      <c r="H1616" s="126">
        <f t="shared" si="76"/>
        <v>0.923000000000001</v>
      </c>
      <c r="I1616" s="126" t="str">
        <f t="shared" si="77"/>
        <v>0y 0d 0h 0m</v>
      </c>
    </row>
    <row r="1617" s="91" customFormat="1" spans="1:9">
      <c r="A1617" s="91" t="str">
        <f t="shared" si="75"/>
        <v>Sb-137</v>
      </c>
      <c r="B1617" s="91" t="s">
        <v>2216</v>
      </c>
      <c r="C1617" s="91" t="s">
        <v>2168</v>
      </c>
      <c r="D1617" s="91">
        <v>51</v>
      </c>
      <c r="E1617" s="91">
        <v>137</v>
      </c>
      <c r="F1617" s="91">
        <v>0</v>
      </c>
      <c r="G1617" s="126">
        <v>1.54032706791098</v>
      </c>
      <c r="H1617" s="126">
        <f t="shared" si="76"/>
        <v>0.450000000000003</v>
      </c>
      <c r="I1617" s="126" t="str">
        <f t="shared" si="77"/>
        <v>0y 0d 0h 0m</v>
      </c>
    </row>
    <row r="1618" s="91" customFormat="1" spans="1:9">
      <c r="A1618" s="91" t="str">
        <f t="shared" si="75"/>
        <v>Sb-138</v>
      </c>
      <c r="B1618" s="91" t="s">
        <v>2217</v>
      </c>
      <c r="C1618" s="91" t="s">
        <v>2168</v>
      </c>
      <c r="D1618" s="91">
        <v>51</v>
      </c>
      <c r="E1618" s="91">
        <v>138</v>
      </c>
      <c r="F1618" s="91">
        <v>0</v>
      </c>
      <c r="G1618" s="126">
        <v>4.12587607476157</v>
      </c>
      <c r="H1618" s="126">
        <f t="shared" si="76"/>
        <v>0.168</v>
      </c>
      <c r="I1618" s="126" t="str">
        <f t="shared" si="77"/>
        <v>0y 0d 0h 0m</v>
      </c>
    </row>
    <row r="1619" s="91" customFormat="1" spans="1:9">
      <c r="A1619" s="91" t="str">
        <f t="shared" si="75"/>
        <v>Sb-139</v>
      </c>
      <c r="B1619" s="91" t="s">
        <v>2218</v>
      </c>
      <c r="C1619" s="91" t="s">
        <v>2168</v>
      </c>
      <c r="D1619" s="91">
        <v>51</v>
      </c>
      <c r="E1619" s="91">
        <v>139</v>
      </c>
      <c r="F1619" s="91">
        <v>0</v>
      </c>
      <c r="G1619" s="126">
        <v>5.45785181543264</v>
      </c>
      <c r="H1619" s="126">
        <f t="shared" si="76"/>
        <v>0.127</v>
      </c>
      <c r="I1619" s="126" t="str">
        <f t="shared" si="77"/>
        <v>0y 0d 0h 0m</v>
      </c>
    </row>
    <row r="1620" s="91" customFormat="1" spans="1:9">
      <c r="A1620" s="91" t="str">
        <f t="shared" si="75"/>
        <v>Te-105</v>
      </c>
      <c r="B1620" s="91" t="s">
        <v>2219</v>
      </c>
      <c r="C1620" s="91" t="s">
        <v>2220</v>
      </c>
      <c r="D1620" s="91">
        <v>52</v>
      </c>
      <c r="E1620" s="91">
        <v>105</v>
      </c>
      <c r="F1620" s="91">
        <v>0</v>
      </c>
      <c r="G1620" s="126">
        <v>1117979.32348378</v>
      </c>
      <c r="H1620" s="126">
        <f t="shared" si="76"/>
        <v>6.20000000000001e-7</v>
      </c>
      <c r="I1620" s="126" t="str">
        <f t="shared" si="77"/>
        <v>0y 0d 0h 0m</v>
      </c>
    </row>
    <row r="1621" s="91" customFormat="1" spans="1:9">
      <c r="A1621" s="91" t="str">
        <f t="shared" si="75"/>
        <v>Te-106</v>
      </c>
      <c r="B1621" s="91" t="s">
        <v>2221</v>
      </c>
      <c r="C1621" s="91" t="s">
        <v>2220</v>
      </c>
      <c r="D1621" s="91">
        <v>52</v>
      </c>
      <c r="E1621" s="91">
        <v>106</v>
      </c>
      <c r="F1621" s="91">
        <v>0</v>
      </c>
      <c r="G1621" s="126">
        <v>11552.4530093324</v>
      </c>
      <c r="H1621" s="126">
        <f t="shared" si="76"/>
        <v>6.00000000000001e-5</v>
      </c>
      <c r="I1621" s="126" t="str">
        <f t="shared" si="77"/>
        <v>0y 0d 0h 0m</v>
      </c>
    </row>
    <row r="1622" s="91" customFormat="1" spans="1:9">
      <c r="A1622" s="91" t="str">
        <f t="shared" si="75"/>
        <v>Te-107</v>
      </c>
      <c r="B1622" s="91" t="s">
        <v>2222</v>
      </c>
      <c r="C1622" s="91" t="s">
        <v>2220</v>
      </c>
      <c r="D1622" s="91">
        <v>52</v>
      </c>
      <c r="E1622" s="91">
        <v>107</v>
      </c>
      <c r="F1622" s="91">
        <v>0</v>
      </c>
      <c r="G1622" s="126">
        <v>223.595864696756</v>
      </c>
      <c r="H1622" s="126">
        <f t="shared" si="76"/>
        <v>0.00310000000000001</v>
      </c>
      <c r="I1622" s="126" t="str">
        <f t="shared" si="77"/>
        <v>0y 0d 0h 0m</v>
      </c>
    </row>
    <row r="1623" s="91" customFormat="1" spans="1:9">
      <c r="A1623" s="91" t="str">
        <f t="shared" si="75"/>
        <v>Te-108</v>
      </c>
      <c r="B1623" s="91" t="s">
        <v>2223</v>
      </c>
      <c r="C1623" s="91" t="s">
        <v>2220</v>
      </c>
      <c r="D1623" s="91">
        <v>52</v>
      </c>
      <c r="E1623" s="91">
        <v>108</v>
      </c>
      <c r="F1623" s="91">
        <v>0</v>
      </c>
      <c r="G1623" s="126">
        <v>0.330070085980926</v>
      </c>
      <c r="H1623" s="126">
        <f t="shared" si="76"/>
        <v>2.1</v>
      </c>
      <c r="I1623" s="126" t="str">
        <f t="shared" si="77"/>
        <v>0y 0d 0h 0m</v>
      </c>
    </row>
    <row r="1624" s="91" customFormat="1" spans="1:9">
      <c r="A1624" s="91" t="str">
        <f t="shared" si="75"/>
        <v>Te-109</v>
      </c>
      <c r="B1624" s="91" t="s">
        <v>2224</v>
      </c>
      <c r="C1624" s="91" t="s">
        <v>2220</v>
      </c>
      <c r="D1624" s="91">
        <v>52</v>
      </c>
      <c r="E1624" s="91">
        <v>109</v>
      </c>
      <c r="F1624" s="91">
        <v>0</v>
      </c>
      <c r="G1624" s="126">
        <v>0.150684169686944</v>
      </c>
      <c r="H1624" s="126">
        <f t="shared" si="76"/>
        <v>4.60000000000002</v>
      </c>
      <c r="I1624" s="126" t="str">
        <f t="shared" si="77"/>
        <v>0y 0d 0h 0m</v>
      </c>
    </row>
    <row r="1625" s="91" customFormat="1" spans="1:9">
      <c r="A1625" s="91" t="str">
        <f t="shared" si="75"/>
        <v>Te-110</v>
      </c>
      <c r="B1625" s="91" t="s">
        <v>2225</v>
      </c>
      <c r="C1625" s="91" t="s">
        <v>2220</v>
      </c>
      <c r="D1625" s="91">
        <v>52</v>
      </c>
      <c r="E1625" s="91">
        <v>110</v>
      </c>
      <c r="F1625" s="91">
        <v>0</v>
      </c>
      <c r="G1625" s="126">
        <v>0.0372659774494594</v>
      </c>
      <c r="H1625" s="126">
        <f t="shared" si="76"/>
        <v>18.6</v>
      </c>
      <c r="I1625" s="126" t="str">
        <f t="shared" si="77"/>
        <v>0y 0d 0h 0m</v>
      </c>
    </row>
    <row r="1626" s="91" customFormat="1" spans="1:9">
      <c r="A1626" s="91" t="str">
        <f t="shared" si="75"/>
        <v>Te-111</v>
      </c>
      <c r="B1626" s="91" t="s">
        <v>2226</v>
      </c>
      <c r="C1626" s="91" t="s">
        <v>2220</v>
      </c>
      <c r="D1626" s="91">
        <v>52</v>
      </c>
      <c r="E1626" s="91">
        <v>111</v>
      </c>
      <c r="F1626" s="91">
        <v>0</v>
      </c>
      <c r="G1626" s="126">
        <v>0.0359143616870437</v>
      </c>
      <c r="H1626" s="126">
        <f t="shared" si="76"/>
        <v>19.3000000000001</v>
      </c>
      <c r="I1626" s="126" t="str">
        <f t="shared" si="77"/>
        <v>0y 0d 0h 0m</v>
      </c>
    </row>
    <row r="1627" s="91" customFormat="1" spans="1:9">
      <c r="A1627" s="91" t="str">
        <f t="shared" si="75"/>
        <v>Te-112</v>
      </c>
      <c r="B1627" s="91" t="s">
        <v>2227</v>
      </c>
      <c r="C1627" s="91" t="s">
        <v>2220</v>
      </c>
      <c r="D1627" s="91">
        <v>52</v>
      </c>
      <c r="E1627" s="91">
        <v>112</v>
      </c>
      <c r="F1627" s="91">
        <v>0</v>
      </c>
      <c r="G1627" s="126">
        <v>0.00577622650466621</v>
      </c>
      <c r="H1627" s="126">
        <f t="shared" si="76"/>
        <v>120</v>
      </c>
      <c r="I1627" s="126" t="str">
        <f t="shared" si="77"/>
        <v>0y 0d 0h 2m</v>
      </c>
    </row>
    <row r="1628" s="91" customFormat="1" spans="1:9">
      <c r="A1628" s="91" t="str">
        <f t="shared" si="75"/>
        <v>Te-113</v>
      </c>
      <c r="B1628" s="91" t="s">
        <v>2228</v>
      </c>
      <c r="C1628" s="91" t="s">
        <v>2220</v>
      </c>
      <c r="D1628" s="91">
        <v>52</v>
      </c>
      <c r="E1628" s="91">
        <v>113</v>
      </c>
      <c r="F1628" s="91">
        <v>0</v>
      </c>
      <c r="G1628" s="126">
        <v>0.00679556059372495</v>
      </c>
      <c r="H1628" s="126">
        <f t="shared" si="76"/>
        <v>102</v>
      </c>
      <c r="I1628" s="126" t="str">
        <f t="shared" si="77"/>
        <v>0y 0d 0h 1m</v>
      </c>
    </row>
    <row r="1629" s="91" customFormat="1" spans="1:9">
      <c r="A1629" s="91" t="str">
        <f t="shared" si="75"/>
        <v>Te-114</v>
      </c>
      <c r="B1629" s="91" t="s">
        <v>2229</v>
      </c>
      <c r="C1629" s="91" t="s">
        <v>2220</v>
      </c>
      <c r="D1629" s="91">
        <v>52</v>
      </c>
      <c r="E1629" s="91">
        <v>114</v>
      </c>
      <c r="F1629" s="91">
        <v>0</v>
      </c>
      <c r="G1629" s="126">
        <v>0.000760029803245554</v>
      </c>
      <c r="H1629" s="126">
        <f t="shared" si="76"/>
        <v>912</v>
      </c>
      <c r="I1629" s="126" t="str">
        <f t="shared" si="77"/>
        <v>0y 0d 0h 15m</v>
      </c>
    </row>
    <row r="1630" s="91" customFormat="1" spans="1:9">
      <c r="A1630" s="91" t="str">
        <f t="shared" si="75"/>
        <v>Te-115</v>
      </c>
      <c r="B1630" s="91" t="s">
        <v>2230</v>
      </c>
      <c r="C1630" s="91" t="s">
        <v>2220</v>
      </c>
      <c r="D1630" s="91">
        <v>52</v>
      </c>
      <c r="E1630" s="91">
        <v>115</v>
      </c>
      <c r="F1630" s="91">
        <v>0</v>
      </c>
      <c r="G1630" s="126">
        <v>0.00199180224298834</v>
      </c>
      <c r="H1630" s="126">
        <f t="shared" si="76"/>
        <v>348.000000000001</v>
      </c>
      <c r="I1630" s="126" t="str">
        <f t="shared" si="77"/>
        <v>0y 0d 0h 5m</v>
      </c>
    </row>
    <row r="1631" s="91" customFormat="1" spans="1:9">
      <c r="A1631" s="91" t="str">
        <f t="shared" si="75"/>
        <v>Te-115m</v>
      </c>
      <c r="B1631" s="91" t="s">
        <v>2231</v>
      </c>
      <c r="C1631" s="91" t="s">
        <v>2220</v>
      </c>
      <c r="D1631" s="91">
        <v>52</v>
      </c>
      <c r="E1631" s="91">
        <v>115</v>
      </c>
      <c r="F1631" s="91">
        <v>1</v>
      </c>
      <c r="G1631" s="126">
        <v>0.0017242467178108</v>
      </c>
      <c r="H1631" s="126">
        <f t="shared" si="76"/>
        <v>402.000000000002</v>
      </c>
      <c r="I1631" s="126" t="str">
        <f t="shared" si="77"/>
        <v>0y 0d 0h 6m</v>
      </c>
    </row>
    <row r="1632" s="91" customFormat="1" spans="1:9">
      <c r="A1632" s="91" t="str">
        <f t="shared" si="75"/>
        <v>Te-116</v>
      </c>
      <c r="B1632" s="91" t="s">
        <v>2232</v>
      </c>
      <c r="C1632" s="91" t="s">
        <v>2220</v>
      </c>
      <c r="D1632" s="91">
        <v>52</v>
      </c>
      <c r="E1632" s="91">
        <v>116</v>
      </c>
      <c r="F1632" s="91">
        <v>0</v>
      </c>
      <c r="G1632" s="126">
        <v>7.7325656019628e-5</v>
      </c>
      <c r="H1632" s="126">
        <f t="shared" si="76"/>
        <v>8964</v>
      </c>
      <c r="I1632" s="126" t="str">
        <f t="shared" si="77"/>
        <v>0y 0d 2h 29m</v>
      </c>
    </row>
    <row r="1633" s="91" customFormat="1" spans="1:9">
      <c r="A1633" s="91" t="str">
        <f t="shared" si="75"/>
        <v>Te-117</v>
      </c>
      <c r="B1633" s="91" t="s">
        <v>2233</v>
      </c>
      <c r="C1633" s="91" t="s">
        <v>2220</v>
      </c>
      <c r="D1633" s="91">
        <v>52</v>
      </c>
      <c r="E1633" s="91">
        <v>117</v>
      </c>
      <c r="F1633" s="91">
        <v>0</v>
      </c>
      <c r="G1633" s="126">
        <v>0.000186329887247297</v>
      </c>
      <c r="H1633" s="126">
        <f t="shared" si="76"/>
        <v>3720</v>
      </c>
      <c r="I1633" s="126" t="str">
        <f t="shared" si="77"/>
        <v>0y 0d 1h 2m</v>
      </c>
    </row>
    <row r="1634" s="91" customFormat="1" spans="1:9">
      <c r="A1634" s="91" t="str">
        <f t="shared" si="75"/>
        <v>Te-117m</v>
      </c>
      <c r="B1634" s="91" t="s">
        <v>2234</v>
      </c>
      <c r="C1634" s="91" t="s">
        <v>2220</v>
      </c>
      <c r="D1634" s="91">
        <v>52</v>
      </c>
      <c r="E1634" s="91">
        <v>117</v>
      </c>
      <c r="F1634" s="91">
        <v>1</v>
      </c>
      <c r="G1634" s="126">
        <v>6.72958427728102</v>
      </c>
      <c r="H1634" s="126">
        <f t="shared" si="76"/>
        <v>0.103</v>
      </c>
      <c r="I1634" s="126" t="str">
        <f t="shared" si="77"/>
        <v>0y 0d 0h 0m</v>
      </c>
    </row>
    <row r="1635" s="91" customFormat="1" spans="1:9">
      <c r="A1635" s="91" t="str">
        <f t="shared" si="75"/>
        <v>Te-118</v>
      </c>
      <c r="B1635" s="91" t="s">
        <v>2235</v>
      </c>
      <c r="C1635" s="91" t="s">
        <v>2220</v>
      </c>
      <c r="D1635" s="91">
        <v>52</v>
      </c>
      <c r="E1635" s="91">
        <v>118</v>
      </c>
      <c r="F1635" s="91">
        <v>0</v>
      </c>
      <c r="G1635" s="126">
        <v>1.33708946867273e-6</v>
      </c>
      <c r="H1635" s="126">
        <f t="shared" si="76"/>
        <v>518400.000000002</v>
      </c>
      <c r="I1635" s="126" t="str">
        <f t="shared" si="77"/>
        <v>0y 6d 0h 0m</v>
      </c>
    </row>
    <row r="1636" s="91" customFormat="1" spans="1:9">
      <c r="A1636" s="91" t="str">
        <f t="shared" si="75"/>
        <v>Te-119</v>
      </c>
      <c r="B1636" s="91" t="s">
        <v>2236</v>
      </c>
      <c r="C1636" s="91" t="s">
        <v>2220</v>
      </c>
      <c r="D1636" s="91">
        <v>52</v>
      </c>
      <c r="E1636" s="91">
        <v>119</v>
      </c>
      <c r="F1636" s="91">
        <v>0</v>
      </c>
      <c r="G1636" s="126">
        <v>1.19963167282787e-5</v>
      </c>
      <c r="H1636" s="126">
        <f t="shared" si="76"/>
        <v>57780.0000000002</v>
      </c>
      <c r="I1636" s="126" t="str">
        <f t="shared" si="77"/>
        <v>0y 0d 16h 3m</v>
      </c>
    </row>
    <row r="1637" s="91" customFormat="1" spans="1:9">
      <c r="A1637" s="91" t="str">
        <f t="shared" si="75"/>
        <v>Te-119m</v>
      </c>
      <c r="B1637" s="91" t="s">
        <v>2237</v>
      </c>
      <c r="C1637" s="91" t="s">
        <v>2220</v>
      </c>
      <c r="D1637" s="91">
        <v>52</v>
      </c>
      <c r="E1637" s="91">
        <v>119</v>
      </c>
      <c r="F1637" s="91">
        <v>1</v>
      </c>
      <c r="G1637" s="126">
        <v>1.70692272596519e-6</v>
      </c>
      <c r="H1637" s="126">
        <f t="shared" si="76"/>
        <v>406080.000000001</v>
      </c>
      <c r="I1637" s="126" t="str">
        <f t="shared" si="77"/>
        <v>0y 4d 16h 48m</v>
      </c>
    </row>
    <row r="1638" s="91" customFormat="1" spans="1:9">
      <c r="A1638" s="91" t="str">
        <f t="shared" si="75"/>
        <v>Te-120</v>
      </c>
      <c r="B1638" s="91" t="s">
        <v>2238</v>
      </c>
      <c r="C1638" s="91" t="s">
        <v>2220</v>
      </c>
      <c r="D1638" s="91">
        <v>52</v>
      </c>
      <c r="E1638" s="91">
        <v>120</v>
      </c>
      <c r="F1638" s="91">
        <v>0</v>
      </c>
      <c r="G1638" s="126">
        <v>0</v>
      </c>
      <c r="H1638" s="126">
        <f t="shared" si="76"/>
        <v>0</v>
      </c>
      <c r="I1638" s="126" t="str">
        <f t="shared" si="77"/>
        <v>0y 0d 0h 0m</v>
      </c>
    </row>
    <row r="1639" s="91" customFormat="1" spans="1:9">
      <c r="A1639" s="91" t="str">
        <f t="shared" si="75"/>
        <v>Te-121</v>
      </c>
      <c r="B1639" s="91" t="s">
        <v>2239</v>
      </c>
      <c r="C1639" s="91" t="s">
        <v>2220</v>
      </c>
      <c r="D1639" s="91">
        <v>52</v>
      </c>
      <c r="E1639" s="91">
        <v>121</v>
      </c>
      <c r="F1639" s="91">
        <v>0</v>
      </c>
      <c r="G1639" s="126">
        <v>4.18494356392092e-7</v>
      </c>
      <c r="H1639" s="126">
        <f t="shared" si="76"/>
        <v>1656288</v>
      </c>
      <c r="I1639" s="126" t="str">
        <f t="shared" si="77"/>
        <v>0y 19d 4h 4m</v>
      </c>
    </row>
    <row r="1640" s="91" customFormat="1" spans="1:9">
      <c r="A1640" s="91" t="str">
        <f t="shared" si="75"/>
        <v>Te-121m</v>
      </c>
      <c r="B1640" s="91" t="s">
        <v>2240</v>
      </c>
      <c r="C1640" s="91" t="s">
        <v>2220</v>
      </c>
      <c r="D1640" s="91">
        <v>52</v>
      </c>
      <c r="E1640" s="91">
        <v>121</v>
      </c>
      <c r="F1640" s="91">
        <v>1</v>
      </c>
      <c r="G1640" s="126">
        <v>4.88583240684312e-8</v>
      </c>
      <c r="H1640" s="126">
        <f t="shared" si="76"/>
        <v>14186880</v>
      </c>
      <c r="I1640" s="126" t="str">
        <f t="shared" si="77"/>
        <v>0y 164d 4h 48m</v>
      </c>
    </row>
    <row r="1641" s="91" customFormat="1" spans="1:9">
      <c r="A1641" s="91" t="str">
        <f t="shared" si="75"/>
        <v>Te-122</v>
      </c>
      <c r="B1641" s="91" t="s">
        <v>2241</v>
      </c>
      <c r="C1641" s="91" t="s">
        <v>2220</v>
      </c>
      <c r="D1641" s="91">
        <v>52</v>
      </c>
      <c r="E1641" s="91">
        <v>122</v>
      </c>
      <c r="F1641" s="91">
        <v>0</v>
      </c>
      <c r="G1641" s="126">
        <v>0</v>
      </c>
      <c r="H1641" s="126">
        <f t="shared" si="76"/>
        <v>0</v>
      </c>
      <c r="I1641" s="126" t="str">
        <f t="shared" si="77"/>
        <v>0y 0d 0h 0m</v>
      </c>
    </row>
    <row r="1642" s="91" customFormat="1" spans="1:9">
      <c r="A1642" s="91" t="str">
        <f t="shared" si="75"/>
        <v>Te-123</v>
      </c>
      <c r="B1642" s="91" t="s">
        <v>2242</v>
      </c>
      <c r="C1642" s="91" t="s">
        <v>2220</v>
      </c>
      <c r="D1642" s="91">
        <v>52</v>
      </c>
      <c r="E1642" s="91">
        <v>123</v>
      </c>
      <c r="F1642" s="91">
        <v>0</v>
      </c>
      <c r="G1642" s="126">
        <v>0</v>
      </c>
      <c r="H1642" s="126">
        <f t="shared" si="76"/>
        <v>0</v>
      </c>
      <c r="I1642" s="126" t="str">
        <f t="shared" si="77"/>
        <v>0y 0d 0h 0m</v>
      </c>
    </row>
    <row r="1643" s="91" customFormat="1" spans="1:9">
      <c r="A1643" s="91" t="str">
        <f t="shared" si="75"/>
        <v>Te-123m</v>
      </c>
      <c r="B1643" s="91" t="s">
        <v>2243</v>
      </c>
      <c r="C1643" s="91" t="s">
        <v>2220</v>
      </c>
      <c r="D1643" s="91">
        <v>52</v>
      </c>
      <c r="E1643" s="91">
        <v>123</v>
      </c>
      <c r="F1643" s="91">
        <v>1</v>
      </c>
      <c r="G1643" s="126">
        <v>6.7303161174802e-8</v>
      </c>
      <c r="H1643" s="126">
        <f t="shared" si="76"/>
        <v>10298880</v>
      </c>
      <c r="I1643" s="126" t="str">
        <f t="shared" si="77"/>
        <v>0y 119d 4h 48m</v>
      </c>
    </row>
    <row r="1644" s="91" customFormat="1" spans="1:9">
      <c r="A1644" s="91" t="str">
        <f t="shared" si="75"/>
        <v>Te-124</v>
      </c>
      <c r="B1644" s="91" t="s">
        <v>2244</v>
      </c>
      <c r="C1644" s="91" t="s">
        <v>2220</v>
      </c>
      <c r="D1644" s="91">
        <v>52</v>
      </c>
      <c r="E1644" s="91">
        <v>124</v>
      </c>
      <c r="F1644" s="91">
        <v>0</v>
      </c>
      <c r="G1644" s="126">
        <v>0</v>
      </c>
      <c r="H1644" s="126">
        <f t="shared" si="76"/>
        <v>0</v>
      </c>
      <c r="I1644" s="126" t="str">
        <f t="shared" si="77"/>
        <v>0y 0d 0h 0m</v>
      </c>
    </row>
    <row r="1645" s="91" customFormat="1" spans="1:9">
      <c r="A1645" s="91" t="str">
        <f t="shared" si="75"/>
        <v>Te-125</v>
      </c>
      <c r="B1645" s="91" t="s">
        <v>2245</v>
      </c>
      <c r="C1645" s="91" t="s">
        <v>2220</v>
      </c>
      <c r="D1645" s="91">
        <v>52</v>
      </c>
      <c r="E1645" s="91">
        <v>125</v>
      </c>
      <c r="F1645" s="91">
        <v>0</v>
      </c>
      <c r="G1645" s="126">
        <v>0</v>
      </c>
      <c r="H1645" s="126">
        <f t="shared" si="76"/>
        <v>0</v>
      </c>
      <c r="I1645" s="126" t="str">
        <f t="shared" si="77"/>
        <v>0y 0d 0h 0m</v>
      </c>
    </row>
    <row r="1646" s="91" customFormat="1" spans="1:9">
      <c r="A1646" s="91" t="str">
        <f t="shared" si="75"/>
        <v>Te-125m</v>
      </c>
      <c r="B1646" s="91" t="s">
        <v>2246</v>
      </c>
      <c r="C1646" s="91" t="s">
        <v>2220</v>
      </c>
      <c r="D1646" s="91">
        <v>52</v>
      </c>
      <c r="E1646" s="91">
        <v>125</v>
      </c>
      <c r="F1646" s="91">
        <v>1</v>
      </c>
      <c r="G1646" s="126">
        <v>1.39765449687045e-7</v>
      </c>
      <c r="H1646" s="126">
        <f t="shared" si="76"/>
        <v>4959360.00000001</v>
      </c>
      <c r="I1646" s="126" t="str">
        <f t="shared" si="77"/>
        <v>0y 57d 9h 36m</v>
      </c>
    </row>
    <row r="1647" s="91" customFormat="1" spans="1:9">
      <c r="A1647" s="91" t="str">
        <f t="shared" si="75"/>
        <v>Te-126</v>
      </c>
      <c r="B1647" s="91" t="s">
        <v>2247</v>
      </c>
      <c r="C1647" s="91" t="s">
        <v>2220</v>
      </c>
      <c r="D1647" s="91">
        <v>52</v>
      </c>
      <c r="E1647" s="91">
        <v>126</v>
      </c>
      <c r="F1647" s="91">
        <v>0</v>
      </c>
      <c r="G1647" s="126">
        <v>0</v>
      </c>
      <c r="H1647" s="126">
        <f t="shared" si="76"/>
        <v>0</v>
      </c>
      <c r="I1647" s="126" t="str">
        <f t="shared" si="77"/>
        <v>0y 0d 0h 0m</v>
      </c>
    </row>
    <row r="1648" s="91" customFormat="1" spans="1:9">
      <c r="A1648" s="91" t="str">
        <f t="shared" si="75"/>
        <v>Te-127</v>
      </c>
      <c r="B1648" s="91" t="s">
        <v>2248</v>
      </c>
      <c r="C1648" s="91" t="s">
        <v>2220</v>
      </c>
      <c r="D1648" s="91">
        <v>52</v>
      </c>
      <c r="E1648" s="91">
        <v>127</v>
      </c>
      <c r="F1648" s="91">
        <v>0</v>
      </c>
      <c r="G1648" s="126">
        <v>2.05926078597725e-5</v>
      </c>
      <c r="H1648" s="126">
        <f t="shared" si="76"/>
        <v>33660.0000000001</v>
      </c>
      <c r="I1648" s="126" t="str">
        <f t="shared" si="77"/>
        <v>0y 0d 9h 21m</v>
      </c>
    </row>
    <row r="1649" s="91" customFormat="1" spans="1:9">
      <c r="A1649" s="91" t="str">
        <f t="shared" si="75"/>
        <v>Te-127m</v>
      </c>
      <c r="B1649" s="91" t="s">
        <v>2249</v>
      </c>
      <c r="C1649" s="91" t="s">
        <v>2220</v>
      </c>
      <c r="D1649" s="91">
        <v>52</v>
      </c>
      <c r="E1649" s="91">
        <v>127</v>
      </c>
      <c r="F1649" s="91">
        <v>1</v>
      </c>
      <c r="G1649" s="126">
        <v>7.36012551562972e-8</v>
      </c>
      <c r="H1649" s="126">
        <f t="shared" si="76"/>
        <v>9417600.00000001</v>
      </c>
      <c r="I1649" s="126" t="str">
        <f t="shared" si="77"/>
        <v>0y 109d 0h 0m</v>
      </c>
    </row>
    <row r="1650" s="91" customFormat="1" spans="1:9">
      <c r="A1650" s="91" t="str">
        <f t="shared" si="75"/>
        <v>Te-128</v>
      </c>
      <c r="B1650" s="91" t="s">
        <v>2250</v>
      </c>
      <c r="C1650" s="91" t="s">
        <v>2220</v>
      </c>
      <c r="D1650" s="91">
        <v>52</v>
      </c>
      <c r="E1650" s="91">
        <v>128</v>
      </c>
      <c r="F1650" s="91">
        <v>0</v>
      </c>
      <c r="G1650" s="126">
        <v>2.49596582210727e-27</v>
      </c>
      <c r="H1650" s="126">
        <f t="shared" si="76"/>
        <v>2.77707000000001e+26</v>
      </c>
      <c r="I1650" s="126" t="str">
        <f t="shared" si="77"/>
        <v>8806031202435330000y 0d 0h 0m</v>
      </c>
    </row>
    <row r="1651" s="91" customFormat="1" spans="1:9">
      <c r="A1651" s="91" t="str">
        <f t="shared" si="75"/>
        <v>Te-129</v>
      </c>
      <c r="B1651" s="91" t="s">
        <v>2251</v>
      </c>
      <c r="C1651" s="91" t="s">
        <v>2220</v>
      </c>
      <c r="D1651" s="91">
        <v>52</v>
      </c>
      <c r="E1651" s="91">
        <v>129</v>
      </c>
      <c r="F1651" s="91">
        <v>0</v>
      </c>
      <c r="G1651" s="126">
        <v>0.000165983520249029</v>
      </c>
      <c r="H1651" s="126">
        <f t="shared" si="76"/>
        <v>4176</v>
      </c>
      <c r="I1651" s="126" t="str">
        <f t="shared" si="77"/>
        <v>0y 0d 1h 9m</v>
      </c>
    </row>
    <row r="1652" s="91" customFormat="1" spans="1:9">
      <c r="A1652" s="91" t="str">
        <f t="shared" si="75"/>
        <v>Te-129m</v>
      </c>
      <c r="B1652" s="91" t="s">
        <v>2252</v>
      </c>
      <c r="C1652" s="91" t="s">
        <v>2220</v>
      </c>
      <c r="D1652" s="91">
        <v>52</v>
      </c>
      <c r="E1652" s="91">
        <v>129</v>
      </c>
      <c r="F1652" s="91">
        <v>1</v>
      </c>
      <c r="G1652" s="126">
        <v>2.38765976548702e-7</v>
      </c>
      <c r="H1652" s="126">
        <f t="shared" si="76"/>
        <v>2903040.00000001</v>
      </c>
      <c r="I1652" s="126" t="str">
        <f t="shared" si="77"/>
        <v>0y 33d 14h 24m</v>
      </c>
    </row>
    <row r="1653" s="91" customFormat="1" spans="1:9">
      <c r="A1653" s="91" t="str">
        <f t="shared" si="75"/>
        <v>Te-130</v>
      </c>
      <c r="B1653" s="91" t="s">
        <v>2253</v>
      </c>
      <c r="C1653" s="91" t="s">
        <v>2220</v>
      </c>
      <c r="D1653" s="91">
        <v>52</v>
      </c>
      <c r="E1653" s="91">
        <v>130</v>
      </c>
      <c r="F1653" s="91">
        <v>0</v>
      </c>
      <c r="G1653" s="126">
        <v>0</v>
      </c>
      <c r="H1653" s="126">
        <f t="shared" si="76"/>
        <v>0</v>
      </c>
      <c r="I1653" s="126" t="str">
        <f t="shared" si="77"/>
        <v>0y 0d 0h 0m</v>
      </c>
    </row>
    <row r="1654" s="91" customFormat="1" spans="1:9">
      <c r="A1654" s="91" t="str">
        <f t="shared" si="75"/>
        <v>Te-131</v>
      </c>
      <c r="B1654" s="91" t="s">
        <v>2254</v>
      </c>
      <c r="C1654" s="91" t="s">
        <v>2220</v>
      </c>
      <c r="D1654" s="91">
        <v>52</v>
      </c>
      <c r="E1654" s="91">
        <v>131</v>
      </c>
      <c r="F1654" s="91">
        <v>0</v>
      </c>
      <c r="G1654" s="126">
        <v>0.000462098120373296</v>
      </c>
      <c r="H1654" s="126">
        <f t="shared" si="76"/>
        <v>1500</v>
      </c>
      <c r="I1654" s="126" t="str">
        <f t="shared" si="77"/>
        <v>0y 0d 0h 25m</v>
      </c>
    </row>
    <row r="1655" s="91" customFormat="1" spans="1:9">
      <c r="A1655" s="91" t="str">
        <f t="shared" si="75"/>
        <v>Te-131m</v>
      </c>
      <c r="B1655" s="91" t="s">
        <v>2255</v>
      </c>
      <c r="C1655" s="91" t="s">
        <v>2220</v>
      </c>
      <c r="D1655" s="91">
        <v>52</v>
      </c>
      <c r="E1655" s="91">
        <v>131</v>
      </c>
      <c r="F1655" s="91">
        <v>1</v>
      </c>
      <c r="G1655" s="126">
        <v>5.79070326282326e-6</v>
      </c>
      <c r="H1655" s="126">
        <f t="shared" si="76"/>
        <v>119700</v>
      </c>
      <c r="I1655" s="126" t="str">
        <f t="shared" si="77"/>
        <v>0y 1d 9h 15m</v>
      </c>
    </row>
    <row r="1656" s="91" customFormat="1" spans="1:9">
      <c r="A1656" s="91" t="str">
        <f t="shared" si="75"/>
        <v>Te-132</v>
      </c>
      <c r="B1656" s="91" t="s">
        <v>2256</v>
      </c>
      <c r="C1656" s="91" t="s">
        <v>2220</v>
      </c>
      <c r="D1656" s="91">
        <v>52</v>
      </c>
      <c r="E1656" s="91">
        <v>132</v>
      </c>
      <c r="F1656" s="91">
        <v>0</v>
      </c>
      <c r="G1656" s="126">
        <v>2.50391286268302e-6</v>
      </c>
      <c r="H1656" s="126">
        <f t="shared" si="76"/>
        <v>276825.6</v>
      </c>
      <c r="I1656" s="126" t="str">
        <f t="shared" si="77"/>
        <v>0y 3d 4h 53m</v>
      </c>
    </row>
    <row r="1657" s="91" customFormat="1" spans="1:9">
      <c r="A1657" s="91" t="str">
        <f t="shared" si="75"/>
        <v>Te-133</v>
      </c>
      <c r="B1657" s="91" t="s">
        <v>2257</v>
      </c>
      <c r="C1657" s="91" t="s">
        <v>2220</v>
      </c>
      <c r="D1657" s="91">
        <v>52</v>
      </c>
      <c r="E1657" s="91">
        <v>133</v>
      </c>
      <c r="F1657" s="91">
        <v>0</v>
      </c>
      <c r="G1657" s="126">
        <v>0.000924196240746593</v>
      </c>
      <c r="H1657" s="126">
        <f t="shared" si="76"/>
        <v>750.000000000001</v>
      </c>
      <c r="I1657" s="126" t="str">
        <f t="shared" si="77"/>
        <v>0y 0d 0h 12m</v>
      </c>
    </row>
    <row r="1658" s="91" customFormat="1" spans="1:9">
      <c r="A1658" s="91" t="str">
        <f t="shared" si="75"/>
        <v>Te-133m</v>
      </c>
      <c r="B1658" s="91" t="s">
        <v>2258</v>
      </c>
      <c r="C1658" s="91" t="s">
        <v>2220</v>
      </c>
      <c r="D1658" s="91">
        <v>52</v>
      </c>
      <c r="E1658" s="91">
        <v>133</v>
      </c>
      <c r="F1658" s="91">
        <v>1</v>
      </c>
      <c r="G1658" s="126">
        <v>0.00020852803265943</v>
      </c>
      <c r="H1658" s="126">
        <f t="shared" si="76"/>
        <v>3324</v>
      </c>
      <c r="I1658" s="126" t="str">
        <f t="shared" si="77"/>
        <v>0y 0d 0h 55m</v>
      </c>
    </row>
    <row r="1659" s="91" customFormat="1" spans="1:9">
      <c r="A1659" s="91" t="str">
        <f t="shared" si="75"/>
        <v>Te-134</v>
      </c>
      <c r="B1659" s="91" t="s">
        <v>2259</v>
      </c>
      <c r="C1659" s="91" t="s">
        <v>2220</v>
      </c>
      <c r="D1659" s="91">
        <v>52</v>
      </c>
      <c r="E1659" s="91">
        <v>134</v>
      </c>
      <c r="F1659" s="91">
        <v>0</v>
      </c>
      <c r="G1659" s="126">
        <v>0.000276374473907474</v>
      </c>
      <c r="H1659" s="126">
        <f t="shared" si="76"/>
        <v>2508</v>
      </c>
      <c r="I1659" s="126" t="str">
        <f t="shared" si="77"/>
        <v>0y 0d 0h 41m</v>
      </c>
    </row>
    <row r="1660" s="91" customFormat="1" spans="1:9">
      <c r="A1660" s="91" t="str">
        <f t="shared" si="75"/>
        <v>Te-135</v>
      </c>
      <c r="B1660" s="91" t="s">
        <v>2260</v>
      </c>
      <c r="C1660" s="91" t="s">
        <v>2220</v>
      </c>
      <c r="D1660" s="91">
        <v>52</v>
      </c>
      <c r="E1660" s="91">
        <v>135</v>
      </c>
      <c r="F1660" s="91">
        <v>0</v>
      </c>
      <c r="G1660" s="126">
        <v>0.0364814305557865</v>
      </c>
      <c r="H1660" s="126">
        <f t="shared" si="76"/>
        <v>19</v>
      </c>
      <c r="I1660" s="126" t="str">
        <f t="shared" si="77"/>
        <v>0y 0d 0h 0m</v>
      </c>
    </row>
    <row r="1661" s="91" customFormat="1" spans="1:9">
      <c r="A1661" s="91" t="str">
        <f t="shared" si="75"/>
        <v>Te-136</v>
      </c>
      <c r="B1661" s="91" t="s">
        <v>2261</v>
      </c>
      <c r="C1661" s="91" t="s">
        <v>2220</v>
      </c>
      <c r="D1661" s="91">
        <v>52</v>
      </c>
      <c r="E1661" s="91">
        <v>136</v>
      </c>
      <c r="F1661" s="91">
        <v>0</v>
      </c>
      <c r="G1661" s="126">
        <v>0.0396084103177111</v>
      </c>
      <c r="H1661" s="126">
        <f t="shared" si="76"/>
        <v>17.5</v>
      </c>
      <c r="I1661" s="126" t="str">
        <f t="shared" si="77"/>
        <v>0y 0d 0h 0m</v>
      </c>
    </row>
    <row r="1662" s="91" customFormat="1" spans="1:9">
      <c r="A1662" s="91" t="str">
        <f t="shared" si="75"/>
        <v>Te-137</v>
      </c>
      <c r="B1662" s="91" t="s">
        <v>2262</v>
      </c>
      <c r="C1662" s="91" t="s">
        <v>2220</v>
      </c>
      <c r="D1662" s="91">
        <v>52</v>
      </c>
      <c r="E1662" s="91">
        <v>137</v>
      </c>
      <c r="F1662" s="91">
        <v>0</v>
      </c>
      <c r="G1662" s="126">
        <v>0.27837236167066</v>
      </c>
      <c r="H1662" s="126">
        <f t="shared" si="76"/>
        <v>2.49000000000001</v>
      </c>
      <c r="I1662" s="126" t="str">
        <f t="shared" si="77"/>
        <v>0y 0d 0h 0m</v>
      </c>
    </row>
    <row r="1663" s="91" customFormat="1" spans="1:9">
      <c r="A1663" s="91" t="str">
        <f t="shared" si="75"/>
        <v>Te-138</v>
      </c>
      <c r="B1663" s="91" t="s">
        <v>2263</v>
      </c>
      <c r="C1663" s="91" t="s">
        <v>2220</v>
      </c>
      <c r="D1663" s="91">
        <v>52</v>
      </c>
      <c r="E1663" s="91">
        <v>138</v>
      </c>
      <c r="F1663" s="91">
        <v>0</v>
      </c>
      <c r="G1663" s="126">
        <v>0.495105128971389</v>
      </c>
      <c r="H1663" s="126">
        <f t="shared" si="76"/>
        <v>1.4</v>
      </c>
      <c r="I1663" s="126" t="str">
        <f t="shared" si="77"/>
        <v>0y 0d 0h 0m</v>
      </c>
    </row>
    <row r="1664" s="91" customFormat="1" spans="1:9">
      <c r="A1664" s="91" t="str">
        <f t="shared" si="75"/>
        <v>Te-139</v>
      </c>
      <c r="B1664" s="91" t="s">
        <v>2264</v>
      </c>
      <c r="C1664" s="91" t="s">
        <v>2220</v>
      </c>
      <c r="D1664" s="91">
        <v>52</v>
      </c>
      <c r="E1664" s="91">
        <v>139</v>
      </c>
      <c r="F1664" s="91">
        <v>0</v>
      </c>
      <c r="G1664" s="126">
        <v>1.99754230708917</v>
      </c>
      <c r="H1664" s="126">
        <f t="shared" si="76"/>
        <v>0.347000000000002</v>
      </c>
      <c r="I1664" s="126" t="str">
        <f t="shared" si="77"/>
        <v>0y 0d 0h 0m</v>
      </c>
    </row>
    <row r="1665" s="91" customFormat="1" spans="1:9">
      <c r="A1665" s="91" t="str">
        <f t="shared" si="75"/>
        <v>Te-140</v>
      </c>
      <c r="B1665" s="91" t="s">
        <v>2265</v>
      </c>
      <c r="C1665" s="91" t="s">
        <v>2220</v>
      </c>
      <c r="D1665" s="91">
        <v>52</v>
      </c>
      <c r="E1665" s="91">
        <v>140</v>
      </c>
      <c r="F1665" s="91">
        <v>0</v>
      </c>
      <c r="G1665" s="126">
        <v>2.28008940973666</v>
      </c>
      <c r="H1665" s="126">
        <f t="shared" si="76"/>
        <v>0.304</v>
      </c>
      <c r="I1665" s="126" t="str">
        <f t="shared" si="77"/>
        <v>0y 0d 0h 0m</v>
      </c>
    </row>
    <row r="1666" s="91" customFormat="1" spans="1:9">
      <c r="A1666" s="91" t="str">
        <f t="shared" ref="A1666:A1729" si="78">C1666&amp;"-"&amp;E1666&amp;_xlfn.IFS(F1666=0,"",F1666=1,"m",F1666&gt;1,"m"&amp;F1666)</f>
        <v>Te-141</v>
      </c>
      <c r="B1666" s="91" t="s">
        <v>2266</v>
      </c>
      <c r="C1666" s="91" t="s">
        <v>2220</v>
      </c>
      <c r="D1666" s="91">
        <v>52</v>
      </c>
      <c r="E1666" s="91">
        <v>141</v>
      </c>
      <c r="F1666" s="91">
        <v>0</v>
      </c>
      <c r="G1666" s="126">
        <v>3.2542121153049</v>
      </c>
      <c r="H1666" s="126">
        <f t="shared" ref="H1666:H1729" si="79">IF(G1666&gt;0,LN(2)/G1666,0)</f>
        <v>0.213</v>
      </c>
      <c r="I1666" s="126" t="str">
        <f t="shared" si="77"/>
        <v>0y 0d 0h 0m</v>
      </c>
    </row>
    <row r="1667" s="91" customFormat="1" spans="1:9">
      <c r="A1667" s="91" t="str">
        <f t="shared" si="78"/>
        <v>Te-142</v>
      </c>
      <c r="B1667" s="91" t="s">
        <v>2267</v>
      </c>
      <c r="C1667" s="91" t="s">
        <v>2220</v>
      </c>
      <c r="D1667" s="91">
        <v>52</v>
      </c>
      <c r="E1667" s="91">
        <v>142</v>
      </c>
      <c r="F1667" s="91">
        <v>0</v>
      </c>
      <c r="G1667" s="126">
        <v>3.46573590279972</v>
      </c>
      <c r="H1667" s="126">
        <f t="shared" si="79"/>
        <v>0.2</v>
      </c>
      <c r="I1667" s="126" t="str">
        <f t="shared" ref="I1667:I1730" si="80">INT(H1667/31536000)&amp;"y "&amp;INT(MOD(H1667,31536000)/86400)&amp;"d "&amp;INT(MOD(MOD(H1667,31536000),86400)/3600)&amp;"h "&amp;INT(MOD(MOD(MOD(H1667,31536000),86400),3600)/60)&amp;"m"</f>
        <v>0y 0d 0h 0m</v>
      </c>
    </row>
    <row r="1668" s="91" customFormat="1" spans="1:9">
      <c r="A1668" s="91" t="str">
        <f t="shared" si="78"/>
        <v>I-108</v>
      </c>
      <c r="B1668" s="91" t="s">
        <v>2268</v>
      </c>
      <c r="C1668" s="91" t="s">
        <v>2269</v>
      </c>
      <c r="D1668" s="91">
        <v>53</v>
      </c>
      <c r="E1668" s="91">
        <v>108</v>
      </c>
      <c r="F1668" s="91">
        <v>0</v>
      </c>
      <c r="G1668" s="126">
        <v>19.2540883488873</v>
      </c>
      <c r="H1668" s="126">
        <f t="shared" si="79"/>
        <v>0.0360000000000001</v>
      </c>
      <c r="I1668" s="126" t="str">
        <f t="shared" si="80"/>
        <v>0y 0d 0h 0m</v>
      </c>
    </row>
    <row r="1669" s="91" customFormat="1" spans="1:9">
      <c r="A1669" s="91" t="str">
        <f t="shared" si="78"/>
        <v>I-109</v>
      </c>
      <c r="B1669" s="91" t="s">
        <v>2270</v>
      </c>
      <c r="C1669" s="91" t="s">
        <v>2269</v>
      </c>
      <c r="D1669" s="91">
        <v>53</v>
      </c>
      <c r="E1669" s="91">
        <v>109</v>
      </c>
      <c r="F1669" s="91">
        <v>0</v>
      </c>
      <c r="G1669" s="126">
        <v>6729.58427728102</v>
      </c>
      <c r="H1669" s="126">
        <f t="shared" si="79"/>
        <v>0.000103</v>
      </c>
      <c r="I1669" s="126" t="str">
        <f t="shared" si="80"/>
        <v>0y 0d 0h 0m</v>
      </c>
    </row>
    <row r="1670" s="91" customFormat="1" spans="1:9">
      <c r="A1670" s="91" t="str">
        <f t="shared" si="78"/>
        <v>I-110</v>
      </c>
      <c r="B1670" s="91" t="s">
        <v>2271</v>
      </c>
      <c r="C1670" s="91" t="s">
        <v>2269</v>
      </c>
      <c r="D1670" s="91">
        <v>53</v>
      </c>
      <c r="E1670" s="91">
        <v>110</v>
      </c>
      <c r="F1670" s="91">
        <v>0</v>
      </c>
      <c r="G1670" s="126">
        <v>1.06638027778453</v>
      </c>
      <c r="H1670" s="126">
        <f t="shared" si="79"/>
        <v>0.650000000000001</v>
      </c>
      <c r="I1670" s="126" t="str">
        <f t="shared" si="80"/>
        <v>0y 0d 0h 0m</v>
      </c>
    </row>
    <row r="1671" s="91" customFormat="1" spans="1:9">
      <c r="A1671" s="91" t="str">
        <f t="shared" si="78"/>
        <v>I-111</v>
      </c>
      <c r="B1671" s="91" t="s">
        <v>2272</v>
      </c>
      <c r="C1671" s="91" t="s">
        <v>2269</v>
      </c>
      <c r="D1671" s="91">
        <v>53</v>
      </c>
      <c r="E1671" s="91">
        <v>111</v>
      </c>
      <c r="F1671" s="91">
        <v>0</v>
      </c>
      <c r="G1671" s="126">
        <v>0.277258872223978</v>
      </c>
      <c r="H1671" s="126">
        <f t="shared" si="79"/>
        <v>2.5</v>
      </c>
      <c r="I1671" s="126" t="str">
        <f t="shared" si="80"/>
        <v>0y 0d 0h 0m</v>
      </c>
    </row>
    <row r="1672" s="91" customFormat="1" spans="1:9">
      <c r="A1672" s="91" t="str">
        <f t="shared" si="78"/>
        <v>I-112</v>
      </c>
      <c r="B1672" s="91" t="s">
        <v>2273</v>
      </c>
      <c r="C1672" s="91" t="s">
        <v>2269</v>
      </c>
      <c r="D1672" s="91">
        <v>53</v>
      </c>
      <c r="E1672" s="91">
        <v>112</v>
      </c>
      <c r="F1672" s="91">
        <v>0</v>
      </c>
      <c r="G1672" s="126">
        <v>0.202674614198814</v>
      </c>
      <c r="H1672" s="126">
        <f t="shared" si="79"/>
        <v>3.42000000000001</v>
      </c>
      <c r="I1672" s="126" t="str">
        <f t="shared" si="80"/>
        <v>0y 0d 0h 0m</v>
      </c>
    </row>
    <row r="1673" s="91" customFormat="1" spans="1:9">
      <c r="A1673" s="91" t="str">
        <f t="shared" si="78"/>
        <v>I-113</v>
      </c>
      <c r="B1673" s="91" t="s">
        <v>2274</v>
      </c>
      <c r="C1673" s="91" t="s">
        <v>2269</v>
      </c>
      <c r="D1673" s="91">
        <v>53</v>
      </c>
      <c r="E1673" s="91">
        <v>113</v>
      </c>
      <c r="F1673" s="91">
        <v>0</v>
      </c>
      <c r="G1673" s="126">
        <v>0.10502230008484</v>
      </c>
      <c r="H1673" s="126">
        <f t="shared" si="79"/>
        <v>6.60000000000001</v>
      </c>
      <c r="I1673" s="126" t="str">
        <f t="shared" si="80"/>
        <v>0y 0d 0h 0m</v>
      </c>
    </row>
    <row r="1674" s="91" customFormat="1" spans="1:9">
      <c r="A1674" s="91" t="str">
        <f t="shared" si="78"/>
        <v>I-114</v>
      </c>
      <c r="B1674" s="91" t="s">
        <v>2275</v>
      </c>
      <c r="C1674" s="91" t="s">
        <v>2269</v>
      </c>
      <c r="D1674" s="91">
        <v>53</v>
      </c>
      <c r="E1674" s="91">
        <v>114</v>
      </c>
      <c r="F1674" s="91">
        <v>0</v>
      </c>
      <c r="G1674" s="126">
        <v>0.330070085980926</v>
      </c>
      <c r="H1674" s="126">
        <f t="shared" si="79"/>
        <v>2.1</v>
      </c>
      <c r="I1674" s="126" t="str">
        <f t="shared" si="80"/>
        <v>0y 0d 0h 0m</v>
      </c>
    </row>
    <row r="1675" s="91" customFormat="1" spans="1:9">
      <c r="A1675" s="91" t="str">
        <f t="shared" si="78"/>
        <v>I-114m</v>
      </c>
      <c r="B1675" s="91" t="s">
        <v>2276</v>
      </c>
      <c r="C1675" s="91" t="s">
        <v>2269</v>
      </c>
      <c r="D1675" s="91">
        <v>53</v>
      </c>
      <c r="E1675" s="91">
        <v>114</v>
      </c>
      <c r="F1675" s="91">
        <v>1</v>
      </c>
      <c r="G1675" s="126">
        <v>0.111797932348378</v>
      </c>
      <c r="H1675" s="126">
        <f t="shared" si="79"/>
        <v>6.20000000000002</v>
      </c>
      <c r="I1675" s="126" t="str">
        <f t="shared" si="80"/>
        <v>0y 0d 0h 0m</v>
      </c>
    </row>
    <row r="1676" s="91" customFormat="1" spans="1:9">
      <c r="A1676" s="91" t="str">
        <f t="shared" si="78"/>
        <v>I-115</v>
      </c>
      <c r="B1676" s="91" t="s">
        <v>2277</v>
      </c>
      <c r="C1676" s="91" t="s">
        <v>2269</v>
      </c>
      <c r="D1676" s="91">
        <v>53</v>
      </c>
      <c r="E1676" s="91">
        <v>115</v>
      </c>
      <c r="F1676" s="91">
        <v>0</v>
      </c>
      <c r="G1676" s="126">
        <v>0.00888650231487109</v>
      </c>
      <c r="H1676" s="126">
        <f t="shared" si="79"/>
        <v>78</v>
      </c>
      <c r="I1676" s="126" t="str">
        <f t="shared" si="80"/>
        <v>0y 0d 0h 1m</v>
      </c>
    </row>
    <row r="1677" s="91" customFormat="1" spans="1:9">
      <c r="A1677" s="91" t="str">
        <f t="shared" si="78"/>
        <v>I-116</v>
      </c>
      <c r="B1677" s="91" t="s">
        <v>2278</v>
      </c>
      <c r="C1677" s="91" t="s">
        <v>2269</v>
      </c>
      <c r="D1677" s="91">
        <v>53</v>
      </c>
      <c r="E1677" s="91">
        <v>116</v>
      </c>
      <c r="F1677" s="91">
        <v>0</v>
      </c>
      <c r="G1677" s="126">
        <v>0.238194907408915</v>
      </c>
      <c r="H1677" s="126">
        <f t="shared" si="79"/>
        <v>2.91000000000001</v>
      </c>
      <c r="I1677" s="126" t="str">
        <f t="shared" si="80"/>
        <v>0y 0d 0h 0m</v>
      </c>
    </row>
    <row r="1678" s="91" customFormat="1" spans="1:9">
      <c r="A1678" s="91" t="str">
        <f t="shared" si="78"/>
        <v>I-117</v>
      </c>
      <c r="B1678" s="91" t="s">
        <v>2279</v>
      </c>
      <c r="C1678" s="91" t="s">
        <v>2269</v>
      </c>
      <c r="D1678" s="91">
        <v>53</v>
      </c>
      <c r="E1678" s="91">
        <v>117</v>
      </c>
      <c r="F1678" s="91">
        <v>0</v>
      </c>
      <c r="G1678" s="126">
        <v>0.00520380766186145</v>
      </c>
      <c r="H1678" s="126">
        <f t="shared" si="79"/>
        <v>133.2</v>
      </c>
      <c r="I1678" s="126" t="str">
        <f t="shared" si="80"/>
        <v>0y 0d 0h 2m</v>
      </c>
    </row>
    <row r="1679" s="91" customFormat="1" spans="1:9">
      <c r="A1679" s="91" t="str">
        <f t="shared" si="78"/>
        <v>I-118</v>
      </c>
      <c r="B1679" s="91" t="s">
        <v>2280</v>
      </c>
      <c r="C1679" s="91" t="s">
        <v>2269</v>
      </c>
      <c r="D1679" s="91">
        <v>53</v>
      </c>
      <c r="E1679" s="91">
        <v>118</v>
      </c>
      <c r="F1679" s="91">
        <v>0</v>
      </c>
      <c r="G1679" s="126">
        <v>0.000843244745206746</v>
      </c>
      <c r="H1679" s="126">
        <f t="shared" si="79"/>
        <v>822</v>
      </c>
      <c r="I1679" s="126" t="str">
        <f t="shared" si="80"/>
        <v>0y 0d 0h 13m</v>
      </c>
    </row>
    <row r="1680" s="91" customFormat="1" spans="1:9">
      <c r="A1680" s="91" t="str">
        <f t="shared" si="78"/>
        <v>I-118m</v>
      </c>
      <c r="B1680" s="91" t="s">
        <v>2281</v>
      </c>
      <c r="C1680" s="91" t="s">
        <v>2269</v>
      </c>
      <c r="D1680" s="91">
        <v>53</v>
      </c>
      <c r="E1680" s="91">
        <v>118</v>
      </c>
      <c r="F1680" s="91">
        <v>1</v>
      </c>
      <c r="G1680" s="126">
        <v>0.00135911211874499</v>
      </c>
      <c r="H1680" s="126">
        <f t="shared" si="79"/>
        <v>510</v>
      </c>
      <c r="I1680" s="126" t="str">
        <f t="shared" si="80"/>
        <v>0y 0d 0h 8m</v>
      </c>
    </row>
    <row r="1681" s="91" customFormat="1" spans="1:9">
      <c r="A1681" s="91" t="str">
        <f t="shared" si="78"/>
        <v>I-119</v>
      </c>
      <c r="B1681" s="91" t="s">
        <v>2282</v>
      </c>
      <c r="C1681" s="91" t="s">
        <v>2269</v>
      </c>
      <c r="D1681" s="91">
        <v>53</v>
      </c>
      <c r="E1681" s="91">
        <v>119</v>
      </c>
      <c r="F1681" s="91">
        <v>0</v>
      </c>
      <c r="G1681" s="126">
        <v>0.000604840471692797</v>
      </c>
      <c r="H1681" s="126">
        <f t="shared" si="79"/>
        <v>1146</v>
      </c>
      <c r="I1681" s="126" t="str">
        <f t="shared" si="80"/>
        <v>0y 0d 0h 19m</v>
      </c>
    </row>
    <row r="1682" s="91" customFormat="1" spans="1:9">
      <c r="A1682" s="91" t="str">
        <f t="shared" si="78"/>
        <v>I-120</v>
      </c>
      <c r="B1682" s="91" t="s">
        <v>2283</v>
      </c>
      <c r="C1682" s="91" t="s">
        <v>2269</v>
      </c>
      <c r="D1682" s="91">
        <v>53</v>
      </c>
      <c r="E1682" s="91">
        <v>120</v>
      </c>
      <c r="F1682" s="91">
        <v>0</v>
      </c>
      <c r="G1682" s="126">
        <v>0.000141574179035936</v>
      </c>
      <c r="H1682" s="126">
        <f t="shared" si="79"/>
        <v>4896.00000000002</v>
      </c>
      <c r="I1682" s="126" t="str">
        <f t="shared" si="80"/>
        <v>0y 0d 1h 21m</v>
      </c>
    </row>
    <row r="1683" s="91" customFormat="1" spans="1:9">
      <c r="A1683" s="91" t="str">
        <f t="shared" si="78"/>
        <v>I-120m</v>
      </c>
      <c r="B1683" s="91" t="s">
        <v>2284</v>
      </c>
      <c r="C1683" s="91" t="s">
        <v>2269</v>
      </c>
      <c r="D1683" s="91">
        <v>53</v>
      </c>
      <c r="E1683" s="91">
        <v>120</v>
      </c>
      <c r="F1683" s="91">
        <v>1</v>
      </c>
      <c r="G1683" s="126">
        <v>0.000217970811496838</v>
      </c>
      <c r="H1683" s="126">
        <f t="shared" si="79"/>
        <v>3180</v>
      </c>
      <c r="I1683" s="126" t="str">
        <f t="shared" si="80"/>
        <v>0y 0d 0h 53m</v>
      </c>
    </row>
    <row r="1684" s="91" customFormat="1" spans="1:9">
      <c r="A1684" s="91" t="str">
        <f t="shared" si="78"/>
        <v>I-121</v>
      </c>
      <c r="B1684" s="91" t="s">
        <v>2285</v>
      </c>
      <c r="C1684" s="91" t="s">
        <v>2269</v>
      </c>
      <c r="D1684" s="91">
        <v>53</v>
      </c>
      <c r="E1684" s="91">
        <v>121</v>
      </c>
      <c r="F1684" s="91">
        <v>0</v>
      </c>
      <c r="G1684" s="126">
        <v>9.08211714570158e-5</v>
      </c>
      <c r="H1684" s="126">
        <f t="shared" si="79"/>
        <v>7632.00000000001</v>
      </c>
      <c r="I1684" s="126" t="str">
        <f t="shared" si="80"/>
        <v>0y 0d 2h 7m</v>
      </c>
    </row>
    <row r="1685" s="91" customFormat="1" spans="1:9">
      <c r="A1685" s="91" t="str">
        <f t="shared" si="78"/>
        <v>I-122</v>
      </c>
      <c r="B1685" s="91" t="s">
        <v>2286</v>
      </c>
      <c r="C1685" s="91" t="s">
        <v>2269</v>
      </c>
      <c r="D1685" s="91">
        <v>53</v>
      </c>
      <c r="E1685" s="91">
        <v>122</v>
      </c>
      <c r="F1685" s="91">
        <v>0</v>
      </c>
      <c r="G1685" s="126">
        <v>0.00318249394196485</v>
      </c>
      <c r="H1685" s="126">
        <f t="shared" si="79"/>
        <v>217.8</v>
      </c>
      <c r="I1685" s="126" t="str">
        <f t="shared" si="80"/>
        <v>0y 0d 0h 3m</v>
      </c>
    </row>
    <row r="1686" s="91" customFormat="1" spans="1:9">
      <c r="A1686" s="91" t="str">
        <f t="shared" si="78"/>
        <v>I-123</v>
      </c>
      <c r="B1686" s="91" t="s">
        <v>2287</v>
      </c>
      <c r="C1686" s="91" t="s">
        <v>2269</v>
      </c>
      <c r="D1686" s="91">
        <v>53</v>
      </c>
      <c r="E1686" s="91">
        <v>123</v>
      </c>
      <c r="F1686" s="91">
        <v>0</v>
      </c>
      <c r="G1686" s="126">
        <v>1.45606185617068e-5</v>
      </c>
      <c r="H1686" s="126">
        <f t="shared" si="79"/>
        <v>47604.24</v>
      </c>
      <c r="I1686" s="126" t="str">
        <f t="shared" si="80"/>
        <v>0y 0d 13h 13m</v>
      </c>
    </row>
    <row r="1687" s="91" customFormat="1" spans="1:9">
      <c r="A1687" s="91" t="str">
        <f t="shared" si="78"/>
        <v>I-124</v>
      </c>
      <c r="B1687" s="91" t="s">
        <v>2288</v>
      </c>
      <c r="C1687" s="91" t="s">
        <v>2269</v>
      </c>
      <c r="D1687" s="91">
        <v>53</v>
      </c>
      <c r="E1687" s="91">
        <v>124</v>
      </c>
      <c r="F1687" s="91">
        <v>0</v>
      </c>
      <c r="G1687" s="126">
        <v>1.92110555843783e-6</v>
      </c>
      <c r="H1687" s="126">
        <f t="shared" si="79"/>
        <v>360806.400000001</v>
      </c>
      <c r="I1687" s="126" t="str">
        <f t="shared" si="80"/>
        <v>0y 4d 4h 13m</v>
      </c>
    </row>
    <row r="1688" s="91" customFormat="1" spans="1:9">
      <c r="A1688" s="91" t="str">
        <f t="shared" si="78"/>
        <v>I-125</v>
      </c>
      <c r="B1688" s="91" t="s">
        <v>2289</v>
      </c>
      <c r="C1688" s="91" t="s">
        <v>2269</v>
      </c>
      <c r="D1688" s="91">
        <v>53</v>
      </c>
      <c r="E1688" s="91">
        <v>125</v>
      </c>
      <c r="F1688" s="91">
        <v>0</v>
      </c>
      <c r="G1688" s="126">
        <v>1.35059542290175e-7</v>
      </c>
      <c r="H1688" s="126">
        <f t="shared" si="79"/>
        <v>5132160.00000001</v>
      </c>
      <c r="I1688" s="126" t="str">
        <f t="shared" si="80"/>
        <v>0y 59d 9h 36m</v>
      </c>
    </row>
    <row r="1689" s="91" customFormat="1" spans="1:9">
      <c r="A1689" s="91" t="str">
        <f t="shared" si="78"/>
        <v>I-126</v>
      </c>
      <c r="B1689" s="91" t="s">
        <v>2290</v>
      </c>
      <c r="C1689" s="91" t="s">
        <v>2269</v>
      </c>
      <c r="D1689" s="91">
        <v>53</v>
      </c>
      <c r="E1689" s="91">
        <v>126</v>
      </c>
      <c r="F1689" s="91">
        <v>0</v>
      </c>
      <c r="G1689" s="126">
        <v>6.20459150196164e-7</v>
      </c>
      <c r="H1689" s="126">
        <f t="shared" si="79"/>
        <v>1117152</v>
      </c>
      <c r="I1689" s="126" t="str">
        <f t="shared" si="80"/>
        <v>0y 12d 22h 19m</v>
      </c>
    </row>
    <row r="1690" s="91" customFormat="1" spans="1:9">
      <c r="A1690" s="91" t="str">
        <f t="shared" si="78"/>
        <v>I-127</v>
      </c>
      <c r="B1690" s="91" t="s">
        <v>2291</v>
      </c>
      <c r="C1690" s="91" t="s">
        <v>2269</v>
      </c>
      <c r="D1690" s="91">
        <v>53</v>
      </c>
      <c r="E1690" s="91">
        <v>127</v>
      </c>
      <c r="F1690" s="91">
        <v>0</v>
      </c>
      <c r="G1690" s="126">
        <v>0</v>
      </c>
      <c r="H1690" s="126">
        <f t="shared" si="79"/>
        <v>0</v>
      </c>
      <c r="I1690" s="126" t="str">
        <f t="shared" si="80"/>
        <v>0y 0d 0h 0m</v>
      </c>
    </row>
    <row r="1691" s="91" customFormat="1" spans="1:9">
      <c r="A1691" s="91" t="str">
        <f t="shared" si="78"/>
        <v>I-128</v>
      </c>
      <c r="B1691" s="91" t="s">
        <v>2292</v>
      </c>
      <c r="C1691" s="91" t="s">
        <v>2269</v>
      </c>
      <c r="D1691" s="91">
        <v>53</v>
      </c>
      <c r="E1691" s="91">
        <v>128</v>
      </c>
      <c r="F1691" s="91">
        <v>0</v>
      </c>
      <c r="G1691" s="126">
        <v>0.000462283033586731</v>
      </c>
      <c r="H1691" s="126">
        <f t="shared" si="79"/>
        <v>1499.4</v>
      </c>
      <c r="I1691" s="126" t="str">
        <f t="shared" si="80"/>
        <v>0y 0d 0h 24m</v>
      </c>
    </row>
    <row r="1692" s="91" customFormat="1" spans="1:9">
      <c r="A1692" s="91" t="str">
        <f t="shared" si="78"/>
        <v>I-129</v>
      </c>
      <c r="B1692" s="91" t="s">
        <v>2293</v>
      </c>
      <c r="C1692" s="91" t="s">
        <v>2269</v>
      </c>
      <c r="D1692" s="91">
        <v>53</v>
      </c>
      <c r="E1692" s="91">
        <v>129</v>
      </c>
      <c r="F1692" s="91">
        <v>0</v>
      </c>
      <c r="G1692" s="126">
        <v>1.39901419821001e-15</v>
      </c>
      <c r="H1692" s="126">
        <f t="shared" si="79"/>
        <v>495454000000002</v>
      </c>
      <c r="I1692" s="126" t="str">
        <f t="shared" si="80"/>
        <v>15710743y 101d 7h 6m</v>
      </c>
    </row>
    <row r="1693" s="91" customFormat="1" spans="1:9">
      <c r="A1693" s="91" t="str">
        <f t="shared" si="78"/>
        <v>I-130</v>
      </c>
      <c r="B1693" s="91" t="s">
        <v>2294</v>
      </c>
      <c r="C1693" s="91" t="s">
        <v>2269</v>
      </c>
      <c r="D1693" s="91">
        <v>53</v>
      </c>
      <c r="E1693" s="91">
        <v>130</v>
      </c>
      <c r="F1693" s="91">
        <v>0</v>
      </c>
      <c r="G1693" s="126">
        <v>1.55777413825949e-5</v>
      </c>
      <c r="H1693" s="126">
        <f t="shared" si="79"/>
        <v>44496.0000000002</v>
      </c>
      <c r="I1693" s="126" t="str">
        <f t="shared" si="80"/>
        <v>0y 0d 12h 21m</v>
      </c>
    </row>
    <row r="1694" s="91" customFormat="1" spans="1:9">
      <c r="A1694" s="91" t="str">
        <f t="shared" si="78"/>
        <v>I-130m</v>
      </c>
      <c r="B1694" s="91" t="s">
        <v>2295</v>
      </c>
      <c r="C1694" s="91" t="s">
        <v>2269</v>
      </c>
      <c r="D1694" s="91">
        <v>53</v>
      </c>
      <c r="E1694" s="91">
        <v>130</v>
      </c>
      <c r="F1694" s="91">
        <v>1</v>
      </c>
      <c r="G1694" s="126">
        <v>0.00130683857571633</v>
      </c>
      <c r="H1694" s="126">
        <f t="shared" si="79"/>
        <v>530.400000000003</v>
      </c>
      <c r="I1694" s="126" t="str">
        <f t="shared" si="80"/>
        <v>0y 0d 0h 8m</v>
      </c>
    </row>
    <row r="1695" s="91" customFormat="1" spans="1:9">
      <c r="A1695" s="91" t="str">
        <f t="shared" si="78"/>
        <v>I-131</v>
      </c>
      <c r="B1695" s="91" t="s">
        <v>2296</v>
      </c>
      <c r="C1695" s="91" t="s">
        <v>2269</v>
      </c>
      <c r="D1695" s="91">
        <v>53</v>
      </c>
      <c r="E1695" s="91">
        <v>131</v>
      </c>
      <c r="F1695" s="91">
        <v>0</v>
      </c>
      <c r="G1695" s="126">
        <v>9.99668118007245e-7</v>
      </c>
      <c r="H1695" s="126">
        <f t="shared" si="79"/>
        <v>693377.3</v>
      </c>
      <c r="I1695" s="126" t="str">
        <f t="shared" si="80"/>
        <v>0y 8d 0h 36m</v>
      </c>
    </row>
    <row r="1696" s="91" customFormat="1" spans="1:9">
      <c r="A1696" s="91" t="str">
        <f t="shared" si="78"/>
        <v>I-132</v>
      </c>
      <c r="B1696" s="91" t="s">
        <v>2297</v>
      </c>
      <c r="C1696" s="91" t="s">
        <v>2269</v>
      </c>
      <c r="D1696" s="91">
        <v>53</v>
      </c>
      <c r="E1696" s="91">
        <v>132</v>
      </c>
      <c r="F1696" s="91">
        <v>0</v>
      </c>
      <c r="G1696" s="126">
        <v>8.38958097990735e-5</v>
      </c>
      <c r="H1696" s="126">
        <f t="shared" si="79"/>
        <v>8262</v>
      </c>
      <c r="I1696" s="126" t="str">
        <f t="shared" si="80"/>
        <v>0y 0d 2h 17m</v>
      </c>
    </row>
    <row r="1697" s="91" customFormat="1" spans="1:9">
      <c r="A1697" s="91" t="str">
        <f t="shared" si="78"/>
        <v>I-132m</v>
      </c>
      <c r="B1697" s="91" t="s">
        <v>2298</v>
      </c>
      <c r="C1697" s="91" t="s">
        <v>2269</v>
      </c>
      <c r="D1697" s="91">
        <v>53</v>
      </c>
      <c r="E1697" s="91">
        <v>132</v>
      </c>
      <c r="F1697" s="91">
        <v>1</v>
      </c>
      <c r="G1697" s="126">
        <v>0.000138818228903297</v>
      </c>
      <c r="H1697" s="126">
        <f t="shared" si="79"/>
        <v>4993.20000000002</v>
      </c>
      <c r="I1697" s="126" t="str">
        <f t="shared" si="80"/>
        <v>0y 0d 1h 23m</v>
      </c>
    </row>
    <row r="1698" s="91" customFormat="1" spans="1:9">
      <c r="A1698" s="91" t="str">
        <f t="shared" si="78"/>
        <v>I-133</v>
      </c>
      <c r="B1698" s="91" t="s">
        <v>2299</v>
      </c>
      <c r="C1698" s="91" t="s">
        <v>2269</v>
      </c>
      <c r="D1698" s="91">
        <v>53</v>
      </c>
      <c r="E1698" s="91">
        <v>133</v>
      </c>
      <c r="F1698" s="91">
        <v>0</v>
      </c>
      <c r="G1698" s="126">
        <v>9.25677324465738e-6</v>
      </c>
      <c r="H1698" s="126">
        <f t="shared" si="79"/>
        <v>74880.0000000001</v>
      </c>
      <c r="I1698" s="126" t="str">
        <f t="shared" si="80"/>
        <v>0y 0d 20h 48m</v>
      </c>
    </row>
    <row r="1699" s="91" customFormat="1" spans="1:9">
      <c r="A1699" s="91" t="str">
        <f t="shared" si="78"/>
        <v>I-133m</v>
      </c>
      <c r="B1699" s="91" t="s">
        <v>2300</v>
      </c>
      <c r="C1699" s="91" t="s">
        <v>2269</v>
      </c>
      <c r="D1699" s="91">
        <v>53</v>
      </c>
      <c r="E1699" s="91">
        <v>133</v>
      </c>
      <c r="F1699" s="91">
        <v>1</v>
      </c>
      <c r="G1699" s="126">
        <v>0.0770163533955494</v>
      </c>
      <c r="H1699" s="126">
        <f t="shared" si="79"/>
        <v>9.00000000000001</v>
      </c>
      <c r="I1699" s="126" t="str">
        <f t="shared" si="80"/>
        <v>0y 0d 0h 0m</v>
      </c>
    </row>
    <row r="1700" s="91" customFormat="1" spans="1:9">
      <c r="A1700" s="91" t="str">
        <f t="shared" si="78"/>
        <v>I-134</v>
      </c>
      <c r="B1700" s="91" t="s">
        <v>2301</v>
      </c>
      <c r="C1700" s="91" t="s">
        <v>2269</v>
      </c>
      <c r="D1700" s="91">
        <v>53</v>
      </c>
      <c r="E1700" s="91">
        <v>134</v>
      </c>
      <c r="F1700" s="91">
        <v>0</v>
      </c>
      <c r="G1700" s="126">
        <v>0.000220046723987284</v>
      </c>
      <c r="H1700" s="126">
        <f t="shared" si="79"/>
        <v>3150</v>
      </c>
      <c r="I1700" s="126" t="str">
        <f t="shared" si="80"/>
        <v>0y 0d 0h 52m</v>
      </c>
    </row>
    <row r="1701" s="91" customFormat="1" spans="1:9">
      <c r="A1701" s="91" t="str">
        <f t="shared" si="78"/>
        <v>I-134m</v>
      </c>
      <c r="B1701" s="91" t="s">
        <v>2302</v>
      </c>
      <c r="C1701" s="91" t="s">
        <v>2269</v>
      </c>
      <c r="D1701" s="91">
        <v>53</v>
      </c>
      <c r="E1701" s="91">
        <v>134</v>
      </c>
      <c r="F1701" s="91">
        <v>1</v>
      </c>
      <c r="G1701" s="126">
        <v>0.00328194687765125</v>
      </c>
      <c r="H1701" s="126">
        <f t="shared" si="79"/>
        <v>211.2</v>
      </c>
      <c r="I1701" s="126" t="str">
        <f t="shared" si="80"/>
        <v>0y 0d 0h 3m</v>
      </c>
    </row>
    <row r="1702" s="91" customFormat="1" spans="1:9">
      <c r="A1702" s="91" t="str">
        <f t="shared" si="78"/>
        <v>I-135</v>
      </c>
      <c r="B1702" s="91" t="s">
        <v>2303</v>
      </c>
      <c r="C1702" s="91" t="s">
        <v>2269</v>
      </c>
      <c r="D1702" s="91">
        <v>53</v>
      </c>
      <c r="E1702" s="91">
        <v>135</v>
      </c>
      <c r="F1702" s="91">
        <v>0</v>
      </c>
      <c r="G1702" s="126">
        <v>2.93060705462517e-5</v>
      </c>
      <c r="H1702" s="126">
        <f t="shared" si="79"/>
        <v>23652</v>
      </c>
      <c r="I1702" s="126" t="str">
        <f t="shared" si="80"/>
        <v>0y 0d 6h 34m</v>
      </c>
    </row>
    <row r="1703" s="91" customFormat="1" spans="1:9">
      <c r="A1703" s="91" t="str">
        <f t="shared" si="78"/>
        <v>I-136</v>
      </c>
      <c r="B1703" s="91" t="s">
        <v>2304</v>
      </c>
      <c r="C1703" s="91" t="s">
        <v>2269</v>
      </c>
      <c r="D1703" s="91">
        <v>53</v>
      </c>
      <c r="E1703" s="91">
        <v>136</v>
      </c>
      <c r="F1703" s="91">
        <v>0</v>
      </c>
      <c r="G1703" s="126">
        <v>0.00831111727290102</v>
      </c>
      <c r="H1703" s="126">
        <f t="shared" si="79"/>
        <v>83.4</v>
      </c>
      <c r="I1703" s="126" t="str">
        <f t="shared" si="80"/>
        <v>0y 0d 0h 1m</v>
      </c>
    </row>
    <row r="1704" s="91" customFormat="1" spans="1:9">
      <c r="A1704" s="91" t="str">
        <f t="shared" si="78"/>
        <v>I-136m</v>
      </c>
      <c r="B1704" s="91" t="s">
        <v>2305</v>
      </c>
      <c r="C1704" s="91" t="s">
        <v>2269</v>
      </c>
      <c r="D1704" s="91">
        <v>53</v>
      </c>
      <c r="E1704" s="91">
        <v>136</v>
      </c>
      <c r="F1704" s="91">
        <v>1</v>
      </c>
      <c r="G1704" s="126">
        <v>0.0147792575812355</v>
      </c>
      <c r="H1704" s="126">
        <f t="shared" si="79"/>
        <v>46.9</v>
      </c>
      <c r="I1704" s="126" t="str">
        <f t="shared" si="80"/>
        <v>0y 0d 0h 0m</v>
      </c>
    </row>
    <row r="1705" s="91" customFormat="1" spans="1:9">
      <c r="A1705" s="91" t="str">
        <f t="shared" si="78"/>
        <v>I-137</v>
      </c>
      <c r="B1705" s="91" t="s">
        <v>2306</v>
      </c>
      <c r="C1705" s="91" t="s">
        <v>2269</v>
      </c>
      <c r="D1705" s="91">
        <v>53</v>
      </c>
      <c r="E1705" s="91">
        <v>137</v>
      </c>
      <c r="F1705" s="91">
        <v>0</v>
      </c>
      <c r="G1705" s="126">
        <v>0.0282917216555079</v>
      </c>
      <c r="H1705" s="126">
        <f t="shared" si="79"/>
        <v>24.5000000000001</v>
      </c>
      <c r="I1705" s="126" t="str">
        <f t="shared" si="80"/>
        <v>0y 0d 0h 0m</v>
      </c>
    </row>
    <row r="1706" s="91" customFormat="1" spans="1:9">
      <c r="A1706" s="91" t="str">
        <f t="shared" si="78"/>
        <v>I-138</v>
      </c>
      <c r="B1706" s="91" t="s">
        <v>2307</v>
      </c>
      <c r="C1706" s="91" t="s">
        <v>2269</v>
      </c>
      <c r="D1706" s="91">
        <v>53</v>
      </c>
      <c r="E1706" s="91">
        <v>138</v>
      </c>
      <c r="F1706" s="91">
        <v>0</v>
      </c>
      <c r="G1706" s="126">
        <v>0.111259579544132</v>
      </c>
      <c r="H1706" s="126">
        <f t="shared" si="79"/>
        <v>6.23000000000003</v>
      </c>
      <c r="I1706" s="126" t="str">
        <f t="shared" si="80"/>
        <v>0y 0d 0h 0m</v>
      </c>
    </row>
    <row r="1707" s="91" customFormat="1" spans="1:9">
      <c r="A1707" s="91" t="str">
        <f t="shared" si="78"/>
        <v>I-139</v>
      </c>
      <c r="B1707" s="91" t="s">
        <v>2308</v>
      </c>
      <c r="C1707" s="91" t="s">
        <v>2269</v>
      </c>
      <c r="D1707" s="91">
        <v>53</v>
      </c>
      <c r="E1707" s="91">
        <v>139</v>
      </c>
      <c r="F1707" s="91">
        <v>0</v>
      </c>
      <c r="G1707" s="126">
        <v>0.304011921298221</v>
      </c>
      <c r="H1707" s="126">
        <f t="shared" si="79"/>
        <v>2.28</v>
      </c>
      <c r="I1707" s="126" t="str">
        <f t="shared" si="80"/>
        <v>0y 0d 0h 0m</v>
      </c>
    </row>
    <row r="1708" s="91" customFormat="1" spans="1:9">
      <c r="A1708" s="91" t="str">
        <f t="shared" si="78"/>
        <v>I-140</v>
      </c>
      <c r="B1708" s="91" t="s">
        <v>2309</v>
      </c>
      <c r="C1708" s="91" t="s">
        <v>2269</v>
      </c>
      <c r="D1708" s="91">
        <v>53</v>
      </c>
      <c r="E1708" s="91">
        <v>140</v>
      </c>
      <c r="F1708" s="91">
        <v>0</v>
      </c>
      <c r="G1708" s="126">
        <v>0.805985093674355</v>
      </c>
      <c r="H1708" s="126">
        <f t="shared" si="79"/>
        <v>0.86</v>
      </c>
      <c r="I1708" s="126" t="str">
        <f t="shared" si="80"/>
        <v>0y 0d 0h 0m</v>
      </c>
    </row>
    <row r="1709" s="91" customFormat="1" spans="1:9">
      <c r="A1709" s="91" t="str">
        <f t="shared" si="78"/>
        <v>I-141</v>
      </c>
      <c r="B1709" s="91" t="s">
        <v>2310</v>
      </c>
      <c r="C1709" s="91" t="s">
        <v>2269</v>
      </c>
      <c r="D1709" s="91">
        <v>53</v>
      </c>
      <c r="E1709" s="91">
        <v>141</v>
      </c>
      <c r="F1709" s="91">
        <v>0</v>
      </c>
      <c r="G1709" s="126">
        <v>1.61197018734871</v>
      </c>
      <c r="H1709" s="126">
        <f t="shared" si="79"/>
        <v>0.43</v>
      </c>
      <c r="I1709" s="126" t="str">
        <f t="shared" si="80"/>
        <v>0y 0d 0h 0m</v>
      </c>
    </row>
    <row r="1710" s="91" customFormat="1" spans="1:9">
      <c r="A1710" s="91" t="str">
        <f t="shared" si="78"/>
        <v>I-142</v>
      </c>
      <c r="B1710" s="91" t="s">
        <v>2311</v>
      </c>
      <c r="C1710" s="91" t="s">
        <v>2269</v>
      </c>
      <c r="D1710" s="91">
        <v>53</v>
      </c>
      <c r="E1710" s="91">
        <v>142</v>
      </c>
      <c r="F1710" s="91">
        <v>0</v>
      </c>
      <c r="G1710" s="126">
        <v>3.12228459711687</v>
      </c>
      <c r="H1710" s="126">
        <f t="shared" si="79"/>
        <v>0.222</v>
      </c>
      <c r="I1710" s="126" t="str">
        <f t="shared" si="80"/>
        <v>0y 0d 0h 0m</v>
      </c>
    </row>
    <row r="1711" s="91" customFormat="1" spans="1:9">
      <c r="A1711" s="91" t="str">
        <f t="shared" si="78"/>
        <v>I-143</v>
      </c>
      <c r="B1711" s="91" t="s">
        <v>2312</v>
      </c>
      <c r="C1711" s="91" t="s">
        <v>2269</v>
      </c>
      <c r="D1711" s="91">
        <v>53</v>
      </c>
      <c r="E1711" s="91">
        <v>143</v>
      </c>
      <c r="F1711" s="91">
        <v>0</v>
      </c>
      <c r="G1711" s="126">
        <v>2.34171344783765</v>
      </c>
      <c r="H1711" s="126">
        <f t="shared" si="79"/>
        <v>0.296</v>
      </c>
      <c r="I1711" s="126" t="str">
        <f t="shared" si="80"/>
        <v>0y 0d 0h 0m</v>
      </c>
    </row>
    <row r="1712" s="91" customFormat="1" spans="1:9">
      <c r="A1712" s="91" t="str">
        <f t="shared" si="78"/>
        <v>I-144</v>
      </c>
      <c r="B1712" s="91" t="s">
        <v>2313</v>
      </c>
      <c r="C1712" s="91" t="s">
        <v>2269</v>
      </c>
      <c r="D1712" s="91">
        <v>53</v>
      </c>
      <c r="E1712" s="91">
        <v>144</v>
      </c>
      <c r="F1712" s="91">
        <v>0</v>
      </c>
      <c r="G1712" s="126">
        <v>3.57292361113373</v>
      </c>
      <c r="H1712" s="126">
        <f t="shared" si="79"/>
        <v>0.194</v>
      </c>
      <c r="I1712" s="126" t="str">
        <f t="shared" si="80"/>
        <v>0y 0d 0h 0m</v>
      </c>
    </row>
    <row r="1713" s="91" customFormat="1" spans="1:9">
      <c r="A1713" s="91" t="str">
        <f t="shared" si="78"/>
        <v>I-145</v>
      </c>
      <c r="B1713" s="91" t="s">
        <v>2314</v>
      </c>
      <c r="C1713" s="91" t="s">
        <v>2269</v>
      </c>
      <c r="D1713" s="91">
        <v>53</v>
      </c>
      <c r="E1713" s="91">
        <v>145</v>
      </c>
      <c r="F1713" s="91">
        <v>0</v>
      </c>
      <c r="G1713" s="126">
        <v>5.45785181543264</v>
      </c>
      <c r="H1713" s="126">
        <f t="shared" si="79"/>
        <v>0.127</v>
      </c>
      <c r="I1713" s="126" t="str">
        <f t="shared" si="80"/>
        <v>0y 0d 0h 0m</v>
      </c>
    </row>
    <row r="1714" s="91" customFormat="1" spans="1:9">
      <c r="A1714" s="91" t="str">
        <f t="shared" si="78"/>
        <v>Xe-110</v>
      </c>
      <c r="B1714" s="91" t="s">
        <v>2315</v>
      </c>
      <c r="C1714" s="91" t="s">
        <v>2316</v>
      </c>
      <c r="D1714" s="91">
        <v>54</v>
      </c>
      <c r="E1714" s="91">
        <v>110</v>
      </c>
      <c r="F1714" s="91">
        <v>0</v>
      </c>
      <c r="G1714" s="126">
        <v>7.45319548989188</v>
      </c>
      <c r="H1714" s="126">
        <f t="shared" si="79"/>
        <v>0.0930000000000001</v>
      </c>
      <c r="I1714" s="126" t="str">
        <f t="shared" si="80"/>
        <v>0y 0d 0h 0m</v>
      </c>
    </row>
    <row r="1715" s="91" customFormat="1" spans="1:9">
      <c r="A1715" s="91" t="str">
        <f t="shared" si="78"/>
        <v>Xe-111</v>
      </c>
      <c r="B1715" s="91" t="s">
        <v>2317</v>
      </c>
      <c r="C1715" s="91" t="s">
        <v>2316</v>
      </c>
      <c r="D1715" s="91">
        <v>54</v>
      </c>
      <c r="E1715" s="91">
        <v>111</v>
      </c>
      <c r="F1715" s="91">
        <v>0</v>
      </c>
      <c r="G1715" s="126">
        <v>0.855737259950549</v>
      </c>
      <c r="H1715" s="126">
        <f t="shared" si="79"/>
        <v>0.810000000000001</v>
      </c>
      <c r="I1715" s="126" t="str">
        <f t="shared" si="80"/>
        <v>0y 0d 0h 0m</v>
      </c>
    </row>
    <row r="1716" s="91" customFormat="1" spans="1:9">
      <c r="A1716" s="91" t="str">
        <f t="shared" si="78"/>
        <v>Xe-112</v>
      </c>
      <c r="B1716" s="91" t="s">
        <v>2318</v>
      </c>
      <c r="C1716" s="91" t="s">
        <v>2316</v>
      </c>
      <c r="D1716" s="91">
        <v>54</v>
      </c>
      <c r="E1716" s="91">
        <v>112</v>
      </c>
      <c r="F1716" s="91">
        <v>0</v>
      </c>
      <c r="G1716" s="126">
        <v>0.256721177985164</v>
      </c>
      <c r="H1716" s="126">
        <f t="shared" si="79"/>
        <v>2.70000000000001</v>
      </c>
      <c r="I1716" s="126" t="str">
        <f t="shared" si="80"/>
        <v>0y 0d 0h 0m</v>
      </c>
    </row>
    <row r="1717" s="91" customFormat="1" spans="1:9">
      <c r="A1717" s="91" t="str">
        <f t="shared" si="78"/>
        <v>Xe-113</v>
      </c>
      <c r="B1717" s="91" t="s">
        <v>2319</v>
      </c>
      <c r="C1717" s="91" t="s">
        <v>2316</v>
      </c>
      <c r="D1717" s="91">
        <v>54</v>
      </c>
      <c r="E1717" s="91">
        <v>113</v>
      </c>
      <c r="F1717" s="91">
        <v>0</v>
      </c>
      <c r="G1717" s="126">
        <v>0.252973423562023</v>
      </c>
      <c r="H1717" s="126">
        <f t="shared" si="79"/>
        <v>2.74000000000001</v>
      </c>
      <c r="I1717" s="126" t="str">
        <f t="shared" si="80"/>
        <v>0y 0d 0h 0m</v>
      </c>
    </row>
    <row r="1718" s="91" customFormat="1" spans="1:9">
      <c r="A1718" s="91" t="str">
        <f t="shared" si="78"/>
        <v>Xe-114</v>
      </c>
      <c r="B1718" s="91" t="s">
        <v>2320</v>
      </c>
      <c r="C1718" s="91" t="s">
        <v>2316</v>
      </c>
      <c r="D1718" s="91">
        <v>54</v>
      </c>
      <c r="E1718" s="91">
        <v>114</v>
      </c>
      <c r="F1718" s="91">
        <v>0</v>
      </c>
      <c r="G1718" s="126">
        <v>0.0693147180559945</v>
      </c>
      <c r="H1718" s="126">
        <f t="shared" si="79"/>
        <v>10</v>
      </c>
      <c r="I1718" s="126" t="str">
        <f t="shared" si="80"/>
        <v>0y 0d 0h 0m</v>
      </c>
    </row>
    <row r="1719" s="91" customFormat="1" spans="1:9">
      <c r="A1719" s="91" t="str">
        <f t="shared" si="78"/>
        <v>Xe-115</v>
      </c>
      <c r="B1719" s="91" t="s">
        <v>2321</v>
      </c>
      <c r="C1719" s="91" t="s">
        <v>2316</v>
      </c>
      <c r="D1719" s="91">
        <v>54</v>
      </c>
      <c r="E1719" s="91">
        <v>115</v>
      </c>
      <c r="F1719" s="91">
        <v>0</v>
      </c>
      <c r="G1719" s="126">
        <v>0.0385081766977747</v>
      </c>
      <c r="H1719" s="126">
        <f t="shared" si="79"/>
        <v>18</v>
      </c>
      <c r="I1719" s="126" t="str">
        <f t="shared" si="80"/>
        <v>0y 0d 0h 0m</v>
      </c>
    </row>
    <row r="1720" s="91" customFormat="1" spans="1:9">
      <c r="A1720" s="91" t="str">
        <f t="shared" si="78"/>
        <v>Xe-116</v>
      </c>
      <c r="B1720" s="91" t="s">
        <v>2322</v>
      </c>
      <c r="C1720" s="91" t="s">
        <v>2316</v>
      </c>
      <c r="D1720" s="91">
        <v>54</v>
      </c>
      <c r="E1720" s="91">
        <v>116</v>
      </c>
      <c r="F1720" s="91">
        <v>0</v>
      </c>
      <c r="G1720" s="126">
        <v>0.0117482572976261</v>
      </c>
      <c r="H1720" s="126">
        <f t="shared" si="79"/>
        <v>59.0000000000005</v>
      </c>
      <c r="I1720" s="126" t="str">
        <f t="shared" si="80"/>
        <v>0y 0d 0h 0m</v>
      </c>
    </row>
    <row r="1721" s="91" customFormat="1" spans="1:9">
      <c r="A1721" s="91" t="str">
        <f t="shared" si="78"/>
        <v>Xe-117</v>
      </c>
      <c r="B1721" s="91" t="s">
        <v>2323</v>
      </c>
      <c r="C1721" s="91" t="s">
        <v>2316</v>
      </c>
      <c r="D1721" s="91">
        <v>54</v>
      </c>
      <c r="E1721" s="91">
        <v>117</v>
      </c>
      <c r="F1721" s="91">
        <v>0</v>
      </c>
      <c r="G1721" s="126">
        <v>0.0113630685337695</v>
      </c>
      <c r="H1721" s="126">
        <f t="shared" si="79"/>
        <v>61.0000000000005</v>
      </c>
      <c r="I1721" s="126" t="str">
        <f t="shared" si="80"/>
        <v>0y 0d 0h 1m</v>
      </c>
    </row>
    <row r="1722" s="91" customFormat="1" spans="1:9">
      <c r="A1722" s="91" t="str">
        <f t="shared" si="78"/>
        <v>Xe-118</v>
      </c>
      <c r="B1722" s="91" t="s">
        <v>2324</v>
      </c>
      <c r="C1722" s="91" t="s">
        <v>2316</v>
      </c>
      <c r="D1722" s="91">
        <v>54</v>
      </c>
      <c r="E1722" s="91">
        <v>118</v>
      </c>
      <c r="F1722" s="91">
        <v>0</v>
      </c>
      <c r="G1722" s="126">
        <v>0.00304011921298221</v>
      </c>
      <c r="H1722" s="126">
        <f t="shared" si="79"/>
        <v>228</v>
      </c>
      <c r="I1722" s="126" t="str">
        <f t="shared" si="80"/>
        <v>0y 0d 0h 3m</v>
      </c>
    </row>
    <row r="1723" s="91" customFormat="1" spans="1:9">
      <c r="A1723" s="91" t="str">
        <f t="shared" si="78"/>
        <v>Xe-119</v>
      </c>
      <c r="B1723" s="91" t="s">
        <v>2325</v>
      </c>
      <c r="C1723" s="91" t="s">
        <v>2316</v>
      </c>
      <c r="D1723" s="91">
        <v>54</v>
      </c>
      <c r="E1723" s="91">
        <v>119</v>
      </c>
      <c r="F1723" s="91">
        <v>0</v>
      </c>
      <c r="G1723" s="126">
        <v>0.00199180224298834</v>
      </c>
      <c r="H1723" s="126">
        <f t="shared" si="79"/>
        <v>348.000000000001</v>
      </c>
      <c r="I1723" s="126" t="str">
        <f t="shared" si="80"/>
        <v>0y 0d 0h 5m</v>
      </c>
    </row>
    <row r="1724" s="91" customFormat="1" spans="1:9">
      <c r="A1724" s="91" t="str">
        <f t="shared" si="78"/>
        <v>Xe-120</v>
      </c>
      <c r="B1724" s="91" t="s">
        <v>2326</v>
      </c>
      <c r="C1724" s="91" t="s">
        <v>2316</v>
      </c>
      <c r="D1724" s="91">
        <v>54</v>
      </c>
      <c r="E1724" s="91">
        <v>120</v>
      </c>
      <c r="F1724" s="91">
        <v>0</v>
      </c>
      <c r="G1724" s="126">
        <v>0.00028881132523331</v>
      </c>
      <c r="H1724" s="126">
        <f t="shared" si="79"/>
        <v>2400</v>
      </c>
      <c r="I1724" s="126" t="str">
        <f t="shared" si="80"/>
        <v>0y 0d 0h 40m</v>
      </c>
    </row>
    <row r="1725" s="91" customFormat="1" spans="1:9">
      <c r="A1725" s="91" t="str">
        <f t="shared" si="78"/>
        <v>Xe-121</v>
      </c>
      <c r="B1725" s="91" t="s">
        <v>2327</v>
      </c>
      <c r="C1725" s="91" t="s">
        <v>2316</v>
      </c>
      <c r="D1725" s="91">
        <v>54</v>
      </c>
      <c r="E1725" s="91">
        <v>121</v>
      </c>
      <c r="F1725" s="91">
        <v>0</v>
      </c>
      <c r="G1725" s="126">
        <v>0.000288091097489586</v>
      </c>
      <c r="H1725" s="126">
        <f t="shared" si="79"/>
        <v>2406.00000000001</v>
      </c>
      <c r="I1725" s="126" t="str">
        <f t="shared" si="80"/>
        <v>0y 0d 0h 40m</v>
      </c>
    </row>
    <row r="1726" s="91" customFormat="1" spans="1:9">
      <c r="A1726" s="91" t="str">
        <f t="shared" si="78"/>
        <v>Xe-122</v>
      </c>
      <c r="B1726" s="91" t="s">
        <v>2328</v>
      </c>
      <c r="C1726" s="91" t="s">
        <v>2316</v>
      </c>
      <c r="D1726" s="91">
        <v>54</v>
      </c>
      <c r="E1726" s="91">
        <v>122</v>
      </c>
      <c r="F1726" s="91">
        <v>0</v>
      </c>
      <c r="G1726" s="126">
        <v>9.57914843228227e-6</v>
      </c>
      <c r="H1726" s="126">
        <f t="shared" si="79"/>
        <v>72360</v>
      </c>
      <c r="I1726" s="126" t="str">
        <f t="shared" si="80"/>
        <v>0y 0d 20h 6m</v>
      </c>
    </row>
    <row r="1727" s="91" customFormat="1" spans="1:9">
      <c r="A1727" s="91" t="str">
        <f t="shared" si="78"/>
        <v>Xe-123</v>
      </c>
      <c r="B1727" s="91" t="s">
        <v>2329</v>
      </c>
      <c r="C1727" s="91" t="s">
        <v>2316</v>
      </c>
      <c r="D1727" s="91">
        <v>54</v>
      </c>
      <c r="E1727" s="91">
        <v>123</v>
      </c>
      <c r="F1727" s="91">
        <v>0</v>
      </c>
      <c r="G1727" s="126">
        <v>9.25677324465738e-5</v>
      </c>
      <c r="H1727" s="126">
        <f t="shared" si="79"/>
        <v>7488.00000000001</v>
      </c>
      <c r="I1727" s="126" t="str">
        <f t="shared" si="80"/>
        <v>0y 0d 2h 4m</v>
      </c>
    </row>
    <row r="1728" s="91" customFormat="1" spans="1:9">
      <c r="A1728" s="91" t="str">
        <f t="shared" si="78"/>
        <v>Xe-124</v>
      </c>
      <c r="B1728" s="91" t="s">
        <v>2330</v>
      </c>
      <c r="C1728" s="91" t="s">
        <v>2316</v>
      </c>
      <c r="D1728" s="91">
        <v>54</v>
      </c>
      <c r="E1728" s="91">
        <v>124</v>
      </c>
      <c r="F1728" s="91">
        <v>0</v>
      </c>
      <c r="G1728" s="126">
        <v>0</v>
      </c>
      <c r="H1728" s="126">
        <f t="shared" si="79"/>
        <v>0</v>
      </c>
      <c r="I1728" s="126" t="str">
        <f t="shared" si="80"/>
        <v>0y 0d 0h 0m</v>
      </c>
    </row>
    <row r="1729" s="91" customFormat="1" spans="1:9">
      <c r="A1729" s="91" t="str">
        <f t="shared" si="78"/>
        <v>Xe-125</v>
      </c>
      <c r="B1729" s="91" t="s">
        <v>2331</v>
      </c>
      <c r="C1729" s="91" t="s">
        <v>2316</v>
      </c>
      <c r="D1729" s="91">
        <v>54</v>
      </c>
      <c r="E1729" s="91">
        <v>125</v>
      </c>
      <c r="F1729" s="91">
        <v>0</v>
      </c>
      <c r="G1729" s="126">
        <v>1.13929516857321e-5</v>
      </c>
      <c r="H1729" s="126">
        <f t="shared" si="79"/>
        <v>60840.0000000004</v>
      </c>
      <c r="I1729" s="126" t="str">
        <f t="shared" si="80"/>
        <v>0y 0d 16h 54m</v>
      </c>
    </row>
    <row r="1730" s="91" customFormat="1" spans="1:9">
      <c r="A1730" s="91" t="str">
        <f t="shared" ref="A1730:A1793" si="81">C1730&amp;"-"&amp;E1730&amp;_xlfn.IFS(F1730=0,"",F1730=1,"m",F1730&gt;1,"m"&amp;F1730)</f>
        <v>Xe-125m</v>
      </c>
      <c r="B1730" s="91" t="s">
        <v>2332</v>
      </c>
      <c r="C1730" s="91" t="s">
        <v>2316</v>
      </c>
      <c r="D1730" s="91">
        <v>54</v>
      </c>
      <c r="E1730" s="91">
        <v>125</v>
      </c>
      <c r="F1730" s="91">
        <v>1</v>
      </c>
      <c r="G1730" s="126">
        <v>0.012181848515992</v>
      </c>
      <c r="H1730" s="126">
        <f t="shared" ref="H1730:H1793" si="82">IF(G1730&gt;0,LN(2)/G1730,0)</f>
        <v>56.9</v>
      </c>
      <c r="I1730" s="126" t="str">
        <f t="shared" si="80"/>
        <v>0y 0d 0h 0m</v>
      </c>
    </row>
    <row r="1731" s="91" customFormat="1" spans="1:9">
      <c r="A1731" s="91" t="str">
        <f t="shared" si="81"/>
        <v>Xe-126</v>
      </c>
      <c r="B1731" s="91" t="s">
        <v>2333</v>
      </c>
      <c r="C1731" s="91" t="s">
        <v>2316</v>
      </c>
      <c r="D1731" s="91">
        <v>54</v>
      </c>
      <c r="E1731" s="91">
        <v>126</v>
      </c>
      <c r="F1731" s="91">
        <v>0</v>
      </c>
      <c r="G1731" s="126">
        <v>0</v>
      </c>
      <c r="H1731" s="126">
        <f t="shared" si="82"/>
        <v>0</v>
      </c>
      <c r="I1731" s="126" t="str">
        <f t="shared" ref="I1731:I1794" si="83">INT(H1731/31536000)&amp;"y "&amp;INT(MOD(H1731,31536000)/86400)&amp;"d "&amp;INT(MOD(MOD(H1731,31536000),86400)/3600)&amp;"h "&amp;INT(MOD(MOD(MOD(H1731,31536000),86400),3600)/60)&amp;"m"</f>
        <v>0y 0d 0h 0m</v>
      </c>
    </row>
    <row r="1732" s="91" customFormat="1" spans="1:9">
      <c r="A1732" s="91" t="str">
        <f t="shared" si="81"/>
        <v>Xe-127</v>
      </c>
      <c r="B1732" s="91" t="s">
        <v>2334</v>
      </c>
      <c r="C1732" s="91" t="s">
        <v>2316</v>
      </c>
      <c r="D1732" s="91">
        <v>54</v>
      </c>
      <c r="E1732" s="91">
        <v>127</v>
      </c>
      <c r="F1732" s="91">
        <v>0</v>
      </c>
      <c r="G1732" s="126">
        <v>2.20399362968033e-7</v>
      </c>
      <c r="H1732" s="126">
        <f t="shared" si="82"/>
        <v>3144960</v>
      </c>
      <c r="I1732" s="126" t="str">
        <f t="shared" si="83"/>
        <v>0y 36d 9h 36m</v>
      </c>
    </row>
    <row r="1733" s="91" customFormat="1" spans="1:9">
      <c r="A1733" s="91" t="str">
        <f t="shared" si="81"/>
        <v>Xe-127m</v>
      </c>
      <c r="B1733" s="91" t="s">
        <v>2335</v>
      </c>
      <c r="C1733" s="91" t="s">
        <v>2316</v>
      </c>
      <c r="D1733" s="91">
        <v>54</v>
      </c>
      <c r="E1733" s="91">
        <v>127</v>
      </c>
      <c r="F1733" s="91">
        <v>1</v>
      </c>
      <c r="G1733" s="126">
        <v>0.0100165777537564</v>
      </c>
      <c r="H1733" s="126">
        <f t="shared" si="82"/>
        <v>69.2000000000002</v>
      </c>
      <c r="I1733" s="126" t="str">
        <f t="shared" si="83"/>
        <v>0y 0d 0h 1m</v>
      </c>
    </row>
    <row r="1734" s="91" customFormat="1" spans="1:9">
      <c r="A1734" s="91" t="str">
        <f t="shared" si="81"/>
        <v>Xe-128</v>
      </c>
      <c r="B1734" s="91" t="s">
        <v>2336</v>
      </c>
      <c r="C1734" s="91" t="s">
        <v>2316</v>
      </c>
      <c r="D1734" s="91">
        <v>54</v>
      </c>
      <c r="E1734" s="91">
        <v>128</v>
      </c>
      <c r="F1734" s="91">
        <v>0</v>
      </c>
      <c r="G1734" s="126">
        <v>0</v>
      </c>
      <c r="H1734" s="126">
        <f t="shared" si="82"/>
        <v>0</v>
      </c>
      <c r="I1734" s="126" t="str">
        <f t="shared" si="83"/>
        <v>0y 0d 0h 0m</v>
      </c>
    </row>
    <row r="1735" s="91" customFormat="1" spans="1:9">
      <c r="A1735" s="91" t="str">
        <f t="shared" si="81"/>
        <v>Xe-129</v>
      </c>
      <c r="B1735" s="91" t="s">
        <v>2337</v>
      </c>
      <c r="C1735" s="91" t="s">
        <v>2316</v>
      </c>
      <c r="D1735" s="91">
        <v>54</v>
      </c>
      <c r="E1735" s="91">
        <v>129</v>
      </c>
      <c r="F1735" s="91">
        <v>0</v>
      </c>
      <c r="G1735" s="126">
        <v>0</v>
      </c>
      <c r="H1735" s="126">
        <f t="shared" si="82"/>
        <v>0</v>
      </c>
      <c r="I1735" s="126" t="str">
        <f t="shared" si="83"/>
        <v>0y 0d 0h 0m</v>
      </c>
    </row>
    <row r="1736" s="91" customFormat="1" spans="1:9">
      <c r="A1736" s="91" t="str">
        <f t="shared" si="81"/>
        <v>Xe-129m</v>
      </c>
      <c r="B1736" s="91" t="s">
        <v>2338</v>
      </c>
      <c r="C1736" s="91" t="s">
        <v>2316</v>
      </c>
      <c r="D1736" s="91">
        <v>54</v>
      </c>
      <c r="E1736" s="91">
        <v>129</v>
      </c>
      <c r="F1736" s="91">
        <v>1</v>
      </c>
      <c r="G1736" s="126">
        <v>9.03438830184279e-7</v>
      </c>
      <c r="H1736" s="126">
        <f t="shared" si="82"/>
        <v>767232.000000001</v>
      </c>
      <c r="I1736" s="126" t="str">
        <f t="shared" si="83"/>
        <v>0y 8d 21h 7m</v>
      </c>
    </row>
    <row r="1737" s="91" customFormat="1" spans="1:9">
      <c r="A1737" s="91" t="str">
        <f t="shared" si="81"/>
        <v>Xe-130</v>
      </c>
      <c r="B1737" s="91" t="s">
        <v>2339</v>
      </c>
      <c r="C1737" s="91" t="s">
        <v>2316</v>
      </c>
      <c r="D1737" s="91">
        <v>54</v>
      </c>
      <c r="E1737" s="91">
        <v>130</v>
      </c>
      <c r="F1737" s="91">
        <v>0</v>
      </c>
      <c r="G1737" s="126">
        <v>0</v>
      </c>
      <c r="H1737" s="126">
        <f t="shared" si="82"/>
        <v>0</v>
      </c>
      <c r="I1737" s="126" t="str">
        <f t="shared" si="83"/>
        <v>0y 0d 0h 0m</v>
      </c>
    </row>
    <row r="1738" s="91" customFormat="1" spans="1:9">
      <c r="A1738" s="91" t="str">
        <f t="shared" si="81"/>
        <v>Xe-131</v>
      </c>
      <c r="B1738" s="91" t="s">
        <v>2340</v>
      </c>
      <c r="C1738" s="91" t="s">
        <v>2316</v>
      </c>
      <c r="D1738" s="91">
        <v>54</v>
      </c>
      <c r="E1738" s="91">
        <v>131</v>
      </c>
      <c r="F1738" s="91">
        <v>0</v>
      </c>
      <c r="G1738" s="126">
        <v>0</v>
      </c>
      <c r="H1738" s="126">
        <f t="shared" si="82"/>
        <v>0</v>
      </c>
      <c r="I1738" s="126" t="str">
        <f t="shared" si="83"/>
        <v>0y 0d 0h 0m</v>
      </c>
    </row>
    <row r="1739" s="91" customFormat="1" spans="1:9">
      <c r="A1739" s="91" t="str">
        <f t="shared" si="81"/>
        <v>Xe-131m</v>
      </c>
      <c r="B1739" s="91" t="s">
        <v>2341</v>
      </c>
      <c r="C1739" s="91" t="s">
        <v>2316</v>
      </c>
      <c r="D1739" s="91">
        <v>54</v>
      </c>
      <c r="E1739" s="91">
        <v>131</v>
      </c>
      <c r="F1739" s="91">
        <v>1</v>
      </c>
      <c r="G1739" s="126">
        <v>6.77579122638209e-7</v>
      </c>
      <c r="H1739" s="126">
        <f t="shared" si="82"/>
        <v>1022976</v>
      </c>
      <c r="I1739" s="126" t="str">
        <f t="shared" si="83"/>
        <v>0y 11d 20h 9m</v>
      </c>
    </row>
    <row r="1740" s="91" customFormat="1" spans="1:9">
      <c r="A1740" s="91" t="str">
        <f t="shared" si="81"/>
        <v>Xe-132</v>
      </c>
      <c r="B1740" s="91" t="s">
        <v>2342</v>
      </c>
      <c r="C1740" s="91" t="s">
        <v>2316</v>
      </c>
      <c r="D1740" s="91">
        <v>54</v>
      </c>
      <c r="E1740" s="91">
        <v>132</v>
      </c>
      <c r="F1740" s="91">
        <v>0</v>
      </c>
      <c r="G1740" s="126">
        <v>0</v>
      </c>
      <c r="H1740" s="126">
        <f t="shared" si="82"/>
        <v>0</v>
      </c>
      <c r="I1740" s="126" t="str">
        <f t="shared" si="83"/>
        <v>0y 0d 0h 0m</v>
      </c>
    </row>
    <row r="1741" s="91" customFormat="1" spans="1:9">
      <c r="A1741" s="91" t="str">
        <f t="shared" si="81"/>
        <v>Xe-132m</v>
      </c>
      <c r="B1741" s="91" t="s">
        <v>2343</v>
      </c>
      <c r="C1741" s="91" t="s">
        <v>2316</v>
      </c>
      <c r="D1741" s="91">
        <v>54</v>
      </c>
      <c r="E1741" s="91">
        <v>132</v>
      </c>
      <c r="F1741" s="91">
        <v>1</v>
      </c>
      <c r="G1741" s="126">
        <v>82.6158737258576</v>
      </c>
      <c r="H1741" s="126">
        <f t="shared" si="82"/>
        <v>0.00839</v>
      </c>
      <c r="I1741" s="126" t="str">
        <f t="shared" si="83"/>
        <v>0y 0d 0h 0m</v>
      </c>
    </row>
    <row r="1742" s="91" customFormat="1" spans="1:9">
      <c r="A1742" s="91" t="str">
        <f t="shared" si="81"/>
        <v>Xe-133</v>
      </c>
      <c r="B1742" s="91" t="s">
        <v>2344</v>
      </c>
      <c r="C1742" s="91" t="s">
        <v>2316</v>
      </c>
      <c r="D1742" s="91">
        <v>54</v>
      </c>
      <c r="E1742" s="91">
        <v>133</v>
      </c>
      <c r="F1742" s="91">
        <v>0</v>
      </c>
      <c r="G1742" s="126">
        <v>1.53014243983147e-6</v>
      </c>
      <c r="H1742" s="126">
        <f t="shared" si="82"/>
        <v>452995.2</v>
      </c>
      <c r="I1742" s="126" t="str">
        <f t="shared" si="83"/>
        <v>0y 5d 5h 49m</v>
      </c>
    </row>
    <row r="1743" s="91" customFormat="1" spans="1:9">
      <c r="A1743" s="91" t="str">
        <f t="shared" si="81"/>
        <v>Xe-133m</v>
      </c>
      <c r="B1743" s="91" t="s">
        <v>2345</v>
      </c>
      <c r="C1743" s="91" t="s">
        <v>2316</v>
      </c>
      <c r="D1743" s="91">
        <v>54</v>
      </c>
      <c r="E1743" s="91">
        <v>133</v>
      </c>
      <c r="F1743" s="91">
        <v>1</v>
      </c>
      <c r="G1743" s="126">
        <v>3.66325881828146e-6</v>
      </c>
      <c r="H1743" s="126">
        <f t="shared" si="82"/>
        <v>189216</v>
      </c>
      <c r="I1743" s="126" t="str">
        <f t="shared" si="83"/>
        <v>0y 2d 4h 33m</v>
      </c>
    </row>
    <row r="1744" s="91" customFormat="1" spans="1:9">
      <c r="A1744" s="91" t="str">
        <f t="shared" si="81"/>
        <v>Xe-134</v>
      </c>
      <c r="B1744" s="91" t="s">
        <v>2346</v>
      </c>
      <c r="C1744" s="91" t="s">
        <v>2316</v>
      </c>
      <c r="D1744" s="91">
        <v>54</v>
      </c>
      <c r="E1744" s="91">
        <v>134</v>
      </c>
      <c r="F1744" s="91">
        <v>0</v>
      </c>
      <c r="G1744" s="126">
        <v>0</v>
      </c>
      <c r="H1744" s="126">
        <f t="shared" si="82"/>
        <v>0</v>
      </c>
      <c r="I1744" s="126" t="str">
        <f t="shared" si="83"/>
        <v>0y 0d 0h 0m</v>
      </c>
    </row>
    <row r="1745" s="91" customFormat="1" spans="1:9">
      <c r="A1745" s="91" t="str">
        <f t="shared" si="81"/>
        <v>Xe-134m</v>
      </c>
      <c r="B1745" s="91" t="s">
        <v>2347</v>
      </c>
      <c r="C1745" s="91" t="s">
        <v>2316</v>
      </c>
      <c r="D1745" s="91">
        <v>54</v>
      </c>
      <c r="E1745" s="91">
        <v>134</v>
      </c>
      <c r="F1745" s="91">
        <v>1</v>
      </c>
      <c r="G1745" s="126">
        <v>2.39016269158601</v>
      </c>
      <c r="H1745" s="126">
        <f t="shared" si="82"/>
        <v>0.290000000000001</v>
      </c>
      <c r="I1745" s="126" t="str">
        <f t="shared" si="83"/>
        <v>0y 0d 0h 0m</v>
      </c>
    </row>
    <row r="1746" s="91" customFormat="1" spans="1:9">
      <c r="A1746" s="91" t="str">
        <f t="shared" si="81"/>
        <v>Xe-135</v>
      </c>
      <c r="B1746" s="91" t="s">
        <v>2348</v>
      </c>
      <c r="C1746" s="91" t="s">
        <v>2316</v>
      </c>
      <c r="D1746" s="91">
        <v>54</v>
      </c>
      <c r="E1746" s="91">
        <v>135</v>
      </c>
      <c r="F1746" s="91">
        <v>0</v>
      </c>
      <c r="G1746" s="126">
        <v>2.10657421760255e-5</v>
      </c>
      <c r="H1746" s="126">
        <f t="shared" si="82"/>
        <v>32904.0000000001</v>
      </c>
      <c r="I1746" s="126" t="str">
        <f t="shared" si="83"/>
        <v>0y 0d 9h 8m</v>
      </c>
    </row>
    <row r="1747" s="91" customFormat="1" spans="1:9">
      <c r="A1747" s="91" t="str">
        <f t="shared" si="81"/>
        <v>Xe-135m</v>
      </c>
      <c r="B1747" s="91" t="s">
        <v>2349</v>
      </c>
      <c r="C1747" s="91" t="s">
        <v>2316</v>
      </c>
      <c r="D1747" s="91">
        <v>54</v>
      </c>
      <c r="E1747" s="91">
        <v>135</v>
      </c>
      <c r="F1747" s="91">
        <v>1</v>
      </c>
      <c r="G1747" s="126">
        <v>0.000755556115718274</v>
      </c>
      <c r="H1747" s="126">
        <f t="shared" si="82"/>
        <v>917.400000000001</v>
      </c>
      <c r="I1747" s="126" t="str">
        <f t="shared" si="83"/>
        <v>0y 0d 0h 15m</v>
      </c>
    </row>
    <row r="1748" s="91" customFormat="1" spans="1:9">
      <c r="A1748" s="91" t="str">
        <f t="shared" si="81"/>
        <v>Xe-136</v>
      </c>
      <c r="B1748" s="91" t="s">
        <v>2350</v>
      </c>
      <c r="C1748" s="91" t="s">
        <v>2316</v>
      </c>
      <c r="D1748" s="91">
        <v>54</v>
      </c>
      <c r="E1748" s="91">
        <v>136</v>
      </c>
      <c r="F1748" s="91">
        <v>0</v>
      </c>
      <c r="G1748" s="126">
        <v>0</v>
      </c>
      <c r="H1748" s="126">
        <f t="shared" si="82"/>
        <v>0</v>
      </c>
      <c r="I1748" s="126" t="str">
        <f t="shared" si="83"/>
        <v>0y 0d 0h 0m</v>
      </c>
    </row>
    <row r="1749" s="91" customFormat="1" spans="1:9">
      <c r="A1749" s="91" t="str">
        <f t="shared" si="81"/>
        <v>Xe-137</v>
      </c>
      <c r="B1749" s="91" t="s">
        <v>2351</v>
      </c>
      <c r="C1749" s="91" t="s">
        <v>2316</v>
      </c>
      <c r="D1749" s="91">
        <v>54</v>
      </c>
      <c r="E1749" s="91">
        <v>137</v>
      </c>
      <c r="F1749" s="91">
        <v>0</v>
      </c>
      <c r="G1749" s="126">
        <v>0.00302578653989848</v>
      </c>
      <c r="H1749" s="126">
        <f t="shared" si="82"/>
        <v>229.08</v>
      </c>
      <c r="I1749" s="126" t="str">
        <f t="shared" si="83"/>
        <v>0y 0d 0h 3m</v>
      </c>
    </row>
    <row r="1750" s="91" customFormat="1" spans="1:9">
      <c r="A1750" s="91" t="str">
        <f t="shared" si="81"/>
        <v>Xe-138</v>
      </c>
      <c r="B1750" s="91" t="s">
        <v>2352</v>
      </c>
      <c r="C1750" s="91" t="s">
        <v>2316</v>
      </c>
      <c r="D1750" s="91">
        <v>54</v>
      </c>
      <c r="E1750" s="91">
        <v>138</v>
      </c>
      <c r="F1750" s="91">
        <v>0</v>
      </c>
      <c r="G1750" s="126">
        <v>0.000820486719412814</v>
      </c>
      <c r="H1750" s="126">
        <f t="shared" si="82"/>
        <v>844.8</v>
      </c>
      <c r="I1750" s="126" t="str">
        <f t="shared" si="83"/>
        <v>0y 0d 0h 14m</v>
      </c>
    </row>
    <row r="1751" s="91" customFormat="1" spans="1:9">
      <c r="A1751" s="91" t="str">
        <f t="shared" si="81"/>
        <v>Xe-139</v>
      </c>
      <c r="B1751" s="91" t="s">
        <v>2353</v>
      </c>
      <c r="C1751" s="91" t="s">
        <v>2316</v>
      </c>
      <c r="D1751" s="91">
        <v>54</v>
      </c>
      <c r="E1751" s="91">
        <v>139</v>
      </c>
      <c r="F1751" s="91">
        <v>0</v>
      </c>
      <c r="G1751" s="126">
        <v>0.0174684269294341</v>
      </c>
      <c r="H1751" s="126">
        <f t="shared" si="82"/>
        <v>39.68</v>
      </c>
      <c r="I1751" s="126" t="str">
        <f t="shared" si="83"/>
        <v>0y 0d 0h 0m</v>
      </c>
    </row>
    <row r="1752" s="91" customFormat="1" spans="1:9">
      <c r="A1752" s="91" t="str">
        <f t="shared" si="81"/>
        <v>Xe-140</v>
      </c>
      <c r="B1752" s="91" t="s">
        <v>2354</v>
      </c>
      <c r="C1752" s="91" t="s">
        <v>2316</v>
      </c>
      <c r="D1752" s="91">
        <v>54</v>
      </c>
      <c r="E1752" s="91">
        <v>140</v>
      </c>
      <c r="F1752" s="91">
        <v>0</v>
      </c>
      <c r="G1752" s="126">
        <v>0.0509667044529371</v>
      </c>
      <c r="H1752" s="126">
        <f t="shared" si="82"/>
        <v>13.6</v>
      </c>
      <c r="I1752" s="126" t="str">
        <f t="shared" si="83"/>
        <v>0y 0d 0h 0m</v>
      </c>
    </row>
    <row r="1753" s="91" customFormat="1" spans="1:9">
      <c r="A1753" s="91" t="str">
        <f t="shared" si="81"/>
        <v>Xe-141</v>
      </c>
      <c r="B1753" s="91" t="s">
        <v>2355</v>
      </c>
      <c r="C1753" s="91" t="s">
        <v>2316</v>
      </c>
      <c r="D1753" s="91">
        <v>54</v>
      </c>
      <c r="E1753" s="91">
        <v>141</v>
      </c>
      <c r="F1753" s="91">
        <v>0</v>
      </c>
      <c r="G1753" s="126">
        <v>0.400663110150257</v>
      </c>
      <c r="H1753" s="126">
        <f t="shared" si="82"/>
        <v>1.73</v>
      </c>
      <c r="I1753" s="126" t="str">
        <f t="shared" si="83"/>
        <v>0y 0d 0h 0m</v>
      </c>
    </row>
    <row r="1754" s="91" customFormat="1" spans="1:9">
      <c r="A1754" s="91" t="str">
        <f t="shared" si="81"/>
        <v>Xe-142</v>
      </c>
      <c r="B1754" s="91" t="s">
        <v>2356</v>
      </c>
      <c r="C1754" s="91" t="s">
        <v>2316</v>
      </c>
      <c r="D1754" s="91">
        <v>54</v>
      </c>
      <c r="E1754" s="91">
        <v>142</v>
      </c>
      <c r="F1754" s="91">
        <v>0</v>
      </c>
      <c r="G1754" s="126">
        <v>0.563534293138166</v>
      </c>
      <c r="H1754" s="126">
        <f t="shared" si="82"/>
        <v>1.23</v>
      </c>
      <c r="I1754" s="126" t="str">
        <f t="shared" si="83"/>
        <v>0y 0d 0h 0m</v>
      </c>
    </row>
    <row r="1755" s="91" customFormat="1" spans="1:9">
      <c r="A1755" s="91" t="str">
        <f t="shared" si="81"/>
        <v>Xe-143</v>
      </c>
      <c r="B1755" s="91" t="s">
        <v>2357</v>
      </c>
      <c r="C1755" s="91" t="s">
        <v>2316</v>
      </c>
      <c r="D1755" s="91">
        <v>54</v>
      </c>
      <c r="E1755" s="91">
        <v>143</v>
      </c>
      <c r="F1755" s="91">
        <v>0</v>
      </c>
      <c r="G1755" s="126">
        <v>2.31049060186648</v>
      </c>
      <c r="H1755" s="126">
        <f t="shared" si="82"/>
        <v>0.300000000000001</v>
      </c>
      <c r="I1755" s="126" t="str">
        <f t="shared" si="83"/>
        <v>0y 0d 0h 0m</v>
      </c>
    </row>
    <row r="1756" s="91" customFormat="1" spans="1:9">
      <c r="A1756" s="91" t="str">
        <f t="shared" si="81"/>
        <v>Xe-144</v>
      </c>
      <c r="B1756" s="91" t="s">
        <v>2358</v>
      </c>
      <c r="C1756" s="91" t="s">
        <v>2316</v>
      </c>
      <c r="D1756" s="91">
        <v>54</v>
      </c>
      <c r="E1756" s="91">
        <v>144</v>
      </c>
      <c r="F1756" s="91">
        <v>0</v>
      </c>
      <c r="G1756" s="126">
        <v>0.602736678747778</v>
      </c>
      <c r="H1756" s="126">
        <f t="shared" si="82"/>
        <v>1.15</v>
      </c>
      <c r="I1756" s="126" t="str">
        <f t="shared" si="83"/>
        <v>0y 0d 0h 0m</v>
      </c>
    </row>
    <row r="1757" s="91" customFormat="1" spans="1:9">
      <c r="A1757" s="91" t="str">
        <f t="shared" si="81"/>
        <v>Xe-145</v>
      </c>
      <c r="B1757" s="91" t="s">
        <v>2359</v>
      </c>
      <c r="C1757" s="91" t="s">
        <v>2316</v>
      </c>
      <c r="D1757" s="91">
        <v>54</v>
      </c>
      <c r="E1757" s="91">
        <v>145</v>
      </c>
      <c r="F1757" s="91">
        <v>0</v>
      </c>
      <c r="G1757" s="126">
        <v>3.68695308808481</v>
      </c>
      <c r="H1757" s="126">
        <f t="shared" si="82"/>
        <v>0.188</v>
      </c>
      <c r="I1757" s="126" t="str">
        <f t="shared" si="83"/>
        <v>0y 0d 0h 0m</v>
      </c>
    </row>
    <row r="1758" s="91" customFormat="1" spans="1:9">
      <c r="A1758" s="91" t="str">
        <f t="shared" si="81"/>
        <v>Xe-146</v>
      </c>
      <c r="B1758" s="91" t="s">
        <v>2360</v>
      </c>
      <c r="C1758" s="91" t="s">
        <v>2316</v>
      </c>
      <c r="D1758" s="91">
        <v>54</v>
      </c>
      <c r="E1758" s="91">
        <v>146</v>
      </c>
      <c r="F1758" s="91">
        <v>0</v>
      </c>
      <c r="G1758" s="126">
        <v>1.87844764379388</v>
      </c>
      <c r="H1758" s="126">
        <f t="shared" si="82"/>
        <v>0.369000000000002</v>
      </c>
      <c r="I1758" s="126" t="str">
        <f t="shared" si="83"/>
        <v>0y 0d 0h 0m</v>
      </c>
    </row>
    <row r="1759" s="91" customFormat="1" spans="1:9">
      <c r="A1759" s="91" t="str">
        <f t="shared" si="81"/>
        <v>Xe-147</v>
      </c>
      <c r="B1759" s="91" t="s">
        <v>2361</v>
      </c>
      <c r="C1759" s="91" t="s">
        <v>2316</v>
      </c>
      <c r="D1759" s="91">
        <v>54</v>
      </c>
      <c r="E1759" s="91">
        <v>147</v>
      </c>
      <c r="F1759" s="91">
        <v>0</v>
      </c>
      <c r="G1759" s="126">
        <v>6.93147180559945</v>
      </c>
      <c r="H1759" s="126">
        <f t="shared" si="82"/>
        <v>0.1</v>
      </c>
      <c r="I1759" s="126" t="str">
        <f t="shared" si="83"/>
        <v>0y 0d 0h 0m</v>
      </c>
    </row>
    <row r="1760" s="91" customFormat="1" spans="1:9">
      <c r="A1760" s="91" t="str">
        <f t="shared" si="81"/>
        <v>Cs-112</v>
      </c>
      <c r="B1760" s="91" t="s">
        <v>2362</v>
      </c>
      <c r="C1760" s="91" t="s">
        <v>2363</v>
      </c>
      <c r="D1760" s="91">
        <v>55</v>
      </c>
      <c r="E1760" s="91">
        <v>112</v>
      </c>
      <c r="F1760" s="91">
        <v>0</v>
      </c>
      <c r="G1760" s="126">
        <v>1386.29436111989</v>
      </c>
      <c r="H1760" s="126">
        <f t="shared" si="82"/>
        <v>0.0005</v>
      </c>
      <c r="I1760" s="126" t="str">
        <f t="shared" si="83"/>
        <v>0y 0d 0h 0m</v>
      </c>
    </row>
    <row r="1761" s="91" customFormat="1" spans="1:9">
      <c r="A1761" s="91" t="str">
        <f t="shared" si="81"/>
        <v>Cs-113</v>
      </c>
      <c r="B1761" s="91" t="s">
        <v>2364</v>
      </c>
      <c r="C1761" s="91" t="s">
        <v>2363</v>
      </c>
      <c r="D1761" s="91">
        <v>55</v>
      </c>
      <c r="E1761" s="91">
        <v>113</v>
      </c>
      <c r="F1761" s="91">
        <v>0</v>
      </c>
      <c r="G1761" s="126">
        <v>41505.8191952063</v>
      </c>
      <c r="H1761" s="126">
        <f t="shared" si="82"/>
        <v>1.67e-5</v>
      </c>
      <c r="I1761" s="126" t="str">
        <f t="shared" si="83"/>
        <v>0y 0d 0h 0m</v>
      </c>
    </row>
    <row r="1762" s="91" customFormat="1" spans="1:9">
      <c r="A1762" s="91" t="str">
        <f t="shared" si="81"/>
        <v>Cs-114</v>
      </c>
      <c r="B1762" s="91" t="s">
        <v>2365</v>
      </c>
      <c r="C1762" s="91" t="s">
        <v>2363</v>
      </c>
      <c r="D1762" s="91">
        <v>55</v>
      </c>
      <c r="E1762" s="91">
        <v>114</v>
      </c>
      <c r="F1762" s="91">
        <v>0</v>
      </c>
      <c r="G1762" s="126">
        <v>1.21604768519288</v>
      </c>
      <c r="H1762" s="126">
        <f t="shared" si="82"/>
        <v>0.570000000000003</v>
      </c>
      <c r="I1762" s="126" t="str">
        <f t="shared" si="83"/>
        <v>0y 0d 0h 0m</v>
      </c>
    </row>
    <row r="1763" s="91" customFormat="1" spans="1:9">
      <c r="A1763" s="91" t="str">
        <f t="shared" si="81"/>
        <v>Cs-115</v>
      </c>
      <c r="B1763" s="91" t="s">
        <v>2366</v>
      </c>
      <c r="C1763" s="91" t="s">
        <v>2363</v>
      </c>
      <c r="D1763" s="91">
        <v>55</v>
      </c>
      <c r="E1763" s="91">
        <v>115</v>
      </c>
      <c r="F1763" s="91">
        <v>0</v>
      </c>
      <c r="G1763" s="126">
        <v>0.495105128971389</v>
      </c>
      <c r="H1763" s="126">
        <f t="shared" si="82"/>
        <v>1.4</v>
      </c>
      <c r="I1763" s="126" t="str">
        <f t="shared" si="83"/>
        <v>0y 0d 0h 0m</v>
      </c>
    </row>
    <row r="1764" s="91" customFormat="1" spans="1:9">
      <c r="A1764" s="91" t="str">
        <f t="shared" si="81"/>
        <v>Cs-116</v>
      </c>
      <c r="B1764" s="91" t="s">
        <v>2367</v>
      </c>
      <c r="C1764" s="91" t="s">
        <v>2363</v>
      </c>
      <c r="D1764" s="91">
        <v>55</v>
      </c>
      <c r="E1764" s="91">
        <v>116</v>
      </c>
      <c r="F1764" s="91">
        <v>0</v>
      </c>
      <c r="G1764" s="126">
        <v>0.990210257942779</v>
      </c>
      <c r="H1764" s="126">
        <f t="shared" si="82"/>
        <v>0.7</v>
      </c>
      <c r="I1764" s="126" t="str">
        <f t="shared" si="83"/>
        <v>0y 0d 0h 0m</v>
      </c>
    </row>
    <row r="1765" s="91" customFormat="1" spans="1:9">
      <c r="A1765" s="91" t="str">
        <f t="shared" si="81"/>
        <v>Cs-116m</v>
      </c>
      <c r="B1765" s="91" t="s">
        <v>2368</v>
      </c>
      <c r="C1765" s="91" t="s">
        <v>2363</v>
      </c>
      <c r="D1765" s="91">
        <v>55</v>
      </c>
      <c r="E1765" s="91">
        <v>116</v>
      </c>
      <c r="F1765" s="91">
        <v>1</v>
      </c>
      <c r="G1765" s="126">
        <v>0.180038228716868</v>
      </c>
      <c r="H1765" s="126">
        <f t="shared" si="82"/>
        <v>3.85000000000002</v>
      </c>
      <c r="I1765" s="126" t="str">
        <f t="shared" si="83"/>
        <v>0y 0d 0h 0m</v>
      </c>
    </row>
    <row r="1766" s="91" customFormat="1" spans="1:9">
      <c r="A1766" s="91" t="str">
        <f t="shared" si="81"/>
        <v>Cs-117</v>
      </c>
      <c r="B1766" s="91" t="s">
        <v>2369</v>
      </c>
      <c r="C1766" s="91" t="s">
        <v>2363</v>
      </c>
      <c r="D1766" s="91">
        <v>55</v>
      </c>
      <c r="E1766" s="91">
        <v>117</v>
      </c>
      <c r="F1766" s="91">
        <v>0</v>
      </c>
      <c r="G1766" s="126">
        <v>0.0825175214952315</v>
      </c>
      <c r="H1766" s="126">
        <f t="shared" si="82"/>
        <v>8.40000000000001</v>
      </c>
      <c r="I1766" s="126" t="str">
        <f t="shared" si="83"/>
        <v>0y 0d 0h 0m</v>
      </c>
    </row>
    <row r="1767" s="91" customFormat="1" spans="1:9">
      <c r="A1767" s="91" t="str">
        <f t="shared" si="81"/>
        <v>Cs-117m</v>
      </c>
      <c r="B1767" s="91" t="s">
        <v>2370</v>
      </c>
      <c r="C1767" s="91" t="s">
        <v>2363</v>
      </c>
      <c r="D1767" s="91">
        <v>55</v>
      </c>
      <c r="E1767" s="91">
        <v>117</v>
      </c>
      <c r="F1767" s="91">
        <v>1</v>
      </c>
      <c r="G1767" s="126">
        <v>0.106638027778453</v>
      </c>
      <c r="H1767" s="126">
        <f t="shared" si="82"/>
        <v>6.50000000000001</v>
      </c>
      <c r="I1767" s="126" t="str">
        <f t="shared" si="83"/>
        <v>0y 0d 0h 0m</v>
      </c>
    </row>
    <row r="1768" s="91" customFormat="1" spans="1:9">
      <c r="A1768" s="91" t="str">
        <f t="shared" si="81"/>
        <v>Cs-118</v>
      </c>
      <c r="B1768" s="91" t="s">
        <v>2371</v>
      </c>
      <c r="C1768" s="91" t="s">
        <v>2363</v>
      </c>
      <c r="D1768" s="91">
        <v>55</v>
      </c>
      <c r="E1768" s="91">
        <v>118</v>
      </c>
      <c r="F1768" s="91">
        <v>0</v>
      </c>
      <c r="G1768" s="126">
        <v>0.0495105128971389</v>
      </c>
      <c r="H1768" s="126">
        <f t="shared" si="82"/>
        <v>14</v>
      </c>
      <c r="I1768" s="126" t="str">
        <f t="shared" si="83"/>
        <v>0y 0d 0h 0m</v>
      </c>
    </row>
    <row r="1769" s="91" customFormat="1" spans="1:9">
      <c r="A1769" s="91" t="str">
        <f t="shared" si="81"/>
        <v>Cs-118m</v>
      </c>
      <c r="B1769" s="91" t="s">
        <v>2372</v>
      </c>
      <c r="C1769" s="91" t="s">
        <v>2363</v>
      </c>
      <c r="D1769" s="91">
        <v>55</v>
      </c>
      <c r="E1769" s="91">
        <v>118</v>
      </c>
      <c r="F1769" s="91">
        <v>1</v>
      </c>
      <c r="G1769" s="126">
        <v>0.0407733635623497</v>
      </c>
      <c r="H1769" s="126">
        <f t="shared" si="82"/>
        <v>17</v>
      </c>
      <c r="I1769" s="126" t="str">
        <f t="shared" si="83"/>
        <v>0y 0d 0h 0m</v>
      </c>
    </row>
    <row r="1770" s="91" customFormat="1" spans="1:9">
      <c r="A1770" s="91" t="str">
        <f t="shared" si="81"/>
        <v>Cs-119</v>
      </c>
      <c r="B1770" s="91" t="s">
        <v>2373</v>
      </c>
      <c r="C1770" s="91" t="s">
        <v>2363</v>
      </c>
      <c r="D1770" s="91">
        <v>55</v>
      </c>
      <c r="E1770" s="91">
        <v>119</v>
      </c>
      <c r="F1770" s="91">
        <v>0</v>
      </c>
      <c r="G1770" s="126">
        <v>0.0161197018734871</v>
      </c>
      <c r="H1770" s="126">
        <f t="shared" si="82"/>
        <v>43</v>
      </c>
      <c r="I1770" s="126" t="str">
        <f t="shared" si="83"/>
        <v>0y 0d 0h 0m</v>
      </c>
    </row>
    <row r="1771" s="91" customFormat="1" spans="1:9">
      <c r="A1771" s="91" t="str">
        <f t="shared" si="81"/>
        <v>Cs-119m</v>
      </c>
      <c r="B1771" s="91" t="s">
        <v>2374</v>
      </c>
      <c r="C1771" s="91" t="s">
        <v>2363</v>
      </c>
      <c r="D1771" s="91">
        <v>55</v>
      </c>
      <c r="E1771" s="91">
        <v>119</v>
      </c>
      <c r="F1771" s="91">
        <v>1</v>
      </c>
      <c r="G1771" s="126">
        <v>0.0228008940973666</v>
      </c>
      <c r="H1771" s="126">
        <f t="shared" si="82"/>
        <v>30.4</v>
      </c>
      <c r="I1771" s="126" t="str">
        <f t="shared" si="83"/>
        <v>0y 0d 0h 0m</v>
      </c>
    </row>
    <row r="1772" s="91" customFormat="1" spans="1:9">
      <c r="A1772" s="91" t="str">
        <f t="shared" si="81"/>
        <v>Cs-120</v>
      </c>
      <c r="B1772" s="91" t="s">
        <v>2375</v>
      </c>
      <c r="C1772" s="91" t="s">
        <v>2363</v>
      </c>
      <c r="D1772" s="91">
        <v>55</v>
      </c>
      <c r="E1772" s="91">
        <v>120</v>
      </c>
      <c r="F1772" s="91">
        <v>0</v>
      </c>
      <c r="G1772" s="126">
        <v>0.0113074580841752</v>
      </c>
      <c r="H1772" s="126">
        <f t="shared" si="82"/>
        <v>61.3000000000005</v>
      </c>
      <c r="I1772" s="126" t="str">
        <f t="shared" si="83"/>
        <v>0y 0d 0h 1m</v>
      </c>
    </row>
    <row r="1773" s="91" customFormat="1" spans="1:9">
      <c r="A1773" s="91" t="str">
        <f t="shared" si="81"/>
        <v>Cs-120m</v>
      </c>
      <c r="B1773" s="91" t="s">
        <v>2376</v>
      </c>
      <c r="C1773" s="91" t="s">
        <v>2363</v>
      </c>
      <c r="D1773" s="91">
        <v>55</v>
      </c>
      <c r="E1773" s="91">
        <v>120</v>
      </c>
      <c r="F1773" s="91">
        <v>1</v>
      </c>
      <c r="G1773" s="126">
        <v>0.0121604768519288</v>
      </c>
      <c r="H1773" s="126">
        <f t="shared" si="82"/>
        <v>57.0000000000003</v>
      </c>
      <c r="I1773" s="126" t="str">
        <f t="shared" si="83"/>
        <v>0y 0d 0h 0m</v>
      </c>
    </row>
    <row r="1774" s="91" customFormat="1" spans="1:9">
      <c r="A1774" s="91" t="str">
        <f t="shared" si="81"/>
        <v>Cs-121</v>
      </c>
      <c r="B1774" s="91" t="s">
        <v>2377</v>
      </c>
      <c r="C1774" s="91" t="s">
        <v>2363</v>
      </c>
      <c r="D1774" s="91">
        <v>55</v>
      </c>
      <c r="E1774" s="91">
        <v>121</v>
      </c>
      <c r="F1774" s="91">
        <v>0</v>
      </c>
      <c r="G1774" s="126">
        <v>0.00447191729393513</v>
      </c>
      <c r="H1774" s="126">
        <f t="shared" si="82"/>
        <v>155</v>
      </c>
      <c r="I1774" s="126" t="str">
        <f t="shared" si="83"/>
        <v>0y 0d 0h 2m</v>
      </c>
    </row>
    <row r="1775" s="91" customFormat="1" spans="1:9">
      <c r="A1775" s="91" t="str">
        <f t="shared" si="81"/>
        <v>Cs-121m</v>
      </c>
      <c r="B1775" s="91" t="s">
        <v>2378</v>
      </c>
      <c r="C1775" s="91" t="s">
        <v>2363</v>
      </c>
      <c r="D1775" s="91">
        <v>55</v>
      </c>
      <c r="E1775" s="91">
        <v>121</v>
      </c>
      <c r="F1775" s="91">
        <v>1</v>
      </c>
      <c r="G1775" s="126">
        <v>0.00568153426688479</v>
      </c>
      <c r="H1775" s="126">
        <f t="shared" si="82"/>
        <v>122</v>
      </c>
      <c r="I1775" s="126" t="str">
        <f t="shared" si="83"/>
        <v>0y 0d 0h 2m</v>
      </c>
    </row>
    <row r="1776" s="91" customFormat="1" spans="1:9">
      <c r="A1776" s="91" t="str">
        <f t="shared" si="81"/>
        <v>Cs-122</v>
      </c>
      <c r="B1776" s="91" t="s">
        <v>2379</v>
      </c>
      <c r="C1776" s="91" t="s">
        <v>2363</v>
      </c>
      <c r="D1776" s="91">
        <v>55</v>
      </c>
      <c r="E1776" s="91">
        <v>122</v>
      </c>
      <c r="F1776" s="91">
        <v>0</v>
      </c>
      <c r="G1776" s="126">
        <v>0.0327264957771456</v>
      </c>
      <c r="H1776" s="126">
        <f t="shared" si="82"/>
        <v>21.18</v>
      </c>
      <c r="I1776" s="126" t="str">
        <f t="shared" si="83"/>
        <v>0y 0d 0h 0m</v>
      </c>
    </row>
    <row r="1777" s="91" customFormat="1" spans="1:9">
      <c r="A1777" s="91" t="str">
        <f t="shared" si="81"/>
        <v>Cs-122m</v>
      </c>
      <c r="B1777" s="91" t="s">
        <v>2380</v>
      </c>
      <c r="C1777" s="91" t="s">
        <v>2363</v>
      </c>
      <c r="D1777" s="91">
        <v>55</v>
      </c>
      <c r="E1777" s="91">
        <v>122</v>
      </c>
      <c r="F1777" s="91">
        <v>1</v>
      </c>
      <c r="G1777" s="126">
        <v>1.92540883488873</v>
      </c>
      <c r="H1777" s="126">
        <f t="shared" si="82"/>
        <v>0.360000000000001</v>
      </c>
      <c r="I1777" s="126" t="str">
        <f t="shared" si="83"/>
        <v>0y 0d 0h 0m</v>
      </c>
    </row>
    <row r="1778" s="91" customFormat="1" spans="1:9">
      <c r="A1778" s="91" t="str">
        <f t="shared" si="81"/>
        <v>Cs-122m2</v>
      </c>
      <c r="B1778" s="91" t="s">
        <v>2381</v>
      </c>
      <c r="C1778" s="91" t="s">
        <v>2363</v>
      </c>
      <c r="D1778" s="91">
        <v>55</v>
      </c>
      <c r="E1778" s="91">
        <v>122</v>
      </c>
      <c r="F1778" s="91">
        <v>2</v>
      </c>
      <c r="G1778" s="126">
        <v>0.00312228459711687</v>
      </c>
      <c r="H1778" s="126">
        <f t="shared" si="82"/>
        <v>222</v>
      </c>
      <c r="I1778" s="126" t="str">
        <f t="shared" si="83"/>
        <v>0y 0d 0h 3m</v>
      </c>
    </row>
    <row r="1779" s="91" customFormat="1" spans="1:9">
      <c r="A1779" s="91" t="str">
        <f t="shared" si="81"/>
        <v>Cs-123</v>
      </c>
      <c r="B1779" s="91" t="s">
        <v>2382</v>
      </c>
      <c r="C1779" s="91" t="s">
        <v>2363</v>
      </c>
      <c r="D1779" s="91">
        <v>55</v>
      </c>
      <c r="E1779" s="91">
        <v>123</v>
      </c>
      <c r="F1779" s="91">
        <v>0</v>
      </c>
      <c r="G1779" s="126">
        <v>0.0019647028927436</v>
      </c>
      <c r="H1779" s="126">
        <f t="shared" si="82"/>
        <v>352.800000000002</v>
      </c>
      <c r="I1779" s="126" t="str">
        <f t="shared" si="83"/>
        <v>0y 0d 0h 5m</v>
      </c>
    </row>
    <row r="1780" s="91" customFormat="1" spans="1:9">
      <c r="A1780" s="91" t="str">
        <f t="shared" si="81"/>
        <v>Cs-123m</v>
      </c>
      <c r="B1780" s="91" t="s">
        <v>2383</v>
      </c>
      <c r="C1780" s="91" t="s">
        <v>2363</v>
      </c>
      <c r="D1780" s="91">
        <v>55</v>
      </c>
      <c r="E1780" s="91">
        <v>123</v>
      </c>
      <c r="F1780" s="91">
        <v>1</v>
      </c>
      <c r="G1780" s="126">
        <v>0.422650719853625</v>
      </c>
      <c r="H1780" s="126">
        <f t="shared" si="82"/>
        <v>1.64</v>
      </c>
      <c r="I1780" s="126" t="str">
        <f t="shared" si="83"/>
        <v>0y 0d 0h 0m</v>
      </c>
    </row>
    <row r="1781" s="91" customFormat="1" spans="1:9">
      <c r="A1781" s="91" t="str">
        <f t="shared" si="81"/>
        <v>Cs-124</v>
      </c>
      <c r="B1781" s="91" t="s">
        <v>2384</v>
      </c>
      <c r="C1781" s="91" t="s">
        <v>2363</v>
      </c>
      <c r="D1781" s="91">
        <v>55</v>
      </c>
      <c r="E1781" s="91">
        <v>124</v>
      </c>
      <c r="F1781" s="91">
        <v>0</v>
      </c>
      <c r="G1781" s="126">
        <v>0.0225047785896086</v>
      </c>
      <c r="H1781" s="126">
        <f t="shared" si="82"/>
        <v>30.8</v>
      </c>
      <c r="I1781" s="126" t="str">
        <f t="shared" si="83"/>
        <v>0y 0d 0h 0m</v>
      </c>
    </row>
    <row r="1782" s="91" customFormat="1" spans="1:9">
      <c r="A1782" s="91" t="str">
        <f t="shared" si="81"/>
        <v>Cs-124m</v>
      </c>
      <c r="B1782" s="91" t="s">
        <v>2385</v>
      </c>
      <c r="C1782" s="91" t="s">
        <v>2363</v>
      </c>
      <c r="D1782" s="91">
        <v>55</v>
      </c>
      <c r="E1782" s="91">
        <v>124</v>
      </c>
      <c r="F1782" s="91">
        <v>1</v>
      </c>
      <c r="G1782" s="126">
        <v>0.110023361993642</v>
      </c>
      <c r="H1782" s="126">
        <f t="shared" si="82"/>
        <v>6.30000000000001</v>
      </c>
      <c r="I1782" s="126" t="str">
        <f t="shared" si="83"/>
        <v>0y 0d 0h 0m</v>
      </c>
    </row>
    <row r="1783" s="91" customFormat="1" spans="1:9">
      <c r="A1783" s="91" t="str">
        <f t="shared" si="81"/>
        <v>Cs-125</v>
      </c>
      <c r="B1783" s="91" t="s">
        <v>2386</v>
      </c>
      <c r="C1783" s="91" t="s">
        <v>2363</v>
      </c>
      <c r="D1783" s="91">
        <v>55</v>
      </c>
      <c r="E1783" s="91">
        <v>125</v>
      </c>
      <c r="F1783" s="91">
        <v>0</v>
      </c>
      <c r="G1783" s="126">
        <v>0.000247375867437525</v>
      </c>
      <c r="H1783" s="126">
        <f t="shared" si="82"/>
        <v>2802</v>
      </c>
      <c r="I1783" s="126" t="str">
        <f t="shared" si="83"/>
        <v>0y 0d 0h 46m</v>
      </c>
    </row>
    <row r="1784" s="91" customFormat="1" spans="1:9">
      <c r="A1784" s="91" t="str">
        <f t="shared" si="81"/>
        <v>Cs-125m</v>
      </c>
      <c r="B1784" s="91" t="s">
        <v>2387</v>
      </c>
      <c r="C1784" s="91" t="s">
        <v>2363</v>
      </c>
      <c r="D1784" s="91">
        <v>55</v>
      </c>
      <c r="E1784" s="91">
        <v>125</v>
      </c>
      <c r="F1784" s="91">
        <v>1</v>
      </c>
      <c r="G1784" s="126">
        <v>770.163533955494</v>
      </c>
      <c r="H1784" s="126">
        <f t="shared" si="82"/>
        <v>0.000900000000000001</v>
      </c>
      <c r="I1784" s="126" t="str">
        <f t="shared" si="83"/>
        <v>0y 0d 0h 0m</v>
      </c>
    </row>
    <row r="1785" s="91" customFormat="1" spans="1:9">
      <c r="A1785" s="91" t="str">
        <f t="shared" si="81"/>
        <v>Cs-126</v>
      </c>
      <c r="B1785" s="91" t="s">
        <v>2388</v>
      </c>
      <c r="C1785" s="91" t="s">
        <v>2363</v>
      </c>
      <c r="D1785" s="91">
        <v>55</v>
      </c>
      <c r="E1785" s="91">
        <v>126</v>
      </c>
      <c r="F1785" s="91">
        <v>0</v>
      </c>
      <c r="G1785" s="126">
        <v>0.00704417866422708</v>
      </c>
      <c r="H1785" s="126">
        <f t="shared" si="82"/>
        <v>98.4000000000001</v>
      </c>
      <c r="I1785" s="126" t="str">
        <f t="shared" si="83"/>
        <v>0y 0d 0h 1m</v>
      </c>
    </row>
    <row r="1786" s="91" customFormat="1" spans="1:9">
      <c r="A1786" s="91" t="str">
        <f t="shared" si="81"/>
        <v>Cs-127</v>
      </c>
      <c r="B1786" s="91" t="s">
        <v>2389</v>
      </c>
      <c r="C1786" s="91" t="s">
        <v>2363</v>
      </c>
      <c r="D1786" s="91">
        <v>55</v>
      </c>
      <c r="E1786" s="91">
        <v>127</v>
      </c>
      <c r="F1786" s="91">
        <v>0</v>
      </c>
      <c r="G1786" s="126">
        <v>3.08065413582197e-5</v>
      </c>
      <c r="H1786" s="126">
        <f t="shared" si="82"/>
        <v>22500.0000000001</v>
      </c>
      <c r="I1786" s="126" t="str">
        <f t="shared" si="83"/>
        <v>0y 0d 6h 15m</v>
      </c>
    </row>
    <row r="1787" s="91" customFormat="1" spans="1:9">
      <c r="A1787" s="91" t="str">
        <f t="shared" si="81"/>
        <v>Cs-128</v>
      </c>
      <c r="B1787" s="91" t="s">
        <v>2390</v>
      </c>
      <c r="C1787" s="91" t="s">
        <v>2363</v>
      </c>
      <c r="D1787" s="91">
        <v>55</v>
      </c>
      <c r="E1787" s="91">
        <v>128</v>
      </c>
      <c r="F1787" s="91">
        <v>0</v>
      </c>
      <c r="G1787" s="126">
        <v>0.00319128536169403</v>
      </c>
      <c r="H1787" s="126">
        <f t="shared" si="82"/>
        <v>217.200000000001</v>
      </c>
      <c r="I1787" s="126" t="str">
        <f t="shared" si="83"/>
        <v>0y 0d 0h 3m</v>
      </c>
    </row>
    <row r="1788" s="91" customFormat="1" spans="1:9">
      <c r="A1788" s="91" t="str">
        <f t="shared" si="81"/>
        <v>Cs-129</v>
      </c>
      <c r="B1788" s="91" t="s">
        <v>2391</v>
      </c>
      <c r="C1788" s="91" t="s">
        <v>2363</v>
      </c>
      <c r="D1788" s="91">
        <v>55</v>
      </c>
      <c r="E1788" s="91">
        <v>129</v>
      </c>
      <c r="F1788" s="91">
        <v>0</v>
      </c>
      <c r="G1788" s="126">
        <v>6.00564203022063e-6</v>
      </c>
      <c r="H1788" s="126">
        <f t="shared" si="82"/>
        <v>115416</v>
      </c>
      <c r="I1788" s="126" t="str">
        <f t="shared" si="83"/>
        <v>0y 1d 8h 3m</v>
      </c>
    </row>
    <row r="1789" s="91" customFormat="1" spans="1:9">
      <c r="A1789" s="91" t="str">
        <f t="shared" si="81"/>
        <v>Cs-130</v>
      </c>
      <c r="B1789" s="91" t="s">
        <v>2392</v>
      </c>
      <c r="C1789" s="91" t="s">
        <v>2363</v>
      </c>
      <c r="D1789" s="91">
        <v>55</v>
      </c>
      <c r="E1789" s="91">
        <v>130</v>
      </c>
      <c r="F1789" s="91">
        <v>0</v>
      </c>
      <c r="G1789" s="126">
        <v>0.000395496508364684</v>
      </c>
      <c r="H1789" s="126">
        <f t="shared" si="82"/>
        <v>1752.6</v>
      </c>
      <c r="I1789" s="126" t="str">
        <f t="shared" si="83"/>
        <v>0y 0d 0h 29m</v>
      </c>
    </row>
    <row r="1790" s="91" customFormat="1" spans="1:9">
      <c r="A1790" s="91" t="str">
        <f t="shared" si="81"/>
        <v>Cs-130m</v>
      </c>
      <c r="B1790" s="91" t="s">
        <v>2393</v>
      </c>
      <c r="C1790" s="91" t="s">
        <v>2363</v>
      </c>
      <c r="D1790" s="91">
        <v>55</v>
      </c>
      <c r="E1790" s="91">
        <v>130</v>
      </c>
      <c r="F1790" s="91">
        <v>1</v>
      </c>
      <c r="G1790" s="126">
        <v>0.00333885925125214</v>
      </c>
      <c r="H1790" s="126">
        <f t="shared" si="82"/>
        <v>207.6</v>
      </c>
      <c r="I1790" s="126" t="str">
        <f t="shared" si="83"/>
        <v>0y 0d 0h 3m</v>
      </c>
    </row>
    <row r="1791" s="91" customFormat="1" spans="1:9">
      <c r="A1791" s="91" t="str">
        <f t="shared" si="81"/>
        <v>Cs-131</v>
      </c>
      <c r="B1791" s="91" t="s">
        <v>2394</v>
      </c>
      <c r="C1791" s="91" t="s">
        <v>2363</v>
      </c>
      <c r="D1791" s="91">
        <v>55</v>
      </c>
      <c r="E1791" s="91">
        <v>131</v>
      </c>
      <c r="F1791" s="91">
        <v>0</v>
      </c>
      <c r="G1791" s="126">
        <v>8.2800462504246e-7</v>
      </c>
      <c r="H1791" s="126">
        <f t="shared" si="82"/>
        <v>837129.600000001</v>
      </c>
      <c r="I1791" s="126" t="str">
        <f t="shared" si="83"/>
        <v>0y 9d 16h 32m</v>
      </c>
    </row>
    <row r="1792" s="91" customFormat="1" spans="1:9">
      <c r="A1792" s="91" t="str">
        <f t="shared" si="81"/>
        <v>Cs-132</v>
      </c>
      <c r="B1792" s="91" t="s">
        <v>2395</v>
      </c>
      <c r="C1792" s="91" t="s">
        <v>2363</v>
      </c>
      <c r="D1792" s="91">
        <v>55</v>
      </c>
      <c r="E1792" s="91">
        <v>132</v>
      </c>
      <c r="F1792" s="91">
        <v>0</v>
      </c>
      <c r="G1792" s="126">
        <v>1.2380458043266e-6</v>
      </c>
      <c r="H1792" s="126">
        <f t="shared" si="82"/>
        <v>559872.000000002</v>
      </c>
      <c r="I1792" s="126" t="str">
        <f t="shared" si="83"/>
        <v>0y 6d 11h 31m</v>
      </c>
    </row>
    <row r="1793" s="91" customFormat="1" spans="1:9">
      <c r="A1793" s="91" t="str">
        <f t="shared" si="81"/>
        <v>Cs-133</v>
      </c>
      <c r="B1793" s="91" t="s">
        <v>2396</v>
      </c>
      <c r="C1793" s="91" t="s">
        <v>2363</v>
      </c>
      <c r="D1793" s="91">
        <v>55</v>
      </c>
      <c r="E1793" s="91">
        <v>133</v>
      </c>
      <c r="F1793" s="91">
        <v>0</v>
      </c>
      <c r="G1793" s="126">
        <v>0</v>
      </c>
      <c r="H1793" s="126">
        <f t="shared" si="82"/>
        <v>0</v>
      </c>
      <c r="I1793" s="126" t="str">
        <f t="shared" si="83"/>
        <v>0y 0d 0h 0m</v>
      </c>
    </row>
    <row r="1794" s="91" customFormat="1" spans="1:9">
      <c r="A1794" s="91" t="str">
        <f t="shared" ref="A1794:A1857" si="84">C1794&amp;"-"&amp;E1794&amp;_xlfn.IFS(F1794=0,"",F1794=1,"m",F1794&gt;1,"m"&amp;F1794)</f>
        <v>Cs-134</v>
      </c>
      <c r="B1794" s="91" t="s">
        <v>2397</v>
      </c>
      <c r="C1794" s="91" t="s">
        <v>2363</v>
      </c>
      <c r="D1794" s="91">
        <v>55</v>
      </c>
      <c r="E1794" s="91">
        <v>134</v>
      </c>
      <c r="F1794" s="91">
        <v>0</v>
      </c>
      <c r="G1794" s="126">
        <v>1.06355351616218e-8</v>
      </c>
      <c r="H1794" s="126">
        <f t="shared" ref="H1794:H1857" si="85">IF(G1794&gt;0,LN(2)/G1794,0)</f>
        <v>65172760.0000006</v>
      </c>
      <c r="I1794" s="126" t="str">
        <f t="shared" si="83"/>
        <v>2y 24d 7h 32m</v>
      </c>
    </row>
    <row r="1795" s="91" customFormat="1" spans="1:9">
      <c r="A1795" s="91" t="str">
        <f t="shared" si="84"/>
        <v>Cs-134m</v>
      </c>
      <c r="B1795" s="91" t="s">
        <v>2398</v>
      </c>
      <c r="C1795" s="91" t="s">
        <v>2363</v>
      </c>
      <c r="D1795" s="91">
        <v>55</v>
      </c>
      <c r="E1795" s="91">
        <v>134</v>
      </c>
      <c r="F1795" s="91">
        <v>1</v>
      </c>
      <c r="G1795" s="126">
        <v>6.61198088904099e-5</v>
      </c>
      <c r="H1795" s="126">
        <f t="shared" si="85"/>
        <v>10483.2</v>
      </c>
      <c r="I1795" s="126" t="str">
        <f t="shared" ref="I1795:I1858" si="86">INT(H1795/31536000)&amp;"y "&amp;INT(MOD(H1795,31536000)/86400)&amp;"d "&amp;INT(MOD(MOD(H1795,31536000),86400)/3600)&amp;"h "&amp;INT(MOD(MOD(MOD(H1795,31536000),86400),3600)/60)&amp;"m"</f>
        <v>0y 0d 2h 54m</v>
      </c>
    </row>
    <row r="1796" s="91" customFormat="1" spans="1:9">
      <c r="A1796" s="91" t="str">
        <f t="shared" si="84"/>
        <v>Cs-135</v>
      </c>
      <c r="B1796" s="91" t="s">
        <v>2399</v>
      </c>
      <c r="C1796" s="91" t="s">
        <v>2363</v>
      </c>
      <c r="D1796" s="91">
        <v>55</v>
      </c>
      <c r="E1796" s="91">
        <v>135</v>
      </c>
      <c r="F1796" s="91">
        <v>0</v>
      </c>
      <c r="G1796" s="126">
        <v>9.54978377101843e-15</v>
      </c>
      <c r="H1796" s="126">
        <f t="shared" si="85"/>
        <v>72582500000000</v>
      </c>
      <c r="I1796" s="126" t="str">
        <f t="shared" si="86"/>
        <v>2301575y 356d 11h 33m</v>
      </c>
    </row>
    <row r="1797" s="91" customFormat="1" spans="1:9">
      <c r="A1797" s="91" t="str">
        <f t="shared" si="84"/>
        <v>Cs-135m</v>
      </c>
      <c r="B1797" s="91" t="s">
        <v>2400</v>
      </c>
      <c r="C1797" s="91" t="s">
        <v>2363</v>
      </c>
      <c r="D1797" s="91">
        <v>55</v>
      </c>
      <c r="E1797" s="91">
        <v>135</v>
      </c>
      <c r="F1797" s="91">
        <v>1</v>
      </c>
      <c r="G1797" s="126">
        <v>0.000217970811496838</v>
      </c>
      <c r="H1797" s="126">
        <f t="shared" si="85"/>
        <v>3180</v>
      </c>
      <c r="I1797" s="126" t="str">
        <f t="shared" si="86"/>
        <v>0y 0d 0h 53m</v>
      </c>
    </row>
    <row r="1798" s="91" customFormat="1" spans="1:9">
      <c r="A1798" s="91" t="str">
        <f t="shared" si="84"/>
        <v>Cs-136</v>
      </c>
      <c r="B1798" s="91" t="s">
        <v>2401</v>
      </c>
      <c r="C1798" s="91" t="s">
        <v>2363</v>
      </c>
      <c r="D1798" s="91">
        <v>55</v>
      </c>
      <c r="E1798" s="91">
        <v>136</v>
      </c>
      <c r="F1798" s="91">
        <v>0</v>
      </c>
      <c r="G1798" s="126">
        <v>6.09615259273282e-7</v>
      </c>
      <c r="H1798" s="126">
        <f t="shared" si="85"/>
        <v>1137024</v>
      </c>
      <c r="I1798" s="126" t="str">
        <f t="shared" si="86"/>
        <v>0y 13d 3h 50m</v>
      </c>
    </row>
    <row r="1799" s="91" customFormat="1" spans="1:9">
      <c r="A1799" s="91" t="str">
        <f t="shared" si="84"/>
        <v>Cs-136m</v>
      </c>
      <c r="B1799" s="91" t="s">
        <v>2402</v>
      </c>
      <c r="C1799" s="91" t="s">
        <v>2363</v>
      </c>
      <c r="D1799" s="91">
        <v>55</v>
      </c>
      <c r="E1799" s="91">
        <v>136</v>
      </c>
      <c r="F1799" s="91">
        <v>1</v>
      </c>
      <c r="G1799" s="126">
        <v>0.0364814305557865</v>
      </c>
      <c r="H1799" s="126">
        <f t="shared" si="85"/>
        <v>19</v>
      </c>
      <c r="I1799" s="126" t="str">
        <f t="shared" si="86"/>
        <v>0y 0d 0h 0m</v>
      </c>
    </row>
    <row r="1800" s="91" customFormat="1" spans="1:9">
      <c r="A1800" s="91" t="str">
        <f t="shared" si="84"/>
        <v>Cs-137</v>
      </c>
      <c r="B1800" s="91" t="s">
        <v>2403</v>
      </c>
      <c r="C1800" s="91" t="s">
        <v>2363</v>
      </c>
      <c r="D1800" s="91">
        <v>55</v>
      </c>
      <c r="E1800" s="91">
        <v>137</v>
      </c>
      <c r="F1800" s="91">
        <v>0</v>
      </c>
      <c r="G1800" s="126">
        <v>7.302030887879e-10</v>
      </c>
      <c r="H1800" s="126">
        <f t="shared" si="85"/>
        <v>949252600</v>
      </c>
      <c r="I1800" s="126" t="str">
        <f t="shared" si="86"/>
        <v>30y 36d 17h 16m</v>
      </c>
    </row>
    <row r="1801" s="91" customFormat="1" spans="1:9">
      <c r="A1801" s="91" t="str">
        <f t="shared" si="84"/>
        <v>Cs-138</v>
      </c>
      <c r="B1801" s="91" t="s">
        <v>2404</v>
      </c>
      <c r="C1801" s="91" t="s">
        <v>2363</v>
      </c>
      <c r="D1801" s="91">
        <v>55</v>
      </c>
      <c r="E1801" s="91">
        <v>138</v>
      </c>
      <c r="F1801" s="91">
        <v>0</v>
      </c>
      <c r="G1801" s="126">
        <v>0.000345778300189536</v>
      </c>
      <c r="H1801" s="126">
        <f t="shared" si="85"/>
        <v>2004.6</v>
      </c>
      <c r="I1801" s="126" t="str">
        <f t="shared" si="86"/>
        <v>0y 0d 0h 33m</v>
      </c>
    </row>
    <row r="1802" s="91" customFormat="1" spans="1:9">
      <c r="A1802" s="91" t="str">
        <f t="shared" si="84"/>
        <v>Cs-138m</v>
      </c>
      <c r="B1802" s="91" t="s">
        <v>2405</v>
      </c>
      <c r="C1802" s="91" t="s">
        <v>2363</v>
      </c>
      <c r="D1802" s="91">
        <v>55</v>
      </c>
      <c r="E1802" s="91">
        <v>138</v>
      </c>
      <c r="F1802" s="91">
        <v>1</v>
      </c>
      <c r="G1802" s="126">
        <v>0.00396991512348193</v>
      </c>
      <c r="H1802" s="126">
        <f t="shared" si="85"/>
        <v>174.6</v>
      </c>
      <c r="I1802" s="126" t="str">
        <f t="shared" si="86"/>
        <v>0y 0d 0h 2m</v>
      </c>
    </row>
    <row r="1803" s="91" customFormat="1" spans="1:9">
      <c r="A1803" s="91" t="str">
        <f t="shared" si="84"/>
        <v>Cs-139</v>
      </c>
      <c r="B1803" s="91" t="s">
        <v>2406</v>
      </c>
      <c r="C1803" s="91" t="s">
        <v>2363</v>
      </c>
      <c r="D1803" s="91">
        <v>55</v>
      </c>
      <c r="E1803" s="91">
        <v>139</v>
      </c>
      <c r="F1803" s="91">
        <v>0</v>
      </c>
      <c r="G1803" s="126">
        <v>0.00124621931060759</v>
      </c>
      <c r="H1803" s="126">
        <f t="shared" si="85"/>
        <v>556.200000000003</v>
      </c>
      <c r="I1803" s="126" t="str">
        <f t="shared" si="86"/>
        <v>0y 0d 0h 9m</v>
      </c>
    </row>
    <row r="1804" s="91" customFormat="1" spans="1:9">
      <c r="A1804" s="91" t="str">
        <f t="shared" si="84"/>
        <v>Cs-140</v>
      </c>
      <c r="B1804" s="91" t="s">
        <v>2407</v>
      </c>
      <c r="C1804" s="91" t="s">
        <v>2363</v>
      </c>
      <c r="D1804" s="91">
        <v>55</v>
      </c>
      <c r="E1804" s="91">
        <v>140</v>
      </c>
      <c r="F1804" s="91">
        <v>0</v>
      </c>
      <c r="G1804" s="126">
        <v>0.0108814314059646</v>
      </c>
      <c r="H1804" s="126">
        <f t="shared" si="85"/>
        <v>63.7</v>
      </c>
      <c r="I1804" s="126" t="str">
        <f t="shared" si="86"/>
        <v>0y 0d 0h 1m</v>
      </c>
    </row>
    <row r="1805" s="91" customFormat="1" spans="1:9">
      <c r="A1805" s="91" t="str">
        <f t="shared" si="84"/>
        <v>Cs-141</v>
      </c>
      <c r="B1805" s="91" t="s">
        <v>2408</v>
      </c>
      <c r="C1805" s="91" t="s">
        <v>2363</v>
      </c>
      <c r="D1805" s="91">
        <v>55</v>
      </c>
      <c r="E1805" s="91">
        <v>141</v>
      </c>
      <c r="F1805" s="91">
        <v>0</v>
      </c>
      <c r="G1805" s="126">
        <v>0.0279044758679527</v>
      </c>
      <c r="H1805" s="126">
        <f t="shared" si="85"/>
        <v>24.84</v>
      </c>
      <c r="I1805" s="126" t="str">
        <f t="shared" si="86"/>
        <v>0y 0d 0h 0m</v>
      </c>
    </row>
    <row r="1806" s="91" customFormat="1" spans="1:9">
      <c r="A1806" s="91" t="str">
        <f t="shared" si="84"/>
        <v>Cs-142</v>
      </c>
      <c r="B1806" s="91" t="s">
        <v>2409</v>
      </c>
      <c r="C1806" s="91" t="s">
        <v>2363</v>
      </c>
      <c r="D1806" s="91">
        <v>55</v>
      </c>
      <c r="E1806" s="91">
        <v>142</v>
      </c>
      <c r="F1806" s="91">
        <v>0</v>
      </c>
      <c r="G1806" s="126">
        <v>0.411607589406143</v>
      </c>
      <c r="H1806" s="126">
        <f t="shared" si="85"/>
        <v>1.684</v>
      </c>
      <c r="I1806" s="126" t="str">
        <f t="shared" si="86"/>
        <v>0y 0d 0h 0m</v>
      </c>
    </row>
    <row r="1807" s="91" customFormat="1" spans="1:9">
      <c r="A1807" s="91" t="str">
        <f t="shared" si="84"/>
        <v>Cs-143</v>
      </c>
      <c r="B1807" s="91" t="s">
        <v>2410</v>
      </c>
      <c r="C1807" s="91" t="s">
        <v>2363</v>
      </c>
      <c r="D1807" s="91">
        <v>55</v>
      </c>
      <c r="E1807" s="91">
        <v>143</v>
      </c>
      <c r="F1807" s="91">
        <v>0</v>
      </c>
      <c r="G1807" s="126">
        <v>0.387016851233917</v>
      </c>
      <c r="H1807" s="126">
        <f t="shared" si="85"/>
        <v>1.791</v>
      </c>
      <c r="I1807" s="126" t="str">
        <f t="shared" si="86"/>
        <v>0y 0d 0h 0m</v>
      </c>
    </row>
    <row r="1808" s="91" customFormat="1" spans="1:9">
      <c r="A1808" s="91" t="str">
        <f t="shared" si="84"/>
        <v>Cs-144</v>
      </c>
      <c r="B1808" s="91" t="s">
        <v>2411</v>
      </c>
      <c r="C1808" s="91" t="s">
        <v>2363</v>
      </c>
      <c r="D1808" s="91">
        <v>55</v>
      </c>
      <c r="E1808" s="91">
        <v>144</v>
      </c>
      <c r="F1808" s="91">
        <v>0</v>
      </c>
      <c r="G1808" s="126">
        <v>0.697331167565337</v>
      </c>
      <c r="H1808" s="126">
        <f t="shared" si="85"/>
        <v>0.994</v>
      </c>
      <c r="I1808" s="126" t="str">
        <f t="shared" si="86"/>
        <v>0y 0d 0h 0m</v>
      </c>
    </row>
    <row r="1809" s="91" customFormat="1" spans="1:9">
      <c r="A1809" s="91" t="str">
        <f t="shared" si="84"/>
        <v>Cs-144m</v>
      </c>
      <c r="B1809" s="91" t="s">
        <v>2412</v>
      </c>
      <c r="C1809" s="91" t="s">
        <v>2363</v>
      </c>
      <c r="D1809" s="91">
        <v>55</v>
      </c>
      <c r="E1809" s="91">
        <v>144</v>
      </c>
      <c r="F1809" s="91">
        <v>1</v>
      </c>
      <c r="G1809" s="126">
        <v>0.693147180559945</v>
      </c>
      <c r="H1809" s="126">
        <f t="shared" si="85"/>
        <v>1</v>
      </c>
      <c r="I1809" s="126" t="str">
        <f t="shared" si="86"/>
        <v>0y 0d 0h 0m</v>
      </c>
    </row>
    <row r="1810" s="91" customFormat="1" spans="1:9">
      <c r="A1810" s="91" t="str">
        <f t="shared" si="84"/>
        <v>Cs-145</v>
      </c>
      <c r="B1810" s="91" t="s">
        <v>2413</v>
      </c>
      <c r="C1810" s="91" t="s">
        <v>2363</v>
      </c>
      <c r="D1810" s="91">
        <v>55</v>
      </c>
      <c r="E1810" s="91">
        <v>145</v>
      </c>
      <c r="F1810" s="91">
        <v>0</v>
      </c>
      <c r="G1810" s="126">
        <v>1.18082994984658</v>
      </c>
      <c r="H1810" s="126">
        <f t="shared" si="85"/>
        <v>0.587000000000002</v>
      </c>
      <c r="I1810" s="126" t="str">
        <f t="shared" si="86"/>
        <v>0y 0d 0h 0m</v>
      </c>
    </row>
    <row r="1811" s="91" customFormat="1" spans="1:9">
      <c r="A1811" s="91" t="str">
        <f t="shared" si="84"/>
        <v>Cs-146</v>
      </c>
      <c r="B1811" s="91" t="s">
        <v>2414</v>
      </c>
      <c r="C1811" s="91" t="s">
        <v>2363</v>
      </c>
      <c r="D1811" s="91">
        <v>55</v>
      </c>
      <c r="E1811" s="91">
        <v>146</v>
      </c>
      <c r="F1811" s="91">
        <v>0</v>
      </c>
      <c r="G1811" s="126">
        <v>2.15933701109017</v>
      </c>
      <c r="H1811" s="126">
        <f t="shared" si="85"/>
        <v>0.321</v>
      </c>
      <c r="I1811" s="126" t="str">
        <f t="shared" si="86"/>
        <v>0y 0d 0h 0m</v>
      </c>
    </row>
    <row r="1812" s="91" customFormat="1" spans="1:9">
      <c r="A1812" s="91" t="str">
        <f t="shared" si="84"/>
        <v>Cs-147</v>
      </c>
      <c r="B1812" s="91" t="s">
        <v>2415</v>
      </c>
      <c r="C1812" s="91" t="s">
        <v>2363</v>
      </c>
      <c r="D1812" s="91">
        <v>55</v>
      </c>
      <c r="E1812" s="91">
        <v>147</v>
      </c>
      <c r="F1812" s="91">
        <v>0</v>
      </c>
      <c r="G1812" s="126">
        <v>3.01368339373889</v>
      </c>
      <c r="H1812" s="126">
        <f t="shared" si="85"/>
        <v>0.23</v>
      </c>
      <c r="I1812" s="126" t="str">
        <f t="shared" si="86"/>
        <v>0y 0d 0h 0m</v>
      </c>
    </row>
    <row r="1813" s="91" customFormat="1" spans="1:9">
      <c r="A1813" s="91" t="str">
        <f t="shared" si="84"/>
        <v>Cs-148</v>
      </c>
      <c r="B1813" s="91" t="s">
        <v>2416</v>
      </c>
      <c r="C1813" s="91" t="s">
        <v>2363</v>
      </c>
      <c r="D1813" s="91">
        <v>55</v>
      </c>
      <c r="E1813" s="91">
        <v>148</v>
      </c>
      <c r="F1813" s="91">
        <v>0</v>
      </c>
      <c r="G1813" s="126">
        <v>4.74758342849277</v>
      </c>
      <c r="H1813" s="126">
        <f t="shared" si="85"/>
        <v>0.146</v>
      </c>
      <c r="I1813" s="126" t="str">
        <f t="shared" si="86"/>
        <v>0y 0d 0h 0m</v>
      </c>
    </row>
    <row r="1814" s="91" customFormat="1" spans="1:9">
      <c r="A1814" s="91" t="str">
        <f t="shared" si="84"/>
        <v>Cs-149</v>
      </c>
      <c r="B1814" s="91" t="s">
        <v>2417</v>
      </c>
      <c r="C1814" s="91" t="s">
        <v>2363</v>
      </c>
      <c r="D1814" s="91">
        <v>55</v>
      </c>
      <c r="E1814" s="91">
        <v>149</v>
      </c>
      <c r="F1814" s="91">
        <v>0</v>
      </c>
      <c r="G1814" s="126">
        <v>13.8629436111989</v>
      </c>
      <c r="H1814" s="126">
        <f t="shared" si="85"/>
        <v>0.05</v>
      </c>
      <c r="I1814" s="126" t="str">
        <f t="shared" si="86"/>
        <v>0y 0d 0h 0m</v>
      </c>
    </row>
    <row r="1815" s="91" customFormat="1" spans="1:9">
      <c r="A1815" s="91" t="str">
        <f t="shared" si="84"/>
        <v>Cs-150</v>
      </c>
      <c r="B1815" s="91" t="s">
        <v>2418</v>
      </c>
      <c r="C1815" s="91" t="s">
        <v>2363</v>
      </c>
      <c r="D1815" s="91">
        <v>55</v>
      </c>
      <c r="E1815" s="91">
        <v>150</v>
      </c>
      <c r="F1815" s="91">
        <v>0</v>
      </c>
      <c r="G1815" s="126">
        <v>13.8629436111989</v>
      </c>
      <c r="H1815" s="126">
        <f t="shared" si="85"/>
        <v>0.05</v>
      </c>
      <c r="I1815" s="126" t="str">
        <f t="shared" si="86"/>
        <v>0y 0d 0h 0m</v>
      </c>
    </row>
    <row r="1816" s="91" customFormat="1" spans="1:9">
      <c r="A1816" s="91" t="str">
        <f t="shared" si="84"/>
        <v>Cs-151</v>
      </c>
      <c r="B1816" s="91" t="s">
        <v>2419</v>
      </c>
      <c r="C1816" s="91" t="s">
        <v>2363</v>
      </c>
      <c r="D1816" s="91">
        <v>55</v>
      </c>
      <c r="E1816" s="91">
        <v>151</v>
      </c>
      <c r="F1816" s="91">
        <v>0</v>
      </c>
      <c r="G1816" s="126">
        <v>13.8629436111989</v>
      </c>
      <c r="H1816" s="126">
        <f t="shared" si="85"/>
        <v>0.05</v>
      </c>
      <c r="I1816" s="126" t="str">
        <f t="shared" si="86"/>
        <v>0y 0d 0h 0m</v>
      </c>
    </row>
    <row r="1817" s="91" customFormat="1" spans="1:9">
      <c r="A1817" s="91" t="str">
        <f t="shared" si="84"/>
        <v>Ba-114</v>
      </c>
      <c r="B1817" s="91" t="s">
        <v>2420</v>
      </c>
      <c r="C1817" s="91" t="s">
        <v>2421</v>
      </c>
      <c r="D1817" s="91">
        <v>56</v>
      </c>
      <c r="E1817" s="91">
        <v>114</v>
      </c>
      <c r="F1817" s="91">
        <v>0</v>
      </c>
      <c r="G1817" s="126">
        <v>1.61197018734871</v>
      </c>
      <c r="H1817" s="126">
        <f t="shared" si="85"/>
        <v>0.43</v>
      </c>
      <c r="I1817" s="126" t="str">
        <f t="shared" si="86"/>
        <v>0y 0d 0h 0m</v>
      </c>
    </row>
    <row r="1818" s="91" customFormat="1" spans="1:9">
      <c r="A1818" s="91" t="str">
        <f t="shared" si="84"/>
        <v>Ba-115</v>
      </c>
      <c r="B1818" s="91" t="s">
        <v>2422</v>
      </c>
      <c r="C1818" s="91" t="s">
        <v>2421</v>
      </c>
      <c r="D1818" s="91">
        <v>56</v>
      </c>
      <c r="E1818" s="91">
        <v>115</v>
      </c>
      <c r="F1818" s="91">
        <v>0</v>
      </c>
      <c r="G1818" s="126">
        <v>1.54032706791098</v>
      </c>
      <c r="H1818" s="126">
        <f t="shared" si="85"/>
        <v>0.450000000000003</v>
      </c>
      <c r="I1818" s="126" t="str">
        <f t="shared" si="86"/>
        <v>0y 0d 0h 0m</v>
      </c>
    </row>
    <row r="1819" s="91" customFormat="1" spans="1:9">
      <c r="A1819" s="91" t="str">
        <f t="shared" si="84"/>
        <v>Ba-116</v>
      </c>
      <c r="B1819" s="91" t="s">
        <v>2423</v>
      </c>
      <c r="C1819" s="91" t="s">
        <v>2421</v>
      </c>
      <c r="D1819" s="91">
        <v>56</v>
      </c>
      <c r="E1819" s="91">
        <v>116</v>
      </c>
      <c r="F1819" s="91">
        <v>0</v>
      </c>
      <c r="G1819" s="126">
        <v>0.533190138892265</v>
      </c>
      <c r="H1819" s="126">
        <f t="shared" si="85"/>
        <v>1.3</v>
      </c>
      <c r="I1819" s="126" t="str">
        <f t="shared" si="86"/>
        <v>0y 0d 0h 0m</v>
      </c>
    </row>
    <row r="1820" s="91" customFormat="1" spans="1:9">
      <c r="A1820" s="91" t="str">
        <f t="shared" si="84"/>
        <v>Ba-117</v>
      </c>
      <c r="B1820" s="91" t="s">
        <v>2424</v>
      </c>
      <c r="C1820" s="91" t="s">
        <v>2421</v>
      </c>
      <c r="D1820" s="91">
        <v>56</v>
      </c>
      <c r="E1820" s="91">
        <v>117</v>
      </c>
      <c r="F1820" s="91">
        <v>0</v>
      </c>
      <c r="G1820" s="126">
        <v>0.396084103177111</v>
      </c>
      <c r="H1820" s="126">
        <f t="shared" si="85"/>
        <v>1.75</v>
      </c>
      <c r="I1820" s="126" t="str">
        <f t="shared" si="86"/>
        <v>0y 0d 0h 0m</v>
      </c>
    </row>
    <row r="1821" s="91" customFormat="1" spans="1:9">
      <c r="A1821" s="91" t="str">
        <f t="shared" si="84"/>
        <v>Ba-118</v>
      </c>
      <c r="B1821" s="91" t="s">
        <v>2425</v>
      </c>
      <c r="C1821" s="91" t="s">
        <v>2421</v>
      </c>
      <c r="D1821" s="91">
        <v>56</v>
      </c>
      <c r="E1821" s="91">
        <v>118</v>
      </c>
      <c r="F1821" s="91">
        <v>0</v>
      </c>
      <c r="G1821" s="126">
        <v>0.126026760101808</v>
      </c>
      <c r="H1821" s="126">
        <f t="shared" si="85"/>
        <v>5.50000000000001</v>
      </c>
      <c r="I1821" s="126" t="str">
        <f t="shared" si="86"/>
        <v>0y 0d 0h 0m</v>
      </c>
    </row>
    <row r="1822" s="91" customFormat="1" spans="1:9">
      <c r="A1822" s="91" t="str">
        <f t="shared" si="84"/>
        <v>Ba-119</v>
      </c>
      <c r="B1822" s="91" t="s">
        <v>2426</v>
      </c>
      <c r="C1822" s="91" t="s">
        <v>2421</v>
      </c>
      <c r="D1822" s="91">
        <v>56</v>
      </c>
      <c r="E1822" s="91">
        <v>119</v>
      </c>
      <c r="F1822" s="91">
        <v>0</v>
      </c>
      <c r="G1822" s="126">
        <v>0.128360588992582</v>
      </c>
      <c r="H1822" s="126">
        <f t="shared" si="85"/>
        <v>5.40000000000002</v>
      </c>
      <c r="I1822" s="126" t="str">
        <f t="shared" si="86"/>
        <v>0y 0d 0h 0m</v>
      </c>
    </row>
    <row r="1823" s="91" customFormat="1" spans="1:9">
      <c r="A1823" s="91" t="str">
        <f t="shared" si="84"/>
        <v>Ba-120</v>
      </c>
      <c r="B1823" s="91" t="s">
        <v>2427</v>
      </c>
      <c r="C1823" s="91" t="s">
        <v>2421</v>
      </c>
      <c r="D1823" s="91">
        <v>56</v>
      </c>
      <c r="E1823" s="91">
        <v>120</v>
      </c>
      <c r="F1823" s="91">
        <v>0</v>
      </c>
      <c r="G1823" s="126">
        <v>0.028881132523331</v>
      </c>
      <c r="H1823" s="126">
        <f t="shared" si="85"/>
        <v>24</v>
      </c>
      <c r="I1823" s="126" t="str">
        <f t="shared" si="86"/>
        <v>0y 0d 0h 0m</v>
      </c>
    </row>
    <row r="1824" s="91" customFormat="1" spans="1:9">
      <c r="A1824" s="91" t="str">
        <f t="shared" si="84"/>
        <v>Ba-121</v>
      </c>
      <c r="B1824" s="91" t="s">
        <v>2428</v>
      </c>
      <c r="C1824" s="91" t="s">
        <v>2421</v>
      </c>
      <c r="D1824" s="91">
        <v>56</v>
      </c>
      <c r="E1824" s="91">
        <v>121</v>
      </c>
      <c r="F1824" s="91">
        <v>0</v>
      </c>
      <c r="G1824" s="126">
        <v>0.0233382889077422</v>
      </c>
      <c r="H1824" s="126">
        <f t="shared" si="85"/>
        <v>29.7000000000001</v>
      </c>
      <c r="I1824" s="126" t="str">
        <f t="shared" si="86"/>
        <v>0y 0d 0h 0m</v>
      </c>
    </row>
    <row r="1825" s="91" customFormat="1" spans="1:9">
      <c r="A1825" s="91" t="str">
        <f t="shared" si="84"/>
        <v>Ba-122</v>
      </c>
      <c r="B1825" s="91" t="s">
        <v>2429</v>
      </c>
      <c r="C1825" s="91" t="s">
        <v>2421</v>
      </c>
      <c r="D1825" s="91">
        <v>56</v>
      </c>
      <c r="E1825" s="91">
        <v>122</v>
      </c>
      <c r="F1825" s="91">
        <v>0</v>
      </c>
      <c r="G1825" s="126">
        <v>0.00592433487658072</v>
      </c>
      <c r="H1825" s="126">
        <f t="shared" si="85"/>
        <v>117</v>
      </c>
      <c r="I1825" s="126" t="str">
        <f t="shared" si="86"/>
        <v>0y 0d 0h 1m</v>
      </c>
    </row>
    <row r="1826" s="91" customFormat="1" spans="1:9">
      <c r="A1826" s="91" t="str">
        <f t="shared" si="84"/>
        <v>Ba-123</v>
      </c>
      <c r="B1826" s="91" t="s">
        <v>2430</v>
      </c>
      <c r="C1826" s="91" t="s">
        <v>2421</v>
      </c>
      <c r="D1826" s="91">
        <v>56</v>
      </c>
      <c r="E1826" s="91">
        <v>123</v>
      </c>
      <c r="F1826" s="91">
        <v>0</v>
      </c>
      <c r="G1826" s="126">
        <v>0.00427868629975274</v>
      </c>
      <c r="H1826" s="126">
        <f t="shared" si="85"/>
        <v>162</v>
      </c>
      <c r="I1826" s="126" t="str">
        <f t="shared" si="86"/>
        <v>0y 0d 0h 2m</v>
      </c>
    </row>
    <row r="1827" s="91" customFormat="1" spans="1:9">
      <c r="A1827" s="91" t="str">
        <f t="shared" si="84"/>
        <v>Ba-124</v>
      </c>
      <c r="B1827" s="91" t="s">
        <v>2431</v>
      </c>
      <c r="C1827" s="91" t="s">
        <v>2421</v>
      </c>
      <c r="D1827" s="91">
        <v>56</v>
      </c>
      <c r="E1827" s="91">
        <v>124</v>
      </c>
      <c r="F1827" s="91">
        <v>0</v>
      </c>
      <c r="G1827" s="126">
        <v>0.0010502230008484</v>
      </c>
      <c r="H1827" s="126">
        <f t="shared" si="85"/>
        <v>660.000000000001</v>
      </c>
      <c r="I1827" s="126" t="str">
        <f t="shared" si="86"/>
        <v>0y 0d 0h 11m</v>
      </c>
    </row>
    <row r="1828" s="91" customFormat="1" spans="1:9">
      <c r="A1828" s="91" t="str">
        <f t="shared" si="84"/>
        <v>Ba-125</v>
      </c>
      <c r="B1828" s="91" t="s">
        <v>2432</v>
      </c>
      <c r="C1828" s="91" t="s">
        <v>2421</v>
      </c>
      <c r="D1828" s="91">
        <v>56</v>
      </c>
      <c r="E1828" s="91">
        <v>125</v>
      </c>
      <c r="F1828" s="91">
        <v>0</v>
      </c>
      <c r="G1828" s="126">
        <v>0.00330070085980926</v>
      </c>
      <c r="H1828" s="126">
        <f t="shared" si="85"/>
        <v>210</v>
      </c>
      <c r="I1828" s="126" t="str">
        <f t="shared" si="86"/>
        <v>0y 0d 0h 3m</v>
      </c>
    </row>
    <row r="1829" s="91" customFormat="1" spans="1:9">
      <c r="A1829" s="91" t="str">
        <f t="shared" si="84"/>
        <v>Ba-126</v>
      </c>
      <c r="B1829" s="91" t="s">
        <v>2433</v>
      </c>
      <c r="C1829" s="91" t="s">
        <v>2421</v>
      </c>
      <c r="D1829" s="91">
        <v>56</v>
      </c>
      <c r="E1829" s="91">
        <v>126</v>
      </c>
      <c r="F1829" s="91">
        <v>0</v>
      </c>
      <c r="G1829" s="126">
        <v>0.000115524530093324</v>
      </c>
      <c r="H1829" s="126">
        <f t="shared" si="85"/>
        <v>6000.00000000001</v>
      </c>
      <c r="I1829" s="126" t="str">
        <f t="shared" si="86"/>
        <v>0y 0d 1h 40m</v>
      </c>
    </row>
    <row r="1830" s="91" customFormat="1" spans="1:9">
      <c r="A1830" s="91" t="str">
        <f t="shared" si="84"/>
        <v>Ba-127</v>
      </c>
      <c r="B1830" s="91" t="s">
        <v>2434</v>
      </c>
      <c r="C1830" s="91" t="s">
        <v>2421</v>
      </c>
      <c r="D1830" s="91">
        <v>56</v>
      </c>
      <c r="E1830" s="91">
        <v>127</v>
      </c>
      <c r="F1830" s="91">
        <v>0</v>
      </c>
      <c r="G1830" s="126">
        <v>0.000909641969238773</v>
      </c>
      <c r="H1830" s="126">
        <f t="shared" si="85"/>
        <v>762</v>
      </c>
      <c r="I1830" s="126" t="str">
        <f t="shared" si="86"/>
        <v>0y 0d 0h 12m</v>
      </c>
    </row>
    <row r="1831" s="91" customFormat="1" spans="1:9">
      <c r="A1831" s="91" t="str">
        <f t="shared" si="84"/>
        <v>Ba-127m</v>
      </c>
      <c r="B1831" s="91" t="s">
        <v>2435</v>
      </c>
      <c r="C1831" s="91" t="s">
        <v>2421</v>
      </c>
      <c r="D1831" s="91">
        <v>56</v>
      </c>
      <c r="E1831" s="91">
        <v>127</v>
      </c>
      <c r="F1831" s="91">
        <v>1</v>
      </c>
      <c r="G1831" s="126">
        <v>0.364814305557866</v>
      </c>
      <c r="H1831" s="126">
        <f t="shared" si="85"/>
        <v>1.9</v>
      </c>
      <c r="I1831" s="126" t="str">
        <f t="shared" si="86"/>
        <v>0y 0d 0h 0m</v>
      </c>
    </row>
    <row r="1832" s="91" customFormat="1" spans="1:9">
      <c r="A1832" s="91" t="str">
        <f t="shared" si="84"/>
        <v>Ba-128</v>
      </c>
      <c r="B1832" s="91" t="s">
        <v>2436</v>
      </c>
      <c r="C1832" s="91" t="s">
        <v>2421</v>
      </c>
      <c r="D1832" s="91">
        <v>56</v>
      </c>
      <c r="E1832" s="91">
        <v>128</v>
      </c>
      <c r="F1832" s="91">
        <v>0</v>
      </c>
      <c r="G1832" s="126">
        <v>3.30145547820428e-6</v>
      </c>
      <c r="H1832" s="126">
        <f t="shared" si="85"/>
        <v>209952</v>
      </c>
      <c r="I1832" s="126" t="str">
        <f t="shared" si="86"/>
        <v>0y 2d 10h 19m</v>
      </c>
    </row>
    <row r="1833" s="91" customFormat="1" spans="1:9">
      <c r="A1833" s="91" t="str">
        <f t="shared" si="84"/>
        <v>Ba-129</v>
      </c>
      <c r="B1833" s="91" t="s">
        <v>2437</v>
      </c>
      <c r="C1833" s="91" t="s">
        <v>2421</v>
      </c>
      <c r="D1833" s="91">
        <v>56</v>
      </c>
      <c r="E1833" s="91">
        <v>129</v>
      </c>
      <c r="F1833" s="91">
        <v>0</v>
      </c>
      <c r="G1833" s="126">
        <v>8.63412033582393e-5</v>
      </c>
      <c r="H1833" s="126">
        <f t="shared" si="85"/>
        <v>8028</v>
      </c>
      <c r="I1833" s="126" t="str">
        <f t="shared" si="86"/>
        <v>0y 0d 2h 13m</v>
      </c>
    </row>
    <row r="1834" s="91" customFormat="1" spans="1:9">
      <c r="A1834" s="91" t="str">
        <f t="shared" si="84"/>
        <v>Ba-129m</v>
      </c>
      <c r="B1834" s="91" t="s">
        <v>2438</v>
      </c>
      <c r="C1834" s="91" t="s">
        <v>2421</v>
      </c>
      <c r="D1834" s="91">
        <v>56</v>
      </c>
      <c r="E1834" s="91">
        <v>129</v>
      </c>
      <c r="F1834" s="91">
        <v>1</v>
      </c>
      <c r="G1834" s="126">
        <v>8.91392979115156e-5</v>
      </c>
      <c r="H1834" s="126">
        <f t="shared" si="85"/>
        <v>7776</v>
      </c>
      <c r="I1834" s="126" t="str">
        <f t="shared" si="86"/>
        <v>0y 0d 2h 9m</v>
      </c>
    </row>
    <row r="1835" s="91" customFormat="1" spans="1:9">
      <c r="A1835" s="91" t="str">
        <f t="shared" si="84"/>
        <v>Ba-130</v>
      </c>
      <c r="B1835" s="91" t="s">
        <v>2439</v>
      </c>
      <c r="C1835" s="91" t="s">
        <v>2421</v>
      </c>
      <c r="D1835" s="91">
        <v>56</v>
      </c>
      <c r="E1835" s="91">
        <v>130</v>
      </c>
      <c r="F1835" s="91">
        <v>0</v>
      </c>
      <c r="G1835" s="126">
        <v>0</v>
      </c>
      <c r="H1835" s="126">
        <f t="shared" si="85"/>
        <v>0</v>
      </c>
      <c r="I1835" s="126" t="str">
        <f t="shared" si="86"/>
        <v>0y 0d 0h 0m</v>
      </c>
    </row>
    <row r="1836" s="91" customFormat="1" spans="1:9">
      <c r="A1836" s="91" t="str">
        <f t="shared" si="84"/>
        <v>Ba-130m</v>
      </c>
      <c r="B1836" s="91" t="s">
        <v>2440</v>
      </c>
      <c r="C1836" s="91" t="s">
        <v>2421</v>
      </c>
      <c r="D1836" s="91">
        <v>56</v>
      </c>
      <c r="E1836" s="91">
        <v>130</v>
      </c>
      <c r="F1836" s="91">
        <v>1</v>
      </c>
      <c r="G1836" s="126">
        <v>73.7390617616963</v>
      </c>
      <c r="H1836" s="126">
        <f t="shared" si="85"/>
        <v>0.0094</v>
      </c>
      <c r="I1836" s="126" t="str">
        <f t="shared" si="86"/>
        <v>0y 0d 0h 0m</v>
      </c>
    </row>
    <row r="1837" s="91" customFormat="1" spans="1:9">
      <c r="A1837" s="91" t="str">
        <f t="shared" si="84"/>
        <v>Ba-131</v>
      </c>
      <c r="B1837" s="91" t="s">
        <v>2441</v>
      </c>
      <c r="C1837" s="91" t="s">
        <v>2421</v>
      </c>
      <c r="D1837" s="91">
        <v>56</v>
      </c>
      <c r="E1837" s="91">
        <v>131</v>
      </c>
      <c r="F1837" s="91">
        <v>0</v>
      </c>
      <c r="G1837" s="126">
        <v>6.97611896698817e-7</v>
      </c>
      <c r="H1837" s="126">
        <f t="shared" si="85"/>
        <v>993600.000000001</v>
      </c>
      <c r="I1837" s="126" t="str">
        <f t="shared" si="86"/>
        <v>0y 11d 12h 0m</v>
      </c>
    </row>
    <row r="1838" s="91" customFormat="1" spans="1:9">
      <c r="A1838" s="91" t="str">
        <f t="shared" si="84"/>
        <v>Ba-131m</v>
      </c>
      <c r="B1838" s="91" t="s">
        <v>2442</v>
      </c>
      <c r="C1838" s="91" t="s">
        <v>2421</v>
      </c>
      <c r="D1838" s="91">
        <v>56</v>
      </c>
      <c r="E1838" s="91">
        <v>131</v>
      </c>
      <c r="F1838" s="91">
        <v>1</v>
      </c>
      <c r="G1838" s="126">
        <v>0.000791263904748796</v>
      </c>
      <c r="H1838" s="126">
        <f t="shared" si="85"/>
        <v>876</v>
      </c>
      <c r="I1838" s="126" t="str">
        <f t="shared" si="86"/>
        <v>0y 0d 0h 14m</v>
      </c>
    </row>
    <row r="1839" s="91" customFormat="1" spans="1:9">
      <c r="A1839" s="91" t="str">
        <f t="shared" si="84"/>
        <v>Ba-132</v>
      </c>
      <c r="B1839" s="91" t="s">
        <v>2443</v>
      </c>
      <c r="C1839" s="91" t="s">
        <v>2421</v>
      </c>
      <c r="D1839" s="91">
        <v>56</v>
      </c>
      <c r="E1839" s="91">
        <v>132</v>
      </c>
      <c r="F1839" s="91">
        <v>0</v>
      </c>
      <c r="G1839" s="126">
        <v>0</v>
      </c>
      <c r="H1839" s="126">
        <f t="shared" si="85"/>
        <v>0</v>
      </c>
      <c r="I1839" s="126" t="str">
        <f t="shared" si="86"/>
        <v>0y 0d 0h 0m</v>
      </c>
    </row>
    <row r="1840" s="91" customFormat="1" spans="1:9">
      <c r="A1840" s="91" t="str">
        <f t="shared" si="84"/>
        <v>Ba-133</v>
      </c>
      <c r="B1840" s="91" t="s">
        <v>2444</v>
      </c>
      <c r="C1840" s="91" t="s">
        <v>2421</v>
      </c>
      <c r="D1840" s="91">
        <v>56</v>
      </c>
      <c r="E1840" s="91">
        <v>133</v>
      </c>
      <c r="F1840" s="91">
        <v>0</v>
      </c>
      <c r="G1840" s="126">
        <v>2.08865837334975e-9</v>
      </c>
      <c r="H1840" s="126">
        <f t="shared" si="85"/>
        <v>331862400.000001</v>
      </c>
      <c r="I1840" s="126" t="str">
        <f t="shared" si="86"/>
        <v>10y 191d 0h 0m</v>
      </c>
    </row>
    <row r="1841" s="91" customFormat="1" spans="1:9">
      <c r="A1841" s="91" t="str">
        <f t="shared" si="84"/>
        <v>Ba-133m</v>
      </c>
      <c r="B1841" s="91" t="s">
        <v>2445</v>
      </c>
      <c r="C1841" s="91" t="s">
        <v>2421</v>
      </c>
      <c r="D1841" s="91">
        <v>56</v>
      </c>
      <c r="E1841" s="91">
        <v>133</v>
      </c>
      <c r="F1841" s="91">
        <v>1</v>
      </c>
      <c r="G1841" s="126">
        <v>4.94963710768312e-6</v>
      </c>
      <c r="H1841" s="126">
        <f t="shared" si="85"/>
        <v>140040</v>
      </c>
      <c r="I1841" s="126" t="str">
        <f t="shared" si="86"/>
        <v>0y 1d 14h 54m</v>
      </c>
    </row>
    <row r="1842" s="91" customFormat="1" spans="1:9">
      <c r="A1842" s="91" t="str">
        <f t="shared" si="84"/>
        <v>Ba-134</v>
      </c>
      <c r="B1842" s="91" t="s">
        <v>2446</v>
      </c>
      <c r="C1842" s="91" t="s">
        <v>2421</v>
      </c>
      <c r="D1842" s="91">
        <v>56</v>
      </c>
      <c r="E1842" s="91">
        <v>134</v>
      </c>
      <c r="F1842" s="91">
        <v>0</v>
      </c>
      <c r="G1842" s="126">
        <v>0</v>
      </c>
      <c r="H1842" s="126">
        <f t="shared" si="85"/>
        <v>0</v>
      </c>
      <c r="I1842" s="126" t="str">
        <f t="shared" si="86"/>
        <v>0y 0d 0h 0m</v>
      </c>
    </row>
    <row r="1843" s="91" customFormat="1" spans="1:9">
      <c r="A1843" s="91" t="str">
        <f t="shared" si="84"/>
        <v>Ba-135</v>
      </c>
      <c r="B1843" s="91" t="s">
        <v>2447</v>
      </c>
      <c r="C1843" s="91" t="s">
        <v>2421</v>
      </c>
      <c r="D1843" s="91">
        <v>56</v>
      </c>
      <c r="E1843" s="91">
        <v>135</v>
      </c>
      <c r="F1843" s="91">
        <v>0</v>
      </c>
      <c r="G1843" s="126">
        <v>0</v>
      </c>
      <c r="H1843" s="126">
        <f t="shared" si="85"/>
        <v>0</v>
      </c>
      <c r="I1843" s="126" t="str">
        <f t="shared" si="86"/>
        <v>0y 0d 0h 0m</v>
      </c>
    </row>
    <row r="1844" s="91" customFormat="1" spans="1:9">
      <c r="A1844" s="91" t="str">
        <f t="shared" si="84"/>
        <v>Ba-135m</v>
      </c>
      <c r="B1844" s="91" t="s">
        <v>2448</v>
      </c>
      <c r="C1844" s="91" t="s">
        <v>2421</v>
      </c>
      <c r="D1844" s="91">
        <v>56</v>
      </c>
      <c r="E1844" s="91">
        <v>135</v>
      </c>
      <c r="F1844" s="91">
        <v>1</v>
      </c>
      <c r="G1844" s="126">
        <v>6.70874158497817e-6</v>
      </c>
      <c r="H1844" s="126">
        <f t="shared" si="85"/>
        <v>103320</v>
      </c>
      <c r="I1844" s="126" t="str">
        <f t="shared" si="86"/>
        <v>0y 1d 4h 42m</v>
      </c>
    </row>
    <row r="1845" s="91" customFormat="1" spans="1:9">
      <c r="A1845" s="91" t="str">
        <f t="shared" si="84"/>
        <v>Ba-136</v>
      </c>
      <c r="B1845" s="91" t="s">
        <v>2449</v>
      </c>
      <c r="C1845" s="91" t="s">
        <v>2421</v>
      </c>
      <c r="D1845" s="91">
        <v>56</v>
      </c>
      <c r="E1845" s="91">
        <v>136</v>
      </c>
      <c r="F1845" s="91">
        <v>0</v>
      </c>
      <c r="G1845" s="126">
        <v>0</v>
      </c>
      <c r="H1845" s="126">
        <f t="shared" si="85"/>
        <v>0</v>
      </c>
      <c r="I1845" s="126" t="str">
        <f t="shared" si="86"/>
        <v>0y 0d 0h 0m</v>
      </c>
    </row>
    <row r="1846" s="91" customFormat="1" spans="1:9">
      <c r="A1846" s="91" t="str">
        <f t="shared" si="84"/>
        <v>Ba-136m</v>
      </c>
      <c r="B1846" s="91" t="s">
        <v>2450</v>
      </c>
      <c r="C1846" s="91" t="s">
        <v>2421</v>
      </c>
      <c r="D1846" s="91">
        <v>56</v>
      </c>
      <c r="E1846" s="91">
        <v>136</v>
      </c>
      <c r="F1846" s="91">
        <v>1</v>
      </c>
      <c r="G1846" s="126">
        <v>2.24755895123198</v>
      </c>
      <c r="H1846" s="126">
        <f t="shared" si="85"/>
        <v>0.308400000000001</v>
      </c>
      <c r="I1846" s="126" t="str">
        <f t="shared" si="86"/>
        <v>0y 0d 0h 0m</v>
      </c>
    </row>
    <row r="1847" s="91" customFormat="1" spans="1:9">
      <c r="A1847" s="91" t="str">
        <f t="shared" si="84"/>
        <v>Ba-137</v>
      </c>
      <c r="B1847" s="91" t="s">
        <v>2451</v>
      </c>
      <c r="C1847" s="91" t="s">
        <v>2421</v>
      </c>
      <c r="D1847" s="91">
        <v>56</v>
      </c>
      <c r="E1847" s="91">
        <v>137</v>
      </c>
      <c r="F1847" s="91">
        <v>0</v>
      </c>
      <c r="G1847" s="126">
        <v>0</v>
      </c>
      <c r="H1847" s="126">
        <f t="shared" si="85"/>
        <v>0</v>
      </c>
      <c r="I1847" s="126" t="str">
        <f t="shared" si="86"/>
        <v>0y 0d 0h 0m</v>
      </c>
    </row>
    <row r="1848" s="91" customFormat="1" spans="1:9">
      <c r="A1848" s="91" t="str">
        <f t="shared" si="84"/>
        <v>Ba-137m</v>
      </c>
      <c r="B1848" s="91" t="s">
        <v>2452</v>
      </c>
      <c r="C1848" s="91" t="s">
        <v>2421</v>
      </c>
      <c r="D1848" s="91">
        <v>56</v>
      </c>
      <c r="E1848" s="91">
        <v>137</v>
      </c>
      <c r="F1848" s="91">
        <v>1</v>
      </c>
      <c r="G1848" s="126">
        <v>0.00452682327951897</v>
      </c>
      <c r="H1848" s="126">
        <f t="shared" si="85"/>
        <v>153.12</v>
      </c>
      <c r="I1848" s="126" t="str">
        <f t="shared" si="86"/>
        <v>0y 0d 0h 2m</v>
      </c>
    </row>
    <row r="1849" s="91" customFormat="1" spans="1:9">
      <c r="A1849" s="91" t="str">
        <f t="shared" si="84"/>
        <v>Ba-138</v>
      </c>
      <c r="B1849" s="91" t="s">
        <v>2453</v>
      </c>
      <c r="C1849" s="91" t="s">
        <v>2421</v>
      </c>
      <c r="D1849" s="91">
        <v>56</v>
      </c>
      <c r="E1849" s="91">
        <v>138</v>
      </c>
      <c r="F1849" s="91">
        <v>0</v>
      </c>
      <c r="G1849" s="126">
        <v>0</v>
      </c>
      <c r="H1849" s="126">
        <f t="shared" si="85"/>
        <v>0</v>
      </c>
      <c r="I1849" s="126" t="str">
        <f t="shared" si="86"/>
        <v>0y 0d 0h 0m</v>
      </c>
    </row>
    <row r="1850" s="91" customFormat="1" spans="1:9">
      <c r="A1850" s="91" t="str">
        <f t="shared" si="84"/>
        <v>Ba-139</v>
      </c>
      <c r="B1850" s="91" t="s">
        <v>2454</v>
      </c>
      <c r="C1850" s="91" t="s">
        <v>2421</v>
      </c>
      <c r="D1850" s="91">
        <v>56</v>
      </c>
      <c r="E1850" s="91">
        <v>139</v>
      </c>
      <c r="F1850" s="91">
        <v>0</v>
      </c>
      <c r="G1850" s="126">
        <v>0.000139085637001353</v>
      </c>
      <c r="H1850" s="126">
        <f t="shared" si="85"/>
        <v>4983.60000000002</v>
      </c>
      <c r="I1850" s="126" t="str">
        <f t="shared" si="86"/>
        <v>0y 0d 1h 23m</v>
      </c>
    </row>
    <row r="1851" s="91" customFormat="1" spans="1:9">
      <c r="A1851" s="91" t="str">
        <f t="shared" si="84"/>
        <v>Ba-140</v>
      </c>
      <c r="B1851" s="91" t="s">
        <v>2455</v>
      </c>
      <c r="C1851" s="91" t="s">
        <v>2421</v>
      </c>
      <c r="D1851" s="91">
        <v>56</v>
      </c>
      <c r="E1851" s="91">
        <v>140</v>
      </c>
      <c r="F1851" s="91">
        <v>0</v>
      </c>
      <c r="G1851" s="126">
        <v>6.29085515282211e-7</v>
      </c>
      <c r="H1851" s="126">
        <f t="shared" si="85"/>
        <v>1101833</v>
      </c>
      <c r="I1851" s="126" t="str">
        <f t="shared" si="86"/>
        <v>0y 12d 18h 3m</v>
      </c>
    </row>
    <row r="1852" s="91" customFormat="1" spans="1:9">
      <c r="A1852" s="91" t="str">
        <f t="shared" si="84"/>
        <v>Ba-141</v>
      </c>
      <c r="B1852" s="91" t="s">
        <v>2456</v>
      </c>
      <c r="C1852" s="91" t="s">
        <v>2421</v>
      </c>
      <c r="D1852" s="91">
        <v>56</v>
      </c>
      <c r="E1852" s="91">
        <v>141</v>
      </c>
      <c r="F1852" s="91">
        <v>0</v>
      </c>
      <c r="G1852" s="126">
        <v>0.000632318172377253</v>
      </c>
      <c r="H1852" s="126">
        <f t="shared" si="85"/>
        <v>1096.2</v>
      </c>
      <c r="I1852" s="126" t="str">
        <f t="shared" si="86"/>
        <v>0y 0d 0h 18m</v>
      </c>
    </row>
    <row r="1853" s="91" customFormat="1" spans="1:9">
      <c r="A1853" s="91" t="str">
        <f t="shared" si="84"/>
        <v>Ba-142</v>
      </c>
      <c r="B1853" s="91" t="s">
        <v>2457</v>
      </c>
      <c r="C1853" s="91" t="s">
        <v>2421</v>
      </c>
      <c r="D1853" s="91">
        <v>56</v>
      </c>
      <c r="E1853" s="91">
        <v>142</v>
      </c>
      <c r="F1853" s="91">
        <v>0</v>
      </c>
      <c r="G1853" s="126">
        <v>0.00108985405748419</v>
      </c>
      <c r="H1853" s="126">
        <f t="shared" si="85"/>
        <v>636</v>
      </c>
      <c r="I1853" s="126" t="str">
        <f t="shared" si="86"/>
        <v>0y 0d 0h 10m</v>
      </c>
    </row>
    <row r="1854" s="91" customFormat="1" spans="1:9">
      <c r="A1854" s="91" t="str">
        <f t="shared" si="84"/>
        <v>Ba-143</v>
      </c>
      <c r="B1854" s="91" t="s">
        <v>2458</v>
      </c>
      <c r="C1854" s="91" t="s">
        <v>2421</v>
      </c>
      <c r="D1854" s="91">
        <v>56</v>
      </c>
      <c r="E1854" s="91">
        <v>143</v>
      </c>
      <c r="F1854" s="91">
        <v>0</v>
      </c>
      <c r="G1854" s="126">
        <v>0.0478032538317203</v>
      </c>
      <c r="H1854" s="126">
        <f t="shared" si="85"/>
        <v>14.5</v>
      </c>
      <c r="I1854" s="126" t="str">
        <f t="shared" si="86"/>
        <v>0y 0d 0h 0m</v>
      </c>
    </row>
    <row r="1855" s="91" customFormat="1" spans="1:9">
      <c r="A1855" s="91" t="str">
        <f t="shared" si="84"/>
        <v>Ba-144</v>
      </c>
      <c r="B1855" s="91" t="s">
        <v>2459</v>
      </c>
      <c r="C1855" s="91" t="s">
        <v>2421</v>
      </c>
      <c r="D1855" s="91">
        <v>56</v>
      </c>
      <c r="E1855" s="91">
        <v>144</v>
      </c>
      <c r="F1855" s="91">
        <v>0</v>
      </c>
      <c r="G1855" s="126">
        <v>0.0602736678747778</v>
      </c>
      <c r="H1855" s="126">
        <f t="shared" si="85"/>
        <v>11.5</v>
      </c>
      <c r="I1855" s="126" t="str">
        <f t="shared" si="86"/>
        <v>0y 0d 0h 0m</v>
      </c>
    </row>
    <row r="1856" s="91" customFormat="1" spans="1:9">
      <c r="A1856" s="91" t="str">
        <f t="shared" si="84"/>
        <v>Ba-145</v>
      </c>
      <c r="B1856" s="91" t="s">
        <v>2460</v>
      </c>
      <c r="C1856" s="91" t="s">
        <v>2421</v>
      </c>
      <c r="D1856" s="91">
        <v>56</v>
      </c>
      <c r="E1856" s="91">
        <v>145</v>
      </c>
      <c r="F1856" s="91">
        <v>0</v>
      </c>
      <c r="G1856" s="126">
        <v>0.160823011730845</v>
      </c>
      <c r="H1856" s="126">
        <f t="shared" si="85"/>
        <v>4.31000000000002</v>
      </c>
      <c r="I1856" s="126" t="str">
        <f t="shared" si="86"/>
        <v>0y 0d 0h 0m</v>
      </c>
    </row>
    <row r="1857" s="91" customFormat="1" spans="1:9">
      <c r="A1857" s="91" t="str">
        <f t="shared" si="84"/>
        <v>Ba-146</v>
      </c>
      <c r="B1857" s="91" t="s">
        <v>2461</v>
      </c>
      <c r="C1857" s="91" t="s">
        <v>2421</v>
      </c>
      <c r="D1857" s="91">
        <v>56</v>
      </c>
      <c r="E1857" s="91">
        <v>146</v>
      </c>
      <c r="F1857" s="91">
        <v>0</v>
      </c>
      <c r="G1857" s="126">
        <v>0.312228459711687</v>
      </c>
      <c r="H1857" s="126">
        <f t="shared" si="85"/>
        <v>2.22</v>
      </c>
      <c r="I1857" s="126" t="str">
        <f t="shared" si="86"/>
        <v>0y 0d 0h 0m</v>
      </c>
    </row>
    <row r="1858" s="91" customFormat="1" spans="1:9">
      <c r="A1858" s="91" t="str">
        <f t="shared" ref="A1858:A1921" si="87">C1858&amp;"-"&amp;E1858&amp;_xlfn.IFS(F1858=0,"",F1858=1,"m",F1858&gt;1,"m"&amp;F1858)</f>
        <v>Ba-147</v>
      </c>
      <c r="B1858" s="91" t="s">
        <v>2462</v>
      </c>
      <c r="C1858" s="91" t="s">
        <v>2421</v>
      </c>
      <c r="D1858" s="91">
        <v>56</v>
      </c>
      <c r="E1858" s="91">
        <v>147</v>
      </c>
      <c r="F1858" s="91">
        <v>0</v>
      </c>
      <c r="G1858" s="126">
        <v>0.775332416733719</v>
      </c>
      <c r="H1858" s="126">
        <f t="shared" ref="H1858:H1921" si="88">IF(G1858&gt;0,LN(2)/G1858,0)</f>
        <v>0.894000000000001</v>
      </c>
      <c r="I1858" s="126" t="str">
        <f t="shared" si="86"/>
        <v>0y 0d 0h 0m</v>
      </c>
    </row>
    <row r="1859" s="91" customFormat="1" spans="1:9">
      <c r="A1859" s="91" t="str">
        <f t="shared" si="87"/>
        <v>Ba-148</v>
      </c>
      <c r="B1859" s="91" t="s">
        <v>2463</v>
      </c>
      <c r="C1859" s="91" t="s">
        <v>2421</v>
      </c>
      <c r="D1859" s="91">
        <v>56</v>
      </c>
      <c r="E1859" s="91">
        <v>148</v>
      </c>
      <c r="F1859" s="91">
        <v>0</v>
      </c>
      <c r="G1859" s="126">
        <v>1.13259343228749</v>
      </c>
      <c r="H1859" s="126">
        <f t="shared" si="88"/>
        <v>0.612000000000001</v>
      </c>
      <c r="I1859" s="126" t="str">
        <f t="shared" ref="I1859:I1922" si="89">INT(H1859/31536000)&amp;"y "&amp;INT(MOD(H1859,31536000)/86400)&amp;"d "&amp;INT(MOD(MOD(H1859,31536000),86400)/3600)&amp;"h "&amp;INT(MOD(MOD(MOD(H1859,31536000),86400),3600)/60)&amp;"m"</f>
        <v>0y 0d 0h 0m</v>
      </c>
    </row>
    <row r="1860" s="91" customFormat="1" spans="1:9">
      <c r="A1860" s="91" t="str">
        <f t="shared" si="87"/>
        <v>Ba-149</v>
      </c>
      <c r="B1860" s="91" t="s">
        <v>2464</v>
      </c>
      <c r="C1860" s="91" t="s">
        <v>2421</v>
      </c>
      <c r="D1860" s="91">
        <v>56</v>
      </c>
      <c r="E1860" s="91">
        <v>149</v>
      </c>
      <c r="F1860" s="91">
        <v>0</v>
      </c>
      <c r="G1860" s="126">
        <v>2.01496273418588</v>
      </c>
      <c r="H1860" s="126">
        <f t="shared" si="88"/>
        <v>0.344000000000001</v>
      </c>
      <c r="I1860" s="126" t="str">
        <f t="shared" si="89"/>
        <v>0y 0d 0h 0m</v>
      </c>
    </row>
    <row r="1861" s="91" customFormat="1" spans="1:9">
      <c r="A1861" s="91" t="str">
        <f t="shared" si="87"/>
        <v>Ba-150</v>
      </c>
      <c r="B1861" s="91" t="s">
        <v>2465</v>
      </c>
      <c r="C1861" s="91" t="s">
        <v>2421</v>
      </c>
      <c r="D1861" s="91">
        <v>56</v>
      </c>
      <c r="E1861" s="91">
        <v>150</v>
      </c>
      <c r="F1861" s="91">
        <v>0</v>
      </c>
      <c r="G1861" s="126">
        <v>2.31049060186648</v>
      </c>
      <c r="H1861" s="126">
        <f t="shared" si="88"/>
        <v>0.300000000000001</v>
      </c>
      <c r="I1861" s="126" t="str">
        <f t="shared" si="89"/>
        <v>0y 0d 0h 0m</v>
      </c>
    </row>
    <row r="1862" s="91" customFormat="1" spans="1:9">
      <c r="A1862" s="91" t="str">
        <f t="shared" si="87"/>
        <v>Ba-151</v>
      </c>
      <c r="B1862" s="91" t="s">
        <v>2466</v>
      </c>
      <c r="C1862" s="91" t="s">
        <v>2421</v>
      </c>
      <c r="D1862" s="91">
        <v>56</v>
      </c>
      <c r="E1862" s="91">
        <v>151</v>
      </c>
      <c r="F1862" s="91">
        <v>0</v>
      </c>
      <c r="G1862" s="126">
        <v>2.67624394038588</v>
      </c>
      <c r="H1862" s="126">
        <f t="shared" si="88"/>
        <v>0.259000000000001</v>
      </c>
      <c r="I1862" s="126" t="str">
        <f t="shared" si="89"/>
        <v>0y 0d 0h 0m</v>
      </c>
    </row>
    <row r="1863" s="91" customFormat="1" spans="1:9">
      <c r="A1863" s="91" t="str">
        <f t="shared" si="87"/>
        <v>Ba-152</v>
      </c>
      <c r="B1863" s="91" t="s">
        <v>2467</v>
      </c>
      <c r="C1863" s="91" t="s">
        <v>2421</v>
      </c>
      <c r="D1863" s="91">
        <v>56</v>
      </c>
      <c r="E1863" s="91">
        <v>152</v>
      </c>
      <c r="F1863" s="91">
        <v>0</v>
      </c>
      <c r="G1863" s="126">
        <v>3.04011921298221</v>
      </c>
      <c r="H1863" s="126">
        <f t="shared" si="88"/>
        <v>0.228</v>
      </c>
      <c r="I1863" s="126" t="str">
        <f t="shared" si="89"/>
        <v>0y 0d 0h 0m</v>
      </c>
    </row>
    <row r="1864" s="91" customFormat="1" spans="1:9">
      <c r="A1864" s="91" t="str">
        <f t="shared" si="87"/>
        <v>Ba-153</v>
      </c>
      <c r="B1864" s="91" t="s">
        <v>2468</v>
      </c>
      <c r="C1864" s="91" t="s">
        <v>2421</v>
      </c>
      <c r="D1864" s="91">
        <v>56</v>
      </c>
      <c r="E1864" s="91">
        <v>153</v>
      </c>
      <c r="F1864" s="91">
        <v>0</v>
      </c>
      <c r="G1864" s="126">
        <v>4.38700747189838</v>
      </c>
      <c r="H1864" s="126">
        <f t="shared" si="88"/>
        <v>0.158</v>
      </c>
      <c r="I1864" s="126" t="str">
        <f t="shared" si="89"/>
        <v>0y 0d 0h 0m</v>
      </c>
    </row>
    <row r="1865" s="91" customFormat="1" spans="1:9">
      <c r="A1865" s="91" t="str">
        <f t="shared" si="87"/>
        <v>La-117</v>
      </c>
      <c r="B1865" s="91" t="s">
        <v>2469</v>
      </c>
      <c r="C1865" s="91" t="s">
        <v>2470</v>
      </c>
      <c r="D1865" s="91">
        <v>57</v>
      </c>
      <c r="E1865" s="91">
        <v>117</v>
      </c>
      <c r="F1865" s="91">
        <v>0</v>
      </c>
      <c r="G1865" s="126">
        <v>29.4956247046785</v>
      </c>
      <c r="H1865" s="126">
        <f t="shared" si="88"/>
        <v>0.0235</v>
      </c>
      <c r="I1865" s="126" t="str">
        <f t="shared" si="89"/>
        <v>0y 0d 0h 0m</v>
      </c>
    </row>
    <row r="1866" s="91" customFormat="1" spans="1:9">
      <c r="A1866" s="91" t="str">
        <f t="shared" si="87"/>
        <v>La-117m</v>
      </c>
      <c r="B1866" s="91" t="s">
        <v>2471</v>
      </c>
      <c r="C1866" s="91" t="s">
        <v>2470</v>
      </c>
      <c r="D1866" s="91">
        <v>57</v>
      </c>
      <c r="E1866" s="91">
        <v>117</v>
      </c>
      <c r="F1866" s="91">
        <v>1</v>
      </c>
      <c r="G1866" s="126">
        <v>69.3147180559945</v>
      </c>
      <c r="H1866" s="126">
        <f t="shared" si="88"/>
        <v>0.01</v>
      </c>
      <c r="I1866" s="126" t="str">
        <f t="shared" si="89"/>
        <v>0y 0d 0h 0m</v>
      </c>
    </row>
    <row r="1867" s="91" customFormat="1" spans="1:9">
      <c r="A1867" s="91" t="str">
        <f t="shared" si="87"/>
        <v>La-118</v>
      </c>
      <c r="B1867" s="91" t="s">
        <v>2472</v>
      </c>
      <c r="C1867" s="91" t="s">
        <v>2470</v>
      </c>
      <c r="D1867" s="91">
        <v>57</v>
      </c>
      <c r="E1867" s="91">
        <v>118</v>
      </c>
      <c r="F1867" s="91">
        <v>0</v>
      </c>
      <c r="G1867" s="126">
        <v>0.693147180559945</v>
      </c>
      <c r="H1867" s="126">
        <f t="shared" si="88"/>
        <v>1</v>
      </c>
      <c r="I1867" s="126" t="str">
        <f t="shared" si="89"/>
        <v>0y 0d 0h 0m</v>
      </c>
    </row>
    <row r="1868" s="91" customFormat="1" spans="1:9">
      <c r="A1868" s="91" t="str">
        <f t="shared" si="87"/>
        <v>La-119</v>
      </c>
      <c r="B1868" s="91" t="s">
        <v>2473</v>
      </c>
      <c r="C1868" s="91" t="s">
        <v>2470</v>
      </c>
      <c r="D1868" s="91">
        <v>57</v>
      </c>
      <c r="E1868" s="91">
        <v>119</v>
      </c>
      <c r="F1868" s="91">
        <v>0</v>
      </c>
      <c r="G1868" s="126">
        <v>0.346573590279972</v>
      </c>
      <c r="H1868" s="126">
        <f t="shared" si="88"/>
        <v>2</v>
      </c>
      <c r="I1868" s="126" t="str">
        <f t="shared" si="89"/>
        <v>0y 0d 0h 0m</v>
      </c>
    </row>
    <row r="1869" s="91" customFormat="1" spans="1:9">
      <c r="A1869" s="91" t="str">
        <f t="shared" si="87"/>
        <v>La-120</v>
      </c>
      <c r="B1869" s="91" t="s">
        <v>2474</v>
      </c>
      <c r="C1869" s="91" t="s">
        <v>2470</v>
      </c>
      <c r="D1869" s="91">
        <v>57</v>
      </c>
      <c r="E1869" s="91">
        <v>120</v>
      </c>
      <c r="F1869" s="91">
        <v>0</v>
      </c>
      <c r="G1869" s="126">
        <v>0.247552564485694</v>
      </c>
      <c r="H1869" s="126">
        <f t="shared" si="88"/>
        <v>2.80000000000001</v>
      </c>
      <c r="I1869" s="126" t="str">
        <f t="shared" si="89"/>
        <v>0y 0d 0h 0m</v>
      </c>
    </row>
    <row r="1870" s="91" customFormat="1" spans="1:9">
      <c r="A1870" s="91" t="str">
        <f t="shared" si="87"/>
        <v>La-121</v>
      </c>
      <c r="B1870" s="91" t="s">
        <v>2475</v>
      </c>
      <c r="C1870" s="91" t="s">
        <v>2470</v>
      </c>
      <c r="D1870" s="91">
        <v>57</v>
      </c>
      <c r="E1870" s="91">
        <v>121</v>
      </c>
      <c r="F1870" s="91">
        <v>0</v>
      </c>
      <c r="G1870" s="126">
        <v>0.130782486898102</v>
      </c>
      <c r="H1870" s="126">
        <f t="shared" si="88"/>
        <v>5.30000000000004</v>
      </c>
      <c r="I1870" s="126" t="str">
        <f t="shared" si="89"/>
        <v>0y 0d 0h 0m</v>
      </c>
    </row>
    <row r="1871" s="91" customFormat="1" spans="1:9">
      <c r="A1871" s="91" t="str">
        <f t="shared" si="87"/>
        <v>La-122</v>
      </c>
      <c r="B1871" s="91" t="s">
        <v>2476</v>
      </c>
      <c r="C1871" s="91" t="s">
        <v>2470</v>
      </c>
      <c r="D1871" s="91">
        <v>57</v>
      </c>
      <c r="E1871" s="91">
        <v>122</v>
      </c>
      <c r="F1871" s="91">
        <v>0</v>
      </c>
      <c r="G1871" s="126">
        <v>0.0805985093674355</v>
      </c>
      <c r="H1871" s="126">
        <f t="shared" si="88"/>
        <v>8.6</v>
      </c>
      <c r="I1871" s="126" t="str">
        <f t="shared" si="89"/>
        <v>0y 0d 0h 0m</v>
      </c>
    </row>
    <row r="1872" s="91" customFormat="1" spans="1:9">
      <c r="A1872" s="91" t="str">
        <f t="shared" si="87"/>
        <v>La-123</v>
      </c>
      <c r="B1872" s="91" t="s">
        <v>2477</v>
      </c>
      <c r="C1872" s="91" t="s">
        <v>2470</v>
      </c>
      <c r="D1872" s="91">
        <v>57</v>
      </c>
      <c r="E1872" s="91">
        <v>123</v>
      </c>
      <c r="F1872" s="91">
        <v>0</v>
      </c>
      <c r="G1872" s="126">
        <v>0.0407733635623497</v>
      </c>
      <c r="H1872" s="126">
        <f t="shared" si="88"/>
        <v>17</v>
      </c>
      <c r="I1872" s="126" t="str">
        <f t="shared" si="89"/>
        <v>0y 0d 0h 0m</v>
      </c>
    </row>
    <row r="1873" s="91" customFormat="1" spans="1:9">
      <c r="A1873" s="91" t="str">
        <f t="shared" si="87"/>
        <v>La-124</v>
      </c>
      <c r="B1873" s="91" t="s">
        <v>2478</v>
      </c>
      <c r="C1873" s="91" t="s">
        <v>2470</v>
      </c>
      <c r="D1873" s="91">
        <v>57</v>
      </c>
      <c r="E1873" s="91">
        <v>124</v>
      </c>
      <c r="F1873" s="91">
        <v>0</v>
      </c>
      <c r="G1873" s="126">
        <v>0.023729790501881</v>
      </c>
      <c r="H1873" s="126">
        <f t="shared" si="88"/>
        <v>29.2100000000001</v>
      </c>
      <c r="I1873" s="126" t="str">
        <f t="shared" si="89"/>
        <v>0y 0d 0h 0m</v>
      </c>
    </row>
    <row r="1874" s="91" customFormat="1" spans="1:9">
      <c r="A1874" s="91" t="str">
        <f t="shared" si="87"/>
        <v>La-124m</v>
      </c>
      <c r="B1874" s="91" t="s">
        <v>2479</v>
      </c>
      <c r="C1874" s="91" t="s">
        <v>2470</v>
      </c>
      <c r="D1874" s="91">
        <v>57</v>
      </c>
      <c r="E1874" s="91">
        <v>124</v>
      </c>
      <c r="F1874" s="91">
        <v>1</v>
      </c>
      <c r="G1874" s="126">
        <v>0.0330070085980926</v>
      </c>
      <c r="H1874" s="126">
        <f t="shared" si="88"/>
        <v>21</v>
      </c>
      <c r="I1874" s="126" t="str">
        <f t="shared" si="89"/>
        <v>0y 0d 0h 0m</v>
      </c>
    </row>
    <row r="1875" s="91" customFormat="1" spans="1:9">
      <c r="A1875" s="91" t="str">
        <f t="shared" si="87"/>
        <v>La-125</v>
      </c>
      <c r="B1875" s="91" t="s">
        <v>2480</v>
      </c>
      <c r="C1875" s="91" t="s">
        <v>2470</v>
      </c>
      <c r="D1875" s="91">
        <v>57</v>
      </c>
      <c r="E1875" s="91">
        <v>125</v>
      </c>
      <c r="F1875" s="91">
        <v>0</v>
      </c>
      <c r="G1875" s="126">
        <v>0.0106967157493818</v>
      </c>
      <c r="H1875" s="126">
        <f t="shared" si="88"/>
        <v>64.8000000000004</v>
      </c>
      <c r="I1875" s="126" t="str">
        <f t="shared" si="89"/>
        <v>0y 0d 0h 1m</v>
      </c>
    </row>
    <row r="1876" s="91" customFormat="1" spans="1:9">
      <c r="A1876" s="91" t="str">
        <f t="shared" si="87"/>
        <v>La-125m</v>
      </c>
      <c r="B1876" s="91" t="s">
        <v>2481</v>
      </c>
      <c r="C1876" s="91" t="s">
        <v>2470</v>
      </c>
      <c r="D1876" s="91">
        <v>57</v>
      </c>
      <c r="E1876" s="91">
        <v>125</v>
      </c>
      <c r="F1876" s="91">
        <v>1</v>
      </c>
      <c r="G1876" s="126">
        <v>1.73286795139986</v>
      </c>
      <c r="H1876" s="126">
        <f t="shared" si="88"/>
        <v>0.400000000000001</v>
      </c>
      <c r="I1876" s="126" t="str">
        <f t="shared" si="89"/>
        <v>0y 0d 0h 0m</v>
      </c>
    </row>
    <row r="1877" s="91" customFormat="1" spans="1:9">
      <c r="A1877" s="91" t="str">
        <f t="shared" si="87"/>
        <v>La-126</v>
      </c>
      <c r="B1877" s="91" t="s">
        <v>2482</v>
      </c>
      <c r="C1877" s="91" t="s">
        <v>2470</v>
      </c>
      <c r="D1877" s="91">
        <v>57</v>
      </c>
      <c r="E1877" s="91">
        <v>126</v>
      </c>
      <c r="F1877" s="91">
        <v>0</v>
      </c>
      <c r="G1877" s="126">
        <v>0.0128360588992582</v>
      </c>
      <c r="H1877" s="126">
        <f t="shared" si="88"/>
        <v>54.0000000000002</v>
      </c>
      <c r="I1877" s="126" t="str">
        <f t="shared" si="89"/>
        <v>0y 0d 0h 0m</v>
      </c>
    </row>
    <row r="1878" s="91" customFormat="1" spans="1:9">
      <c r="A1878" s="91" t="str">
        <f t="shared" si="87"/>
        <v>La-126m</v>
      </c>
      <c r="B1878" s="91" t="s">
        <v>2483</v>
      </c>
      <c r="C1878" s="91" t="s">
        <v>2470</v>
      </c>
      <c r="D1878" s="91">
        <v>57</v>
      </c>
      <c r="E1878" s="91">
        <v>126</v>
      </c>
      <c r="F1878" s="91">
        <v>1</v>
      </c>
      <c r="G1878" s="126">
        <v>0.0138629436111989</v>
      </c>
      <c r="H1878" s="126">
        <f t="shared" si="88"/>
        <v>50</v>
      </c>
      <c r="I1878" s="126" t="str">
        <f t="shared" si="89"/>
        <v>0y 0d 0h 0m</v>
      </c>
    </row>
    <row r="1879" s="91" customFormat="1" spans="1:9">
      <c r="A1879" s="91" t="str">
        <f t="shared" si="87"/>
        <v>La-127</v>
      </c>
      <c r="B1879" s="91" t="s">
        <v>2484</v>
      </c>
      <c r="C1879" s="91" t="s">
        <v>2470</v>
      </c>
      <c r="D1879" s="91">
        <v>57</v>
      </c>
      <c r="E1879" s="91">
        <v>127</v>
      </c>
      <c r="F1879" s="91">
        <v>0</v>
      </c>
      <c r="G1879" s="126">
        <v>0.00226518686457498</v>
      </c>
      <c r="H1879" s="126">
        <f t="shared" si="88"/>
        <v>306.000000000001</v>
      </c>
      <c r="I1879" s="126" t="str">
        <f t="shared" si="89"/>
        <v>0y 0d 0h 5m</v>
      </c>
    </row>
    <row r="1880" s="91" customFormat="1" spans="1:9">
      <c r="A1880" s="91" t="str">
        <f t="shared" si="87"/>
        <v>La-127m</v>
      </c>
      <c r="B1880" s="91" t="s">
        <v>2485</v>
      </c>
      <c r="C1880" s="91" t="s">
        <v>2470</v>
      </c>
      <c r="D1880" s="91">
        <v>57</v>
      </c>
      <c r="E1880" s="91">
        <v>127</v>
      </c>
      <c r="F1880" s="91">
        <v>1</v>
      </c>
      <c r="G1880" s="126">
        <v>0.00312228459711687</v>
      </c>
      <c r="H1880" s="126">
        <f t="shared" si="88"/>
        <v>222</v>
      </c>
      <c r="I1880" s="126" t="str">
        <f t="shared" si="89"/>
        <v>0y 0d 0h 3m</v>
      </c>
    </row>
    <row r="1881" s="91" customFormat="1" spans="1:9">
      <c r="A1881" s="91" t="str">
        <f t="shared" si="87"/>
        <v>La-128</v>
      </c>
      <c r="B1881" s="91" t="s">
        <v>2486</v>
      </c>
      <c r="C1881" s="91" t="s">
        <v>2470</v>
      </c>
      <c r="D1881" s="91">
        <v>57</v>
      </c>
      <c r="E1881" s="91">
        <v>128</v>
      </c>
      <c r="F1881" s="91">
        <v>0</v>
      </c>
      <c r="G1881" s="126">
        <v>0.0022302032836549</v>
      </c>
      <c r="H1881" s="126">
        <f t="shared" si="88"/>
        <v>310.800000000001</v>
      </c>
      <c r="I1881" s="126" t="str">
        <f t="shared" si="89"/>
        <v>0y 0d 0h 5m</v>
      </c>
    </row>
    <row r="1882" s="91" customFormat="1" spans="1:9">
      <c r="A1882" s="91" t="str">
        <f t="shared" si="87"/>
        <v>La-128m</v>
      </c>
      <c r="B1882" s="91" t="s">
        <v>2487</v>
      </c>
      <c r="C1882" s="91" t="s">
        <v>2470</v>
      </c>
      <c r="D1882" s="91">
        <v>57</v>
      </c>
      <c r="E1882" s="91">
        <v>128</v>
      </c>
      <c r="F1882" s="91">
        <v>1</v>
      </c>
      <c r="G1882" s="126">
        <v>0.0115524530093324</v>
      </c>
      <c r="H1882" s="126">
        <f t="shared" si="88"/>
        <v>60.0000000000001</v>
      </c>
      <c r="I1882" s="126" t="str">
        <f t="shared" si="89"/>
        <v>0y 0d 0h 1m</v>
      </c>
    </row>
    <row r="1883" s="91" customFormat="1" spans="1:9">
      <c r="A1883" s="91" t="str">
        <f t="shared" si="87"/>
        <v>La-129</v>
      </c>
      <c r="B1883" s="91" t="s">
        <v>2488</v>
      </c>
      <c r="C1883" s="91" t="s">
        <v>2470</v>
      </c>
      <c r="D1883" s="91">
        <v>57</v>
      </c>
      <c r="E1883" s="91">
        <v>129</v>
      </c>
      <c r="F1883" s="91">
        <v>0</v>
      </c>
      <c r="G1883" s="126">
        <v>0.000995901121494174</v>
      </c>
      <c r="H1883" s="126">
        <f t="shared" si="88"/>
        <v>696</v>
      </c>
      <c r="I1883" s="126" t="str">
        <f t="shared" si="89"/>
        <v>0y 0d 0h 11m</v>
      </c>
    </row>
    <row r="1884" s="91" customFormat="1" spans="1:9">
      <c r="A1884" s="91" t="str">
        <f t="shared" si="87"/>
        <v>La-129m</v>
      </c>
      <c r="B1884" s="91" t="s">
        <v>2489</v>
      </c>
      <c r="C1884" s="91" t="s">
        <v>2470</v>
      </c>
      <c r="D1884" s="91">
        <v>57</v>
      </c>
      <c r="E1884" s="91">
        <v>129</v>
      </c>
      <c r="F1884" s="91">
        <v>1</v>
      </c>
      <c r="G1884" s="126">
        <v>1.23776282242847</v>
      </c>
      <c r="H1884" s="126">
        <f t="shared" si="88"/>
        <v>0.560000000000002</v>
      </c>
      <c r="I1884" s="126" t="str">
        <f t="shared" si="89"/>
        <v>0y 0d 0h 0m</v>
      </c>
    </row>
    <row r="1885" s="91" customFormat="1" spans="1:9">
      <c r="A1885" s="91" t="str">
        <f t="shared" si="87"/>
        <v>La-130</v>
      </c>
      <c r="B1885" s="91" t="s">
        <v>2490</v>
      </c>
      <c r="C1885" s="91" t="s">
        <v>2470</v>
      </c>
      <c r="D1885" s="91">
        <v>57</v>
      </c>
      <c r="E1885" s="91">
        <v>130</v>
      </c>
      <c r="F1885" s="91">
        <v>0</v>
      </c>
      <c r="G1885" s="126">
        <v>0.00132786816199223</v>
      </c>
      <c r="H1885" s="126">
        <f t="shared" si="88"/>
        <v>522.000000000001</v>
      </c>
      <c r="I1885" s="126" t="str">
        <f t="shared" si="89"/>
        <v>0y 0d 0h 8m</v>
      </c>
    </row>
    <row r="1886" s="91" customFormat="1" spans="1:9">
      <c r="A1886" s="91" t="str">
        <f t="shared" si="87"/>
        <v>La-131</v>
      </c>
      <c r="B1886" s="91" t="s">
        <v>2491</v>
      </c>
      <c r="C1886" s="91" t="s">
        <v>2470</v>
      </c>
      <c r="D1886" s="91">
        <v>57</v>
      </c>
      <c r="E1886" s="91">
        <v>131</v>
      </c>
      <c r="F1886" s="91">
        <v>0</v>
      </c>
      <c r="G1886" s="126">
        <v>0.000195804288293769</v>
      </c>
      <c r="H1886" s="126">
        <f t="shared" si="88"/>
        <v>3540.00000000002</v>
      </c>
      <c r="I1886" s="126" t="str">
        <f t="shared" si="89"/>
        <v>0y 0d 0h 59m</v>
      </c>
    </row>
    <row r="1887" s="91" customFormat="1" spans="1:9">
      <c r="A1887" s="91" t="str">
        <f t="shared" si="87"/>
        <v>La-132</v>
      </c>
      <c r="B1887" s="91" t="s">
        <v>2492</v>
      </c>
      <c r="C1887" s="91" t="s">
        <v>2470</v>
      </c>
      <c r="D1887" s="91">
        <v>57</v>
      </c>
      <c r="E1887" s="91">
        <v>132</v>
      </c>
      <c r="F1887" s="91">
        <v>0</v>
      </c>
      <c r="G1887" s="126">
        <v>4.0112684060182e-5</v>
      </c>
      <c r="H1887" s="126">
        <f t="shared" si="88"/>
        <v>17280</v>
      </c>
      <c r="I1887" s="126" t="str">
        <f t="shared" si="89"/>
        <v>0y 0d 4h 48m</v>
      </c>
    </row>
    <row r="1888" s="91" customFormat="1" spans="1:9">
      <c r="A1888" s="91" t="str">
        <f t="shared" si="87"/>
        <v>La-132m</v>
      </c>
      <c r="B1888" s="91" t="s">
        <v>2493</v>
      </c>
      <c r="C1888" s="91" t="s">
        <v>2470</v>
      </c>
      <c r="D1888" s="91">
        <v>57</v>
      </c>
      <c r="E1888" s="91">
        <v>132</v>
      </c>
      <c r="F1888" s="91">
        <v>1</v>
      </c>
      <c r="G1888" s="126">
        <v>0.000475409588861416</v>
      </c>
      <c r="H1888" s="126">
        <f t="shared" si="88"/>
        <v>1458</v>
      </c>
      <c r="I1888" s="126" t="str">
        <f t="shared" si="89"/>
        <v>0y 0d 0h 24m</v>
      </c>
    </row>
    <row r="1889" s="91" customFormat="1" spans="1:9">
      <c r="A1889" s="91" t="str">
        <f t="shared" si="87"/>
        <v>La-133</v>
      </c>
      <c r="B1889" s="91" t="s">
        <v>2494</v>
      </c>
      <c r="C1889" s="91" t="s">
        <v>2470</v>
      </c>
      <c r="D1889" s="91">
        <v>57</v>
      </c>
      <c r="E1889" s="91">
        <v>133</v>
      </c>
      <c r="F1889" s="91">
        <v>0</v>
      </c>
      <c r="G1889" s="126">
        <v>4.9218017251757e-5</v>
      </c>
      <c r="H1889" s="126">
        <f t="shared" si="88"/>
        <v>14083.2</v>
      </c>
      <c r="I1889" s="126" t="str">
        <f t="shared" si="89"/>
        <v>0y 0d 3h 54m</v>
      </c>
    </row>
    <row r="1890" s="91" customFormat="1" spans="1:9">
      <c r="A1890" s="91" t="str">
        <f t="shared" si="87"/>
        <v>La-134</v>
      </c>
      <c r="B1890" s="91" t="s">
        <v>2495</v>
      </c>
      <c r="C1890" s="91" t="s">
        <v>2470</v>
      </c>
      <c r="D1890" s="91">
        <v>57</v>
      </c>
      <c r="E1890" s="91">
        <v>134</v>
      </c>
      <c r="F1890" s="91">
        <v>0</v>
      </c>
      <c r="G1890" s="126">
        <v>0.00179107798594301</v>
      </c>
      <c r="H1890" s="126">
        <f t="shared" si="88"/>
        <v>387</v>
      </c>
      <c r="I1890" s="126" t="str">
        <f t="shared" si="89"/>
        <v>0y 0d 0h 6m</v>
      </c>
    </row>
    <row r="1891" s="91" customFormat="1" spans="1:9">
      <c r="A1891" s="91" t="str">
        <f t="shared" si="87"/>
        <v>La-135</v>
      </c>
      <c r="B1891" s="91" t="s">
        <v>2496</v>
      </c>
      <c r="C1891" s="91" t="s">
        <v>2470</v>
      </c>
      <c r="D1891" s="91">
        <v>57</v>
      </c>
      <c r="E1891" s="91">
        <v>135</v>
      </c>
      <c r="F1891" s="91">
        <v>0</v>
      </c>
      <c r="G1891" s="126">
        <v>9.87389146096788e-6</v>
      </c>
      <c r="H1891" s="126">
        <f t="shared" si="88"/>
        <v>70200</v>
      </c>
      <c r="I1891" s="126" t="str">
        <f t="shared" si="89"/>
        <v>0y 0d 19h 30m</v>
      </c>
    </row>
    <row r="1892" s="91" customFormat="1" spans="1:9">
      <c r="A1892" s="91" t="str">
        <f t="shared" si="87"/>
        <v>La-136</v>
      </c>
      <c r="B1892" s="91" t="s">
        <v>2497</v>
      </c>
      <c r="C1892" s="91" t="s">
        <v>2470</v>
      </c>
      <c r="D1892" s="91">
        <v>57</v>
      </c>
      <c r="E1892" s="91">
        <v>136</v>
      </c>
      <c r="F1892" s="91">
        <v>0</v>
      </c>
      <c r="G1892" s="126">
        <v>0.0011704612978047</v>
      </c>
      <c r="H1892" s="126">
        <f t="shared" si="88"/>
        <v>592.200000000002</v>
      </c>
      <c r="I1892" s="126" t="str">
        <f t="shared" si="89"/>
        <v>0y 0d 0h 9m</v>
      </c>
    </row>
    <row r="1893" s="91" customFormat="1" spans="1:9">
      <c r="A1893" s="91" t="str">
        <f t="shared" si="87"/>
        <v>La-136m</v>
      </c>
      <c r="B1893" s="91" t="s">
        <v>2498</v>
      </c>
      <c r="C1893" s="91" t="s">
        <v>2470</v>
      </c>
      <c r="D1893" s="91">
        <v>57</v>
      </c>
      <c r="E1893" s="91">
        <v>136</v>
      </c>
      <c r="F1893" s="91">
        <v>1</v>
      </c>
      <c r="G1893" s="126">
        <v>6.08023842596443</v>
      </c>
      <c r="H1893" s="126">
        <f t="shared" si="88"/>
        <v>0.114</v>
      </c>
      <c r="I1893" s="126" t="str">
        <f t="shared" si="89"/>
        <v>0y 0d 0h 0m</v>
      </c>
    </row>
    <row r="1894" s="91" customFormat="1" spans="1:9">
      <c r="A1894" s="91" t="str">
        <f t="shared" si="87"/>
        <v>La-137</v>
      </c>
      <c r="B1894" s="91" t="s">
        <v>2499</v>
      </c>
      <c r="C1894" s="91" t="s">
        <v>2470</v>
      </c>
      <c r="D1894" s="91">
        <v>57</v>
      </c>
      <c r="E1894" s="91">
        <v>137</v>
      </c>
      <c r="F1894" s="91">
        <v>0</v>
      </c>
      <c r="G1894" s="126">
        <v>3.66074372080712e-13</v>
      </c>
      <c r="H1894" s="126">
        <f t="shared" si="88"/>
        <v>1893460000000</v>
      </c>
      <c r="I1894" s="126" t="str">
        <f t="shared" si="89"/>
        <v>60041y 81d 7h 6m</v>
      </c>
    </row>
    <row r="1895" s="91" customFormat="1" spans="1:9">
      <c r="A1895" s="91" t="str">
        <f t="shared" si="87"/>
        <v>La-138</v>
      </c>
      <c r="B1895" s="91" t="s">
        <v>2500</v>
      </c>
      <c r="C1895" s="91" t="s">
        <v>2470</v>
      </c>
      <c r="D1895" s="91">
        <v>57</v>
      </c>
      <c r="E1895" s="91">
        <v>138</v>
      </c>
      <c r="F1895" s="91">
        <v>0</v>
      </c>
      <c r="G1895" s="126">
        <v>2.15337999726595e-19</v>
      </c>
      <c r="H1895" s="126">
        <f t="shared" si="88"/>
        <v>3.21888000000001e+18</v>
      </c>
      <c r="I1895" s="126" t="str">
        <f t="shared" si="89"/>
        <v>102070015220y 255d 17h 27m</v>
      </c>
    </row>
    <row r="1896" s="91" customFormat="1" spans="1:9">
      <c r="A1896" s="91" t="str">
        <f t="shared" si="87"/>
        <v>La-139</v>
      </c>
      <c r="B1896" s="91" t="s">
        <v>2501</v>
      </c>
      <c r="C1896" s="91" t="s">
        <v>2470</v>
      </c>
      <c r="D1896" s="91">
        <v>57</v>
      </c>
      <c r="E1896" s="91">
        <v>139</v>
      </c>
      <c r="F1896" s="91">
        <v>0</v>
      </c>
      <c r="G1896" s="126">
        <v>0</v>
      </c>
      <c r="H1896" s="126">
        <f t="shared" si="88"/>
        <v>0</v>
      </c>
      <c r="I1896" s="126" t="str">
        <f t="shared" si="89"/>
        <v>0y 0d 0h 0m</v>
      </c>
    </row>
    <row r="1897" s="91" customFormat="1" spans="1:9">
      <c r="A1897" s="91" t="str">
        <f t="shared" si="87"/>
        <v>La-140</v>
      </c>
      <c r="B1897" s="91" t="s">
        <v>2502</v>
      </c>
      <c r="C1897" s="91" t="s">
        <v>2470</v>
      </c>
      <c r="D1897" s="91">
        <v>57</v>
      </c>
      <c r="E1897" s="91">
        <v>140</v>
      </c>
      <c r="F1897" s="91">
        <v>0</v>
      </c>
      <c r="G1897" s="126">
        <v>4.77944530600189e-6</v>
      </c>
      <c r="H1897" s="126">
        <f t="shared" si="88"/>
        <v>145026.7</v>
      </c>
      <c r="I1897" s="126" t="str">
        <f t="shared" si="89"/>
        <v>0y 1d 16h 17m</v>
      </c>
    </row>
    <row r="1898" s="91" customFormat="1" spans="1:9">
      <c r="A1898" s="91" t="str">
        <f t="shared" si="87"/>
        <v>La-141</v>
      </c>
      <c r="B1898" s="91" t="s">
        <v>2503</v>
      </c>
      <c r="C1898" s="91" t="s">
        <v>2470</v>
      </c>
      <c r="D1898" s="91">
        <v>57</v>
      </c>
      <c r="E1898" s="91">
        <v>141</v>
      </c>
      <c r="F1898" s="91">
        <v>0</v>
      </c>
      <c r="G1898" s="126">
        <v>4.91175723185902e-5</v>
      </c>
      <c r="H1898" s="126">
        <f t="shared" si="88"/>
        <v>14112</v>
      </c>
      <c r="I1898" s="126" t="str">
        <f t="shared" si="89"/>
        <v>0y 0d 3h 55m</v>
      </c>
    </row>
    <row r="1899" s="91" customFormat="1" spans="1:9">
      <c r="A1899" s="91" t="str">
        <f t="shared" si="87"/>
        <v>La-142</v>
      </c>
      <c r="B1899" s="91" t="s">
        <v>2504</v>
      </c>
      <c r="C1899" s="91" t="s">
        <v>2470</v>
      </c>
      <c r="D1899" s="91">
        <v>57</v>
      </c>
      <c r="E1899" s="91">
        <v>142</v>
      </c>
      <c r="F1899" s="91">
        <v>0</v>
      </c>
      <c r="G1899" s="126">
        <v>0.000126810680673242</v>
      </c>
      <c r="H1899" s="126">
        <f t="shared" si="88"/>
        <v>5466.00000000004</v>
      </c>
      <c r="I1899" s="126" t="str">
        <f t="shared" si="89"/>
        <v>0y 0d 1h 31m</v>
      </c>
    </row>
    <row r="1900" s="91" customFormat="1" spans="1:9">
      <c r="A1900" s="91" t="str">
        <f t="shared" si="87"/>
        <v>La-143</v>
      </c>
      <c r="B1900" s="91" t="s">
        <v>2505</v>
      </c>
      <c r="C1900" s="91" t="s">
        <v>2470</v>
      </c>
      <c r="D1900" s="91">
        <v>57</v>
      </c>
      <c r="E1900" s="91">
        <v>143</v>
      </c>
      <c r="F1900" s="91">
        <v>0</v>
      </c>
      <c r="G1900" s="126">
        <v>0.000813553028826226</v>
      </c>
      <c r="H1900" s="126">
        <f t="shared" si="88"/>
        <v>852.000000000001</v>
      </c>
      <c r="I1900" s="126" t="str">
        <f t="shared" si="89"/>
        <v>0y 0d 0h 14m</v>
      </c>
    </row>
    <row r="1901" s="91" customFormat="1" spans="1:9">
      <c r="A1901" s="91" t="str">
        <f t="shared" si="87"/>
        <v>La-144</v>
      </c>
      <c r="B1901" s="91" t="s">
        <v>2506</v>
      </c>
      <c r="C1901" s="91" t="s">
        <v>2470</v>
      </c>
      <c r="D1901" s="91">
        <v>57</v>
      </c>
      <c r="E1901" s="91">
        <v>144</v>
      </c>
      <c r="F1901" s="91">
        <v>0</v>
      </c>
      <c r="G1901" s="126">
        <v>0.0169889014843123</v>
      </c>
      <c r="H1901" s="126">
        <f t="shared" si="88"/>
        <v>40.8000000000002</v>
      </c>
      <c r="I1901" s="126" t="str">
        <f t="shared" si="89"/>
        <v>0y 0d 0h 0m</v>
      </c>
    </row>
    <row r="1902" s="91" customFormat="1" spans="1:9">
      <c r="A1902" s="91" t="str">
        <f t="shared" si="87"/>
        <v>La-145</v>
      </c>
      <c r="B1902" s="91" t="s">
        <v>2507</v>
      </c>
      <c r="C1902" s="91" t="s">
        <v>2470</v>
      </c>
      <c r="D1902" s="91">
        <v>57</v>
      </c>
      <c r="E1902" s="91">
        <v>145</v>
      </c>
      <c r="F1902" s="91">
        <v>0</v>
      </c>
      <c r="G1902" s="126">
        <v>0.0279494830870945</v>
      </c>
      <c r="H1902" s="126">
        <f t="shared" si="88"/>
        <v>24.8000000000001</v>
      </c>
      <c r="I1902" s="126" t="str">
        <f t="shared" si="89"/>
        <v>0y 0d 0h 0m</v>
      </c>
    </row>
    <row r="1903" s="91" customFormat="1" spans="1:9">
      <c r="A1903" s="91" t="str">
        <f t="shared" si="87"/>
        <v>La-146</v>
      </c>
      <c r="B1903" s="91" t="s">
        <v>2508</v>
      </c>
      <c r="C1903" s="91" t="s">
        <v>2470</v>
      </c>
      <c r="D1903" s="91">
        <v>57</v>
      </c>
      <c r="E1903" s="91">
        <v>146</v>
      </c>
      <c r="F1903" s="91">
        <v>0</v>
      </c>
      <c r="G1903" s="126">
        <v>0.110549789562989</v>
      </c>
      <c r="H1903" s="126">
        <f t="shared" si="88"/>
        <v>6.27000000000004</v>
      </c>
      <c r="I1903" s="126" t="str">
        <f t="shared" si="89"/>
        <v>0y 0d 0h 0m</v>
      </c>
    </row>
    <row r="1904" s="91" customFormat="1" spans="1:9">
      <c r="A1904" s="91" t="str">
        <f t="shared" si="87"/>
        <v>La-146m</v>
      </c>
      <c r="B1904" s="91" t="s">
        <v>2509</v>
      </c>
      <c r="C1904" s="91" t="s">
        <v>2470</v>
      </c>
      <c r="D1904" s="91">
        <v>57</v>
      </c>
      <c r="E1904" s="91">
        <v>146</v>
      </c>
      <c r="F1904" s="91">
        <v>1</v>
      </c>
      <c r="G1904" s="126">
        <v>0.0693147180559945</v>
      </c>
      <c r="H1904" s="126">
        <f t="shared" si="88"/>
        <v>10</v>
      </c>
      <c r="I1904" s="126" t="str">
        <f t="shared" si="89"/>
        <v>0y 0d 0h 0m</v>
      </c>
    </row>
    <row r="1905" s="91" customFormat="1" spans="1:9">
      <c r="A1905" s="91" t="str">
        <f t="shared" si="87"/>
        <v>La-147</v>
      </c>
      <c r="B1905" s="91" t="s">
        <v>2510</v>
      </c>
      <c r="C1905" s="91" t="s">
        <v>2470</v>
      </c>
      <c r="D1905" s="91">
        <v>57</v>
      </c>
      <c r="E1905" s="91">
        <v>147</v>
      </c>
      <c r="F1905" s="91">
        <v>0</v>
      </c>
      <c r="G1905" s="126">
        <v>0.170725906541858</v>
      </c>
      <c r="H1905" s="126">
        <f t="shared" si="88"/>
        <v>4.06000000000001</v>
      </c>
      <c r="I1905" s="126" t="str">
        <f t="shared" si="89"/>
        <v>0y 0d 0h 0m</v>
      </c>
    </row>
    <row r="1906" s="91" customFormat="1" spans="1:9">
      <c r="A1906" s="91" t="str">
        <f t="shared" si="87"/>
        <v>La-148</v>
      </c>
      <c r="B1906" s="91" t="s">
        <v>2511</v>
      </c>
      <c r="C1906" s="91" t="s">
        <v>2470</v>
      </c>
      <c r="D1906" s="91">
        <v>57</v>
      </c>
      <c r="E1906" s="91">
        <v>148</v>
      </c>
      <c r="F1906" s="91">
        <v>0</v>
      </c>
      <c r="G1906" s="126">
        <v>0.55011680996821</v>
      </c>
      <c r="H1906" s="126">
        <f t="shared" si="88"/>
        <v>1.26</v>
      </c>
      <c r="I1906" s="126" t="str">
        <f t="shared" si="89"/>
        <v>0y 0d 0h 0m</v>
      </c>
    </row>
    <row r="1907" s="91" customFormat="1" spans="1:9">
      <c r="A1907" s="91" t="str">
        <f t="shared" si="87"/>
        <v>La-149</v>
      </c>
      <c r="B1907" s="91" t="s">
        <v>2512</v>
      </c>
      <c r="C1907" s="91" t="s">
        <v>2470</v>
      </c>
      <c r="D1907" s="91">
        <v>57</v>
      </c>
      <c r="E1907" s="91">
        <v>149</v>
      </c>
      <c r="F1907" s="91">
        <v>0</v>
      </c>
      <c r="G1907" s="126">
        <v>0.660140171961852</v>
      </c>
      <c r="H1907" s="126">
        <f t="shared" si="88"/>
        <v>1.05</v>
      </c>
      <c r="I1907" s="126" t="str">
        <f t="shared" si="89"/>
        <v>0y 0d 0h 0m</v>
      </c>
    </row>
    <row r="1908" s="91" customFormat="1" spans="1:9">
      <c r="A1908" s="91" t="str">
        <f t="shared" si="87"/>
        <v>La-150</v>
      </c>
      <c r="B1908" s="91" t="s">
        <v>2513</v>
      </c>
      <c r="C1908" s="91" t="s">
        <v>2470</v>
      </c>
      <c r="D1908" s="91">
        <v>57</v>
      </c>
      <c r="E1908" s="91">
        <v>150</v>
      </c>
      <c r="F1908" s="91">
        <v>0</v>
      </c>
      <c r="G1908" s="126">
        <v>0.805985093674355</v>
      </c>
      <c r="H1908" s="126">
        <f t="shared" si="88"/>
        <v>0.86</v>
      </c>
      <c r="I1908" s="126" t="str">
        <f t="shared" si="89"/>
        <v>0y 0d 0h 0m</v>
      </c>
    </row>
    <row r="1909" s="91" customFormat="1" spans="1:9">
      <c r="A1909" s="91" t="str">
        <f t="shared" si="87"/>
        <v>La-151</v>
      </c>
      <c r="B1909" s="91" t="s">
        <v>2514</v>
      </c>
      <c r="C1909" s="91" t="s">
        <v>2470</v>
      </c>
      <c r="D1909" s="91">
        <v>57</v>
      </c>
      <c r="E1909" s="91">
        <v>151</v>
      </c>
      <c r="F1909" s="91">
        <v>0</v>
      </c>
      <c r="G1909" s="126">
        <v>0.890934679382963</v>
      </c>
      <c r="H1909" s="126">
        <f t="shared" si="88"/>
        <v>0.778</v>
      </c>
      <c r="I1909" s="126" t="str">
        <f t="shared" si="89"/>
        <v>0y 0d 0h 0m</v>
      </c>
    </row>
    <row r="1910" s="91" customFormat="1" spans="1:9">
      <c r="A1910" s="91" t="str">
        <f t="shared" si="87"/>
        <v>La-152</v>
      </c>
      <c r="B1910" s="91" t="s">
        <v>2515</v>
      </c>
      <c r="C1910" s="91" t="s">
        <v>2470</v>
      </c>
      <c r="D1910" s="91">
        <v>57</v>
      </c>
      <c r="E1910" s="91">
        <v>152</v>
      </c>
      <c r="F1910" s="91">
        <v>0</v>
      </c>
      <c r="G1910" s="126">
        <v>1.53691170855863</v>
      </c>
      <c r="H1910" s="126">
        <f t="shared" si="88"/>
        <v>0.451000000000002</v>
      </c>
      <c r="I1910" s="126" t="str">
        <f t="shared" si="89"/>
        <v>0y 0d 0h 0m</v>
      </c>
    </row>
    <row r="1911" s="91" customFormat="1" spans="1:9">
      <c r="A1911" s="91" t="str">
        <f t="shared" si="87"/>
        <v>La-153</v>
      </c>
      <c r="B1911" s="91" t="s">
        <v>2516</v>
      </c>
      <c r="C1911" s="91" t="s">
        <v>2470</v>
      </c>
      <c r="D1911" s="91">
        <v>57</v>
      </c>
      <c r="E1911" s="91">
        <v>153</v>
      </c>
      <c r="F1911" s="91">
        <v>0</v>
      </c>
      <c r="G1911" s="126">
        <v>2.02674614198814</v>
      </c>
      <c r="H1911" s="126">
        <f t="shared" si="88"/>
        <v>0.342000000000001</v>
      </c>
      <c r="I1911" s="126" t="str">
        <f t="shared" si="89"/>
        <v>0y 0d 0h 0m</v>
      </c>
    </row>
    <row r="1912" s="91" customFormat="1" spans="1:9">
      <c r="A1912" s="91" t="str">
        <f t="shared" si="87"/>
        <v>La-154</v>
      </c>
      <c r="B1912" s="91" t="s">
        <v>2517</v>
      </c>
      <c r="C1912" s="91" t="s">
        <v>2470</v>
      </c>
      <c r="D1912" s="91">
        <v>57</v>
      </c>
      <c r="E1912" s="91">
        <v>154</v>
      </c>
      <c r="F1912" s="91">
        <v>0</v>
      </c>
      <c r="G1912" s="126">
        <v>3.04011921298221</v>
      </c>
      <c r="H1912" s="126">
        <f t="shared" si="88"/>
        <v>0.228</v>
      </c>
      <c r="I1912" s="126" t="str">
        <f t="shared" si="89"/>
        <v>0y 0d 0h 0m</v>
      </c>
    </row>
    <row r="1913" s="91" customFormat="1" spans="1:9">
      <c r="A1913" s="91" t="str">
        <f t="shared" si="87"/>
        <v>La-155</v>
      </c>
      <c r="B1913" s="91" t="s">
        <v>2518</v>
      </c>
      <c r="C1913" s="91" t="s">
        <v>2470</v>
      </c>
      <c r="D1913" s="91">
        <v>57</v>
      </c>
      <c r="E1913" s="91">
        <v>155</v>
      </c>
      <c r="F1913" s="91">
        <v>0</v>
      </c>
      <c r="G1913" s="126">
        <v>3.76710424217361</v>
      </c>
      <c r="H1913" s="126">
        <f t="shared" si="88"/>
        <v>0.184</v>
      </c>
      <c r="I1913" s="126" t="str">
        <f t="shared" si="89"/>
        <v>0y 0d 0h 0m</v>
      </c>
    </row>
    <row r="1914" s="91" customFormat="1" spans="1:9">
      <c r="A1914" s="91" t="str">
        <f t="shared" si="87"/>
        <v>Ce-119</v>
      </c>
      <c r="B1914" s="91" t="s">
        <v>2519</v>
      </c>
      <c r="C1914" s="91" t="s">
        <v>2520</v>
      </c>
      <c r="D1914" s="91">
        <v>58</v>
      </c>
      <c r="E1914" s="91">
        <v>119</v>
      </c>
      <c r="F1914" s="91">
        <v>0</v>
      </c>
      <c r="G1914" s="126">
        <v>3.46573590279972</v>
      </c>
      <c r="H1914" s="126">
        <f t="shared" si="88"/>
        <v>0.2</v>
      </c>
      <c r="I1914" s="126" t="str">
        <f t="shared" si="89"/>
        <v>0y 0d 0h 0m</v>
      </c>
    </row>
    <row r="1915" s="91" customFormat="1" spans="1:9">
      <c r="A1915" s="91" t="str">
        <f t="shared" si="87"/>
        <v>Ce-120</v>
      </c>
      <c r="B1915" s="91" t="s">
        <v>2521</v>
      </c>
      <c r="C1915" s="91" t="s">
        <v>2520</v>
      </c>
      <c r="D1915" s="91">
        <v>58</v>
      </c>
      <c r="E1915" s="91">
        <v>120</v>
      </c>
      <c r="F1915" s="91">
        <v>0</v>
      </c>
      <c r="G1915" s="126">
        <v>2.77258872223978</v>
      </c>
      <c r="H1915" s="126">
        <f t="shared" si="88"/>
        <v>0.25</v>
      </c>
      <c r="I1915" s="126" t="str">
        <f t="shared" si="89"/>
        <v>0y 0d 0h 0m</v>
      </c>
    </row>
    <row r="1916" s="91" customFormat="1" spans="1:9">
      <c r="A1916" s="91" t="str">
        <f t="shared" si="87"/>
        <v>Ce-121</v>
      </c>
      <c r="B1916" s="91" t="s">
        <v>2522</v>
      </c>
      <c r="C1916" s="91" t="s">
        <v>2520</v>
      </c>
      <c r="D1916" s="91">
        <v>58</v>
      </c>
      <c r="E1916" s="91">
        <v>121</v>
      </c>
      <c r="F1916" s="91">
        <v>0</v>
      </c>
      <c r="G1916" s="126">
        <v>0.630133800509041</v>
      </c>
      <c r="H1916" s="126">
        <f t="shared" si="88"/>
        <v>1.1</v>
      </c>
      <c r="I1916" s="126" t="str">
        <f t="shared" si="89"/>
        <v>0y 0d 0h 0m</v>
      </c>
    </row>
    <row r="1917" s="91" customFormat="1" spans="1:9">
      <c r="A1917" s="91" t="str">
        <f t="shared" si="87"/>
        <v>Ce-122</v>
      </c>
      <c r="B1917" s="91" t="s">
        <v>2523</v>
      </c>
      <c r="C1917" s="91" t="s">
        <v>2520</v>
      </c>
      <c r="D1917" s="91">
        <v>58</v>
      </c>
      <c r="E1917" s="91">
        <v>122</v>
      </c>
      <c r="F1917" s="91">
        <v>0</v>
      </c>
      <c r="G1917" s="126">
        <v>0.253900066139174</v>
      </c>
      <c r="H1917" s="126">
        <f t="shared" si="88"/>
        <v>2.73</v>
      </c>
      <c r="I1917" s="126" t="str">
        <f t="shared" si="89"/>
        <v>0y 0d 0h 0m</v>
      </c>
    </row>
    <row r="1918" s="91" customFormat="1" spans="1:9">
      <c r="A1918" s="91" t="str">
        <f t="shared" si="87"/>
        <v>Ce-123</v>
      </c>
      <c r="B1918" s="91" t="s">
        <v>2524</v>
      </c>
      <c r="C1918" s="91" t="s">
        <v>2520</v>
      </c>
      <c r="D1918" s="91">
        <v>58</v>
      </c>
      <c r="E1918" s="91">
        <v>123</v>
      </c>
      <c r="F1918" s="91">
        <v>0</v>
      </c>
      <c r="G1918" s="126">
        <v>0.182407152778933</v>
      </c>
      <c r="H1918" s="126">
        <f t="shared" si="88"/>
        <v>3.8</v>
      </c>
      <c r="I1918" s="126" t="str">
        <f t="shared" si="89"/>
        <v>0y 0d 0h 0m</v>
      </c>
    </row>
    <row r="1919" s="91" customFormat="1" spans="1:9">
      <c r="A1919" s="91" t="str">
        <f t="shared" si="87"/>
        <v>Ce-124</v>
      </c>
      <c r="B1919" s="91" t="s">
        <v>2525</v>
      </c>
      <c r="C1919" s="91" t="s">
        <v>2520</v>
      </c>
      <c r="D1919" s="91">
        <v>58</v>
      </c>
      <c r="E1919" s="91">
        <v>124</v>
      </c>
      <c r="F1919" s="91">
        <v>0</v>
      </c>
      <c r="G1919" s="126">
        <v>0.115524530093324</v>
      </c>
      <c r="H1919" s="126">
        <f t="shared" si="88"/>
        <v>6.00000000000001</v>
      </c>
      <c r="I1919" s="126" t="str">
        <f t="shared" si="89"/>
        <v>0y 0d 0h 0m</v>
      </c>
    </row>
    <row r="1920" s="91" customFormat="1" spans="1:9">
      <c r="A1920" s="91" t="str">
        <f t="shared" si="87"/>
        <v>Ce-125</v>
      </c>
      <c r="B1920" s="91" t="s">
        <v>2526</v>
      </c>
      <c r="C1920" s="91" t="s">
        <v>2520</v>
      </c>
      <c r="D1920" s="91">
        <v>58</v>
      </c>
      <c r="E1920" s="91">
        <v>125</v>
      </c>
      <c r="F1920" s="91">
        <v>0</v>
      </c>
      <c r="G1920" s="126">
        <v>0.0679556059372495</v>
      </c>
      <c r="H1920" s="126">
        <f t="shared" si="88"/>
        <v>10.2</v>
      </c>
      <c r="I1920" s="126" t="str">
        <f t="shared" si="89"/>
        <v>0y 0d 0h 0m</v>
      </c>
    </row>
    <row r="1921" s="91" customFormat="1" spans="1:9">
      <c r="A1921" s="91" t="str">
        <f t="shared" si="87"/>
        <v>Ce-126</v>
      </c>
      <c r="B1921" s="91" t="s">
        <v>2527</v>
      </c>
      <c r="C1921" s="91" t="s">
        <v>2520</v>
      </c>
      <c r="D1921" s="91">
        <v>58</v>
      </c>
      <c r="E1921" s="91">
        <v>126</v>
      </c>
      <c r="F1921" s="91">
        <v>0</v>
      </c>
      <c r="G1921" s="126">
        <v>0.0135911211874499</v>
      </c>
      <c r="H1921" s="126">
        <f t="shared" si="88"/>
        <v>51</v>
      </c>
      <c r="I1921" s="126" t="str">
        <f t="shared" si="89"/>
        <v>0y 0d 0h 0m</v>
      </c>
    </row>
    <row r="1922" s="91" customFormat="1" spans="1:9">
      <c r="A1922" s="91" t="str">
        <f t="shared" ref="A1922:A1985" si="90">C1922&amp;"-"&amp;E1922&amp;_xlfn.IFS(F1922=0,"",F1922=1,"m",F1922&gt;1,"m"&amp;F1922)</f>
        <v>Ce-127</v>
      </c>
      <c r="B1922" s="91" t="s">
        <v>2528</v>
      </c>
      <c r="C1922" s="91" t="s">
        <v>2520</v>
      </c>
      <c r="D1922" s="91">
        <v>58</v>
      </c>
      <c r="E1922" s="91">
        <v>127</v>
      </c>
      <c r="F1922" s="91">
        <v>0</v>
      </c>
      <c r="G1922" s="126">
        <v>0.0223595864696756</v>
      </c>
      <c r="H1922" s="126">
        <f t="shared" ref="H1922:H1985" si="91">IF(G1922&gt;0,LN(2)/G1922,0)</f>
        <v>31.0000000000001</v>
      </c>
      <c r="I1922" s="126" t="str">
        <f t="shared" si="89"/>
        <v>0y 0d 0h 0m</v>
      </c>
    </row>
    <row r="1923" s="91" customFormat="1" spans="1:9">
      <c r="A1923" s="91" t="str">
        <f t="shared" si="90"/>
        <v>Ce-127m</v>
      </c>
      <c r="B1923" s="91" t="s">
        <v>2529</v>
      </c>
      <c r="C1923" s="91" t="s">
        <v>2520</v>
      </c>
      <c r="D1923" s="91">
        <v>58</v>
      </c>
      <c r="E1923" s="91">
        <v>127</v>
      </c>
      <c r="F1923" s="91">
        <v>1</v>
      </c>
      <c r="G1923" s="126">
        <v>0.0242359154041938</v>
      </c>
      <c r="H1923" s="126">
        <f t="shared" si="91"/>
        <v>28.6000000000001</v>
      </c>
      <c r="I1923" s="126" t="str">
        <f t="shared" ref="I1923:I1986" si="92">INT(H1923/31536000)&amp;"y "&amp;INT(MOD(H1923,31536000)/86400)&amp;"d "&amp;INT(MOD(MOD(H1923,31536000),86400)/3600)&amp;"h "&amp;INT(MOD(MOD(MOD(H1923,31536000),86400),3600)/60)&amp;"m"</f>
        <v>0y 0d 0h 0m</v>
      </c>
    </row>
    <row r="1924" s="91" customFormat="1" spans="1:9">
      <c r="A1924" s="91" t="str">
        <f t="shared" si="90"/>
        <v>Ce-128</v>
      </c>
      <c r="B1924" s="91" t="s">
        <v>2530</v>
      </c>
      <c r="C1924" s="91" t="s">
        <v>2520</v>
      </c>
      <c r="D1924" s="91">
        <v>58</v>
      </c>
      <c r="E1924" s="91">
        <v>128</v>
      </c>
      <c r="F1924" s="91">
        <v>0</v>
      </c>
      <c r="G1924" s="126">
        <v>0.00293955547311257</v>
      </c>
      <c r="H1924" s="126">
        <f t="shared" si="91"/>
        <v>235.8</v>
      </c>
      <c r="I1924" s="126" t="str">
        <f t="shared" si="92"/>
        <v>0y 0d 0h 3m</v>
      </c>
    </row>
    <row r="1925" s="91" customFormat="1" spans="1:9">
      <c r="A1925" s="91" t="str">
        <f t="shared" si="90"/>
        <v>Ce-129</v>
      </c>
      <c r="B1925" s="91" t="s">
        <v>2531</v>
      </c>
      <c r="C1925" s="91" t="s">
        <v>2520</v>
      </c>
      <c r="D1925" s="91">
        <v>58</v>
      </c>
      <c r="E1925" s="91">
        <v>129</v>
      </c>
      <c r="F1925" s="91">
        <v>0</v>
      </c>
      <c r="G1925" s="126">
        <v>0.00330070085980926</v>
      </c>
      <c r="H1925" s="126">
        <f t="shared" si="91"/>
        <v>210</v>
      </c>
      <c r="I1925" s="126" t="str">
        <f t="shared" si="92"/>
        <v>0y 0d 0h 3m</v>
      </c>
    </row>
    <row r="1926" s="91" customFormat="1" spans="1:9">
      <c r="A1926" s="91" t="str">
        <f t="shared" si="90"/>
        <v>Ce-130</v>
      </c>
      <c r="B1926" s="91" t="s">
        <v>2532</v>
      </c>
      <c r="C1926" s="91" t="s">
        <v>2520</v>
      </c>
      <c r="D1926" s="91">
        <v>58</v>
      </c>
      <c r="E1926" s="91">
        <v>130</v>
      </c>
      <c r="F1926" s="91">
        <v>0</v>
      </c>
      <c r="G1926" s="126">
        <v>0.000504473930538533</v>
      </c>
      <c r="H1926" s="126">
        <f t="shared" si="91"/>
        <v>1374</v>
      </c>
      <c r="I1926" s="126" t="str">
        <f t="shared" si="92"/>
        <v>0y 0d 0h 22m</v>
      </c>
    </row>
    <row r="1927" s="91" customFormat="1" spans="1:9">
      <c r="A1927" s="91" t="str">
        <f t="shared" si="90"/>
        <v>Ce-131</v>
      </c>
      <c r="B1927" s="91" t="s">
        <v>2533</v>
      </c>
      <c r="C1927" s="91" t="s">
        <v>2520</v>
      </c>
      <c r="D1927" s="91">
        <v>58</v>
      </c>
      <c r="E1927" s="91">
        <v>131</v>
      </c>
      <c r="F1927" s="91">
        <v>0</v>
      </c>
      <c r="G1927" s="126">
        <v>0.00112159737954683</v>
      </c>
      <c r="H1927" s="126">
        <f t="shared" si="91"/>
        <v>618.000000000004</v>
      </c>
      <c r="I1927" s="126" t="str">
        <f t="shared" si="92"/>
        <v>0y 0d 0h 10m</v>
      </c>
    </row>
    <row r="1928" s="91" customFormat="1" spans="1:9">
      <c r="A1928" s="91" t="str">
        <f t="shared" si="90"/>
        <v>Ce-131m</v>
      </c>
      <c r="B1928" s="91" t="s">
        <v>2534</v>
      </c>
      <c r="C1928" s="91" t="s">
        <v>2520</v>
      </c>
      <c r="D1928" s="91">
        <v>58</v>
      </c>
      <c r="E1928" s="91">
        <v>131</v>
      </c>
      <c r="F1928" s="91">
        <v>1</v>
      </c>
      <c r="G1928" s="126">
        <v>0.00213934314987637</v>
      </c>
      <c r="H1928" s="126">
        <f t="shared" si="91"/>
        <v>324.000000000001</v>
      </c>
      <c r="I1928" s="126" t="str">
        <f t="shared" si="92"/>
        <v>0y 0d 0h 5m</v>
      </c>
    </row>
    <row r="1929" s="91" customFormat="1" spans="1:9">
      <c r="A1929" s="91" t="str">
        <f t="shared" si="90"/>
        <v>Ce-132</v>
      </c>
      <c r="B1929" s="91" t="s">
        <v>2535</v>
      </c>
      <c r="C1929" s="91" t="s">
        <v>2520</v>
      </c>
      <c r="D1929" s="91">
        <v>58</v>
      </c>
      <c r="E1929" s="91">
        <v>132</v>
      </c>
      <c r="F1929" s="91">
        <v>0</v>
      </c>
      <c r="G1929" s="126">
        <v>5.48549525609326e-5</v>
      </c>
      <c r="H1929" s="126">
        <f t="shared" si="91"/>
        <v>12636</v>
      </c>
      <c r="I1929" s="126" t="str">
        <f t="shared" si="92"/>
        <v>0y 0d 3h 30m</v>
      </c>
    </row>
    <row r="1930" s="91" customFormat="1" spans="1:9">
      <c r="A1930" s="91" t="str">
        <f t="shared" si="90"/>
        <v>Ce-132m</v>
      </c>
      <c r="B1930" s="91" t="s">
        <v>2536</v>
      </c>
      <c r="C1930" s="91" t="s">
        <v>2520</v>
      </c>
      <c r="D1930" s="91">
        <v>58</v>
      </c>
      <c r="E1930" s="91">
        <v>132</v>
      </c>
      <c r="F1930" s="91">
        <v>1</v>
      </c>
      <c r="G1930" s="126">
        <v>73.7390617616963</v>
      </c>
      <c r="H1930" s="126">
        <f t="shared" si="91"/>
        <v>0.0094</v>
      </c>
      <c r="I1930" s="126" t="str">
        <f t="shared" si="92"/>
        <v>0y 0d 0h 0m</v>
      </c>
    </row>
    <row r="1931" s="91" customFormat="1" spans="1:9">
      <c r="A1931" s="91" t="str">
        <f t="shared" si="90"/>
        <v>Ce-133</v>
      </c>
      <c r="B1931" s="91" t="s">
        <v>2537</v>
      </c>
      <c r="C1931" s="91" t="s">
        <v>2520</v>
      </c>
      <c r="D1931" s="91">
        <v>58</v>
      </c>
      <c r="E1931" s="91">
        <v>133</v>
      </c>
      <c r="F1931" s="91">
        <v>0</v>
      </c>
      <c r="G1931" s="126">
        <v>0.000119097453704457</v>
      </c>
      <c r="H1931" s="126">
        <f t="shared" si="91"/>
        <v>5820.00000000005</v>
      </c>
      <c r="I1931" s="126" t="str">
        <f t="shared" si="92"/>
        <v>0y 0d 1h 37m</v>
      </c>
    </row>
    <row r="1932" s="91" customFormat="1" spans="1:9">
      <c r="A1932" s="91" t="str">
        <f t="shared" si="90"/>
        <v>Ce-133m</v>
      </c>
      <c r="B1932" s="91" t="s">
        <v>2538</v>
      </c>
      <c r="C1932" s="91" t="s">
        <v>2520</v>
      </c>
      <c r="D1932" s="91">
        <v>58</v>
      </c>
      <c r="E1932" s="91">
        <v>133</v>
      </c>
      <c r="F1932" s="91">
        <v>1</v>
      </c>
      <c r="G1932" s="126">
        <v>3.92940578548721e-5</v>
      </c>
      <c r="H1932" s="126">
        <f t="shared" si="91"/>
        <v>17640</v>
      </c>
      <c r="I1932" s="126" t="str">
        <f t="shared" si="92"/>
        <v>0y 0d 4h 54m</v>
      </c>
    </row>
    <row r="1933" s="91" customFormat="1" spans="1:9">
      <c r="A1933" s="91" t="str">
        <f t="shared" si="90"/>
        <v>Ce-134</v>
      </c>
      <c r="B1933" s="91" t="s">
        <v>2539</v>
      </c>
      <c r="C1933" s="91" t="s">
        <v>2520</v>
      </c>
      <c r="D1933" s="91">
        <v>58</v>
      </c>
      <c r="E1933" s="91">
        <v>134</v>
      </c>
      <c r="F1933" s="91">
        <v>0</v>
      </c>
      <c r="G1933" s="126">
        <v>2.53877747216341e-6</v>
      </c>
      <c r="H1933" s="126">
        <f t="shared" si="91"/>
        <v>273024.000000001</v>
      </c>
      <c r="I1933" s="126" t="str">
        <f t="shared" si="92"/>
        <v>0y 3d 3h 50m</v>
      </c>
    </row>
    <row r="1934" s="91" customFormat="1" spans="1:9">
      <c r="A1934" s="91" t="str">
        <f t="shared" si="90"/>
        <v>Ce-135</v>
      </c>
      <c r="B1934" s="91" t="s">
        <v>2540</v>
      </c>
      <c r="C1934" s="91" t="s">
        <v>2520</v>
      </c>
      <c r="D1934" s="91">
        <v>58</v>
      </c>
      <c r="E1934" s="91">
        <v>135</v>
      </c>
      <c r="F1934" s="91">
        <v>0</v>
      </c>
      <c r="G1934" s="126">
        <v>1.08780160163205e-5</v>
      </c>
      <c r="H1934" s="126">
        <f t="shared" si="91"/>
        <v>63720.0000000003</v>
      </c>
      <c r="I1934" s="126" t="str">
        <f t="shared" si="92"/>
        <v>0y 0d 17h 42m</v>
      </c>
    </row>
    <row r="1935" s="91" customFormat="1" spans="1:9">
      <c r="A1935" s="91" t="str">
        <f t="shared" si="90"/>
        <v>Ce-135m</v>
      </c>
      <c r="B1935" s="91" t="s">
        <v>2541</v>
      </c>
      <c r="C1935" s="91" t="s">
        <v>2520</v>
      </c>
      <c r="D1935" s="91">
        <v>58</v>
      </c>
      <c r="E1935" s="91">
        <v>135</v>
      </c>
      <c r="F1935" s="91">
        <v>1</v>
      </c>
      <c r="G1935" s="126">
        <v>0.0346573590279972</v>
      </c>
      <c r="H1935" s="126">
        <f t="shared" si="91"/>
        <v>20</v>
      </c>
      <c r="I1935" s="126" t="str">
        <f t="shared" si="92"/>
        <v>0y 0d 0h 0m</v>
      </c>
    </row>
    <row r="1936" s="91" customFormat="1" spans="1:9">
      <c r="A1936" s="91" t="str">
        <f t="shared" si="90"/>
        <v>Ce-136</v>
      </c>
      <c r="B1936" s="91" t="s">
        <v>2542</v>
      </c>
      <c r="C1936" s="91" t="s">
        <v>2520</v>
      </c>
      <c r="D1936" s="91">
        <v>58</v>
      </c>
      <c r="E1936" s="91">
        <v>136</v>
      </c>
      <c r="F1936" s="91">
        <v>0</v>
      </c>
      <c r="G1936" s="126">
        <v>0</v>
      </c>
      <c r="H1936" s="126">
        <f t="shared" si="91"/>
        <v>0</v>
      </c>
      <c r="I1936" s="126" t="str">
        <f t="shared" si="92"/>
        <v>0y 0d 0h 0m</v>
      </c>
    </row>
    <row r="1937" s="91" customFormat="1" spans="1:9">
      <c r="A1937" s="91" t="str">
        <f t="shared" si="90"/>
        <v>Ce-137</v>
      </c>
      <c r="B1937" s="91" t="s">
        <v>2543</v>
      </c>
      <c r="C1937" s="91" t="s">
        <v>2520</v>
      </c>
      <c r="D1937" s="91">
        <v>58</v>
      </c>
      <c r="E1937" s="91">
        <v>137</v>
      </c>
      <c r="F1937" s="91">
        <v>0</v>
      </c>
      <c r="G1937" s="126">
        <v>2.13934314987637e-5</v>
      </c>
      <c r="H1937" s="126">
        <f t="shared" si="91"/>
        <v>32400.0000000001</v>
      </c>
      <c r="I1937" s="126" t="str">
        <f t="shared" si="92"/>
        <v>0y 0d 9h 0m</v>
      </c>
    </row>
    <row r="1938" s="91" customFormat="1" spans="1:9">
      <c r="A1938" s="91" t="str">
        <f t="shared" si="90"/>
        <v>Ce-137m</v>
      </c>
      <c r="B1938" s="91" t="s">
        <v>2544</v>
      </c>
      <c r="C1938" s="91" t="s">
        <v>2520</v>
      </c>
      <c r="D1938" s="91">
        <v>58</v>
      </c>
      <c r="E1938" s="91">
        <v>137</v>
      </c>
      <c r="F1938" s="91">
        <v>1</v>
      </c>
      <c r="G1938" s="126">
        <v>5.59711870607191e-6</v>
      </c>
      <c r="H1938" s="126">
        <f t="shared" si="91"/>
        <v>123840</v>
      </c>
      <c r="I1938" s="126" t="str">
        <f t="shared" si="92"/>
        <v>0y 1d 10h 24m</v>
      </c>
    </row>
    <row r="1939" s="91" customFormat="1" spans="1:9">
      <c r="A1939" s="91" t="str">
        <f t="shared" si="90"/>
        <v>Ce-138</v>
      </c>
      <c r="B1939" s="91" t="s">
        <v>2545</v>
      </c>
      <c r="C1939" s="91" t="s">
        <v>2520</v>
      </c>
      <c r="D1939" s="91">
        <v>58</v>
      </c>
      <c r="E1939" s="91">
        <v>138</v>
      </c>
      <c r="F1939" s="91">
        <v>0</v>
      </c>
      <c r="G1939" s="126">
        <v>0</v>
      </c>
      <c r="H1939" s="126">
        <f t="shared" si="91"/>
        <v>0</v>
      </c>
      <c r="I1939" s="126" t="str">
        <f t="shared" si="92"/>
        <v>0y 0d 0h 0m</v>
      </c>
    </row>
    <row r="1940" s="91" customFormat="1" spans="1:9">
      <c r="A1940" s="91" t="str">
        <f t="shared" si="90"/>
        <v>Ce-138m</v>
      </c>
      <c r="B1940" s="91" t="s">
        <v>2546</v>
      </c>
      <c r="C1940" s="91" t="s">
        <v>2520</v>
      </c>
      <c r="D1940" s="91">
        <v>58</v>
      </c>
      <c r="E1940" s="91">
        <v>138</v>
      </c>
      <c r="F1940" s="91">
        <v>1</v>
      </c>
      <c r="G1940" s="126">
        <v>80.1326220300514</v>
      </c>
      <c r="H1940" s="126">
        <f t="shared" si="91"/>
        <v>0.00865000000000001</v>
      </c>
      <c r="I1940" s="126" t="str">
        <f t="shared" si="92"/>
        <v>0y 0d 0h 0m</v>
      </c>
    </row>
    <row r="1941" s="91" customFormat="1" spans="1:9">
      <c r="A1941" s="91" t="str">
        <f t="shared" si="90"/>
        <v>Ce-139</v>
      </c>
      <c r="B1941" s="91" t="s">
        <v>2547</v>
      </c>
      <c r="C1941" s="91" t="s">
        <v>2520</v>
      </c>
      <c r="D1941" s="91">
        <v>58</v>
      </c>
      <c r="E1941" s="91">
        <v>139</v>
      </c>
      <c r="F1941" s="91">
        <v>0</v>
      </c>
      <c r="G1941" s="126">
        <v>5.82859644371297e-8</v>
      </c>
      <c r="H1941" s="126">
        <f t="shared" si="91"/>
        <v>11892180</v>
      </c>
      <c r="I1941" s="126" t="str">
        <f t="shared" si="92"/>
        <v>0y 137d 15h 23m</v>
      </c>
    </row>
    <row r="1942" s="91" customFormat="1" spans="1:9">
      <c r="A1942" s="91" t="str">
        <f t="shared" si="90"/>
        <v>Ce-139m</v>
      </c>
      <c r="B1942" s="91" t="s">
        <v>2548</v>
      </c>
      <c r="C1942" s="91" t="s">
        <v>2520</v>
      </c>
      <c r="D1942" s="91">
        <v>58</v>
      </c>
      <c r="E1942" s="91">
        <v>139</v>
      </c>
      <c r="F1942" s="91">
        <v>1</v>
      </c>
      <c r="G1942" s="126">
        <v>0.0126486711781011</v>
      </c>
      <c r="H1942" s="126">
        <f t="shared" si="91"/>
        <v>54.8000000000004</v>
      </c>
      <c r="I1942" s="126" t="str">
        <f t="shared" si="92"/>
        <v>0y 0d 0h 0m</v>
      </c>
    </row>
    <row r="1943" s="91" customFormat="1" spans="1:9">
      <c r="A1943" s="91" t="str">
        <f t="shared" si="90"/>
        <v>Ce-140</v>
      </c>
      <c r="B1943" s="91" t="s">
        <v>2549</v>
      </c>
      <c r="C1943" s="91" t="s">
        <v>2520</v>
      </c>
      <c r="D1943" s="91">
        <v>58</v>
      </c>
      <c r="E1943" s="91">
        <v>140</v>
      </c>
      <c r="F1943" s="91">
        <v>0</v>
      </c>
      <c r="G1943" s="126">
        <v>0</v>
      </c>
      <c r="H1943" s="126">
        <f t="shared" si="91"/>
        <v>0</v>
      </c>
      <c r="I1943" s="126" t="str">
        <f t="shared" si="92"/>
        <v>0y 0d 0h 0m</v>
      </c>
    </row>
    <row r="1944" s="91" customFormat="1" spans="1:9">
      <c r="A1944" s="91" t="str">
        <f t="shared" si="90"/>
        <v>Ce-141</v>
      </c>
      <c r="B1944" s="91" t="s">
        <v>2550</v>
      </c>
      <c r="C1944" s="91" t="s">
        <v>2520</v>
      </c>
      <c r="D1944" s="91">
        <v>58</v>
      </c>
      <c r="E1944" s="91">
        <v>141</v>
      </c>
      <c r="F1944" s="91">
        <v>0</v>
      </c>
      <c r="G1944" s="126">
        <v>2.4678655664149e-7</v>
      </c>
      <c r="H1944" s="126">
        <f t="shared" si="91"/>
        <v>2808691.00000001</v>
      </c>
      <c r="I1944" s="126" t="str">
        <f t="shared" si="92"/>
        <v>0y 32d 12h 11m</v>
      </c>
    </row>
    <row r="1945" s="91" customFormat="1" spans="1:9">
      <c r="A1945" s="91" t="str">
        <f t="shared" si="90"/>
        <v>Ce-142</v>
      </c>
      <c r="B1945" s="91" t="s">
        <v>2551</v>
      </c>
      <c r="C1945" s="91" t="s">
        <v>2520</v>
      </c>
      <c r="D1945" s="91">
        <v>58</v>
      </c>
      <c r="E1945" s="91">
        <v>142</v>
      </c>
      <c r="F1945" s="91">
        <v>0</v>
      </c>
      <c r="G1945" s="126">
        <v>0</v>
      </c>
      <c r="H1945" s="126">
        <f t="shared" si="91"/>
        <v>0</v>
      </c>
      <c r="I1945" s="126" t="str">
        <f t="shared" si="92"/>
        <v>0y 0d 0h 0m</v>
      </c>
    </row>
    <row r="1946" s="91" customFormat="1" spans="1:9">
      <c r="A1946" s="91" t="str">
        <f t="shared" si="90"/>
        <v>Ce-143</v>
      </c>
      <c r="B1946" s="91" t="s">
        <v>2552</v>
      </c>
      <c r="C1946" s="91" t="s">
        <v>2520</v>
      </c>
      <c r="D1946" s="91">
        <v>58</v>
      </c>
      <c r="E1946" s="91">
        <v>143</v>
      </c>
      <c r="F1946" s="91">
        <v>0</v>
      </c>
      <c r="G1946" s="126">
        <v>5.82768496288851e-6</v>
      </c>
      <c r="H1946" s="126">
        <f t="shared" si="91"/>
        <v>118940.4</v>
      </c>
      <c r="I1946" s="126" t="str">
        <f t="shared" si="92"/>
        <v>0y 1d 9h 2m</v>
      </c>
    </row>
    <row r="1947" s="91" customFormat="1" spans="1:9">
      <c r="A1947" s="91" t="str">
        <f t="shared" si="90"/>
        <v>Ce-144</v>
      </c>
      <c r="B1947" s="91" t="s">
        <v>2553</v>
      </c>
      <c r="C1947" s="91" t="s">
        <v>2520</v>
      </c>
      <c r="D1947" s="91">
        <v>58</v>
      </c>
      <c r="E1947" s="91">
        <v>144</v>
      </c>
      <c r="F1947" s="91">
        <v>0</v>
      </c>
      <c r="G1947" s="126">
        <v>2.81581485930799e-8</v>
      </c>
      <c r="H1947" s="126">
        <f t="shared" si="91"/>
        <v>24616220</v>
      </c>
      <c r="I1947" s="126" t="str">
        <f t="shared" si="92"/>
        <v>0y 284d 21h 50m</v>
      </c>
    </row>
    <row r="1948" s="91" customFormat="1" spans="1:9">
      <c r="A1948" s="91" t="str">
        <f t="shared" si="90"/>
        <v>Ce-145</v>
      </c>
      <c r="B1948" s="91" t="s">
        <v>2554</v>
      </c>
      <c r="C1948" s="91" t="s">
        <v>2520</v>
      </c>
      <c r="D1948" s="91">
        <v>58</v>
      </c>
      <c r="E1948" s="91">
        <v>145</v>
      </c>
      <c r="F1948" s="91">
        <v>0</v>
      </c>
      <c r="G1948" s="126">
        <v>0.00383802425559216</v>
      </c>
      <c r="H1948" s="126">
        <f t="shared" si="91"/>
        <v>180.6</v>
      </c>
      <c r="I1948" s="126" t="str">
        <f t="shared" si="92"/>
        <v>0y 0d 0h 3m</v>
      </c>
    </row>
    <row r="1949" s="91" customFormat="1" spans="1:9">
      <c r="A1949" s="91" t="str">
        <f t="shared" si="90"/>
        <v>Ce-146</v>
      </c>
      <c r="B1949" s="91" t="s">
        <v>2555</v>
      </c>
      <c r="C1949" s="91" t="s">
        <v>2520</v>
      </c>
      <c r="D1949" s="91">
        <v>58</v>
      </c>
      <c r="E1949" s="91">
        <v>146</v>
      </c>
      <c r="F1949" s="91">
        <v>0</v>
      </c>
      <c r="G1949" s="126">
        <v>0.000854471376429912</v>
      </c>
      <c r="H1949" s="126">
        <f t="shared" si="91"/>
        <v>811.200000000001</v>
      </c>
      <c r="I1949" s="126" t="str">
        <f t="shared" si="92"/>
        <v>0y 0d 0h 13m</v>
      </c>
    </row>
    <row r="1950" s="91" customFormat="1" spans="1:9">
      <c r="A1950" s="91" t="str">
        <f t="shared" si="90"/>
        <v>Ce-147</v>
      </c>
      <c r="B1950" s="91" t="s">
        <v>2556</v>
      </c>
      <c r="C1950" s="91" t="s">
        <v>2520</v>
      </c>
      <c r="D1950" s="91">
        <v>58</v>
      </c>
      <c r="E1950" s="91">
        <v>147</v>
      </c>
      <c r="F1950" s="91">
        <v>0</v>
      </c>
      <c r="G1950" s="126">
        <v>0.0122898436269493</v>
      </c>
      <c r="H1950" s="126">
        <f t="shared" si="91"/>
        <v>56.4000000000004</v>
      </c>
      <c r="I1950" s="126" t="str">
        <f t="shared" si="92"/>
        <v>0y 0d 0h 0m</v>
      </c>
    </row>
    <row r="1951" s="91" customFormat="1" spans="1:9">
      <c r="A1951" s="91" t="str">
        <f t="shared" si="90"/>
        <v>Ce-148</v>
      </c>
      <c r="B1951" s="91" t="s">
        <v>2557</v>
      </c>
      <c r="C1951" s="91" t="s">
        <v>2520</v>
      </c>
      <c r="D1951" s="91">
        <v>58</v>
      </c>
      <c r="E1951" s="91">
        <v>148</v>
      </c>
      <c r="F1951" s="91">
        <v>0</v>
      </c>
      <c r="G1951" s="126">
        <v>0.0123776282242847</v>
      </c>
      <c r="H1951" s="126">
        <f t="shared" si="91"/>
        <v>56.0000000000002</v>
      </c>
      <c r="I1951" s="126" t="str">
        <f t="shared" si="92"/>
        <v>0y 0d 0h 0m</v>
      </c>
    </row>
    <row r="1952" s="91" customFormat="1" spans="1:9">
      <c r="A1952" s="91" t="str">
        <f t="shared" si="90"/>
        <v>Ce-149</v>
      </c>
      <c r="B1952" s="91" t="s">
        <v>2558</v>
      </c>
      <c r="C1952" s="91" t="s">
        <v>2520</v>
      </c>
      <c r="D1952" s="91">
        <v>58</v>
      </c>
      <c r="E1952" s="91">
        <v>149</v>
      </c>
      <c r="F1952" s="91">
        <v>0</v>
      </c>
      <c r="G1952" s="126">
        <v>0.130782486898102</v>
      </c>
      <c r="H1952" s="126">
        <f t="shared" si="91"/>
        <v>5.30000000000004</v>
      </c>
      <c r="I1952" s="126" t="str">
        <f t="shared" si="92"/>
        <v>0y 0d 0h 0m</v>
      </c>
    </row>
    <row r="1953" s="91" customFormat="1" spans="1:9">
      <c r="A1953" s="91" t="str">
        <f t="shared" si="90"/>
        <v>Ce-150</v>
      </c>
      <c r="B1953" s="91" t="s">
        <v>2559</v>
      </c>
      <c r="C1953" s="91" t="s">
        <v>2520</v>
      </c>
      <c r="D1953" s="91">
        <v>58</v>
      </c>
      <c r="E1953" s="91">
        <v>150</v>
      </c>
      <c r="F1953" s="91">
        <v>0</v>
      </c>
      <c r="G1953" s="126">
        <v>0.173286795139986</v>
      </c>
      <c r="H1953" s="126">
        <f t="shared" si="91"/>
        <v>4.00000000000001</v>
      </c>
      <c r="I1953" s="126" t="str">
        <f t="shared" si="92"/>
        <v>0y 0d 0h 0m</v>
      </c>
    </row>
    <row r="1954" s="91" customFormat="1" spans="1:9">
      <c r="A1954" s="91" t="str">
        <f t="shared" si="90"/>
        <v>Ce-151</v>
      </c>
      <c r="B1954" s="91" t="s">
        <v>2560</v>
      </c>
      <c r="C1954" s="91" t="s">
        <v>2520</v>
      </c>
      <c r="D1954" s="91">
        <v>58</v>
      </c>
      <c r="E1954" s="91">
        <v>151</v>
      </c>
      <c r="F1954" s="91">
        <v>0</v>
      </c>
      <c r="G1954" s="126">
        <v>0.39383362531815</v>
      </c>
      <c r="H1954" s="126">
        <f t="shared" si="91"/>
        <v>1.76</v>
      </c>
      <c r="I1954" s="126" t="str">
        <f t="shared" si="92"/>
        <v>0y 0d 0h 0m</v>
      </c>
    </row>
    <row r="1955" s="91" customFormat="1" spans="1:9">
      <c r="A1955" s="91" t="str">
        <f t="shared" si="90"/>
        <v>Ce-152</v>
      </c>
      <c r="B1955" s="91" t="s">
        <v>2561</v>
      </c>
      <c r="C1955" s="91" t="s">
        <v>2520</v>
      </c>
      <c r="D1955" s="91">
        <v>58</v>
      </c>
      <c r="E1955" s="91">
        <v>152</v>
      </c>
      <c r="F1955" s="91">
        <v>0</v>
      </c>
      <c r="G1955" s="126">
        <v>0.495105128971389</v>
      </c>
      <c r="H1955" s="126">
        <f t="shared" si="91"/>
        <v>1.4</v>
      </c>
      <c r="I1955" s="126" t="str">
        <f t="shared" si="92"/>
        <v>0y 0d 0h 0m</v>
      </c>
    </row>
    <row r="1956" s="91" customFormat="1" spans="1:9">
      <c r="A1956" s="91" t="str">
        <f t="shared" si="90"/>
        <v>Ce-153</v>
      </c>
      <c r="B1956" s="91" t="s">
        <v>2562</v>
      </c>
      <c r="C1956" s="91" t="s">
        <v>2520</v>
      </c>
      <c r="D1956" s="91">
        <v>58</v>
      </c>
      <c r="E1956" s="91">
        <v>153</v>
      </c>
      <c r="F1956" s="91">
        <v>0</v>
      </c>
      <c r="G1956" s="126">
        <v>0.708015506189933</v>
      </c>
      <c r="H1956" s="126">
        <f t="shared" si="91"/>
        <v>0.979000000000001</v>
      </c>
      <c r="I1956" s="126" t="str">
        <f t="shared" si="92"/>
        <v>0y 0d 0h 0m</v>
      </c>
    </row>
    <row r="1957" s="91" customFormat="1" spans="1:9">
      <c r="A1957" s="91" t="str">
        <f t="shared" si="90"/>
        <v>Ce-154</v>
      </c>
      <c r="B1957" s="91" t="s">
        <v>2563</v>
      </c>
      <c r="C1957" s="91" t="s">
        <v>2520</v>
      </c>
      <c r="D1957" s="91">
        <v>58</v>
      </c>
      <c r="E1957" s="91">
        <v>154</v>
      </c>
      <c r="F1957" s="91">
        <v>0</v>
      </c>
      <c r="G1957" s="126">
        <v>0.894383458787026</v>
      </c>
      <c r="H1957" s="126">
        <f t="shared" si="91"/>
        <v>0.775</v>
      </c>
      <c r="I1957" s="126" t="str">
        <f t="shared" si="92"/>
        <v>0y 0d 0h 0m</v>
      </c>
    </row>
    <row r="1958" s="91" customFormat="1" spans="1:9">
      <c r="A1958" s="91" t="str">
        <f t="shared" si="90"/>
        <v>Ce-155</v>
      </c>
      <c r="B1958" s="91" t="s">
        <v>2564</v>
      </c>
      <c r="C1958" s="91" t="s">
        <v>2520</v>
      </c>
      <c r="D1958" s="91">
        <v>58</v>
      </c>
      <c r="E1958" s="91">
        <v>155</v>
      </c>
      <c r="F1958" s="91">
        <v>0</v>
      </c>
      <c r="G1958" s="126">
        <v>1.47165006488311</v>
      </c>
      <c r="H1958" s="126">
        <f t="shared" si="91"/>
        <v>0.471</v>
      </c>
      <c r="I1958" s="126" t="str">
        <f t="shared" si="92"/>
        <v>0y 0d 0h 0m</v>
      </c>
    </row>
    <row r="1959" s="91" customFormat="1" spans="1:9">
      <c r="A1959" s="91" t="str">
        <f t="shared" si="90"/>
        <v>Ce-156</v>
      </c>
      <c r="B1959" s="91" t="s">
        <v>2565</v>
      </c>
      <c r="C1959" s="91" t="s">
        <v>2520</v>
      </c>
      <c r="D1959" s="91">
        <v>58</v>
      </c>
      <c r="E1959" s="91">
        <v>156</v>
      </c>
      <c r="F1959" s="91">
        <v>0</v>
      </c>
      <c r="G1959" s="126">
        <v>1.87844764379388</v>
      </c>
      <c r="H1959" s="126">
        <f t="shared" si="91"/>
        <v>0.369000000000002</v>
      </c>
      <c r="I1959" s="126" t="str">
        <f t="shared" si="92"/>
        <v>0y 0d 0h 0m</v>
      </c>
    </row>
    <row r="1960" s="91" customFormat="1" spans="1:9">
      <c r="A1960" s="91" t="str">
        <f t="shared" si="90"/>
        <v>Ce-157</v>
      </c>
      <c r="B1960" s="91" t="s">
        <v>2566</v>
      </c>
      <c r="C1960" s="91" t="s">
        <v>2520</v>
      </c>
      <c r="D1960" s="91">
        <v>58</v>
      </c>
      <c r="E1960" s="91">
        <v>157</v>
      </c>
      <c r="F1960" s="91">
        <v>0</v>
      </c>
      <c r="G1960" s="126">
        <v>2.85480716869829</v>
      </c>
      <c r="H1960" s="126">
        <f t="shared" si="91"/>
        <v>0.2428</v>
      </c>
      <c r="I1960" s="126" t="str">
        <f t="shared" si="92"/>
        <v>0y 0d 0h 0m</v>
      </c>
    </row>
    <row r="1961" s="91" customFormat="1" spans="1:9">
      <c r="A1961" s="91" t="str">
        <f t="shared" si="90"/>
        <v>Pr-121</v>
      </c>
      <c r="B1961" s="91" t="s">
        <v>2567</v>
      </c>
      <c r="C1961" s="91" t="s">
        <v>2568</v>
      </c>
      <c r="D1961" s="91">
        <v>59</v>
      </c>
      <c r="E1961" s="91">
        <v>121</v>
      </c>
      <c r="F1961" s="91">
        <v>0</v>
      </c>
      <c r="G1961" s="126">
        <v>0.495105128971389</v>
      </c>
      <c r="H1961" s="126">
        <f t="shared" si="91"/>
        <v>1.4</v>
      </c>
      <c r="I1961" s="126" t="str">
        <f t="shared" si="92"/>
        <v>0y 0d 0h 0m</v>
      </c>
    </row>
    <row r="1962" s="91" customFormat="1" spans="1:9">
      <c r="A1962" s="91" t="str">
        <f t="shared" si="90"/>
        <v>Pr-122</v>
      </c>
      <c r="B1962" s="91" t="s">
        <v>2569</v>
      </c>
      <c r="C1962" s="91" t="s">
        <v>2568</v>
      </c>
      <c r="D1962" s="91">
        <v>59</v>
      </c>
      <c r="E1962" s="91">
        <v>122</v>
      </c>
      <c r="F1962" s="91">
        <v>0</v>
      </c>
      <c r="G1962" s="126">
        <v>1.38629436111989</v>
      </c>
      <c r="H1962" s="126">
        <f t="shared" si="91"/>
        <v>0.5</v>
      </c>
      <c r="I1962" s="126" t="str">
        <f t="shared" si="92"/>
        <v>0y 0d 0h 0m</v>
      </c>
    </row>
    <row r="1963" s="91" customFormat="1" spans="1:9">
      <c r="A1963" s="91" t="str">
        <f t="shared" si="90"/>
        <v>Pr-123</v>
      </c>
      <c r="B1963" s="91" t="s">
        <v>2570</v>
      </c>
      <c r="C1963" s="91" t="s">
        <v>2568</v>
      </c>
      <c r="D1963" s="91">
        <v>59</v>
      </c>
      <c r="E1963" s="91">
        <v>123</v>
      </c>
      <c r="F1963" s="91">
        <v>0</v>
      </c>
      <c r="G1963" s="126">
        <v>0.866433975699931</v>
      </c>
      <c r="H1963" s="126">
        <f t="shared" si="91"/>
        <v>0.800000000000001</v>
      </c>
      <c r="I1963" s="126" t="str">
        <f t="shared" si="92"/>
        <v>0y 0d 0h 0m</v>
      </c>
    </row>
    <row r="1964" s="91" customFormat="1" spans="1:9">
      <c r="A1964" s="91" t="str">
        <f t="shared" si="90"/>
        <v>Pr-124</v>
      </c>
      <c r="B1964" s="91" t="s">
        <v>2571</v>
      </c>
      <c r="C1964" s="91" t="s">
        <v>2568</v>
      </c>
      <c r="D1964" s="91">
        <v>59</v>
      </c>
      <c r="E1964" s="91">
        <v>124</v>
      </c>
      <c r="F1964" s="91">
        <v>0</v>
      </c>
      <c r="G1964" s="126">
        <v>0.577622650466621</v>
      </c>
      <c r="H1964" s="126">
        <f t="shared" si="91"/>
        <v>1.2</v>
      </c>
      <c r="I1964" s="126" t="str">
        <f t="shared" si="92"/>
        <v>0y 0d 0h 0m</v>
      </c>
    </row>
    <row r="1965" s="91" customFormat="1" spans="1:9">
      <c r="A1965" s="91" t="str">
        <f t="shared" si="90"/>
        <v>Pr-125</v>
      </c>
      <c r="B1965" s="91" t="s">
        <v>2572</v>
      </c>
      <c r="C1965" s="91" t="s">
        <v>2568</v>
      </c>
      <c r="D1965" s="91">
        <v>59</v>
      </c>
      <c r="E1965" s="91">
        <v>125</v>
      </c>
      <c r="F1965" s="91">
        <v>0</v>
      </c>
      <c r="G1965" s="126">
        <v>0.21004460016968</v>
      </c>
      <c r="H1965" s="126">
        <f t="shared" si="91"/>
        <v>3.30000000000001</v>
      </c>
      <c r="I1965" s="126" t="str">
        <f t="shared" si="92"/>
        <v>0y 0d 0h 0m</v>
      </c>
    </row>
    <row r="1966" s="91" customFormat="1" spans="1:9">
      <c r="A1966" s="91" t="str">
        <f t="shared" si="90"/>
        <v>Pr-126</v>
      </c>
      <c r="B1966" s="91" t="s">
        <v>2573</v>
      </c>
      <c r="C1966" s="91" t="s">
        <v>2568</v>
      </c>
      <c r="D1966" s="91">
        <v>59</v>
      </c>
      <c r="E1966" s="91">
        <v>126</v>
      </c>
      <c r="F1966" s="91">
        <v>0</v>
      </c>
      <c r="G1966" s="126">
        <v>0.220747509732466</v>
      </c>
      <c r="H1966" s="126">
        <f t="shared" si="91"/>
        <v>3.14000000000001</v>
      </c>
      <c r="I1966" s="126" t="str">
        <f t="shared" si="92"/>
        <v>0y 0d 0h 0m</v>
      </c>
    </row>
    <row r="1967" s="91" customFormat="1" spans="1:9">
      <c r="A1967" s="91" t="str">
        <f t="shared" si="90"/>
        <v>Pr-127</v>
      </c>
      <c r="B1967" s="91" t="s">
        <v>2574</v>
      </c>
      <c r="C1967" s="91" t="s">
        <v>2568</v>
      </c>
      <c r="D1967" s="91">
        <v>59</v>
      </c>
      <c r="E1967" s="91">
        <v>127</v>
      </c>
      <c r="F1967" s="91">
        <v>0</v>
      </c>
      <c r="G1967" s="126">
        <v>0.165035042990463</v>
      </c>
      <c r="H1967" s="126">
        <f t="shared" si="91"/>
        <v>4.2</v>
      </c>
      <c r="I1967" s="126" t="str">
        <f t="shared" si="92"/>
        <v>0y 0d 0h 0m</v>
      </c>
    </row>
    <row r="1968" s="91" customFormat="1" spans="1:9">
      <c r="A1968" s="91" t="str">
        <f t="shared" si="90"/>
        <v>Pr-128</v>
      </c>
      <c r="B1968" s="91" t="s">
        <v>2575</v>
      </c>
      <c r="C1968" s="91" t="s">
        <v>2568</v>
      </c>
      <c r="D1968" s="91">
        <v>59</v>
      </c>
      <c r="E1968" s="91">
        <v>128</v>
      </c>
      <c r="F1968" s="91">
        <v>0</v>
      </c>
      <c r="G1968" s="126">
        <v>0.243209537038577</v>
      </c>
      <c r="H1968" s="126">
        <f t="shared" si="91"/>
        <v>2.85</v>
      </c>
      <c r="I1968" s="126" t="str">
        <f t="shared" si="92"/>
        <v>0y 0d 0h 0m</v>
      </c>
    </row>
    <row r="1969" s="91" customFormat="1" spans="1:9">
      <c r="A1969" s="91" t="str">
        <f t="shared" si="90"/>
        <v>Pr-129</v>
      </c>
      <c r="B1969" s="91" t="s">
        <v>2576</v>
      </c>
      <c r="C1969" s="91" t="s">
        <v>2568</v>
      </c>
      <c r="D1969" s="91">
        <v>59</v>
      </c>
      <c r="E1969" s="91">
        <v>129</v>
      </c>
      <c r="F1969" s="91">
        <v>0</v>
      </c>
      <c r="G1969" s="126">
        <v>0.0216608493924982</v>
      </c>
      <c r="H1969" s="126">
        <f t="shared" si="91"/>
        <v>32.0000000000001</v>
      </c>
      <c r="I1969" s="126" t="str">
        <f t="shared" si="92"/>
        <v>0y 0d 0h 0m</v>
      </c>
    </row>
    <row r="1970" s="91" customFormat="1" spans="1:9">
      <c r="A1970" s="91" t="str">
        <f t="shared" si="90"/>
        <v>Pr-130</v>
      </c>
      <c r="B1970" s="91" t="s">
        <v>2577</v>
      </c>
      <c r="C1970" s="91" t="s">
        <v>2568</v>
      </c>
      <c r="D1970" s="91">
        <v>59</v>
      </c>
      <c r="E1970" s="91">
        <v>130</v>
      </c>
      <c r="F1970" s="91">
        <v>0</v>
      </c>
      <c r="G1970" s="126">
        <v>0.0173286795139986</v>
      </c>
      <c r="H1970" s="126">
        <f t="shared" si="91"/>
        <v>40.0000000000001</v>
      </c>
      <c r="I1970" s="126" t="str">
        <f t="shared" si="92"/>
        <v>0y 0d 0h 0m</v>
      </c>
    </row>
    <row r="1971" s="91" customFormat="1" spans="1:9">
      <c r="A1971" s="91" t="str">
        <f t="shared" si="90"/>
        <v>Pr-131</v>
      </c>
      <c r="B1971" s="91" t="s">
        <v>2578</v>
      </c>
      <c r="C1971" s="91" t="s">
        <v>2568</v>
      </c>
      <c r="D1971" s="91">
        <v>59</v>
      </c>
      <c r="E1971" s="91">
        <v>131</v>
      </c>
      <c r="F1971" s="91">
        <v>0</v>
      </c>
      <c r="G1971" s="126">
        <v>0.00765063113200822</v>
      </c>
      <c r="H1971" s="126">
        <f t="shared" si="91"/>
        <v>90.6000000000001</v>
      </c>
      <c r="I1971" s="126" t="str">
        <f t="shared" si="92"/>
        <v>0y 0d 0h 1m</v>
      </c>
    </row>
    <row r="1972" s="91" customFormat="1" spans="1:9">
      <c r="A1972" s="91" t="str">
        <f t="shared" si="90"/>
        <v>Pr-131m</v>
      </c>
      <c r="B1972" s="91" t="s">
        <v>2579</v>
      </c>
      <c r="C1972" s="91" t="s">
        <v>2568</v>
      </c>
      <c r="D1972" s="91">
        <v>59</v>
      </c>
      <c r="E1972" s="91">
        <v>131</v>
      </c>
      <c r="F1972" s="91">
        <v>1</v>
      </c>
      <c r="G1972" s="126">
        <v>0.120968094338559</v>
      </c>
      <c r="H1972" s="126">
        <f t="shared" si="91"/>
        <v>5.73000000000002</v>
      </c>
      <c r="I1972" s="126" t="str">
        <f t="shared" si="92"/>
        <v>0y 0d 0h 0m</v>
      </c>
    </row>
    <row r="1973" s="91" customFormat="1" spans="1:9">
      <c r="A1973" s="91" t="str">
        <f t="shared" si="90"/>
        <v>Pr-132</v>
      </c>
      <c r="B1973" s="91" t="s">
        <v>2580</v>
      </c>
      <c r="C1973" s="91" t="s">
        <v>2568</v>
      </c>
      <c r="D1973" s="91">
        <v>59</v>
      </c>
      <c r="E1973" s="91">
        <v>132</v>
      </c>
      <c r="F1973" s="91">
        <v>0</v>
      </c>
      <c r="G1973" s="126">
        <v>0.00722028313083276</v>
      </c>
      <c r="H1973" s="126">
        <f t="shared" si="91"/>
        <v>96.0000000000001</v>
      </c>
      <c r="I1973" s="126" t="str">
        <f t="shared" si="92"/>
        <v>0y 0d 0h 1m</v>
      </c>
    </row>
    <row r="1974" s="91" customFormat="1" spans="1:9">
      <c r="A1974" s="91" t="str">
        <f t="shared" si="90"/>
        <v>Pr-133</v>
      </c>
      <c r="B1974" s="91" t="s">
        <v>2581</v>
      </c>
      <c r="C1974" s="91" t="s">
        <v>2568</v>
      </c>
      <c r="D1974" s="91">
        <v>59</v>
      </c>
      <c r="E1974" s="91">
        <v>133</v>
      </c>
      <c r="F1974" s="91">
        <v>0</v>
      </c>
      <c r="G1974" s="126">
        <v>0.00177730046297421</v>
      </c>
      <c r="H1974" s="126">
        <f t="shared" si="91"/>
        <v>390.000000000002</v>
      </c>
      <c r="I1974" s="126" t="str">
        <f t="shared" si="92"/>
        <v>0y 0d 0h 6m</v>
      </c>
    </row>
    <row r="1975" s="91" customFormat="1" spans="1:9">
      <c r="A1975" s="91" t="str">
        <f t="shared" si="90"/>
        <v>Pr-134</v>
      </c>
      <c r="B1975" s="91" t="s">
        <v>2582</v>
      </c>
      <c r="C1975" s="91" t="s">
        <v>2568</v>
      </c>
      <c r="D1975" s="91">
        <v>59</v>
      </c>
      <c r="E1975" s="91">
        <v>134</v>
      </c>
      <c r="F1975" s="91">
        <v>0</v>
      </c>
      <c r="G1975" s="126">
        <v>0.000679556059372495</v>
      </c>
      <c r="H1975" s="126">
        <f t="shared" si="91"/>
        <v>1020</v>
      </c>
      <c r="I1975" s="126" t="str">
        <f t="shared" si="92"/>
        <v>0y 0d 0h 17m</v>
      </c>
    </row>
    <row r="1976" s="91" customFormat="1" spans="1:9">
      <c r="A1976" s="91" t="str">
        <f t="shared" si="90"/>
        <v>Pr-134m</v>
      </c>
      <c r="B1976" s="91" t="s">
        <v>2583</v>
      </c>
      <c r="C1976" s="91" t="s">
        <v>2568</v>
      </c>
      <c r="D1976" s="91">
        <v>59</v>
      </c>
      <c r="E1976" s="91">
        <v>134</v>
      </c>
      <c r="F1976" s="91">
        <v>1</v>
      </c>
      <c r="G1976" s="126">
        <v>0.0010502230008484</v>
      </c>
      <c r="H1976" s="126">
        <f t="shared" si="91"/>
        <v>660.000000000001</v>
      </c>
      <c r="I1976" s="126" t="str">
        <f t="shared" si="92"/>
        <v>0y 0d 0h 11m</v>
      </c>
    </row>
    <row r="1977" s="91" customFormat="1" spans="1:9">
      <c r="A1977" s="91" t="str">
        <f t="shared" si="90"/>
        <v>Pr-135</v>
      </c>
      <c r="B1977" s="91" t="s">
        <v>2584</v>
      </c>
      <c r="C1977" s="91" t="s">
        <v>2568</v>
      </c>
      <c r="D1977" s="91">
        <v>59</v>
      </c>
      <c r="E1977" s="91">
        <v>135</v>
      </c>
      <c r="F1977" s="91">
        <v>0</v>
      </c>
      <c r="G1977" s="126">
        <v>0.000481352208722184</v>
      </c>
      <c r="H1977" s="126">
        <f t="shared" si="91"/>
        <v>1440</v>
      </c>
      <c r="I1977" s="126" t="str">
        <f t="shared" si="92"/>
        <v>0y 0d 0h 24m</v>
      </c>
    </row>
    <row r="1978" s="91" customFormat="1" spans="1:9">
      <c r="A1978" s="91" t="str">
        <f t="shared" si="90"/>
        <v>Pr-136</v>
      </c>
      <c r="B1978" s="91" t="s">
        <v>2585</v>
      </c>
      <c r="C1978" s="91" t="s">
        <v>2568</v>
      </c>
      <c r="D1978" s="91">
        <v>59</v>
      </c>
      <c r="E1978" s="91">
        <v>136</v>
      </c>
      <c r="F1978" s="91">
        <v>0</v>
      </c>
      <c r="G1978" s="126">
        <v>0.000881866641933772</v>
      </c>
      <c r="H1978" s="126">
        <f t="shared" si="91"/>
        <v>786.000000000001</v>
      </c>
      <c r="I1978" s="126" t="str">
        <f t="shared" si="92"/>
        <v>0y 0d 0h 13m</v>
      </c>
    </row>
    <row r="1979" s="91" customFormat="1" spans="1:9">
      <c r="A1979" s="91" t="str">
        <f t="shared" si="90"/>
        <v>Pr-137</v>
      </c>
      <c r="B1979" s="91" t="s">
        <v>2586</v>
      </c>
      <c r="C1979" s="91" t="s">
        <v>2568</v>
      </c>
      <c r="D1979" s="91">
        <v>59</v>
      </c>
      <c r="E1979" s="91">
        <v>137</v>
      </c>
      <c r="F1979" s="91">
        <v>0</v>
      </c>
      <c r="G1979" s="126">
        <v>0.000150422565225682</v>
      </c>
      <c r="H1979" s="126">
        <f t="shared" si="91"/>
        <v>4608.00000000002</v>
      </c>
      <c r="I1979" s="126" t="str">
        <f t="shared" si="92"/>
        <v>0y 0d 1h 16m</v>
      </c>
    </row>
    <row r="1980" s="91" customFormat="1" spans="1:9">
      <c r="A1980" s="91" t="str">
        <f t="shared" si="90"/>
        <v>Pr-138</v>
      </c>
      <c r="B1980" s="91" t="s">
        <v>2587</v>
      </c>
      <c r="C1980" s="91" t="s">
        <v>2568</v>
      </c>
      <c r="D1980" s="91">
        <v>59</v>
      </c>
      <c r="E1980" s="91">
        <v>138</v>
      </c>
      <c r="F1980" s="91">
        <v>0</v>
      </c>
      <c r="G1980" s="126">
        <v>0.00796720897195339</v>
      </c>
      <c r="H1980" s="126">
        <f t="shared" si="91"/>
        <v>87.0000000000001</v>
      </c>
      <c r="I1980" s="126" t="str">
        <f t="shared" si="92"/>
        <v>0y 0d 0h 1m</v>
      </c>
    </row>
    <row r="1981" s="91" customFormat="1" spans="1:9">
      <c r="A1981" s="91" t="str">
        <f t="shared" si="90"/>
        <v>Pr-138m</v>
      </c>
      <c r="B1981" s="91" t="s">
        <v>2588</v>
      </c>
      <c r="C1981" s="91" t="s">
        <v>2568</v>
      </c>
      <c r="D1981" s="91">
        <v>59</v>
      </c>
      <c r="E1981" s="91">
        <v>138</v>
      </c>
      <c r="F1981" s="91">
        <v>1</v>
      </c>
      <c r="G1981" s="126">
        <v>9.08211714570158e-5</v>
      </c>
      <c r="H1981" s="126">
        <f t="shared" si="91"/>
        <v>7632.00000000001</v>
      </c>
      <c r="I1981" s="126" t="str">
        <f t="shared" si="92"/>
        <v>0y 0d 2h 7m</v>
      </c>
    </row>
    <row r="1982" s="91" customFormat="1" spans="1:9">
      <c r="A1982" s="91" t="str">
        <f t="shared" si="90"/>
        <v>Pr-139</v>
      </c>
      <c r="B1982" s="91" t="s">
        <v>2589</v>
      </c>
      <c r="C1982" s="91" t="s">
        <v>2568</v>
      </c>
      <c r="D1982" s="91">
        <v>59</v>
      </c>
      <c r="E1982" s="91">
        <v>139</v>
      </c>
      <c r="F1982" s="91">
        <v>0</v>
      </c>
      <c r="G1982" s="126">
        <v>4.36600642831913e-5</v>
      </c>
      <c r="H1982" s="126">
        <f t="shared" si="91"/>
        <v>15876</v>
      </c>
      <c r="I1982" s="126" t="str">
        <f t="shared" si="92"/>
        <v>0y 0d 4h 24m</v>
      </c>
    </row>
    <row r="1983" s="91" customFormat="1" spans="1:9">
      <c r="A1983" s="91" t="str">
        <f t="shared" si="90"/>
        <v>Pr-140</v>
      </c>
      <c r="B1983" s="91" t="s">
        <v>2590</v>
      </c>
      <c r="C1983" s="91" t="s">
        <v>2568</v>
      </c>
      <c r="D1983" s="91">
        <v>59</v>
      </c>
      <c r="E1983" s="91">
        <v>140</v>
      </c>
      <c r="F1983" s="91">
        <v>0</v>
      </c>
      <c r="G1983" s="126">
        <v>0.00340780324759068</v>
      </c>
      <c r="H1983" s="126">
        <f t="shared" si="91"/>
        <v>203.4</v>
      </c>
      <c r="I1983" s="126" t="str">
        <f t="shared" si="92"/>
        <v>0y 0d 0h 3m</v>
      </c>
    </row>
    <row r="1984" s="91" customFormat="1" spans="1:9">
      <c r="A1984" s="91" t="str">
        <f t="shared" si="90"/>
        <v>Pr-141</v>
      </c>
      <c r="B1984" s="91" t="s">
        <v>2591</v>
      </c>
      <c r="C1984" s="91" t="s">
        <v>2568</v>
      </c>
      <c r="D1984" s="91">
        <v>59</v>
      </c>
      <c r="E1984" s="91">
        <v>141</v>
      </c>
      <c r="F1984" s="91">
        <v>0</v>
      </c>
      <c r="G1984" s="126">
        <v>0</v>
      </c>
      <c r="H1984" s="126">
        <f t="shared" si="91"/>
        <v>0</v>
      </c>
      <c r="I1984" s="126" t="str">
        <f t="shared" si="92"/>
        <v>0y 0d 0h 0m</v>
      </c>
    </row>
    <row r="1985" s="91" customFormat="1" spans="1:9">
      <c r="A1985" s="91" t="str">
        <f t="shared" si="90"/>
        <v>Pr-142</v>
      </c>
      <c r="B1985" s="91" t="s">
        <v>2592</v>
      </c>
      <c r="C1985" s="91" t="s">
        <v>2568</v>
      </c>
      <c r="D1985" s="91">
        <v>59</v>
      </c>
      <c r="E1985" s="91">
        <v>142</v>
      </c>
      <c r="F1985" s="91">
        <v>0</v>
      </c>
      <c r="G1985" s="126">
        <v>1.00701298895854e-5</v>
      </c>
      <c r="H1985" s="126">
        <f t="shared" si="91"/>
        <v>68832.0000000003</v>
      </c>
      <c r="I1985" s="126" t="str">
        <f t="shared" si="92"/>
        <v>0y 0d 19h 7m</v>
      </c>
    </row>
    <row r="1986" s="91" customFormat="1" spans="1:9">
      <c r="A1986" s="91" t="str">
        <f t="shared" ref="A1986:A2049" si="93">C1986&amp;"-"&amp;E1986&amp;_xlfn.IFS(F1986=0,"",F1986=1,"m",F1986&gt;1,"m"&amp;F1986)</f>
        <v>Pr-142m</v>
      </c>
      <c r="B1986" s="91" t="s">
        <v>2593</v>
      </c>
      <c r="C1986" s="91" t="s">
        <v>2568</v>
      </c>
      <c r="D1986" s="91">
        <v>59</v>
      </c>
      <c r="E1986" s="91">
        <v>142</v>
      </c>
      <c r="F1986" s="91">
        <v>1</v>
      </c>
      <c r="G1986" s="126">
        <v>0.000791263904748796</v>
      </c>
      <c r="H1986" s="126">
        <f t="shared" ref="H1986:H2049" si="94">IF(G1986&gt;0,LN(2)/G1986,0)</f>
        <v>876</v>
      </c>
      <c r="I1986" s="126" t="str">
        <f t="shared" si="92"/>
        <v>0y 0d 0h 14m</v>
      </c>
    </row>
    <row r="1987" s="91" customFormat="1" spans="1:9">
      <c r="A1987" s="91" t="str">
        <f t="shared" si="93"/>
        <v>Pr-143</v>
      </c>
      <c r="B1987" s="91" t="s">
        <v>2594</v>
      </c>
      <c r="C1987" s="91" t="s">
        <v>2568</v>
      </c>
      <c r="D1987" s="91">
        <v>59</v>
      </c>
      <c r="E1987" s="91">
        <v>143</v>
      </c>
      <c r="F1987" s="91">
        <v>0</v>
      </c>
      <c r="G1987" s="126">
        <v>5.91196522626116e-7</v>
      </c>
      <c r="H1987" s="126">
        <f t="shared" si="94"/>
        <v>1172448</v>
      </c>
      <c r="I1987" s="126" t="str">
        <f t="shared" ref="I1987:I2050" si="95">INT(H1987/31536000)&amp;"y "&amp;INT(MOD(H1987,31536000)/86400)&amp;"d "&amp;INT(MOD(MOD(H1987,31536000),86400)/3600)&amp;"h "&amp;INT(MOD(MOD(MOD(H1987,31536000),86400),3600)/60)&amp;"m"</f>
        <v>0y 13d 13h 40m</v>
      </c>
    </row>
    <row r="1988" s="91" customFormat="1" spans="1:9">
      <c r="A1988" s="91" t="str">
        <f t="shared" si="93"/>
        <v>Pr-144</v>
      </c>
      <c r="B1988" s="91" t="s">
        <v>2595</v>
      </c>
      <c r="C1988" s="91" t="s">
        <v>2568</v>
      </c>
      <c r="D1988" s="91">
        <v>59</v>
      </c>
      <c r="E1988" s="91">
        <v>144</v>
      </c>
      <c r="F1988" s="91">
        <v>0</v>
      </c>
      <c r="G1988" s="126">
        <v>0.000668544734336367</v>
      </c>
      <c r="H1988" s="126">
        <f t="shared" si="94"/>
        <v>1036.8</v>
      </c>
      <c r="I1988" s="126" t="str">
        <f t="shared" si="95"/>
        <v>0y 0d 0h 17m</v>
      </c>
    </row>
    <row r="1989" s="91" customFormat="1" spans="1:9">
      <c r="A1989" s="91" t="str">
        <f t="shared" si="93"/>
        <v>Pr-144m</v>
      </c>
      <c r="B1989" s="91" t="s">
        <v>2596</v>
      </c>
      <c r="C1989" s="91" t="s">
        <v>2568</v>
      </c>
      <c r="D1989" s="91">
        <v>59</v>
      </c>
      <c r="E1989" s="91">
        <v>144</v>
      </c>
      <c r="F1989" s="91">
        <v>1</v>
      </c>
      <c r="G1989" s="126">
        <v>0.00160450736240728</v>
      </c>
      <c r="H1989" s="126">
        <f t="shared" si="94"/>
        <v>432</v>
      </c>
      <c r="I1989" s="126" t="str">
        <f t="shared" si="95"/>
        <v>0y 0d 0h 7m</v>
      </c>
    </row>
    <row r="1990" s="91" customFormat="1" spans="1:9">
      <c r="A1990" s="91" t="str">
        <f t="shared" si="93"/>
        <v>Pr-145</v>
      </c>
      <c r="B1990" s="91" t="s">
        <v>2597</v>
      </c>
      <c r="C1990" s="91" t="s">
        <v>2568</v>
      </c>
      <c r="D1990" s="91">
        <v>59</v>
      </c>
      <c r="E1990" s="91">
        <v>145</v>
      </c>
      <c r="F1990" s="91">
        <v>0</v>
      </c>
      <c r="G1990" s="126">
        <v>3.21759497808946e-5</v>
      </c>
      <c r="H1990" s="126">
        <f t="shared" si="94"/>
        <v>21542.4</v>
      </c>
      <c r="I1990" s="126" t="str">
        <f t="shared" si="95"/>
        <v>0y 0d 5h 59m</v>
      </c>
    </row>
    <row r="1991" s="91" customFormat="1" spans="1:9">
      <c r="A1991" s="91" t="str">
        <f t="shared" si="93"/>
        <v>Pr-146</v>
      </c>
      <c r="B1991" s="91" t="s">
        <v>2598</v>
      </c>
      <c r="C1991" s="91" t="s">
        <v>2568</v>
      </c>
      <c r="D1991" s="91">
        <v>59</v>
      </c>
      <c r="E1991" s="91">
        <v>146</v>
      </c>
      <c r="F1991" s="91">
        <v>0</v>
      </c>
      <c r="G1991" s="126">
        <v>0.000478362443450617</v>
      </c>
      <c r="H1991" s="126">
        <f t="shared" si="94"/>
        <v>1449</v>
      </c>
      <c r="I1991" s="126" t="str">
        <f t="shared" si="95"/>
        <v>0y 0d 0h 24m</v>
      </c>
    </row>
    <row r="1992" s="91" customFormat="1" spans="1:9">
      <c r="A1992" s="91" t="str">
        <f t="shared" si="93"/>
        <v>Pr-147</v>
      </c>
      <c r="B1992" s="91" t="s">
        <v>2599</v>
      </c>
      <c r="C1992" s="91" t="s">
        <v>2568</v>
      </c>
      <c r="D1992" s="91">
        <v>59</v>
      </c>
      <c r="E1992" s="91">
        <v>147</v>
      </c>
      <c r="F1992" s="91">
        <v>0</v>
      </c>
      <c r="G1992" s="126">
        <v>0.000862123358905404</v>
      </c>
      <c r="H1992" s="126">
        <f t="shared" si="94"/>
        <v>804.000000000001</v>
      </c>
      <c r="I1992" s="126" t="str">
        <f t="shared" si="95"/>
        <v>0y 0d 0h 13m</v>
      </c>
    </row>
    <row r="1993" s="91" customFormat="1" spans="1:9">
      <c r="A1993" s="91" t="str">
        <f t="shared" si="93"/>
        <v>Pr-148</v>
      </c>
      <c r="B1993" s="91" t="s">
        <v>2600</v>
      </c>
      <c r="C1993" s="91" t="s">
        <v>2568</v>
      </c>
      <c r="D1993" s="91">
        <v>59</v>
      </c>
      <c r="E1993" s="91">
        <v>148</v>
      </c>
      <c r="F1993" s="91">
        <v>0</v>
      </c>
      <c r="G1993" s="126">
        <v>0.00504473930538533</v>
      </c>
      <c r="H1993" s="126">
        <f t="shared" si="94"/>
        <v>137.4</v>
      </c>
      <c r="I1993" s="126" t="str">
        <f t="shared" si="95"/>
        <v>0y 0d 0h 2m</v>
      </c>
    </row>
    <row r="1994" s="91" customFormat="1" spans="1:9">
      <c r="A1994" s="91" t="str">
        <f t="shared" si="93"/>
        <v>Pr-148m</v>
      </c>
      <c r="B1994" s="91" t="s">
        <v>2601</v>
      </c>
      <c r="C1994" s="91" t="s">
        <v>2568</v>
      </c>
      <c r="D1994" s="91">
        <v>59</v>
      </c>
      <c r="E1994" s="91">
        <v>148</v>
      </c>
      <c r="F1994" s="91">
        <v>1</v>
      </c>
      <c r="G1994" s="126">
        <v>0.00574748905936936</v>
      </c>
      <c r="H1994" s="126">
        <f t="shared" si="94"/>
        <v>120.6</v>
      </c>
      <c r="I1994" s="126" t="str">
        <f t="shared" si="95"/>
        <v>0y 0d 0h 2m</v>
      </c>
    </row>
    <row r="1995" s="91" customFormat="1" spans="1:9">
      <c r="A1995" s="91" t="str">
        <f t="shared" si="93"/>
        <v>Pr-149</v>
      </c>
      <c r="B1995" s="91" t="s">
        <v>2602</v>
      </c>
      <c r="C1995" s="91" t="s">
        <v>2568</v>
      </c>
      <c r="D1995" s="91">
        <v>59</v>
      </c>
      <c r="E1995" s="91">
        <v>149</v>
      </c>
      <c r="F1995" s="91">
        <v>0</v>
      </c>
      <c r="G1995" s="126">
        <v>0.00511170487138602</v>
      </c>
      <c r="H1995" s="126">
        <f t="shared" si="94"/>
        <v>135.6</v>
      </c>
      <c r="I1995" s="126" t="str">
        <f t="shared" si="95"/>
        <v>0y 0d 0h 2m</v>
      </c>
    </row>
    <row r="1996" s="91" customFormat="1" spans="1:9">
      <c r="A1996" s="91" t="str">
        <f t="shared" si="93"/>
        <v>Pr-150</v>
      </c>
      <c r="B1996" s="91" t="s">
        <v>2603</v>
      </c>
      <c r="C1996" s="91" t="s">
        <v>2568</v>
      </c>
      <c r="D1996" s="91">
        <v>59</v>
      </c>
      <c r="E1996" s="91">
        <v>150</v>
      </c>
      <c r="F1996" s="91">
        <v>0</v>
      </c>
      <c r="G1996" s="126">
        <v>0.111978542901445</v>
      </c>
      <c r="H1996" s="126">
        <f t="shared" si="94"/>
        <v>6.19000000000001</v>
      </c>
      <c r="I1996" s="126" t="str">
        <f t="shared" si="95"/>
        <v>0y 0d 0h 0m</v>
      </c>
    </row>
    <row r="1997" s="91" customFormat="1" spans="1:9">
      <c r="A1997" s="91" t="str">
        <f t="shared" si="93"/>
        <v>Pr-151</v>
      </c>
      <c r="B1997" s="91" t="s">
        <v>2604</v>
      </c>
      <c r="C1997" s="91" t="s">
        <v>2568</v>
      </c>
      <c r="D1997" s="91">
        <v>59</v>
      </c>
      <c r="E1997" s="91">
        <v>151</v>
      </c>
      <c r="F1997" s="91">
        <v>0</v>
      </c>
      <c r="G1997" s="126">
        <v>0.0366744539978807</v>
      </c>
      <c r="H1997" s="126">
        <f t="shared" si="94"/>
        <v>18.9</v>
      </c>
      <c r="I1997" s="126" t="str">
        <f t="shared" si="95"/>
        <v>0y 0d 0h 0m</v>
      </c>
    </row>
    <row r="1998" s="91" customFormat="1" spans="1:9">
      <c r="A1998" s="91" t="str">
        <f t="shared" si="93"/>
        <v>Pr-152</v>
      </c>
      <c r="B1998" s="91" t="s">
        <v>2605</v>
      </c>
      <c r="C1998" s="91" t="s">
        <v>2568</v>
      </c>
      <c r="D1998" s="91">
        <v>59</v>
      </c>
      <c r="E1998" s="91">
        <v>152</v>
      </c>
      <c r="F1998" s="91">
        <v>0</v>
      </c>
      <c r="G1998" s="126">
        <v>0.190949636517891</v>
      </c>
      <c r="H1998" s="126">
        <f t="shared" si="94"/>
        <v>3.63</v>
      </c>
      <c r="I1998" s="126" t="str">
        <f t="shared" si="95"/>
        <v>0y 0d 0h 0m</v>
      </c>
    </row>
    <row r="1999" s="91" customFormat="1" spans="1:9">
      <c r="A1999" s="91" t="str">
        <f t="shared" si="93"/>
        <v>Pr-153</v>
      </c>
      <c r="B1999" s="91" t="s">
        <v>2606</v>
      </c>
      <c r="C1999" s="91" t="s">
        <v>2568</v>
      </c>
      <c r="D1999" s="91">
        <v>59</v>
      </c>
      <c r="E1999" s="91">
        <v>153</v>
      </c>
      <c r="F1999" s="91">
        <v>0</v>
      </c>
      <c r="G1999" s="126">
        <v>0.161950275831762</v>
      </c>
      <c r="H1999" s="126">
        <f t="shared" si="94"/>
        <v>4.28000000000002</v>
      </c>
      <c r="I1999" s="126" t="str">
        <f t="shared" si="95"/>
        <v>0y 0d 0h 0m</v>
      </c>
    </row>
    <row r="2000" s="91" customFormat="1" spans="1:9">
      <c r="A2000" s="91" t="str">
        <f t="shared" si="93"/>
        <v>Pr-154</v>
      </c>
      <c r="B2000" s="91" t="s">
        <v>2607</v>
      </c>
      <c r="C2000" s="91" t="s">
        <v>2568</v>
      </c>
      <c r="D2000" s="91">
        <v>59</v>
      </c>
      <c r="E2000" s="91">
        <v>154</v>
      </c>
      <c r="F2000" s="91">
        <v>0</v>
      </c>
      <c r="G2000" s="126">
        <v>0.301368339373889</v>
      </c>
      <c r="H2000" s="126">
        <f t="shared" si="94"/>
        <v>2.3</v>
      </c>
      <c r="I2000" s="126" t="str">
        <f t="shared" si="95"/>
        <v>0y 0d 0h 0m</v>
      </c>
    </row>
    <row r="2001" s="91" customFormat="1" spans="1:9">
      <c r="A2001" s="91" t="str">
        <f t="shared" si="93"/>
        <v>Pr-155</v>
      </c>
      <c r="B2001" s="91" t="s">
        <v>2608</v>
      </c>
      <c r="C2001" s="91" t="s">
        <v>2568</v>
      </c>
      <c r="D2001" s="91">
        <v>59</v>
      </c>
      <c r="E2001" s="91">
        <v>155</v>
      </c>
      <c r="F2001" s="91">
        <v>0</v>
      </c>
      <c r="G2001" s="126">
        <v>0.813553028826226</v>
      </c>
      <c r="H2001" s="126">
        <f t="shared" si="94"/>
        <v>0.852000000000001</v>
      </c>
      <c r="I2001" s="126" t="str">
        <f t="shared" si="95"/>
        <v>0y 0d 0h 0m</v>
      </c>
    </row>
    <row r="2002" s="91" customFormat="1" spans="1:9">
      <c r="A2002" s="91" t="str">
        <f t="shared" si="93"/>
        <v>Pr-156</v>
      </c>
      <c r="B2002" s="91" t="s">
        <v>2609</v>
      </c>
      <c r="C2002" s="91" t="s">
        <v>2568</v>
      </c>
      <c r="D2002" s="91">
        <v>59</v>
      </c>
      <c r="E2002" s="91">
        <v>156</v>
      </c>
      <c r="F2002" s="91">
        <v>0</v>
      </c>
      <c r="G2002" s="126">
        <v>0.945630532823936</v>
      </c>
      <c r="H2002" s="126">
        <f t="shared" si="94"/>
        <v>0.733</v>
      </c>
      <c r="I2002" s="126" t="str">
        <f t="shared" si="95"/>
        <v>0y 0d 0h 0m</v>
      </c>
    </row>
    <row r="2003" s="91" customFormat="1" spans="1:9">
      <c r="A2003" s="91" t="str">
        <f t="shared" si="93"/>
        <v>Pr-157</v>
      </c>
      <c r="B2003" s="91" t="s">
        <v>2610</v>
      </c>
      <c r="C2003" s="91" t="s">
        <v>2568</v>
      </c>
      <c r="D2003" s="91">
        <v>59</v>
      </c>
      <c r="E2003" s="91">
        <v>157</v>
      </c>
      <c r="F2003" s="91">
        <v>0</v>
      </c>
      <c r="G2003" s="126">
        <v>1.15910899759188</v>
      </c>
      <c r="H2003" s="126">
        <f t="shared" si="94"/>
        <v>0.598000000000001</v>
      </c>
      <c r="I2003" s="126" t="str">
        <f t="shared" si="95"/>
        <v>0y 0d 0h 0m</v>
      </c>
    </row>
    <row r="2004" s="91" customFormat="1" spans="1:9">
      <c r="A2004" s="91" t="str">
        <f t="shared" si="93"/>
        <v>Pr-158</v>
      </c>
      <c r="B2004" s="91" t="s">
        <v>2611</v>
      </c>
      <c r="C2004" s="91" t="s">
        <v>2568</v>
      </c>
      <c r="D2004" s="91">
        <v>59</v>
      </c>
      <c r="E2004" s="91">
        <v>158</v>
      </c>
      <c r="F2004" s="91">
        <v>0</v>
      </c>
      <c r="G2004" s="126">
        <v>5.16503115171345</v>
      </c>
      <c r="H2004" s="126">
        <f t="shared" si="94"/>
        <v>0.1342</v>
      </c>
      <c r="I2004" s="126" t="str">
        <f t="shared" si="95"/>
        <v>0y 0d 0h 0m</v>
      </c>
    </row>
    <row r="2005" s="91" customFormat="1" spans="1:9">
      <c r="A2005" s="91" t="str">
        <f t="shared" si="93"/>
        <v>Pr-159</v>
      </c>
      <c r="B2005" s="91" t="s">
        <v>2612</v>
      </c>
      <c r="C2005" s="91" t="s">
        <v>2568</v>
      </c>
      <c r="D2005" s="91">
        <v>59</v>
      </c>
      <c r="E2005" s="91">
        <v>159</v>
      </c>
      <c r="F2005" s="91">
        <v>0</v>
      </c>
      <c r="G2005" s="126">
        <v>6.5701154555445</v>
      </c>
      <c r="H2005" s="126">
        <f t="shared" si="94"/>
        <v>0.1055</v>
      </c>
      <c r="I2005" s="126" t="str">
        <f t="shared" si="95"/>
        <v>0y 0d 0h 0m</v>
      </c>
    </row>
    <row r="2006" s="91" customFormat="1" spans="1:9">
      <c r="A2006" s="91" t="str">
        <f t="shared" si="93"/>
        <v>Nd-124</v>
      </c>
      <c r="B2006" s="91" t="s">
        <v>2613</v>
      </c>
      <c r="C2006" s="91" t="s">
        <v>2614</v>
      </c>
      <c r="D2006" s="91">
        <v>60</v>
      </c>
      <c r="E2006" s="91">
        <v>124</v>
      </c>
      <c r="F2006" s="91">
        <v>0</v>
      </c>
      <c r="G2006" s="126">
        <v>1.38629436111989</v>
      </c>
      <c r="H2006" s="126">
        <f t="shared" si="94"/>
        <v>0.5</v>
      </c>
      <c r="I2006" s="126" t="str">
        <f t="shared" si="95"/>
        <v>0y 0d 0h 0m</v>
      </c>
    </row>
    <row r="2007" s="91" customFormat="1" spans="1:9">
      <c r="A2007" s="91" t="str">
        <f t="shared" si="93"/>
        <v>Nd-125</v>
      </c>
      <c r="B2007" s="91" t="s">
        <v>2615</v>
      </c>
      <c r="C2007" s="91" t="s">
        <v>2614</v>
      </c>
      <c r="D2007" s="91">
        <v>60</v>
      </c>
      <c r="E2007" s="91">
        <v>125</v>
      </c>
      <c r="F2007" s="91">
        <v>0</v>
      </c>
      <c r="G2007" s="126">
        <v>1.15524530093324</v>
      </c>
      <c r="H2007" s="126">
        <f t="shared" si="94"/>
        <v>0.600000000000001</v>
      </c>
      <c r="I2007" s="126" t="str">
        <f t="shared" si="95"/>
        <v>0y 0d 0h 0m</v>
      </c>
    </row>
    <row r="2008" s="91" customFormat="1" spans="1:9">
      <c r="A2008" s="91" t="str">
        <f t="shared" si="93"/>
        <v>Nd-126</v>
      </c>
      <c r="B2008" s="91" t="s">
        <v>2616</v>
      </c>
      <c r="C2008" s="91" t="s">
        <v>2614</v>
      </c>
      <c r="D2008" s="91">
        <v>60</v>
      </c>
      <c r="E2008" s="91">
        <v>126</v>
      </c>
      <c r="F2008" s="91">
        <v>0</v>
      </c>
      <c r="G2008" s="126">
        <v>3465735.90279972</v>
      </c>
      <c r="H2008" s="126">
        <f t="shared" si="94"/>
        <v>2e-7</v>
      </c>
      <c r="I2008" s="126" t="str">
        <f t="shared" si="95"/>
        <v>0y 0d 0h 0m</v>
      </c>
    </row>
    <row r="2009" s="91" customFormat="1" spans="1:9">
      <c r="A2009" s="91" t="str">
        <f t="shared" si="93"/>
        <v>Nd-127</v>
      </c>
      <c r="B2009" s="91" t="s">
        <v>2617</v>
      </c>
      <c r="C2009" s="91" t="s">
        <v>2614</v>
      </c>
      <c r="D2009" s="91">
        <v>60</v>
      </c>
      <c r="E2009" s="91">
        <v>127</v>
      </c>
      <c r="F2009" s="91">
        <v>0</v>
      </c>
      <c r="G2009" s="126">
        <v>0.385081766977747</v>
      </c>
      <c r="H2009" s="126">
        <f t="shared" si="94"/>
        <v>1.8</v>
      </c>
      <c r="I2009" s="126" t="str">
        <f t="shared" si="95"/>
        <v>0y 0d 0h 0m</v>
      </c>
    </row>
    <row r="2010" s="91" customFormat="1" spans="1:9">
      <c r="A2010" s="91" t="str">
        <f t="shared" si="93"/>
        <v>Nd-128</v>
      </c>
      <c r="B2010" s="91" t="s">
        <v>2618</v>
      </c>
      <c r="C2010" s="91" t="s">
        <v>2614</v>
      </c>
      <c r="D2010" s="91">
        <v>60</v>
      </c>
      <c r="E2010" s="91">
        <v>128</v>
      </c>
      <c r="F2010" s="91">
        <v>0</v>
      </c>
      <c r="G2010" s="126">
        <v>0.138629436111989</v>
      </c>
      <c r="H2010" s="126">
        <f t="shared" si="94"/>
        <v>5</v>
      </c>
      <c r="I2010" s="126" t="str">
        <f t="shared" si="95"/>
        <v>0y 0d 0h 0m</v>
      </c>
    </row>
    <row r="2011" s="91" customFormat="1" spans="1:9">
      <c r="A2011" s="91" t="str">
        <f t="shared" si="93"/>
        <v>Nd-129</v>
      </c>
      <c r="B2011" s="91" t="s">
        <v>2619</v>
      </c>
      <c r="C2011" s="91" t="s">
        <v>2614</v>
      </c>
      <c r="D2011" s="91">
        <v>60</v>
      </c>
      <c r="E2011" s="91">
        <v>129</v>
      </c>
      <c r="F2011" s="91">
        <v>0</v>
      </c>
      <c r="G2011" s="126">
        <v>0.141458608277539</v>
      </c>
      <c r="H2011" s="126">
        <f t="shared" si="94"/>
        <v>4.90000000000003</v>
      </c>
      <c r="I2011" s="126" t="str">
        <f t="shared" si="95"/>
        <v>0y 0d 0h 0m</v>
      </c>
    </row>
    <row r="2012" s="91" customFormat="1" spans="1:9">
      <c r="A2012" s="91" t="str">
        <f t="shared" si="93"/>
        <v>Nd-130</v>
      </c>
      <c r="B2012" s="91" t="s">
        <v>2620</v>
      </c>
      <c r="C2012" s="91" t="s">
        <v>2614</v>
      </c>
      <c r="D2012" s="91">
        <v>60</v>
      </c>
      <c r="E2012" s="91">
        <v>130</v>
      </c>
      <c r="F2012" s="91">
        <v>0</v>
      </c>
      <c r="G2012" s="126">
        <v>0.0330070085980926</v>
      </c>
      <c r="H2012" s="126">
        <f t="shared" si="94"/>
        <v>21</v>
      </c>
      <c r="I2012" s="126" t="str">
        <f t="shared" si="95"/>
        <v>0y 0d 0h 0m</v>
      </c>
    </row>
    <row r="2013" s="91" customFormat="1" spans="1:9">
      <c r="A2013" s="91" t="str">
        <f t="shared" si="93"/>
        <v>Nd-131</v>
      </c>
      <c r="B2013" s="91" t="s">
        <v>2621</v>
      </c>
      <c r="C2013" s="91" t="s">
        <v>2614</v>
      </c>
      <c r="D2013" s="91">
        <v>60</v>
      </c>
      <c r="E2013" s="91">
        <v>131</v>
      </c>
      <c r="F2013" s="91">
        <v>0</v>
      </c>
      <c r="G2013" s="126">
        <v>0.0266595069446132</v>
      </c>
      <c r="H2013" s="126">
        <f t="shared" si="94"/>
        <v>26.0000000000001</v>
      </c>
      <c r="I2013" s="126" t="str">
        <f t="shared" si="95"/>
        <v>0y 0d 0h 0m</v>
      </c>
    </row>
    <row r="2014" s="91" customFormat="1" spans="1:9">
      <c r="A2014" s="91" t="str">
        <f t="shared" si="93"/>
        <v>Nd-132</v>
      </c>
      <c r="B2014" s="91" t="s">
        <v>2622</v>
      </c>
      <c r="C2014" s="91" t="s">
        <v>2614</v>
      </c>
      <c r="D2014" s="91">
        <v>60</v>
      </c>
      <c r="E2014" s="91">
        <v>132</v>
      </c>
      <c r="F2014" s="91">
        <v>0</v>
      </c>
      <c r="G2014" s="126">
        <v>0.00737390617616963</v>
      </c>
      <c r="H2014" s="126">
        <f t="shared" si="94"/>
        <v>94</v>
      </c>
      <c r="I2014" s="126" t="str">
        <f t="shared" si="95"/>
        <v>0y 0d 0h 1m</v>
      </c>
    </row>
    <row r="2015" s="91" customFormat="1" spans="1:9">
      <c r="A2015" s="91" t="str">
        <f t="shared" si="93"/>
        <v>Nd-133</v>
      </c>
      <c r="B2015" s="91" t="s">
        <v>2623</v>
      </c>
      <c r="C2015" s="91" t="s">
        <v>2614</v>
      </c>
      <c r="D2015" s="91">
        <v>60</v>
      </c>
      <c r="E2015" s="91">
        <v>133</v>
      </c>
      <c r="F2015" s="91">
        <v>0</v>
      </c>
      <c r="G2015" s="126">
        <v>0.00990210257942779</v>
      </c>
      <c r="H2015" s="126">
        <f t="shared" si="94"/>
        <v>70</v>
      </c>
      <c r="I2015" s="126" t="str">
        <f t="shared" si="95"/>
        <v>0y 0d 0h 1m</v>
      </c>
    </row>
    <row r="2016" s="91" customFormat="1" spans="1:9">
      <c r="A2016" s="91" t="str">
        <f t="shared" si="93"/>
        <v>Nd-133m</v>
      </c>
      <c r="B2016" s="91" t="s">
        <v>2624</v>
      </c>
      <c r="C2016" s="91" t="s">
        <v>2614</v>
      </c>
      <c r="D2016" s="91">
        <v>60</v>
      </c>
      <c r="E2016" s="91">
        <v>133</v>
      </c>
      <c r="F2016" s="91">
        <v>1</v>
      </c>
      <c r="G2016" s="126">
        <v>0.00990210257942779</v>
      </c>
      <c r="H2016" s="126">
        <f t="shared" si="94"/>
        <v>70</v>
      </c>
      <c r="I2016" s="126" t="str">
        <f t="shared" si="95"/>
        <v>0y 0d 0h 1m</v>
      </c>
    </row>
    <row r="2017" s="91" customFormat="1" spans="1:9">
      <c r="A2017" s="91" t="str">
        <f t="shared" si="93"/>
        <v>Nd-134</v>
      </c>
      <c r="B2017" s="91" t="s">
        <v>2625</v>
      </c>
      <c r="C2017" s="91" t="s">
        <v>2614</v>
      </c>
      <c r="D2017" s="91">
        <v>60</v>
      </c>
      <c r="E2017" s="91">
        <v>134</v>
      </c>
      <c r="F2017" s="91">
        <v>0</v>
      </c>
      <c r="G2017" s="126">
        <v>0.00135911211874499</v>
      </c>
      <c r="H2017" s="126">
        <f t="shared" si="94"/>
        <v>510</v>
      </c>
      <c r="I2017" s="126" t="str">
        <f t="shared" si="95"/>
        <v>0y 0d 0h 8m</v>
      </c>
    </row>
    <row r="2018" s="91" customFormat="1" spans="1:9">
      <c r="A2018" s="91" t="str">
        <f t="shared" si="93"/>
        <v>Nd-135</v>
      </c>
      <c r="B2018" s="91" t="s">
        <v>2626</v>
      </c>
      <c r="C2018" s="91" t="s">
        <v>2614</v>
      </c>
      <c r="D2018" s="91">
        <v>60</v>
      </c>
      <c r="E2018" s="91">
        <v>135</v>
      </c>
      <c r="F2018" s="91">
        <v>0</v>
      </c>
      <c r="G2018" s="126">
        <v>0.000931649436236485</v>
      </c>
      <c r="H2018" s="126">
        <f t="shared" si="94"/>
        <v>744</v>
      </c>
      <c r="I2018" s="126" t="str">
        <f t="shared" si="95"/>
        <v>0y 0d 0h 12m</v>
      </c>
    </row>
    <row r="2019" s="91" customFormat="1" spans="1:9">
      <c r="A2019" s="91" t="str">
        <f t="shared" si="93"/>
        <v>Nd-135m</v>
      </c>
      <c r="B2019" s="91" t="s">
        <v>2627</v>
      </c>
      <c r="C2019" s="91" t="s">
        <v>2614</v>
      </c>
      <c r="D2019" s="91">
        <v>60</v>
      </c>
      <c r="E2019" s="91">
        <v>135</v>
      </c>
      <c r="F2019" s="91">
        <v>1</v>
      </c>
      <c r="G2019" s="126">
        <v>0.0021004460016968</v>
      </c>
      <c r="H2019" s="126">
        <f t="shared" si="94"/>
        <v>330.000000000001</v>
      </c>
      <c r="I2019" s="126" t="str">
        <f t="shared" si="95"/>
        <v>0y 0d 0h 5m</v>
      </c>
    </row>
    <row r="2020" s="91" customFormat="1" spans="1:9">
      <c r="A2020" s="91" t="str">
        <f t="shared" si="93"/>
        <v>Nd-136</v>
      </c>
      <c r="B2020" s="91" t="s">
        <v>2628</v>
      </c>
      <c r="C2020" s="91" t="s">
        <v>2614</v>
      </c>
      <c r="D2020" s="91">
        <v>60</v>
      </c>
      <c r="E2020" s="91">
        <v>136</v>
      </c>
      <c r="F2020" s="91">
        <v>0</v>
      </c>
      <c r="G2020" s="126">
        <v>0.000228083968594914</v>
      </c>
      <c r="H2020" s="126">
        <f t="shared" si="94"/>
        <v>3039.00000000001</v>
      </c>
      <c r="I2020" s="126" t="str">
        <f t="shared" si="95"/>
        <v>0y 0d 0h 50m</v>
      </c>
    </row>
    <row r="2021" s="91" customFormat="1" spans="1:9">
      <c r="A2021" s="91" t="str">
        <f t="shared" si="93"/>
        <v>Nd-137</v>
      </c>
      <c r="B2021" s="91" t="s">
        <v>2629</v>
      </c>
      <c r="C2021" s="91" t="s">
        <v>2614</v>
      </c>
      <c r="D2021" s="91">
        <v>60</v>
      </c>
      <c r="E2021" s="91">
        <v>137</v>
      </c>
      <c r="F2021" s="91">
        <v>0</v>
      </c>
      <c r="G2021" s="126">
        <v>0.000300063714528114</v>
      </c>
      <c r="H2021" s="126">
        <f t="shared" si="94"/>
        <v>2310.00000000001</v>
      </c>
      <c r="I2021" s="126" t="str">
        <f t="shared" si="95"/>
        <v>0y 0d 0h 38m</v>
      </c>
    </row>
    <row r="2022" s="91" customFormat="1" spans="1:9">
      <c r="A2022" s="91" t="str">
        <f t="shared" si="93"/>
        <v>Nd-137m</v>
      </c>
      <c r="B2022" s="91" t="s">
        <v>2630</v>
      </c>
      <c r="C2022" s="91" t="s">
        <v>2614</v>
      </c>
      <c r="D2022" s="91">
        <v>60</v>
      </c>
      <c r="E2022" s="91">
        <v>137</v>
      </c>
      <c r="F2022" s="91">
        <v>1</v>
      </c>
      <c r="G2022" s="126">
        <v>0.433216987849965</v>
      </c>
      <c r="H2022" s="126">
        <f t="shared" si="94"/>
        <v>1.6</v>
      </c>
      <c r="I2022" s="126" t="str">
        <f t="shared" si="95"/>
        <v>0y 0d 0h 0m</v>
      </c>
    </row>
    <row r="2023" s="91" customFormat="1" spans="1:9">
      <c r="A2023" s="91" t="str">
        <f t="shared" si="93"/>
        <v>Nd-138</v>
      </c>
      <c r="B2023" s="91" t="s">
        <v>2631</v>
      </c>
      <c r="C2023" s="91" t="s">
        <v>2614</v>
      </c>
      <c r="D2023" s="91">
        <v>60</v>
      </c>
      <c r="E2023" s="91">
        <v>138</v>
      </c>
      <c r="F2023" s="91">
        <v>0</v>
      </c>
      <c r="G2023" s="126">
        <v>3.82025562477924e-5</v>
      </c>
      <c r="H2023" s="126">
        <f t="shared" si="94"/>
        <v>18144</v>
      </c>
      <c r="I2023" s="126" t="str">
        <f t="shared" si="95"/>
        <v>0y 0d 5h 2m</v>
      </c>
    </row>
    <row r="2024" s="91" customFormat="1" spans="1:9">
      <c r="A2024" s="91" t="str">
        <f t="shared" si="93"/>
        <v>Nd-139</v>
      </c>
      <c r="B2024" s="91" t="s">
        <v>2632</v>
      </c>
      <c r="C2024" s="91" t="s">
        <v>2614</v>
      </c>
      <c r="D2024" s="91">
        <v>60</v>
      </c>
      <c r="E2024" s="91">
        <v>139</v>
      </c>
      <c r="F2024" s="91">
        <v>0</v>
      </c>
      <c r="G2024" s="126">
        <v>0.000388971481795704</v>
      </c>
      <c r="H2024" s="126">
        <f t="shared" si="94"/>
        <v>1782</v>
      </c>
      <c r="I2024" s="126" t="str">
        <f t="shared" si="95"/>
        <v>0y 0d 0h 29m</v>
      </c>
    </row>
    <row r="2025" s="91" customFormat="1" spans="1:9">
      <c r="A2025" s="91" t="str">
        <f t="shared" si="93"/>
        <v>Nd-139m</v>
      </c>
      <c r="B2025" s="91" t="s">
        <v>2633</v>
      </c>
      <c r="C2025" s="91" t="s">
        <v>2614</v>
      </c>
      <c r="D2025" s="91">
        <v>60</v>
      </c>
      <c r="E2025" s="91">
        <v>139</v>
      </c>
      <c r="F2025" s="91">
        <v>1</v>
      </c>
      <c r="G2025" s="126">
        <v>3.50074333616134e-5</v>
      </c>
      <c r="H2025" s="126">
        <f t="shared" si="94"/>
        <v>19800</v>
      </c>
      <c r="I2025" s="126" t="str">
        <f t="shared" si="95"/>
        <v>0y 0d 5h 30m</v>
      </c>
    </row>
    <row r="2026" s="91" customFormat="1" spans="1:9">
      <c r="A2026" s="91" t="str">
        <f t="shared" si="93"/>
        <v>Nd-140</v>
      </c>
      <c r="B2026" s="91" t="s">
        <v>2634</v>
      </c>
      <c r="C2026" s="91" t="s">
        <v>2614</v>
      </c>
      <c r="D2026" s="91">
        <v>60</v>
      </c>
      <c r="E2026" s="91">
        <v>140</v>
      </c>
      <c r="F2026" s="91">
        <v>0</v>
      </c>
      <c r="G2026" s="126">
        <v>2.38057472167252e-6</v>
      </c>
      <c r="H2026" s="126">
        <f t="shared" si="94"/>
        <v>291168</v>
      </c>
      <c r="I2026" s="126" t="str">
        <f t="shared" si="95"/>
        <v>0y 3d 8h 52m</v>
      </c>
    </row>
    <row r="2027" s="91" customFormat="1" spans="1:9">
      <c r="A2027" s="91" t="str">
        <f t="shared" si="93"/>
        <v>Nd-141</v>
      </c>
      <c r="B2027" s="91" t="s">
        <v>2635</v>
      </c>
      <c r="C2027" s="91" t="s">
        <v>2614</v>
      </c>
      <c r="D2027" s="91">
        <v>60</v>
      </c>
      <c r="E2027" s="91">
        <v>141</v>
      </c>
      <c r="F2027" s="91">
        <v>0</v>
      </c>
      <c r="G2027" s="126">
        <v>7.7325656019628e-5</v>
      </c>
      <c r="H2027" s="126">
        <f t="shared" si="94"/>
        <v>8964</v>
      </c>
      <c r="I2027" s="126" t="str">
        <f t="shared" si="95"/>
        <v>0y 0d 2h 29m</v>
      </c>
    </row>
    <row r="2028" s="91" customFormat="1" spans="1:9">
      <c r="A2028" s="91" t="str">
        <f t="shared" si="93"/>
        <v>Nd-141m</v>
      </c>
      <c r="B2028" s="91" t="s">
        <v>2636</v>
      </c>
      <c r="C2028" s="91" t="s">
        <v>2614</v>
      </c>
      <c r="D2028" s="91">
        <v>60</v>
      </c>
      <c r="E2028" s="91">
        <v>141</v>
      </c>
      <c r="F2028" s="91">
        <v>1</v>
      </c>
      <c r="G2028" s="126">
        <v>0.0111797932348378</v>
      </c>
      <c r="H2028" s="126">
        <f t="shared" si="94"/>
        <v>62.0000000000001</v>
      </c>
      <c r="I2028" s="126" t="str">
        <f t="shared" si="95"/>
        <v>0y 0d 0h 1m</v>
      </c>
    </row>
    <row r="2029" s="91" customFormat="1" spans="1:9">
      <c r="A2029" s="91" t="str">
        <f t="shared" si="93"/>
        <v>Nd-142</v>
      </c>
      <c r="B2029" s="91" t="s">
        <v>2637</v>
      </c>
      <c r="C2029" s="91" t="s">
        <v>2614</v>
      </c>
      <c r="D2029" s="91">
        <v>60</v>
      </c>
      <c r="E2029" s="91">
        <v>142</v>
      </c>
      <c r="F2029" s="91">
        <v>0</v>
      </c>
      <c r="G2029" s="126">
        <v>0</v>
      </c>
      <c r="H2029" s="126">
        <f t="shared" si="94"/>
        <v>0</v>
      </c>
      <c r="I2029" s="126" t="str">
        <f t="shared" si="95"/>
        <v>0y 0d 0h 0m</v>
      </c>
    </row>
    <row r="2030" s="91" customFormat="1" spans="1:9">
      <c r="A2030" s="91" t="str">
        <f t="shared" si="93"/>
        <v>Nd-143</v>
      </c>
      <c r="B2030" s="91" t="s">
        <v>2638</v>
      </c>
      <c r="C2030" s="91" t="s">
        <v>2614</v>
      </c>
      <c r="D2030" s="91">
        <v>60</v>
      </c>
      <c r="E2030" s="91">
        <v>143</v>
      </c>
      <c r="F2030" s="91">
        <v>0</v>
      </c>
      <c r="G2030" s="126">
        <v>0</v>
      </c>
      <c r="H2030" s="126">
        <f t="shared" si="94"/>
        <v>0</v>
      </c>
      <c r="I2030" s="126" t="str">
        <f t="shared" si="95"/>
        <v>0y 0d 0h 0m</v>
      </c>
    </row>
    <row r="2031" s="91" customFormat="1" spans="1:9">
      <c r="A2031" s="91" t="str">
        <f t="shared" si="93"/>
        <v>Nd-144</v>
      </c>
      <c r="B2031" s="91" t="s">
        <v>2639</v>
      </c>
      <c r="C2031" s="91" t="s">
        <v>2614</v>
      </c>
      <c r="D2031" s="91">
        <v>60</v>
      </c>
      <c r="E2031" s="91">
        <v>144</v>
      </c>
      <c r="F2031" s="91">
        <v>0</v>
      </c>
      <c r="G2031" s="126">
        <v>9.59148905736852e-24</v>
      </c>
      <c r="H2031" s="126">
        <f t="shared" si="94"/>
        <v>7.22669e+22</v>
      </c>
      <c r="I2031" s="126" t="str">
        <f t="shared" si="95"/>
        <v>2291568366311520y 0d 0h 0m</v>
      </c>
    </row>
    <row r="2032" s="91" customFormat="1" spans="1:9">
      <c r="A2032" s="91" t="str">
        <f t="shared" si="93"/>
        <v>Nd-145</v>
      </c>
      <c r="B2032" s="91" t="s">
        <v>2640</v>
      </c>
      <c r="C2032" s="91" t="s">
        <v>2614</v>
      </c>
      <c r="D2032" s="91">
        <v>60</v>
      </c>
      <c r="E2032" s="91">
        <v>145</v>
      </c>
      <c r="F2032" s="91">
        <v>0</v>
      </c>
      <c r="G2032" s="126">
        <v>0</v>
      </c>
      <c r="H2032" s="126">
        <f t="shared" si="94"/>
        <v>0</v>
      </c>
      <c r="I2032" s="126" t="str">
        <f t="shared" si="95"/>
        <v>0y 0d 0h 0m</v>
      </c>
    </row>
    <row r="2033" s="91" customFormat="1" spans="1:9">
      <c r="A2033" s="91" t="str">
        <f t="shared" si="93"/>
        <v>Nd-146</v>
      </c>
      <c r="B2033" s="91" t="s">
        <v>2641</v>
      </c>
      <c r="C2033" s="91" t="s">
        <v>2614</v>
      </c>
      <c r="D2033" s="91">
        <v>60</v>
      </c>
      <c r="E2033" s="91">
        <v>146</v>
      </c>
      <c r="F2033" s="91">
        <v>0</v>
      </c>
      <c r="G2033" s="126">
        <v>0</v>
      </c>
      <c r="H2033" s="126">
        <f t="shared" si="94"/>
        <v>0</v>
      </c>
      <c r="I2033" s="126" t="str">
        <f t="shared" si="95"/>
        <v>0y 0d 0h 0m</v>
      </c>
    </row>
    <row r="2034" s="91" customFormat="1" spans="1:9">
      <c r="A2034" s="91" t="str">
        <f t="shared" si="93"/>
        <v>Nd-147</v>
      </c>
      <c r="B2034" s="91" t="s">
        <v>2642</v>
      </c>
      <c r="C2034" s="91" t="s">
        <v>2614</v>
      </c>
      <c r="D2034" s="91">
        <v>60</v>
      </c>
      <c r="E2034" s="91">
        <v>147</v>
      </c>
      <c r="F2034" s="91">
        <v>0</v>
      </c>
      <c r="G2034" s="126">
        <v>7.30649982881275e-7</v>
      </c>
      <c r="H2034" s="126">
        <f t="shared" si="94"/>
        <v>948672.000000001</v>
      </c>
      <c r="I2034" s="126" t="str">
        <f t="shared" si="95"/>
        <v>0y 10d 23h 31m</v>
      </c>
    </row>
    <row r="2035" s="91" customFormat="1" spans="1:9">
      <c r="A2035" s="91" t="str">
        <f t="shared" si="93"/>
        <v>Nd-148</v>
      </c>
      <c r="B2035" s="91" t="s">
        <v>2643</v>
      </c>
      <c r="C2035" s="91" t="s">
        <v>2614</v>
      </c>
      <c r="D2035" s="91">
        <v>60</v>
      </c>
      <c r="E2035" s="91">
        <v>148</v>
      </c>
      <c r="F2035" s="91">
        <v>0</v>
      </c>
      <c r="G2035" s="126">
        <v>0</v>
      </c>
      <c r="H2035" s="126">
        <f t="shared" si="94"/>
        <v>0</v>
      </c>
      <c r="I2035" s="126" t="str">
        <f t="shared" si="95"/>
        <v>0y 0d 0h 0m</v>
      </c>
    </row>
    <row r="2036" s="91" customFormat="1" spans="1:9">
      <c r="A2036" s="91" t="str">
        <f t="shared" si="93"/>
        <v>Nd-149</v>
      </c>
      <c r="B2036" s="91" t="s">
        <v>2644</v>
      </c>
      <c r="C2036" s="91" t="s">
        <v>2614</v>
      </c>
      <c r="D2036" s="91">
        <v>60</v>
      </c>
      <c r="E2036" s="91">
        <v>149</v>
      </c>
      <c r="F2036" s="91">
        <v>0</v>
      </c>
      <c r="G2036" s="126">
        <v>0.000111424122389394</v>
      </c>
      <c r="H2036" s="126">
        <f t="shared" si="94"/>
        <v>6220.80000000003</v>
      </c>
      <c r="I2036" s="126" t="str">
        <f t="shared" si="95"/>
        <v>0y 0d 1h 43m</v>
      </c>
    </row>
    <row r="2037" s="91" customFormat="1" spans="1:9">
      <c r="A2037" s="91" t="str">
        <f t="shared" si="93"/>
        <v>Nd-150</v>
      </c>
      <c r="B2037" s="91" t="s">
        <v>2645</v>
      </c>
      <c r="C2037" s="91" t="s">
        <v>2614</v>
      </c>
      <c r="D2037" s="91">
        <v>60</v>
      </c>
      <c r="E2037" s="91">
        <v>150</v>
      </c>
      <c r="F2037" s="91">
        <v>0</v>
      </c>
      <c r="G2037" s="126">
        <v>2.78031800629728e-27</v>
      </c>
      <c r="H2037" s="126">
        <f t="shared" si="94"/>
        <v>2.49305000000001e+26</v>
      </c>
      <c r="I2037" s="126" t="str">
        <f t="shared" si="95"/>
        <v>7905409690512450000y 0d 0h 0m</v>
      </c>
    </row>
    <row r="2038" s="91" customFormat="1" spans="1:9">
      <c r="A2038" s="91" t="str">
        <f t="shared" si="93"/>
        <v>Nd-151</v>
      </c>
      <c r="B2038" s="91" t="s">
        <v>2646</v>
      </c>
      <c r="C2038" s="91" t="s">
        <v>2614</v>
      </c>
      <c r="D2038" s="91">
        <v>60</v>
      </c>
      <c r="E2038" s="91">
        <v>151</v>
      </c>
      <c r="F2038" s="91">
        <v>0</v>
      </c>
      <c r="G2038" s="126">
        <v>0.000928653778885242</v>
      </c>
      <c r="H2038" s="126">
        <f t="shared" si="94"/>
        <v>746.400000000001</v>
      </c>
      <c r="I2038" s="126" t="str">
        <f t="shared" si="95"/>
        <v>0y 0d 0h 12m</v>
      </c>
    </row>
    <row r="2039" s="91" customFormat="1" spans="1:9">
      <c r="A2039" s="91" t="str">
        <f t="shared" si="93"/>
        <v>Nd-152</v>
      </c>
      <c r="B2039" s="91" t="s">
        <v>2647</v>
      </c>
      <c r="C2039" s="91" t="s">
        <v>2614</v>
      </c>
      <c r="D2039" s="91">
        <v>60</v>
      </c>
      <c r="E2039" s="91">
        <v>152</v>
      </c>
      <c r="F2039" s="91">
        <v>0</v>
      </c>
      <c r="G2039" s="126">
        <v>0.00101337307099407</v>
      </c>
      <c r="H2039" s="126">
        <f t="shared" si="94"/>
        <v>684.000000000001</v>
      </c>
      <c r="I2039" s="126" t="str">
        <f t="shared" si="95"/>
        <v>0y 0d 0h 11m</v>
      </c>
    </row>
    <row r="2040" s="91" customFormat="1" spans="1:9">
      <c r="A2040" s="91" t="str">
        <f t="shared" si="93"/>
        <v>Nd-153</v>
      </c>
      <c r="B2040" s="91" t="s">
        <v>2648</v>
      </c>
      <c r="C2040" s="91" t="s">
        <v>2614</v>
      </c>
      <c r="D2040" s="91">
        <v>60</v>
      </c>
      <c r="E2040" s="91">
        <v>153</v>
      </c>
      <c r="F2040" s="91">
        <v>0</v>
      </c>
      <c r="G2040" s="126">
        <v>0.0219350373594919</v>
      </c>
      <c r="H2040" s="126">
        <f t="shared" si="94"/>
        <v>31.6000000000001</v>
      </c>
      <c r="I2040" s="126" t="str">
        <f t="shared" si="95"/>
        <v>0y 0d 0h 0m</v>
      </c>
    </row>
    <row r="2041" s="91" customFormat="1" spans="1:9">
      <c r="A2041" s="91" t="str">
        <f t="shared" si="93"/>
        <v>Nd-154</v>
      </c>
      <c r="B2041" s="91" t="s">
        <v>2649</v>
      </c>
      <c r="C2041" s="91" t="s">
        <v>2614</v>
      </c>
      <c r="D2041" s="91">
        <v>60</v>
      </c>
      <c r="E2041" s="91">
        <v>154</v>
      </c>
      <c r="F2041" s="91">
        <v>0</v>
      </c>
      <c r="G2041" s="126">
        <v>0.0267624394038588</v>
      </c>
      <c r="H2041" s="126">
        <f t="shared" si="94"/>
        <v>25.9000000000001</v>
      </c>
      <c r="I2041" s="126" t="str">
        <f t="shared" si="95"/>
        <v>0y 0d 0h 0m</v>
      </c>
    </row>
    <row r="2042" s="91" customFormat="1" spans="1:9">
      <c r="A2042" s="91" t="str">
        <f t="shared" si="93"/>
        <v>Nd-155</v>
      </c>
      <c r="B2042" s="91" t="s">
        <v>2650</v>
      </c>
      <c r="C2042" s="91" t="s">
        <v>2614</v>
      </c>
      <c r="D2042" s="91">
        <v>60</v>
      </c>
      <c r="E2042" s="91">
        <v>155</v>
      </c>
      <c r="F2042" s="91">
        <v>0</v>
      </c>
      <c r="G2042" s="126">
        <v>0.0778817056808927</v>
      </c>
      <c r="H2042" s="126">
        <f t="shared" si="94"/>
        <v>8.9</v>
      </c>
      <c r="I2042" s="126" t="str">
        <f t="shared" si="95"/>
        <v>0y 0d 0h 0m</v>
      </c>
    </row>
    <row r="2043" s="91" customFormat="1" spans="1:9">
      <c r="A2043" s="91" t="str">
        <f t="shared" si="93"/>
        <v>Nd-156</v>
      </c>
      <c r="B2043" s="91" t="s">
        <v>2651</v>
      </c>
      <c r="C2043" s="91" t="s">
        <v>2614</v>
      </c>
      <c r="D2043" s="91">
        <v>60</v>
      </c>
      <c r="E2043" s="91">
        <v>156</v>
      </c>
      <c r="F2043" s="91">
        <v>0</v>
      </c>
      <c r="G2043" s="126">
        <v>0.126256317041884</v>
      </c>
      <c r="H2043" s="126">
        <f t="shared" si="94"/>
        <v>5.49000000000002</v>
      </c>
      <c r="I2043" s="126" t="str">
        <f t="shared" si="95"/>
        <v>0y 0d 0h 0m</v>
      </c>
    </row>
    <row r="2044" s="91" customFormat="1" spans="1:9">
      <c r="A2044" s="91" t="str">
        <f t="shared" si="93"/>
        <v>Nd-157</v>
      </c>
      <c r="B2044" s="91" t="s">
        <v>2652</v>
      </c>
      <c r="C2044" s="91" t="s">
        <v>2614</v>
      </c>
      <c r="D2044" s="91">
        <v>60</v>
      </c>
      <c r="E2044" s="91">
        <v>157</v>
      </c>
      <c r="F2044" s="91">
        <v>0</v>
      </c>
      <c r="G2044" s="126">
        <v>0.363665886967442</v>
      </c>
      <c r="H2044" s="126">
        <f t="shared" si="94"/>
        <v>1.906</v>
      </c>
      <c r="I2044" s="126" t="str">
        <f t="shared" si="95"/>
        <v>0y 0d 0h 0m</v>
      </c>
    </row>
    <row r="2045" s="91" customFormat="1" spans="1:9">
      <c r="A2045" s="91" t="str">
        <f t="shared" si="93"/>
        <v>Nd-158</v>
      </c>
      <c r="B2045" s="91" t="s">
        <v>2653</v>
      </c>
      <c r="C2045" s="91" t="s">
        <v>2614</v>
      </c>
      <c r="D2045" s="91">
        <v>60</v>
      </c>
      <c r="E2045" s="91">
        <v>158</v>
      </c>
      <c r="F2045" s="91">
        <v>0</v>
      </c>
      <c r="G2045" s="126">
        <v>0.520771735957885</v>
      </c>
      <c r="H2045" s="126">
        <f t="shared" si="94"/>
        <v>1.331</v>
      </c>
      <c r="I2045" s="126" t="str">
        <f t="shared" si="95"/>
        <v>0y 0d 0h 0m</v>
      </c>
    </row>
    <row r="2046" s="91" customFormat="1" spans="1:9">
      <c r="A2046" s="91" t="str">
        <f t="shared" si="93"/>
        <v>Nd-159</v>
      </c>
      <c r="B2046" s="91" t="s">
        <v>2654</v>
      </c>
      <c r="C2046" s="91" t="s">
        <v>2614</v>
      </c>
      <c r="D2046" s="91">
        <v>60</v>
      </c>
      <c r="E2046" s="91">
        <v>159</v>
      </c>
      <c r="F2046" s="91">
        <v>0</v>
      </c>
      <c r="G2046" s="126">
        <v>0.896697516895142</v>
      </c>
      <c r="H2046" s="126">
        <f t="shared" si="94"/>
        <v>0.773000000000001</v>
      </c>
      <c r="I2046" s="126" t="str">
        <f t="shared" si="95"/>
        <v>0y 0d 0h 0m</v>
      </c>
    </row>
    <row r="2047" s="91" customFormat="1" spans="1:9">
      <c r="A2047" s="91" t="str">
        <f t="shared" si="93"/>
        <v>Nd-160</v>
      </c>
      <c r="B2047" s="91" t="s">
        <v>2655</v>
      </c>
      <c r="C2047" s="91" t="s">
        <v>2614</v>
      </c>
      <c r="D2047" s="91">
        <v>60</v>
      </c>
      <c r="E2047" s="91">
        <v>160</v>
      </c>
      <c r="F2047" s="91">
        <v>0</v>
      </c>
      <c r="G2047" s="126">
        <v>1.17822060268561</v>
      </c>
      <c r="H2047" s="126">
        <f t="shared" si="94"/>
        <v>0.588300000000001</v>
      </c>
      <c r="I2047" s="126" t="str">
        <f t="shared" si="95"/>
        <v>0y 0d 0h 0m</v>
      </c>
    </row>
    <row r="2048" s="91" customFormat="1" spans="1:9">
      <c r="A2048" s="91" t="str">
        <f t="shared" si="93"/>
        <v>Nd-161</v>
      </c>
      <c r="B2048" s="91" t="s">
        <v>2656</v>
      </c>
      <c r="C2048" s="91" t="s">
        <v>2614</v>
      </c>
      <c r="D2048" s="91">
        <v>60</v>
      </c>
      <c r="E2048" s="91">
        <v>161</v>
      </c>
      <c r="F2048" s="91">
        <v>0</v>
      </c>
      <c r="G2048" s="126">
        <v>1.41922027141675</v>
      </c>
      <c r="H2048" s="126">
        <f t="shared" si="94"/>
        <v>0.488400000000003</v>
      </c>
      <c r="I2048" s="126" t="str">
        <f t="shared" si="95"/>
        <v>0y 0d 0h 0m</v>
      </c>
    </row>
    <row r="2049" s="91" customFormat="1" spans="1:9">
      <c r="A2049" s="91" t="str">
        <f t="shared" si="93"/>
        <v>Pm-126</v>
      </c>
      <c r="B2049" s="91" t="s">
        <v>2657</v>
      </c>
      <c r="C2049" s="91" t="s">
        <v>2658</v>
      </c>
      <c r="D2049" s="91">
        <v>61</v>
      </c>
      <c r="E2049" s="91">
        <v>126</v>
      </c>
      <c r="F2049" s="91">
        <v>0</v>
      </c>
      <c r="G2049" s="126">
        <v>1.38629436111989</v>
      </c>
      <c r="H2049" s="126">
        <f t="shared" si="94"/>
        <v>0.5</v>
      </c>
      <c r="I2049" s="126" t="str">
        <f t="shared" si="95"/>
        <v>0y 0d 0h 0m</v>
      </c>
    </row>
    <row r="2050" s="91" customFormat="1" spans="1:9">
      <c r="A2050" s="91" t="str">
        <f t="shared" ref="A2050:A2113" si="96">C2050&amp;"-"&amp;E2050&amp;_xlfn.IFS(F2050=0,"",F2050=1,"m",F2050&gt;1,"m"&amp;F2050)</f>
        <v>Pm-127</v>
      </c>
      <c r="B2050" s="91" t="s">
        <v>2659</v>
      </c>
      <c r="C2050" s="91" t="s">
        <v>2658</v>
      </c>
      <c r="D2050" s="91">
        <v>61</v>
      </c>
      <c r="E2050" s="91">
        <v>127</v>
      </c>
      <c r="F2050" s="91">
        <v>0</v>
      </c>
      <c r="G2050" s="126">
        <v>0.693147180559945</v>
      </c>
      <c r="H2050" s="126">
        <f t="shared" ref="H2050:H2113" si="97">IF(G2050&gt;0,LN(2)/G2050,0)</f>
        <v>1</v>
      </c>
      <c r="I2050" s="126" t="str">
        <f t="shared" si="95"/>
        <v>0y 0d 0h 0m</v>
      </c>
    </row>
    <row r="2051" s="91" customFormat="1" spans="1:9">
      <c r="A2051" s="91" t="str">
        <f t="shared" si="96"/>
        <v>Pm-128</v>
      </c>
      <c r="B2051" s="91" t="s">
        <v>2660</v>
      </c>
      <c r="C2051" s="91" t="s">
        <v>2658</v>
      </c>
      <c r="D2051" s="91">
        <v>61</v>
      </c>
      <c r="E2051" s="91">
        <v>128</v>
      </c>
      <c r="F2051" s="91">
        <v>0</v>
      </c>
      <c r="G2051" s="126">
        <v>0.693147180559945</v>
      </c>
      <c r="H2051" s="126">
        <f t="shared" si="97"/>
        <v>1</v>
      </c>
      <c r="I2051" s="126" t="str">
        <f t="shared" ref="I2051:I2114" si="98">INT(H2051/31536000)&amp;"y "&amp;INT(MOD(H2051,31536000)/86400)&amp;"d "&amp;INT(MOD(MOD(H2051,31536000),86400)/3600)&amp;"h "&amp;INT(MOD(MOD(MOD(H2051,31536000),86400),3600)/60)&amp;"m"</f>
        <v>0y 0d 0h 0m</v>
      </c>
    </row>
    <row r="2052" s="91" customFormat="1" spans="1:9">
      <c r="A2052" s="91" t="str">
        <f t="shared" si="96"/>
        <v>Pm-129</v>
      </c>
      <c r="B2052" s="91" t="s">
        <v>2661</v>
      </c>
      <c r="C2052" s="91" t="s">
        <v>2658</v>
      </c>
      <c r="D2052" s="91">
        <v>61</v>
      </c>
      <c r="E2052" s="91">
        <v>129</v>
      </c>
      <c r="F2052" s="91">
        <v>0</v>
      </c>
      <c r="G2052" s="126">
        <v>0.28881132523331</v>
      </c>
      <c r="H2052" s="126">
        <f t="shared" si="97"/>
        <v>2.4</v>
      </c>
      <c r="I2052" s="126" t="str">
        <f t="shared" si="98"/>
        <v>0y 0d 0h 0m</v>
      </c>
    </row>
    <row r="2053" s="91" customFormat="1" spans="1:9">
      <c r="A2053" s="91" t="str">
        <f t="shared" si="96"/>
        <v>Pm-130</v>
      </c>
      <c r="B2053" s="91" t="s">
        <v>2662</v>
      </c>
      <c r="C2053" s="91" t="s">
        <v>2658</v>
      </c>
      <c r="D2053" s="91">
        <v>61</v>
      </c>
      <c r="E2053" s="91">
        <v>130</v>
      </c>
      <c r="F2053" s="91">
        <v>0</v>
      </c>
      <c r="G2053" s="126">
        <v>0.266595069446132</v>
      </c>
      <c r="H2053" s="126">
        <f t="shared" si="97"/>
        <v>2.60000000000001</v>
      </c>
      <c r="I2053" s="126" t="str">
        <f t="shared" si="98"/>
        <v>0y 0d 0h 0m</v>
      </c>
    </row>
    <row r="2054" s="91" customFormat="1" spans="1:9">
      <c r="A2054" s="91" t="str">
        <f t="shared" si="96"/>
        <v>Pm-131</v>
      </c>
      <c r="B2054" s="91" t="s">
        <v>2663</v>
      </c>
      <c r="C2054" s="91" t="s">
        <v>2658</v>
      </c>
      <c r="D2054" s="91">
        <v>61</v>
      </c>
      <c r="E2054" s="91">
        <v>131</v>
      </c>
      <c r="F2054" s="91">
        <v>0</v>
      </c>
      <c r="G2054" s="126">
        <v>0.110023361993642</v>
      </c>
      <c r="H2054" s="126">
        <f t="shared" si="97"/>
        <v>6.30000000000001</v>
      </c>
      <c r="I2054" s="126" t="str">
        <f t="shared" si="98"/>
        <v>0y 0d 0h 0m</v>
      </c>
    </row>
    <row r="2055" s="91" customFormat="1" spans="1:9">
      <c r="A2055" s="91" t="str">
        <f t="shared" si="96"/>
        <v>Pm-132</v>
      </c>
      <c r="B2055" s="91" t="s">
        <v>2664</v>
      </c>
      <c r="C2055" s="91" t="s">
        <v>2658</v>
      </c>
      <c r="D2055" s="91">
        <v>61</v>
      </c>
      <c r="E2055" s="91">
        <v>132</v>
      </c>
      <c r="F2055" s="91">
        <v>0</v>
      </c>
      <c r="G2055" s="126">
        <v>0.111797932348378</v>
      </c>
      <c r="H2055" s="126">
        <f t="shared" si="97"/>
        <v>6.20000000000002</v>
      </c>
      <c r="I2055" s="126" t="str">
        <f t="shared" si="98"/>
        <v>0y 0d 0h 0m</v>
      </c>
    </row>
    <row r="2056" s="91" customFormat="1" spans="1:9">
      <c r="A2056" s="91" t="str">
        <f t="shared" si="96"/>
        <v>Pm-133</v>
      </c>
      <c r="B2056" s="91" t="s">
        <v>2665</v>
      </c>
      <c r="C2056" s="91" t="s">
        <v>2658</v>
      </c>
      <c r="D2056" s="91">
        <v>61</v>
      </c>
      <c r="E2056" s="91">
        <v>133</v>
      </c>
      <c r="F2056" s="91">
        <v>0</v>
      </c>
      <c r="G2056" s="126">
        <v>0.0462098120373296</v>
      </c>
      <c r="H2056" s="126">
        <f t="shared" si="97"/>
        <v>15</v>
      </c>
      <c r="I2056" s="126" t="str">
        <f t="shared" si="98"/>
        <v>0y 0d 0h 0m</v>
      </c>
    </row>
    <row r="2057" s="91" customFormat="1" spans="1:9">
      <c r="A2057" s="91" t="str">
        <f t="shared" si="96"/>
        <v>Pm-133m</v>
      </c>
      <c r="B2057" s="91" t="s">
        <v>2666</v>
      </c>
      <c r="C2057" s="91" t="s">
        <v>2658</v>
      </c>
      <c r="D2057" s="91">
        <v>61</v>
      </c>
      <c r="E2057" s="91">
        <v>133</v>
      </c>
      <c r="F2057" s="91">
        <v>1</v>
      </c>
      <c r="G2057" s="126">
        <v>0.0787667250636301</v>
      </c>
      <c r="H2057" s="126">
        <f t="shared" si="97"/>
        <v>8.80000000000001</v>
      </c>
      <c r="I2057" s="126" t="str">
        <f t="shared" si="98"/>
        <v>0y 0d 0h 0m</v>
      </c>
    </row>
    <row r="2058" s="91" customFormat="1" spans="1:9">
      <c r="A2058" s="91" t="str">
        <f t="shared" si="96"/>
        <v>Pm-134</v>
      </c>
      <c r="B2058" s="91" t="s">
        <v>2667</v>
      </c>
      <c r="C2058" s="91" t="s">
        <v>2658</v>
      </c>
      <c r="D2058" s="91">
        <v>61</v>
      </c>
      <c r="E2058" s="91">
        <v>134</v>
      </c>
      <c r="F2058" s="91">
        <v>0</v>
      </c>
      <c r="G2058" s="126">
        <v>0.138629436111989</v>
      </c>
      <c r="H2058" s="126">
        <f t="shared" si="97"/>
        <v>5</v>
      </c>
      <c r="I2058" s="126" t="str">
        <f t="shared" si="98"/>
        <v>0y 0d 0h 0m</v>
      </c>
    </row>
    <row r="2059" s="91" customFormat="1" spans="1:9">
      <c r="A2059" s="91" t="str">
        <f t="shared" si="96"/>
        <v>Pm-134m</v>
      </c>
      <c r="B2059" s="91" t="s">
        <v>2668</v>
      </c>
      <c r="C2059" s="91" t="s">
        <v>2658</v>
      </c>
      <c r="D2059" s="91">
        <v>61</v>
      </c>
      <c r="E2059" s="91">
        <v>134</v>
      </c>
      <c r="F2059" s="91">
        <v>1</v>
      </c>
      <c r="G2059" s="126">
        <v>0.031506690025452</v>
      </c>
      <c r="H2059" s="126">
        <f t="shared" si="97"/>
        <v>22</v>
      </c>
      <c r="I2059" s="126" t="str">
        <f t="shared" si="98"/>
        <v>0y 0d 0h 0m</v>
      </c>
    </row>
    <row r="2060" s="91" customFormat="1" spans="1:9">
      <c r="A2060" s="91" t="str">
        <f t="shared" si="96"/>
        <v>Pm-135</v>
      </c>
      <c r="B2060" s="91" t="s">
        <v>2669</v>
      </c>
      <c r="C2060" s="91" t="s">
        <v>2658</v>
      </c>
      <c r="D2060" s="91">
        <v>61</v>
      </c>
      <c r="E2060" s="91">
        <v>135</v>
      </c>
      <c r="F2060" s="91">
        <v>0</v>
      </c>
      <c r="G2060" s="126">
        <v>0.0141458608277539</v>
      </c>
      <c r="H2060" s="126">
        <f t="shared" si="97"/>
        <v>49.0000000000003</v>
      </c>
      <c r="I2060" s="126" t="str">
        <f t="shared" si="98"/>
        <v>0y 0d 0h 0m</v>
      </c>
    </row>
    <row r="2061" s="91" customFormat="1" spans="1:9">
      <c r="A2061" s="91" t="str">
        <f t="shared" si="96"/>
        <v>Pm-135m</v>
      </c>
      <c r="B2061" s="91" t="s">
        <v>2670</v>
      </c>
      <c r="C2061" s="91" t="s">
        <v>2658</v>
      </c>
      <c r="D2061" s="91">
        <v>61</v>
      </c>
      <c r="E2061" s="91">
        <v>135</v>
      </c>
      <c r="F2061" s="91">
        <v>1</v>
      </c>
      <c r="G2061" s="126">
        <v>0.0154032706791098</v>
      </c>
      <c r="H2061" s="126">
        <f t="shared" si="97"/>
        <v>45.0000000000003</v>
      </c>
      <c r="I2061" s="126" t="str">
        <f t="shared" si="98"/>
        <v>0y 0d 0h 0m</v>
      </c>
    </row>
    <row r="2062" s="91" customFormat="1" spans="1:9">
      <c r="A2062" s="91" t="str">
        <f t="shared" si="96"/>
        <v>Pm-136</v>
      </c>
      <c r="B2062" s="91" t="s">
        <v>2671</v>
      </c>
      <c r="C2062" s="91" t="s">
        <v>2658</v>
      </c>
      <c r="D2062" s="91">
        <v>61</v>
      </c>
      <c r="E2062" s="91">
        <v>136</v>
      </c>
      <c r="F2062" s="91">
        <v>0</v>
      </c>
      <c r="G2062" s="126">
        <v>0.0147478123523392</v>
      </c>
      <c r="H2062" s="126">
        <f t="shared" si="97"/>
        <v>47.0000000000002</v>
      </c>
      <c r="I2062" s="126" t="str">
        <f t="shared" si="98"/>
        <v>0y 0d 0h 0m</v>
      </c>
    </row>
    <row r="2063" s="91" customFormat="1" spans="1:9">
      <c r="A2063" s="91" t="str">
        <f t="shared" si="96"/>
        <v>Pm-136m</v>
      </c>
      <c r="B2063" s="91" t="s">
        <v>2672</v>
      </c>
      <c r="C2063" s="91" t="s">
        <v>2658</v>
      </c>
      <c r="D2063" s="91">
        <v>61</v>
      </c>
      <c r="E2063" s="91">
        <v>136</v>
      </c>
      <c r="F2063" s="91">
        <v>1</v>
      </c>
      <c r="G2063" s="126">
        <v>0.00647801103327051</v>
      </c>
      <c r="H2063" s="126">
        <f t="shared" si="97"/>
        <v>107</v>
      </c>
      <c r="I2063" s="126" t="str">
        <f t="shared" si="98"/>
        <v>0y 0d 0h 1m</v>
      </c>
    </row>
    <row r="2064" s="91" customFormat="1" spans="1:9">
      <c r="A2064" s="91" t="str">
        <f t="shared" si="96"/>
        <v>Pm-137</v>
      </c>
      <c r="B2064" s="91" t="s">
        <v>2673</v>
      </c>
      <c r="C2064" s="91" t="s">
        <v>2658</v>
      </c>
      <c r="D2064" s="91">
        <v>61</v>
      </c>
      <c r="E2064" s="91">
        <v>137</v>
      </c>
      <c r="F2064" s="91">
        <v>0</v>
      </c>
      <c r="G2064" s="126">
        <v>0.00481352208722184</v>
      </c>
      <c r="H2064" s="126">
        <f t="shared" si="97"/>
        <v>144</v>
      </c>
      <c r="I2064" s="126" t="str">
        <f t="shared" si="98"/>
        <v>0y 0d 0h 2m</v>
      </c>
    </row>
    <row r="2065" s="91" customFormat="1" spans="1:9">
      <c r="A2065" s="91" t="str">
        <f t="shared" si="96"/>
        <v>Pm-138</v>
      </c>
      <c r="B2065" s="91" t="s">
        <v>2674</v>
      </c>
      <c r="C2065" s="91" t="s">
        <v>2658</v>
      </c>
      <c r="D2065" s="91">
        <v>61</v>
      </c>
      <c r="E2065" s="91">
        <v>138</v>
      </c>
      <c r="F2065" s="91">
        <v>0</v>
      </c>
      <c r="G2065" s="126">
        <v>0.0693147180559945</v>
      </c>
      <c r="H2065" s="126">
        <f t="shared" si="97"/>
        <v>10</v>
      </c>
      <c r="I2065" s="126" t="str">
        <f t="shared" si="98"/>
        <v>0y 0d 0h 0m</v>
      </c>
    </row>
    <row r="2066" s="91" customFormat="1" spans="1:9">
      <c r="A2066" s="91" t="str">
        <f t="shared" si="96"/>
        <v>Pm-138m</v>
      </c>
      <c r="B2066" s="91" t="s">
        <v>2675</v>
      </c>
      <c r="C2066" s="91" t="s">
        <v>2658</v>
      </c>
      <c r="D2066" s="91">
        <v>61</v>
      </c>
      <c r="E2066" s="91">
        <v>138</v>
      </c>
      <c r="F2066" s="91">
        <v>1</v>
      </c>
      <c r="G2066" s="126">
        <v>0.00356557191646062</v>
      </c>
      <c r="H2066" s="126">
        <f t="shared" si="97"/>
        <v>194.4</v>
      </c>
      <c r="I2066" s="126" t="str">
        <f t="shared" si="98"/>
        <v>0y 0d 0h 3m</v>
      </c>
    </row>
    <row r="2067" s="91" customFormat="1" spans="1:9">
      <c r="A2067" s="91" t="str">
        <f t="shared" si="96"/>
        <v>Pm-139</v>
      </c>
      <c r="B2067" s="91" t="s">
        <v>2676</v>
      </c>
      <c r="C2067" s="91" t="s">
        <v>2658</v>
      </c>
      <c r="D2067" s="91">
        <v>61</v>
      </c>
      <c r="E2067" s="91">
        <v>139</v>
      </c>
      <c r="F2067" s="91">
        <v>0</v>
      </c>
      <c r="G2067" s="126">
        <v>0.0027837236167066</v>
      </c>
      <c r="H2067" s="126">
        <f t="shared" si="97"/>
        <v>249.000000000001</v>
      </c>
      <c r="I2067" s="126" t="str">
        <f t="shared" si="98"/>
        <v>0y 0d 0h 4m</v>
      </c>
    </row>
    <row r="2068" s="91" customFormat="1" spans="1:9">
      <c r="A2068" s="91" t="str">
        <f t="shared" si="96"/>
        <v>Pm-139m</v>
      </c>
      <c r="B2068" s="91" t="s">
        <v>2677</v>
      </c>
      <c r="C2068" s="91" t="s">
        <v>2658</v>
      </c>
      <c r="D2068" s="91">
        <v>61</v>
      </c>
      <c r="E2068" s="91">
        <v>139</v>
      </c>
      <c r="F2068" s="91">
        <v>1</v>
      </c>
      <c r="G2068" s="126">
        <v>3.85081766977747</v>
      </c>
      <c r="H2068" s="126">
        <f t="shared" si="97"/>
        <v>0.18</v>
      </c>
      <c r="I2068" s="126" t="str">
        <f t="shared" si="98"/>
        <v>0y 0d 0h 0m</v>
      </c>
    </row>
    <row r="2069" s="91" customFormat="1" spans="1:9">
      <c r="A2069" s="91" t="str">
        <f t="shared" si="96"/>
        <v>Pm-140</v>
      </c>
      <c r="B2069" s="91" t="s">
        <v>2678</v>
      </c>
      <c r="C2069" s="91" t="s">
        <v>2658</v>
      </c>
      <c r="D2069" s="91">
        <v>61</v>
      </c>
      <c r="E2069" s="91">
        <v>140</v>
      </c>
      <c r="F2069" s="91">
        <v>0</v>
      </c>
      <c r="G2069" s="126">
        <v>0.00194158874106427</v>
      </c>
      <c r="H2069" s="126">
        <f t="shared" si="97"/>
        <v>357</v>
      </c>
      <c r="I2069" s="126" t="str">
        <f t="shared" si="98"/>
        <v>0y 0d 0h 5m</v>
      </c>
    </row>
    <row r="2070" s="91" customFormat="1" spans="1:9">
      <c r="A2070" s="91" t="str">
        <f t="shared" si="96"/>
        <v>Pm-140m</v>
      </c>
      <c r="B2070" s="91" t="s">
        <v>2679</v>
      </c>
      <c r="C2070" s="91" t="s">
        <v>2658</v>
      </c>
      <c r="D2070" s="91">
        <v>61</v>
      </c>
      <c r="E2070" s="91">
        <v>140</v>
      </c>
      <c r="F2070" s="91">
        <v>1</v>
      </c>
      <c r="G2070" s="126">
        <v>0.00194158874106427</v>
      </c>
      <c r="H2070" s="126">
        <f t="shared" si="97"/>
        <v>357</v>
      </c>
      <c r="I2070" s="126" t="str">
        <f t="shared" si="98"/>
        <v>0y 0d 0h 5m</v>
      </c>
    </row>
    <row r="2071" s="91" customFormat="1" spans="1:9">
      <c r="A2071" s="91" t="str">
        <f t="shared" si="96"/>
        <v>Pm-141</v>
      </c>
      <c r="B2071" s="91" t="s">
        <v>2680</v>
      </c>
      <c r="C2071" s="91" t="s">
        <v>2658</v>
      </c>
      <c r="D2071" s="91">
        <v>61</v>
      </c>
      <c r="E2071" s="91">
        <v>141</v>
      </c>
      <c r="F2071" s="91">
        <v>0</v>
      </c>
      <c r="G2071" s="126">
        <v>0.000552748947814948</v>
      </c>
      <c r="H2071" s="126">
        <f t="shared" si="97"/>
        <v>1254</v>
      </c>
      <c r="I2071" s="126" t="str">
        <f t="shared" si="98"/>
        <v>0y 0d 0h 20m</v>
      </c>
    </row>
    <row r="2072" s="91" customFormat="1" spans="1:9">
      <c r="A2072" s="91" t="str">
        <f t="shared" si="96"/>
        <v>Pm-142</v>
      </c>
      <c r="B2072" s="91" t="s">
        <v>2681</v>
      </c>
      <c r="C2072" s="91" t="s">
        <v>2658</v>
      </c>
      <c r="D2072" s="91">
        <v>61</v>
      </c>
      <c r="E2072" s="91">
        <v>142</v>
      </c>
      <c r="F2072" s="91">
        <v>0</v>
      </c>
      <c r="G2072" s="126">
        <v>0.0171147451990109</v>
      </c>
      <c r="H2072" s="126">
        <f t="shared" si="97"/>
        <v>40.5000000000002</v>
      </c>
      <c r="I2072" s="126" t="str">
        <f t="shared" si="98"/>
        <v>0y 0d 0h 0m</v>
      </c>
    </row>
    <row r="2073" s="91" customFormat="1" spans="1:9">
      <c r="A2073" s="91" t="str">
        <f t="shared" si="96"/>
        <v>Pm-142m</v>
      </c>
      <c r="B2073" s="91" t="s">
        <v>2682</v>
      </c>
      <c r="C2073" s="91" t="s">
        <v>2658</v>
      </c>
      <c r="D2073" s="91">
        <v>61</v>
      </c>
      <c r="E2073" s="91">
        <v>142</v>
      </c>
      <c r="F2073" s="91">
        <v>1</v>
      </c>
      <c r="G2073" s="126">
        <v>346.573590279972</v>
      </c>
      <c r="H2073" s="126">
        <f t="shared" si="97"/>
        <v>0.002</v>
      </c>
      <c r="I2073" s="126" t="str">
        <f t="shared" si="98"/>
        <v>0y 0d 0h 0m</v>
      </c>
    </row>
    <row r="2074" s="91" customFormat="1" spans="1:9">
      <c r="A2074" s="91" t="str">
        <f t="shared" si="96"/>
        <v>Pm-143</v>
      </c>
      <c r="B2074" s="91" t="s">
        <v>2683</v>
      </c>
      <c r="C2074" s="91" t="s">
        <v>2658</v>
      </c>
      <c r="D2074" s="91">
        <v>61</v>
      </c>
      <c r="E2074" s="91">
        <v>143</v>
      </c>
      <c r="F2074" s="91">
        <v>0</v>
      </c>
      <c r="G2074" s="126">
        <v>3.02737238190053e-8</v>
      </c>
      <c r="H2074" s="126">
        <f t="shared" si="97"/>
        <v>22896000</v>
      </c>
      <c r="I2074" s="126" t="str">
        <f t="shared" si="98"/>
        <v>0y 265d 0h 0m</v>
      </c>
    </row>
    <row r="2075" s="91" customFormat="1" spans="1:9">
      <c r="A2075" s="91" t="str">
        <f t="shared" si="96"/>
        <v>Pm-144</v>
      </c>
      <c r="B2075" s="91" t="s">
        <v>2684</v>
      </c>
      <c r="C2075" s="91" t="s">
        <v>2658</v>
      </c>
      <c r="D2075" s="91">
        <v>61</v>
      </c>
      <c r="E2075" s="91">
        <v>144</v>
      </c>
      <c r="F2075" s="91">
        <v>0</v>
      </c>
      <c r="G2075" s="126">
        <v>2.21006523747559e-8</v>
      </c>
      <c r="H2075" s="126">
        <f t="shared" si="97"/>
        <v>31363200</v>
      </c>
      <c r="I2075" s="126" t="str">
        <f t="shared" si="98"/>
        <v>0y 363d 0h 0m</v>
      </c>
    </row>
    <row r="2076" s="91" customFormat="1" spans="1:9">
      <c r="A2076" s="91" t="str">
        <f t="shared" si="96"/>
        <v>Pm-145</v>
      </c>
      <c r="B2076" s="91" t="s">
        <v>2685</v>
      </c>
      <c r="C2076" s="91" t="s">
        <v>2658</v>
      </c>
      <c r="D2076" s="91">
        <v>61</v>
      </c>
      <c r="E2076" s="91">
        <v>145</v>
      </c>
      <c r="F2076" s="91">
        <v>0</v>
      </c>
      <c r="G2076" s="126">
        <v>1.24093274079581e-9</v>
      </c>
      <c r="H2076" s="126">
        <f t="shared" si="97"/>
        <v>558569500</v>
      </c>
      <c r="I2076" s="126" t="str">
        <f t="shared" si="98"/>
        <v>17y 259d 22h 11m</v>
      </c>
    </row>
    <row r="2077" s="91" customFormat="1" spans="1:9">
      <c r="A2077" s="91" t="str">
        <f t="shared" si="96"/>
        <v>Pm-146</v>
      </c>
      <c r="B2077" s="91" t="s">
        <v>2686</v>
      </c>
      <c r="C2077" s="91" t="s">
        <v>2658</v>
      </c>
      <c r="D2077" s="91">
        <v>61</v>
      </c>
      <c r="E2077" s="91">
        <v>146</v>
      </c>
      <c r="F2077" s="91">
        <v>0</v>
      </c>
      <c r="G2077" s="126">
        <v>3.97188286613898e-9</v>
      </c>
      <c r="H2077" s="126">
        <f t="shared" si="97"/>
        <v>174513500</v>
      </c>
      <c r="I2077" s="126" t="str">
        <f t="shared" si="98"/>
        <v>5y 194d 19h 58m</v>
      </c>
    </row>
    <row r="2078" s="91" customFormat="1" spans="1:9">
      <c r="A2078" s="91" t="str">
        <f t="shared" si="96"/>
        <v>Pm-147</v>
      </c>
      <c r="B2078" s="91" t="s">
        <v>2687</v>
      </c>
      <c r="C2078" s="91" t="s">
        <v>2658</v>
      </c>
      <c r="D2078" s="91">
        <v>61</v>
      </c>
      <c r="E2078" s="91">
        <v>147</v>
      </c>
      <c r="F2078" s="91">
        <v>0</v>
      </c>
      <c r="G2078" s="126">
        <v>8.37253493655612e-9</v>
      </c>
      <c r="H2078" s="126">
        <f t="shared" si="97"/>
        <v>82788210.0000001</v>
      </c>
      <c r="I2078" s="126" t="str">
        <f t="shared" si="98"/>
        <v>2y 228d 4h 43m</v>
      </c>
    </row>
    <row r="2079" s="91" customFormat="1" spans="1:9">
      <c r="A2079" s="91" t="str">
        <f t="shared" si="96"/>
        <v>Pm-148</v>
      </c>
      <c r="B2079" s="91" t="s">
        <v>2688</v>
      </c>
      <c r="C2079" s="91" t="s">
        <v>2658</v>
      </c>
      <c r="D2079" s="91">
        <v>61</v>
      </c>
      <c r="E2079" s="91">
        <v>148</v>
      </c>
      <c r="F2079" s="91">
        <v>0</v>
      </c>
      <c r="G2079" s="126">
        <v>1.49451132862079e-6</v>
      </c>
      <c r="H2079" s="126">
        <f t="shared" si="97"/>
        <v>463795.2</v>
      </c>
      <c r="I2079" s="126" t="str">
        <f t="shared" si="98"/>
        <v>0y 5d 8h 49m</v>
      </c>
    </row>
    <row r="2080" s="91" customFormat="1" spans="1:9">
      <c r="A2080" s="91" t="str">
        <f t="shared" si="96"/>
        <v>Pm-148m</v>
      </c>
      <c r="B2080" s="91" t="s">
        <v>2689</v>
      </c>
      <c r="C2080" s="91" t="s">
        <v>2658</v>
      </c>
      <c r="D2080" s="91">
        <v>61</v>
      </c>
      <c r="E2080" s="91">
        <v>148</v>
      </c>
      <c r="F2080" s="91">
        <v>1</v>
      </c>
      <c r="G2080" s="126">
        <v>1.94297331364407e-7</v>
      </c>
      <c r="H2080" s="126">
        <f t="shared" si="97"/>
        <v>3567456.00000002</v>
      </c>
      <c r="I2080" s="126" t="str">
        <f t="shared" si="98"/>
        <v>0y 41d 6h 57m</v>
      </c>
    </row>
    <row r="2081" s="91" customFormat="1" spans="1:9">
      <c r="A2081" s="91" t="str">
        <f t="shared" si="96"/>
        <v>Pm-149</v>
      </c>
      <c r="B2081" s="91" t="s">
        <v>2690</v>
      </c>
      <c r="C2081" s="91" t="s">
        <v>2658</v>
      </c>
      <c r="D2081" s="91">
        <v>61</v>
      </c>
      <c r="E2081" s="91">
        <v>149</v>
      </c>
      <c r="F2081" s="91">
        <v>0</v>
      </c>
      <c r="G2081" s="126">
        <v>3.62737158042339e-6</v>
      </c>
      <c r="H2081" s="126">
        <f t="shared" si="97"/>
        <v>191088</v>
      </c>
      <c r="I2081" s="126" t="str">
        <f t="shared" si="98"/>
        <v>0y 2d 5h 4m</v>
      </c>
    </row>
    <row r="2082" s="91" customFormat="1" spans="1:9">
      <c r="A2082" s="91" t="str">
        <f t="shared" si="96"/>
        <v>Pm-150</v>
      </c>
      <c r="B2082" s="91" t="s">
        <v>2691</v>
      </c>
      <c r="C2082" s="91" t="s">
        <v>2658</v>
      </c>
      <c r="D2082" s="91">
        <v>61</v>
      </c>
      <c r="E2082" s="91">
        <v>150</v>
      </c>
      <c r="F2082" s="91">
        <v>0</v>
      </c>
      <c r="G2082" s="126">
        <v>7.1843613242117e-5</v>
      </c>
      <c r="H2082" s="126">
        <f t="shared" si="97"/>
        <v>9648.00000000001</v>
      </c>
      <c r="I2082" s="126" t="str">
        <f t="shared" si="98"/>
        <v>0y 0d 2h 40m</v>
      </c>
    </row>
    <row r="2083" s="91" customFormat="1" spans="1:9">
      <c r="A2083" s="91" t="str">
        <f t="shared" si="96"/>
        <v>Pm-151</v>
      </c>
      <c r="B2083" s="91" t="s">
        <v>2692</v>
      </c>
      <c r="C2083" s="91" t="s">
        <v>2658</v>
      </c>
      <c r="D2083" s="91">
        <v>61</v>
      </c>
      <c r="E2083" s="91">
        <v>151</v>
      </c>
      <c r="F2083" s="91">
        <v>0</v>
      </c>
      <c r="G2083" s="126">
        <v>6.77960857355189e-6</v>
      </c>
      <c r="H2083" s="126">
        <f t="shared" si="97"/>
        <v>102240</v>
      </c>
      <c r="I2083" s="126" t="str">
        <f t="shared" si="98"/>
        <v>0y 1d 4h 24m</v>
      </c>
    </row>
    <row r="2084" s="91" customFormat="1" spans="1:9">
      <c r="A2084" s="91" t="str">
        <f t="shared" si="96"/>
        <v>Pm-152</v>
      </c>
      <c r="B2084" s="91" t="s">
        <v>2693</v>
      </c>
      <c r="C2084" s="91" t="s">
        <v>2658</v>
      </c>
      <c r="D2084" s="91">
        <v>61</v>
      </c>
      <c r="E2084" s="91">
        <v>152</v>
      </c>
      <c r="F2084" s="91">
        <v>0</v>
      </c>
      <c r="G2084" s="126">
        <v>0.00280399344886709</v>
      </c>
      <c r="H2084" s="126">
        <f t="shared" si="97"/>
        <v>247.2</v>
      </c>
      <c r="I2084" s="126" t="str">
        <f t="shared" si="98"/>
        <v>0y 0d 0h 4m</v>
      </c>
    </row>
    <row r="2085" s="91" customFormat="1" spans="1:9">
      <c r="A2085" s="91" t="str">
        <f t="shared" si="96"/>
        <v>Pm-152m</v>
      </c>
      <c r="B2085" s="91" t="s">
        <v>2694</v>
      </c>
      <c r="C2085" s="91" t="s">
        <v>2658</v>
      </c>
      <c r="D2085" s="91">
        <v>61</v>
      </c>
      <c r="E2085" s="91">
        <v>152</v>
      </c>
      <c r="F2085" s="91">
        <v>1</v>
      </c>
      <c r="G2085" s="126">
        <v>0.00153623045336867</v>
      </c>
      <c r="H2085" s="126">
        <f t="shared" si="97"/>
        <v>451.200000000001</v>
      </c>
      <c r="I2085" s="126" t="str">
        <f t="shared" si="98"/>
        <v>0y 0d 0h 7m</v>
      </c>
    </row>
    <row r="2086" s="91" customFormat="1" spans="1:9">
      <c r="A2086" s="91" t="str">
        <f t="shared" si="96"/>
        <v>Pm-152m2</v>
      </c>
      <c r="B2086" s="91" t="s">
        <v>2695</v>
      </c>
      <c r="C2086" s="91" t="s">
        <v>2658</v>
      </c>
      <c r="D2086" s="91">
        <v>61</v>
      </c>
      <c r="E2086" s="91">
        <v>152</v>
      </c>
      <c r="F2086" s="91">
        <v>2</v>
      </c>
      <c r="G2086" s="126">
        <v>0.000837134276038581</v>
      </c>
      <c r="H2086" s="126">
        <f t="shared" si="97"/>
        <v>828</v>
      </c>
      <c r="I2086" s="126" t="str">
        <f t="shared" si="98"/>
        <v>0y 0d 0h 13m</v>
      </c>
    </row>
    <row r="2087" s="91" customFormat="1" spans="1:9">
      <c r="A2087" s="91" t="str">
        <f t="shared" si="96"/>
        <v>Pm-153</v>
      </c>
      <c r="B2087" s="91" t="s">
        <v>2696</v>
      </c>
      <c r="C2087" s="91" t="s">
        <v>2658</v>
      </c>
      <c r="D2087" s="91">
        <v>61</v>
      </c>
      <c r="E2087" s="91">
        <v>153</v>
      </c>
      <c r="F2087" s="91">
        <v>0</v>
      </c>
      <c r="G2087" s="126">
        <v>0.00220046723987284</v>
      </c>
      <c r="H2087" s="126">
        <f t="shared" si="97"/>
        <v>315</v>
      </c>
      <c r="I2087" s="126" t="str">
        <f t="shared" si="98"/>
        <v>0y 0d 0h 5m</v>
      </c>
    </row>
    <row r="2088" s="91" customFormat="1" spans="1:9">
      <c r="A2088" s="91" t="str">
        <f t="shared" si="96"/>
        <v>Pm-154</v>
      </c>
      <c r="B2088" s="91" t="s">
        <v>2697</v>
      </c>
      <c r="C2088" s="91" t="s">
        <v>2658</v>
      </c>
      <c r="D2088" s="91">
        <v>61</v>
      </c>
      <c r="E2088" s="91">
        <v>154</v>
      </c>
      <c r="F2088" s="91">
        <v>0</v>
      </c>
      <c r="G2088" s="126">
        <v>0.00667771850250429</v>
      </c>
      <c r="H2088" s="126">
        <f t="shared" si="97"/>
        <v>103.8</v>
      </c>
      <c r="I2088" s="126" t="str">
        <f t="shared" si="98"/>
        <v>0y 0d 0h 1m</v>
      </c>
    </row>
    <row r="2089" s="91" customFormat="1" spans="1:9">
      <c r="A2089" s="91" t="str">
        <f t="shared" si="96"/>
        <v>Pm-154m</v>
      </c>
      <c r="B2089" s="91" t="s">
        <v>2698</v>
      </c>
      <c r="C2089" s="91" t="s">
        <v>2658</v>
      </c>
      <c r="D2089" s="91">
        <v>61</v>
      </c>
      <c r="E2089" s="91">
        <v>154</v>
      </c>
      <c r="F2089" s="91">
        <v>1</v>
      </c>
      <c r="G2089" s="126">
        <v>0.00431061679452702</v>
      </c>
      <c r="H2089" s="126">
        <f t="shared" si="97"/>
        <v>160.8</v>
      </c>
      <c r="I2089" s="126" t="str">
        <f t="shared" si="98"/>
        <v>0y 0d 0h 2m</v>
      </c>
    </row>
    <row r="2090" s="91" customFormat="1" spans="1:9">
      <c r="A2090" s="91" t="str">
        <f t="shared" si="96"/>
        <v>Pm-155</v>
      </c>
      <c r="B2090" s="91" t="s">
        <v>2699</v>
      </c>
      <c r="C2090" s="91" t="s">
        <v>2658</v>
      </c>
      <c r="D2090" s="91">
        <v>61</v>
      </c>
      <c r="E2090" s="91">
        <v>155</v>
      </c>
      <c r="F2090" s="91">
        <v>0</v>
      </c>
      <c r="G2090" s="126">
        <v>0.0167023417002396</v>
      </c>
      <c r="H2090" s="126">
        <f t="shared" si="97"/>
        <v>41.5000000000001</v>
      </c>
      <c r="I2090" s="126" t="str">
        <f t="shared" si="98"/>
        <v>0y 0d 0h 0m</v>
      </c>
    </row>
    <row r="2091" s="91" customFormat="1" spans="1:9">
      <c r="A2091" s="91" t="str">
        <f t="shared" si="96"/>
        <v>Pm-156</v>
      </c>
      <c r="B2091" s="91" t="s">
        <v>2700</v>
      </c>
      <c r="C2091" s="91" t="s">
        <v>2658</v>
      </c>
      <c r="D2091" s="91">
        <v>61</v>
      </c>
      <c r="E2091" s="91">
        <v>156</v>
      </c>
      <c r="F2091" s="91">
        <v>0</v>
      </c>
      <c r="G2091" s="126">
        <v>0.0259605685602975</v>
      </c>
      <c r="H2091" s="126">
        <f t="shared" si="97"/>
        <v>26.7000000000001</v>
      </c>
      <c r="I2091" s="126" t="str">
        <f t="shared" si="98"/>
        <v>0y 0d 0h 0m</v>
      </c>
    </row>
    <row r="2092" s="91" customFormat="1" spans="1:9">
      <c r="A2092" s="91" t="str">
        <f t="shared" si="96"/>
        <v>Pm-157</v>
      </c>
      <c r="B2092" s="91" t="s">
        <v>2701</v>
      </c>
      <c r="C2092" s="91" t="s">
        <v>2658</v>
      </c>
      <c r="D2092" s="91">
        <v>61</v>
      </c>
      <c r="E2092" s="91">
        <v>157</v>
      </c>
      <c r="F2092" s="91">
        <v>0</v>
      </c>
      <c r="G2092" s="126">
        <v>0.0656389375530251</v>
      </c>
      <c r="H2092" s="126">
        <f t="shared" si="97"/>
        <v>10.56</v>
      </c>
      <c r="I2092" s="126" t="str">
        <f t="shared" si="98"/>
        <v>0y 0d 0h 0m</v>
      </c>
    </row>
    <row r="2093" s="91" customFormat="1" spans="1:9">
      <c r="A2093" s="91" t="str">
        <f t="shared" si="96"/>
        <v>Pm-158</v>
      </c>
      <c r="B2093" s="91" t="s">
        <v>2702</v>
      </c>
      <c r="C2093" s="91" t="s">
        <v>2658</v>
      </c>
      <c r="D2093" s="91">
        <v>61</v>
      </c>
      <c r="E2093" s="91">
        <v>158</v>
      </c>
      <c r="F2093" s="91">
        <v>0</v>
      </c>
      <c r="G2093" s="126">
        <v>0.144405662616655</v>
      </c>
      <c r="H2093" s="126">
        <f t="shared" si="97"/>
        <v>4.80000000000001</v>
      </c>
      <c r="I2093" s="126" t="str">
        <f t="shared" si="98"/>
        <v>0y 0d 0h 0m</v>
      </c>
    </row>
    <row r="2094" s="91" customFormat="1" spans="1:9">
      <c r="A2094" s="91" t="str">
        <f t="shared" si="96"/>
        <v>Pm-159</v>
      </c>
      <c r="B2094" s="91" t="s">
        <v>2703</v>
      </c>
      <c r="C2094" s="91" t="s">
        <v>2658</v>
      </c>
      <c r="D2094" s="91">
        <v>61</v>
      </c>
      <c r="E2094" s="91">
        <v>159</v>
      </c>
      <c r="F2094" s="91">
        <v>0</v>
      </c>
      <c r="G2094" s="126">
        <v>0.471528694258466</v>
      </c>
      <c r="H2094" s="126">
        <f t="shared" si="97"/>
        <v>1.47</v>
      </c>
      <c r="I2094" s="126" t="str">
        <f t="shared" si="98"/>
        <v>0y 0d 0h 0m</v>
      </c>
    </row>
    <row r="2095" s="91" customFormat="1" spans="1:9">
      <c r="A2095" s="91" t="str">
        <f t="shared" si="96"/>
        <v>Pm-160</v>
      </c>
      <c r="B2095" s="91" t="s">
        <v>2704</v>
      </c>
      <c r="C2095" s="91" t="s">
        <v>2658</v>
      </c>
      <c r="D2095" s="91">
        <v>61</v>
      </c>
      <c r="E2095" s="91">
        <v>160</v>
      </c>
      <c r="F2095" s="91">
        <v>0</v>
      </c>
      <c r="G2095" s="126">
        <v>0.444040474413802</v>
      </c>
      <c r="H2095" s="126">
        <f t="shared" si="97"/>
        <v>1.561</v>
      </c>
      <c r="I2095" s="126" t="str">
        <f t="shared" si="98"/>
        <v>0y 0d 0h 0m</v>
      </c>
    </row>
    <row r="2096" s="91" customFormat="1" spans="1:9">
      <c r="A2096" s="91" t="str">
        <f t="shared" si="96"/>
        <v>Pm-161</v>
      </c>
      <c r="B2096" s="91" t="s">
        <v>2705</v>
      </c>
      <c r="C2096" s="91" t="s">
        <v>2658</v>
      </c>
      <c r="D2096" s="91">
        <v>61</v>
      </c>
      <c r="E2096" s="91">
        <v>161</v>
      </c>
      <c r="F2096" s="91">
        <v>0</v>
      </c>
      <c r="G2096" s="126">
        <v>0.650842423060981</v>
      </c>
      <c r="H2096" s="126">
        <f t="shared" si="97"/>
        <v>1.065</v>
      </c>
      <c r="I2096" s="126" t="str">
        <f t="shared" si="98"/>
        <v>0y 0d 0h 0m</v>
      </c>
    </row>
    <row r="2097" s="91" customFormat="1" spans="1:9">
      <c r="A2097" s="91" t="str">
        <f t="shared" si="96"/>
        <v>Pm-162</v>
      </c>
      <c r="B2097" s="91" t="s">
        <v>2706</v>
      </c>
      <c r="C2097" s="91" t="s">
        <v>2658</v>
      </c>
      <c r="D2097" s="91">
        <v>61</v>
      </c>
      <c r="E2097" s="91">
        <v>162</v>
      </c>
      <c r="F2097" s="91">
        <v>0</v>
      </c>
      <c r="G2097" s="126">
        <v>2.58733550041039</v>
      </c>
      <c r="H2097" s="126">
        <f t="shared" si="97"/>
        <v>0.267900000000001</v>
      </c>
      <c r="I2097" s="126" t="str">
        <f t="shared" si="98"/>
        <v>0y 0d 0h 0m</v>
      </c>
    </row>
    <row r="2098" s="91" customFormat="1" spans="1:9">
      <c r="A2098" s="91" t="str">
        <f t="shared" si="96"/>
        <v>Pm-163</v>
      </c>
      <c r="B2098" s="91" t="s">
        <v>2707</v>
      </c>
      <c r="C2098" s="91" t="s">
        <v>2658</v>
      </c>
      <c r="D2098" s="91">
        <v>61</v>
      </c>
      <c r="E2098" s="91">
        <v>163</v>
      </c>
      <c r="F2098" s="91">
        <v>0</v>
      </c>
      <c r="G2098" s="126">
        <v>3.46573590279972</v>
      </c>
      <c r="H2098" s="126">
        <f t="shared" si="97"/>
        <v>0.2</v>
      </c>
      <c r="I2098" s="126" t="str">
        <f t="shared" si="98"/>
        <v>0y 0d 0h 0m</v>
      </c>
    </row>
    <row r="2099" s="91" customFormat="1" spans="1:9">
      <c r="A2099" s="91" t="str">
        <f t="shared" si="96"/>
        <v>Sm-128</v>
      </c>
      <c r="B2099" s="91" t="s">
        <v>2708</v>
      </c>
      <c r="C2099" s="91" t="s">
        <v>2709</v>
      </c>
      <c r="D2099" s="91">
        <v>62</v>
      </c>
      <c r="E2099" s="91">
        <v>128</v>
      </c>
      <c r="F2099" s="91">
        <v>0</v>
      </c>
      <c r="G2099" s="126">
        <v>1.38629436111989</v>
      </c>
      <c r="H2099" s="126">
        <f t="shared" si="97"/>
        <v>0.5</v>
      </c>
      <c r="I2099" s="126" t="str">
        <f t="shared" si="98"/>
        <v>0y 0d 0h 0m</v>
      </c>
    </row>
    <row r="2100" s="91" customFormat="1" spans="1:9">
      <c r="A2100" s="91" t="str">
        <f t="shared" si="96"/>
        <v>Sm-129</v>
      </c>
      <c r="B2100" s="91" t="s">
        <v>2710</v>
      </c>
      <c r="C2100" s="91" t="s">
        <v>2709</v>
      </c>
      <c r="D2100" s="91">
        <v>62</v>
      </c>
      <c r="E2100" s="91">
        <v>129</v>
      </c>
      <c r="F2100" s="91">
        <v>0</v>
      </c>
      <c r="G2100" s="126">
        <v>1.26026760101808</v>
      </c>
      <c r="H2100" s="126">
        <f t="shared" si="97"/>
        <v>0.550000000000001</v>
      </c>
      <c r="I2100" s="126" t="str">
        <f t="shared" si="98"/>
        <v>0y 0d 0h 0m</v>
      </c>
    </row>
    <row r="2101" s="91" customFormat="1" spans="1:9">
      <c r="A2101" s="91" t="str">
        <f t="shared" si="96"/>
        <v>Sm-130</v>
      </c>
      <c r="B2101" s="91" t="s">
        <v>2711</v>
      </c>
      <c r="C2101" s="91" t="s">
        <v>2709</v>
      </c>
      <c r="D2101" s="91">
        <v>62</v>
      </c>
      <c r="E2101" s="91">
        <v>130</v>
      </c>
      <c r="F2101" s="91">
        <v>0</v>
      </c>
      <c r="G2101" s="126">
        <v>0.693147180559945</v>
      </c>
      <c r="H2101" s="126">
        <f t="shared" si="97"/>
        <v>1</v>
      </c>
      <c r="I2101" s="126" t="str">
        <f t="shared" si="98"/>
        <v>0y 0d 0h 0m</v>
      </c>
    </row>
    <row r="2102" s="91" customFormat="1" spans="1:9">
      <c r="A2102" s="91" t="str">
        <f t="shared" si="96"/>
        <v>Sm-131</v>
      </c>
      <c r="B2102" s="91" t="s">
        <v>2712</v>
      </c>
      <c r="C2102" s="91" t="s">
        <v>2709</v>
      </c>
      <c r="D2102" s="91">
        <v>62</v>
      </c>
      <c r="E2102" s="91">
        <v>131</v>
      </c>
      <c r="F2102" s="91">
        <v>0</v>
      </c>
      <c r="G2102" s="126">
        <v>0.577622650466621</v>
      </c>
      <c r="H2102" s="126">
        <f t="shared" si="97"/>
        <v>1.2</v>
      </c>
      <c r="I2102" s="126" t="str">
        <f t="shared" si="98"/>
        <v>0y 0d 0h 0m</v>
      </c>
    </row>
    <row r="2103" s="91" customFormat="1" spans="1:9">
      <c r="A2103" s="91" t="str">
        <f t="shared" si="96"/>
        <v>Sm-132</v>
      </c>
      <c r="B2103" s="91" t="s">
        <v>2713</v>
      </c>
      <c r="C2103" s="91" t="s">
        <v>2709</v>
      </c>
      <c r="D2103" s="91">
        <v>62</v>
      </c>
      <c r="E2103" s="91">
        <v>132</v>
      </c>
      <c r="F2103" s="91">
        <v>0</v>
      </c>
      <c r="G2103" s="126">
        <v>0.173286795139986</v>
      </c>
      <c r="H2103" s="126">
        <f t="shared" si="97"/>
        <v>4.00000000000001</v>
      </c>
      <c r="I2103" s="126" t="str">
        <f t="shared" si="98"/>
        <v>0y 0d 0h 0m</v>
      </c>
    </row>
    <row r="2104" s="91" customFormat="1" spans="1:9">
      <c r="A2104" s="91" t="str">
        <f t="shared" si="96"/>
        <v>Sm-133</v>
      </c>
      <c r="B2104" s="91" t="s">
        <v>2714</v>
      </c>
      <c r="C2104" s="91" t="s">
        <v>2709</v>
      </c>
      <c r="D2104" s="91">
        <v>62</v>
      </c>
      <c r="E2104" s="91">
        <v>133</v>
      </c>
      <c r="F2104" s="91">
        <v>0</v>
      </c>
      <c r="G2104" s="126">
        <v>0.187337075827012</v>
      </c>
      <c r="H2104" s="126">
        <f t="shared" si="97"/>
        <v>3.7</v>
      </c>
      <c r="I2104" s="126" t="str">
        <f t="shared" si="98"/>
        <v>0y 0d 0h 0m</v>
      </c>
    </row>
    <row r="2105" s="91" customFormat="1" spans="1:9">
      <c r="A2105" s="91" t="str">
        <f t="shared" si="96"/>
        <v>Sm-134</v>
      </c>
      <c r="B2105" s="91" t="s">
        <v>2715</v>
      </c>
      <c r="C2105" s="91" t="s">
        <v>2709</v>
      </c>
      <c r="D2105" s="91">
        <v>62</v>
      </c>
      <c r="E2105" s="91">
        <v>134</v>
      </c>
      <c r="F2105" s="91">
        <v>0</v>
      </c>
      <c r="G2105" s="126">
        <v>0.0729628611115731</v>
      </c>
      <c r="H2105" s="126">
        <f t="shared" si="97"/>
        <v>9.50000000000001</v>
      </c>
      <c r="I2105" s="126" t="str">
        <f t="shared" si="98"/>
        <v>0y 0d 0h 0m</v>
      </c>
    </row>
    <row r="2106" s="91" customFormat="1" spans="1:9">
      <c r="A2106" s="91" t="str">
        <f t="shared" si="96"/>
        <v>Sm-135</v>
      </c>
      <c r="B2106" s="91" t="s">
        <v>2716</v>
      </c>
      <c r="C2106" s="91" t="s">
        <v>2709</v>
      </c>
      <c r="D2106" s="91">
        <v>62</v>
      </c>
      <c r="E2106" s="91">
        <v>135</v>
      </c>
      <c r="F2106" s="91">
        <v>0</v>
      </c>
      <c r="G2106" s="126">
        <v>0.0672958427728102</v>
      </c>
      <c r="H2106" s="126">
        <f t="shared" si="97"/>
        <v>10.3</v>
      </c>
      <c r="I2106" s="126" t="str">
        <f t="shared" si="98"/>
        <v>0y 0d 0h 0m</v>
      </c>
    </row>
    <row r="2107" s="91" customFormat="1" spans="1:9">
      <c r="A2107" s="91" t="str">
        <f t="shared" si="96"/>
        <v>Sm-136</v>
      </c>
      <c r="B2107" s="91" t="s">
        <v>2717</v>
      </c>
      <c r="C2107" s="91" t="s">
        <v>2709</v>
      </c>
      <c r="D2107" s="91">
        <v>62</v>
      </c>
      <c r="E2107" s="91">
        <v>136</v>
      </c>
      <c r="F2107" s="91">
        <v>0</v>
      </c>
      <c r="G2107" s="126">
        <v>0.0147478123523392</v>
      </c>
      <c r="H2107" s="126">
        <f t="shared" si="97"/>
        <v>47.0000000000002</v>
      </c>
      <c r="I2107" s="126" t="str">
        <f t="shared" si="98"/>
        <v>0y 0d 0h 0m</v>
      </c>
    </row>
    <row r="2108" s="91" customFormat="1" spans="1:9">
      <c r="A2108" s="91" t="str">
        <f t="shared" si="96"/>
        <v>Sm-137</v>
      </c>
      <c r="B2108" s="91" t="s">
        <v>2718</v>
      </c>
      <c r="C2108" s="91" t="s">
        <v>2709</v>
      </c>
      <c r="D2108" s="91">
        <v>62</v>
      </c>
      <c r="E2108" s="91">
        <v>137</v>
      </c>
      <c r="F2108" s="91">
        <v>0</v>
      </c>
      <c r="G2108" s="126">
        <v>0.0154032706791098</v>
      </c>
      <c r="H2108" s="126">
        <f t="shared" si="97"/>
        <v>45.0000000000003</v>
      </c>
      <c r="I2108" s="126" t="str">
        <f t="shared" si="98"/>
        <v>0y 0d 0h 0m</v>
      </c>
    </row>
    <row r="2109" s="91" customFormat="1" spans="1:9">
      <c r="A2109" s="91" t="str">
        <f t="shared" si="96"/>
        <v>Sm-138</v>
      </c>
      <c r="B2109" s="91" t="s">
        <v>2719</v>
      </c>
      <c r="C2109" s="91" t="s">
        <v>2709</v>
      </c>
      <c r="D2109" s="91">
        <v>62</v>
      </c>
      <c r="E2109" s="91">
        <v>138</v>
      </c>
      <c r="F2109" s="91">
        <v>0</v>
      </c>
      <c r="G2109" s="126">
        <v>0.00372659774494594</v>
      </c>
      <c r="H2109" s="126">
        <f t="shared" si="97"/>
        <v>186</v>
      </c>
      <c r="I2109" s="126" t="str">
        <f t="shared" si="98"/>
        <v>0y 0d 0h 3m</v>
      </c>
    </row>
    <row r="2110" s="91" customFormat="1" spans="1:9">
      <c r="A2110" s="91" t="str">
        <f t="shared" si="96"/>
        <v>Sm-139</v>
      </c>
      <c r="B2110" s="91" t="s">
        <v>2720</v>
      </c>
      <c r="C2110" s="91" t="s">
        <v>2709</v>
      </c>
      <c r="D2110" s="91">
        <v>62</v>
      </c>
      <c r="E2110" s="91">
        <v>139</v>
      </c>
      <c r="F2110" s="91">
        <v>0</v>
      </c>
      <c r="G2110" s="126">
        <v>0.00449511790246397</v>
      </c>
      <c r="H2110" s="126">
        <f t="shared" si="97"/>
        <v>154.2</v>
      </c>
      <c r="I2110" s="126" t="str">
        <f t="shared" si="98"/>
        <v>0y 0d 0h 2m</v>
      </c>
    </row>
    <row r="2111" s="91" customFormat="1" spans="1:9">
      <c r="A2111" s="91" t="str">
        <f t="shared" si="96"/>
        <v>Sm-139m</v>
      </c>
      <c r="B2111" s="91" t="s">
        <v>2721</v>
      </c>
      <c r="C2111" s="91" t="s">
        <v>2709</v>
      </c>
      <c r="D2111" s="91">
        <v>62</v>
      </c>
      <c r="E2111" s="91">
        <v>139</v>
      </c>
      <c r="F2111" s="91">
        <v>1</v>
      </c>
      <c r="G2111" s="126">
        <v>0.0647801103327051</v>
      </c>
      <c r="H2111" s="126">
        <f t="shared" si="97"/>
        <v>10.7</v>
      </c>
      <c r="I2111" s="126" t="str">
        <f t="shared" si="98"/>
        <v>0y 0d 0h 0m</v>
      </c>
    </row>
    <row r="2112" s="91" customFormat="1" spans="1:9">
      <c r="A2112" s="91" t="str">
        <f t="shared" si="96"/>
        <v>Sm-140</v>
      </c>
      <c r="B2112" s="91" t="s">
        <v>2722</v>
      </c>
      <c r="C2112" s="91" t="s">
        <v>2709</v>
      </c>
      <c r="D2112" s="91">
        <v>62</v>
      </c>
      <c r="E2112" s="91">
        <v>140</v>
      </c>
      <c r="F2112" s="91">
        <v>0</v>
      </c>
      <c r="G2112" s="126">
        <v>0.000779517746918516</v>
      </c>
      <c r="H2112" s="126">
        <f t="shared" si="97"/>
        <v>889.200000000001</v>
      </c>
      <c r="I2112" s="126" t="str">
        <f t="shared" si="98"/>
        <v>0y 0d 0h 14m</v>
      </c>
    </row>
    <row r="2113" s="91" customFormat="1" spans="1:9">
      <c r="A2113" s="91" t="str">
        <f t="shared" si="96"/>
        <v>Sm-141</v>
      </c>
      <c r="B2113" s="91" t="s">
        <v>2723</v>
      </c>
      <c r="C2113" s="91" t="s">
        <v>2709</v>
      </c>
      <c r="D2113" s="91">
        <v>62</v>
      </c>
      <c r="E2113" s="91">
        <v>141</v>
      </c>
      <c r="F2113" s="91">
        <v>0</v>
      </c>
      <c r="G2113" s="126">
        <v>0.00113259343228749</v>
      </c>
      <c r="H2113" s="126">
        <f t="shared" si="97"/>
        <v>612.000000000001</v>
      </c>
      <c r="I2113" s="126" t="str">
        <f t="shared" si="98"/>
        <v>0y 0d 0h 10m</v>
      </c>
    </row>
    <row r="2114" s="91" customFormat="1" spans="1:9">
      <c r="A2114" s="91" t="str">
        <f t="shared" ref="A2114:A2177" si="99">C2114&amp;"-"&amp;E2114&amp;_xlfn.IFS(F2114=0,"",F2114=1,"m",F2114&gt;1,"m"&amp;F2114)</f>
        <v>Sm-141m</v>
      </c>
      <c r="B2114" s="91" t="s">
        <v>2724</v>
      </c>
      <c r="C2114" s="91" t="s">
        <v>2709</v>
      </c>
      <c r="D2114" s="91">
        <v>62</v>
      </c>
      <c r="E2114" s="91">
        <v>141</v>
      </c>
      <c r="F2114" s="91">
        <v>1</v>
      </c>
      <c r="G2114" s="126">
        <v>0.000511170487138602</v>
      </c>
      <c r="H2114" s="126">
        <f t="shared" ref="H2114:H2177" si="100">IF(G2114&gt;0,LN(2)/G2114,0)</f>
        <v>1356</v>
      </c>
      <c r="I2114" s="126" t="str">
        <f t="shared" si="98"/>
        <v>0y 0d 0h 22m</v>
      </c>
    </row>
    <row r="2115" s="91" customFormat="1" spans="1:9">
      <c r="A2115" s="91" t="str">
        <f t="shared" si="99"/>
        <v>Sm-142</v>
      </c>
      <c r="B2115" s="91" t="s">
        <v>2725</v>
      </c>
      <c r="C2115" s="91" t="s">
        <v>2709</v>
      </c>
      <c r="D2115" s="91">
        <v>62</v>
      </c>
      <c r="E2115" s="91">
        <v>142</v>
      </c>
      <c r="F2115" s="91">
        <v>0</v>
      </c>
      <c r="G2115" s="126">
        <v>0.000159366160978513</v>
      </c>
      <c r="H2115" s="126">
        <f t="shared" si="100"/>
        <v>4349.40000000001</v>
      </c>
      <c r="I2115" s="126" t="str">
        <f t="shared" ref="I2115:I2178" si="101">INT(H2115/31536000)&amp;"y "&amp;INT(MOD(H2115,31536000)/86400)&amp;"d "&amp;INT(MOD(MOD(H2115,31536000),86400)/3600)&amp;"h "&amp;INT(MOD(MOD(MOD(H2115,31536000),86400),3600)/60)&amp;"m"</f>
        <v>0y 0d 1h 12m</v>
      </c>
    </row>
    <row r="2116" s="91" customFormat="1" spans="1:9">
      <c r="A2116" s="91" t="str">
        <f t="shared" si="99"/>
        <v>Sm-143</v>
      </c>
      <c r="B2116" s="91" t="s">
        <v>2726</v>
      </c>
      <c r="C2116" s="91" t="s">
        <v>2709</v>
      </c>
      <c r="D2116" s="91">
        <v>62</v>
      </c>
      <c r="E2116" s="91">
        <v>143</v>
      </c>
      <c r="F2116" s="91">
        <v>0</v>
      </c>
      <c r="G2116" s="126">
        <v>0.0013202803439237</v>
      </c>
      <c r="H2116" s="126">
        <f t="shared" si="100"/>
        <v>525.000000000002</v>
      </c>
      <c r="I2116" s="126" t="str">
        <f t="shared" si="101"/>
        <v>0y 0d 0h 8m</v>
      </c>
    </row>
    <row r="2117" s="91" customFormat="1" spans="1:9">
      <c r="A2117" s="91" t="str">
        <f t="shared" si="99"/>
        <v>Sm-143m</v>
      </c>
      <c r="B2117" s="91" t="s">
        <v>2727</v>
      </c>
      <c r="C2117" s="91" t="s">
        <v>2709</v>
      </c>
      <c r="D2117" s="91">
        <v>62</v>
      </c>
      <c r="E2117" s="91">
        <v>143</v>
      </c>
      <c r="F2117" s="91">
        <v>1</v>
      </c>
      <c r="G2117" s="126">
        <v>0.010502230008484</v>
      </c>
      <c r="H2117" s="126">
        <f t="shared" si="100"/>
        <v>66.0000000000001</v>
      </c>
      <c r="I2117" s="126" t="str">
        <f t="shared" si="101"/>
        <v>0y 0d 0h 1m</v>
      </c>
    </row>
    <row r="2118" s="91" customFormat="1" spans="1:9">
      <c r="A2118" s="91" t="str">
        <f t="shared" si="99"/>
        <v>Sm-143m2</v>
      </c>
      <c r="B2118" s="91" t="s">
        <v>2728</v>
      </c>
      <c r="C2118" s="91" t="s">
        <v>2709</v>
      </c>
      <c r="D2118" s="91">
        <v>62</v>
      </c>
      <c r="E2118" s="91">
        <v>143</v>
      </c>
      <c r="F2118" s="91">
        <v>2</v>
      </c>
      <c r="G2118" s="126">
        <v>23.1049060186648</v>
      </c>
      <c r="H2118" s="126">
        <f t="shared" si="100"/>
        <v>0.0300000000000001</v>
      </c>
      <c r="I2118" s="126" t="str">
        <f t="shared" si="101"/>
        <v>0y 0d 0h 0m</v>
      </c>
    </row>
    <row r="2119" s="91" customFormat="1" spans="1:9">
      <c r="A2119" s="91" t="str">
        <f t="shared" si="99"/>
        <v>Sm-144</v>
      </c>
      <c r="B2119" s="91" t="s">
        <v>2729</v>
      </c>
      <c r="C2119" s="91" t="s">
        <v>2709</v>
      </c>
      <c r="D2119" s="91">
        <v>62</v>
      </c>
      <c r="E2119" s="91">
        <v>144</v>
      </c>
      <c r="F2119" s="91">
        <v>0</v>
      </c>
      <c r="G2119" s="126">
        <v>0</v>
      </c>
      <c r="H2119" s="126">
        <f t="shared" si="100"/>
        <v>0</v>
      </c>
      <c r="I2119" s="126" t="str">
        <f t="shared" si="101"/>
        <v>0y 0d 0h 0m</v>
      </c>
    </row>
    <row r="2120" s="91" customFormat="1" spans="1:9">
      <c r="A2120" s="91" t="str">
        <f t="shared" si="99"/>
        <v>Sm-145</v>
      </c>
      <c r="B2120" s="91" t="s">
        <v>2730</v>
      </c>
      <c r="C2120" s="91" t="s">
        <v>2709</v>
      </c>
      <c r="D2120" s="91">
        <v>62</v>
      </c>
      <c r="E2120" s="91">
        <v>145</v>
      </c>
      <c r="F2120" s="91">
        <v>0</v>
      </c>
      <c r="G2120" s="126">
        <v>2.35956965059894e-8</v>
      </c>
      <c r="H2120" s="126">
        <f t="shared" si="100"/>
        <v>29376000</v>
      </c>
      <c r="I2120" s="126" t="str">
        <f t="shared" si="101"/>
        <v>0y 340d 0h 0m</v>
      </c>
    </row>
    <row r="2121" s="91" customFormat="1" spans="1:9">
      <c r="A2121" s="91" t="str">
        <f t="shared" si="99"/>
        <v>Sm-146</v>
      </c>
      <c r="B2121" s="91" t="s">
        <v>2731</v>
      </c>
      <c r="C2121" s="91" t="s">
        <v>2709</v>
      </c>
      <c r="D2121" s="91">
        <v>62</v>
      </c>
      <c r="E2121" s="91">
        <v>146</v>
      </c>
      <c r="F2121" s="91">
        <v>0</v>
      </c>
      <c r="G2121" s="126">
        <v>2.13247841227143e-16</v>
      </c>
      <c r="H2121" s="126">
        <f t="shared" si="100"/>
        <v>3250430000000010</v>
      </c>
      <c r="I2121" s="126" t="str">
        <f t="shared" si="101"/>
        <v>103070459y 57d 14h 13m</v>
      </c>
    </row>
    <row r="2122" s="91" customFormat="1" spans="1:9">
      <c r="A2122" s="91" t="str">
        <f t="shared" si="99"/>
        <v>Sm-147</v>
      </c>
      <c r="B2122" s="91" t="s">
        <v>2732</v>
      </c>
      <c r="C2122" s="91" t="s">
        <v>2709</v>
      </c>
      <c r="D2122" s="91">
        <v>62</v>
      </c>
      <c r="E2122" s="91">
        <v>147</v>
      </c>
      <c r="F2122" s="91">
        <v>0</v>
      </c>
      <c r="G2122" s="126">
        <v>2.07212073910856e-19</v>
      </c>
      <c r="H2122" s="126">
        <f t="shared" si="100"/>
        <v>3.34511000000001e+18</v>
      </c>
      <c r="I2122" s="126" t="str">
        <f t="shared" si="101"/>
        <v>106072742262y 296d 0h 42m</v>
      </c>
    </row>
    <row r="2123" s="91" customFormat="1" spans="1:9">
      <c r="A2123" s="91" t="str">
        <f t="shared" si="99"/>
        <v>Sm-148</v>
      </c>
      <c r="B2123" s="91" t="s">
        <v>2733</v>
      </c>
      <c r="C2123" s="91" t="s">
        <v>2709</v>
      </c>
      <c r="D2123" s="91">
        <v>62</v>
      </c>
      <c r="E2123" s="91">
        <v>148</v>
      </c>
      <c r="F2123" s="91">
        <v>0</v>
      </c>
      <c r="G2123" s="126">
        <v>3.13778980167741e-24</v>
      </c>
      <c r="H2123" s="126">
        <f t="shared" si="100"/>
        <v>2.20903e+23</v>
      </c>
      <c r="I2123" s="126" t="str">
        <f t="shared" si="101"/>
        <v>7004788178589550y 0d 0h 0m</v>
      </c>
    </row>
    <row r="2124" s="91" customFormat="1" spans="1:9">
      <c r="A2124" s="91" t="str">
        <f t="shared" si="99"/>
        <v>Sm-149</v>
      </c>
      <c r="B2124" s="91" t="s">
        <v>2734</v>
      </c>
      <c r="C2124" s="91" t="s">
        <v>2709</v>
      </c>
      <c r="D2124" s="91">
        <v>62</v>
      </c>
      <c r="E2124" s="91">
        <v>149</v>
      </c>
      <c r="F2124" s="91">
        <v>0</v>
      </c>
      <c r="G2124" s="126">
        <v>0</v>
      </c>
      <c r="H2124" s="126">
        <f t="shared" si="100"/>
        <v>0</v>
      </c>
      <c r="I2124" s="126" t="str">
        <f t="shared" si="101"/>
        <v>0y 0d 0h 0m</v>
      </c>
    </row>
    <row r="2125" s="91" customFormat="1" spans="1:9">
      <c r="A2125" s="91" t="str">
        <f t="shared" si="99"/>
        <v>Sm-150</v>
      </c>
      <c r="B2125" s="91" t="s">
        <v>2735</v>
      </c>
      <c r="C2125" s="91" t="s">
        <v>2709</v>
      </c>
      <c r="D2125" s="91">
        <v>62</v>
      </c>
      <c r="E2125" s="91">
        <v>150</v>
      </c>
      <c r="F2125" s="91">
        <v>0</v>
      </c>
      <c r="G2125" s="126">
        <v>0</v>
      </c>
      <c r="H2125" s="126">
        <f t="shared" si="100"/>
        <v>0</v>
      </c>
      <c r="I2125" s="126" t="str">
        <f t="shared" si="101"/>
        <v>0y 0d 0h 0m</v>
      </c>
    </row>
    <row r="2126" s="91" customFormat="1" spans="1:9">
      <c r="A2126" s="91" t="str">
        <f t="shared" si="99"/>
        <v>Sm-151</v>
      </c>
      <c r="B2126" s="91" t="s">
        <v>2736</v>
      </c>
      <c r="C2126" s="91" t="s">
        <v>2709</v>
      </c>
      <c r="D2126" s="91">
        <v>62</v>
      </c>
      <c r="E2126" s="91">
        <v>151</v>
      </c>
      <c r="F2126" s="91">
        <v>0</v>
      </c>
      <c r="G2126" s="126">
        <v>2.44050096951445e-10</v>
      </c>
      <c r="H2126" s="126">
        <f t="shared" si="100"/>
        <v>2840184000.00001</v>
      </c>
      <c r="I2126" s="126" t="str">
        <f t="shared" si="101"/>
        <v>90y 22d 12h 0m</v>
      </c>
    </row>
    <row r="2127" s="91" customFormat="1" spans="1:9">
      <c r="A2127" s="91" t="str">
        <f t="shared" si="99"/>
        <v>Sm-152</v>
      </c>
      <c r="B2127" s="91" t="s">
        <v>2737</v>
      </c>
      <c r="C2127" s="91" t="s">
        <v>2709</v>
      </c>
      <c r="D2127" s="91">
        <v>62</v>
      </c>
      <c r="E2127" s="91">
        <v>152</v>
      </c>
      <c r="F2127" s="91">
        <v>0</v>
      </c>
      <c r="G2127" s="126">
        <v>0</v>
      </c>
      <c r="H2127" s="126">
        <f t="shared" si="100"/>
        <v>0</v>
      </c>
      <c r="I2127" s="126" t="str">
        <f t="shared" si="101"/>
        <v>0y 0d 0h 0m</v>
      </c>
    </row>
    <row r="2128" s="91" customFormat="1" spans="1:9">
      <c r="A2128" s="91" t="str">
        <f t="shared" si="99"/>
        <v>Sm-153</v>
      </c>
      <c r="B2128" s="91" t="s">
        <v>2738</v>
      </c>
      <c r="C2128" s="91" t="s">
        <v>2709</v>
      </c>
      <c r="D2128" s="91">
        <v>62</v>
      </c>
      <c r="E2128" s="91">
        <v>153</v>
      </c>
      <c r="F2128" s="91">
        <v>0</v>
      </c>
      <c r="G2128" s="126">
        <v>4.14066416105104e-6</v>
      </c>
      <c r="H2128" s="126">
        <f t="shared" si="100"/>
        <v>167400</v>
      </c>
      <c r="I2128" s="126" t="str">
        <f t="shared" si="101"/>
        <v>0y 1d 22h 30m</v>
      </c>
    </row>
    <row r="2129" s="91" customFormat="1" spans="1:9">
      <c r="A2129" s="91" t="str">
        <f t="shared" si="99"/>
        <v>Sm-153m</v>
      </c>
      <c r="B2129" s="91" t="s">
        <v>2739</v>
      </c>
      <c r="C2129" s="91" t="s">
        <v>2709</v>
      </c>
      <c r="D2129" s="91">
        <v>62</v>
      </c>
      <c r="E2129" s="91">
        <v>153</v>
      </c>
      <c r="F2129" s="91">
        <v>1</v>
      </c>
      <c r="G2129" s="126">
        <v>65.3912434490514</v>
      </c>
      <c r="H2129" s="126">
        <f t="shared" si="100"/>
        <v>0.0106</v>
      </c>
      <c r="I2129" s="126" t="str">
        <f t="shared" si="101"/>
        <v>0y 0d 0h 0m</v>
      </c>
    </row>
    <row r="2130" s="91" customFormat="1" spans="1:9">
      <c r="A2130" s="91" t="str">
        <f t="shared" si="99"/>
        <v>Sm-154</v>
      </c>
      <c r="B2130" s="91" t="s">
        <v>2740</v>
      </c>
      <c r="C2130" s="91" t="s">
        <v>2709</v>
      </c>
      <c r="D2130" s="91">
        <v>62</v>
      </c>
      <c r="E2130" s="91">
        <v>154</v>
      </c>
      <c r="F2130" s="91">
        <v>0</v>
      </c>
      <c r="G2130" s="126">
        <v>0</v>
      </c>
      <c r="H2130" s="126">
        <f t="shared" si="100"/>
        <v>0</v>
      </c>
      <c r="I2130" s="126" t="str">
        <f t="shared" si="101"/>
        <v>0y 0d 0h 0m</v>
      </c>
    </row>
    <row r="2131" s="91" customFormat="1" spans="1:9">
      <c r="A2131" s="91" t="str">
        <f t="shared" si="99"/>
        <v>Sm-155</v>
      </c>
      <c r="B2131" s="91" t="s">
        <v>2741</v>
      </c>
      <c r="C2131" s="91" t="s">
        <v>2709</v>
      </c>
      <c r="D2131" s="91">
        <v>62</v>
      </c>
      <c r="E2131" s="91">
        <v>155</v>
      </c>
      <c r="F2131" s="91">
        <v>0</v>
      </c>
      <c r="G2131" s="126">
        <v>0.000518047220149435</v>
      </c>
      <c r="H2131" s="126">
        <f t="shared" si="100"/>
        <v>1338</v>
      </c>
      <c r="I2131" s="126" t="str">
        <f t="shared" si="101"/>
        <v>0y 0d 0h 22m</v>
      </c>
    </row>
    <row r="2132" s="91" customFormat="1" spans="1:9">
      <c r="A2132" s="91" t="str">
        <f t="shared" si="99"/>
        <v>Sm-156</v>
      </c>
      <c r="B2132" s="91" t="s">
        <v>2742</v>
      </c>
      <c r="C2132" s="91" t="s">
        <v>2709</v>
      </c>
      <c r="D2132" s="91">
        <v>62</v>
      </c>
      <c r="E2132" s="91">
        <v>156</v>
      </c>
      <c r="F2132" s="91">
        <v>0</v>
      </c>
      <c r="G2132" s="126">
        <v>2.04830727115823e-5</v>
      </c>
      <c r="H2132" s="126">
        <f t="shared" si="100"/>
        <v>33840</v>
      </c>
      <c r="I2132" s="126" t="str">
        <f t="shared" si="101"/>
        <v>0y 0d 9h 24m</v>
      </c>
    </row>
    <row r="2133" s="91" customFormat="1" spans="1:9">
      <c r="A2133" s="91" t="str">
        <f t="shared" si="99"/>
        <v>Sm-157</v>
      </c>
      <c r="B2133" s="91" t="s">
        <v>2743</v>
      </c>
      <c r="C2133" s="91" t="s">
        <v>2709</v>
      </c>
      <c r="D2133" s="91">
        <v>62</v>
      </c>
      <c r="E2133" s="91">
        <v>157</v>
      </c>
      <c r="F2133" s="91">
        <v>0</v>
      </c>
      <c r="G2133" s="126">
        <v>0.00143806468995839</v>
      </c>
      <c r="H2133" s="126">
        <f t="shared" si="100"/>
        <v>482.000000000001</v>
      </c>
      <c r="I2133" s="126" t="str">
        <f t="shared" si="101"/>
        <v>0y 0d 0h 8m</v>
      </c>
    </row>
    <row r="2134" s="91" customFormat="1" spans="1:9">
      <c r="A2134" s="91" t="str">
        <f t="shared" si="99"/>
        <v>Sm-158</v>
      </c>
      <c r="B2134" s="91" t="s">
        <v>2744</v>
      </c>
      <c r="C2134" s="91" t="s">
        <v>2709</v>
      </c>
      <c r="D2134" s="91">
        <v>62</v>
      </c>
      <c r="E2134" s="91">
        <v>158</v>
      </c>
      <c r="F2134" s="91">
        <v>0</v>
      </c>
      <c r="G2134" s="126">
        <v>0.00217970811496838</v>
      </c>
      <c r="H2134" s="126">
        <f t="shared" si="100"/>
        <v>318</v>
      </c>
      <c r="I2134" s="126" t="str">
        <f t="shared" si="101"/>
        <v>0y 0d 0h 5m</v>
      </c>
    </row>
    <row r="2135" s="91" customFormat="1" spans="1:9">
      <c r="A2135" s="91" t="str">
        <f t="shared" si="99"/>
        <v>Sm-159</v>
      </c>
      <c r="B2135" s="91" t="s">
        <v>2745</v>
      </c>
      <c r="C2135" s="91" t="s">
        <v>2709</v>
      </c>
      <c r="D2135" s="91">
        <v>62</v>
      </c>
      <c r="E2135" s="91">
        <v>159</v>
      </c>
      <c r="F2135" s="91">
        <v>0</v>
      </c>
      <c r="G2135" s="126">
        <v>0.0609628127141552</v>
      </c>
      <c r="H2135" s="126">
        <f t="shared" si="100"/>
        <v>11.37</v>
      </c>
      <c r="I2135" s="126" t="str">
        <f t="shared" si="101"/>
        <v>0y 0d 0h 0m</v>
      </c>
    </row>
    <row r="2136" s="91" customFormat="1" spans="1:9">
      <c r="A2136" s="91" t="str">
        <f t="shared" si="99"/>
        <v>Sm-160</v>
      </c>
      <c r="B2136" s="91" t="s">
        <v>2746</v>
      </c>
      <c r="C2136" s="91" t="s">
        <v>2709</v>
      </c>
      <c r="D2136" s="91">
        <v>62</v>
      </c>
      <c r="E2136" s="91">
        <v>160</v>
      </c>
      <c r="F2136" s="91">
        <v>0</v>
      </c>
      <c r="G2136" s="126">
        <v>0.0722028313083276</v>
      </c>
      <c r="H2136" s="126">
        <f t="shared" si="100"/>
        <v>9.6</v>
      </c>
      <c r="I2136" s="126" t="str">
        <f t="shared" si="101"/>
        <v>0y 0d 0h 0m</v>
      </c>
    </row>
    <row r="2137" s="91" customFormat="1" spans="1:9">
      <c r="A2137" s="91" t="str">
        <f t="shared" si="99"/>
        <v>Sm-161</v>
      </c>
      <c r="B2137" s="91" t="s">
        <v>2747</v>
      </c>
      <c r="C2137" s="91" t="s">
        <v>2709</v>
      </c>
      <c r="D2137" s="91">
        <v>62</v>
      </c>
      <c r="E2137" s="91">
        <v>161</v>
      </c>
      <c r="F2137" s="91">
        <v>0</v>
      </c>
      <c r="G2137" s="126">
        <v>0.144405662616655</v>
      </c>
      <c r="H2137" s="126">
        <f t="shared" si="100"/>
        <v>4.80000000000001</v>
      </c>
      <c r="I2137" s="126" t="str">
        <f t="shared" si="101"/>
        <v>0y 0d 0h 0m</v>
      </c>
    </row>
    <row r="2138" s="91" customFormat="1" spans="1:9">
      <c r="A2138" s="91" t="str">
        <f t="shared" si="99"/>
        <v>Sm-162</v>
      </c>
      <c r="B2138" s="91" t="s">
        <v>2748</v>
      </c>
      <c r="C2138" s="91" t="s">
        <v>2709</v>
      </c>
      <c r="D2138" s="91">
        <v>62</v>
      </c>
      <c r="E2138" s="91">
        <v>162</v>
      </c>
      <c r="F2138" s="91">
        <v>0</v>
      </c>
      <c r="G2138" s="126">
        <v>0.28881132523331</v>
      </c>
      <c r="H2138" s="126">
        <f t="shared" si="100"/>
        <v>2.4</v>
      </c>
      <c r="I2138" s="126" t="str">
        <f t="shared" si="101"/>
        <v>0y 0d 0h 0m</v>
      </c>
    </row>
    <row r="2139" s="91" customFormat="1" spans="1:9">
      <c r="A2139" s="91" t="str">
        <f t="shared" si="99"/>
        <v>Sm-163</v>
      </c>
      <c r="B2139" s="91" t="s">
        <v>2749</v>
      </c>
      <c r="C2139" s="91" t="s">
        <v>2709</v>
      </c>
      <c r="D2139" s="91">
        <v>62</v>
      </c>
      <c r="E2139" s="91">
        <v>163</v>
      </c>
      <c r="F2139" s="91">
        <v>0</v>
      </c>
      <c r="G2139" s="126">
        <v>0.396537288649854</v>
      </c>
      <c r="H2139" s="126">
        <f t="shared" si="100"/>
        <v>1.748</v>
      </c>
      <c r="I2139" s="126" t="str">
        <f t="shared" si="101"/>
        <v>0y 0d 0h 0m</v>
      </c>
    </row>
    <row r="2140" s="91" customFormat="1" spans="1:9">
      <c r="A2140" s="91" t="str">
        <f t="shared" si="99"/>
        <v>Sm-164</v>
      </c>
      <c r="B2140" s="91" t="s">
        <v>2750</v>
      </c>
      <c r="C2140" s="91" t="s">
        <v>2709</v>
      </c>
      <c r="D2140" s="91">
        <v>62</v>
      </c>
      <c r="E2140" s="91">
        <v>164</v>
      </c>
      <c r="F2140" s="91">
        <v>0</v>
      </c>
      <c r="G2140" s="126">
        <v>0.565372904208764</v>
      </c>
      <c r="H2140" s="126">
        <f t="shared" si="100"/>
        <v>1.226</v>
      </c>
      <c r="I2140" s="126" t="str">
        <f t="shared" si="101"/>
        <v>0y 0d 0h 0m</v>
      </c>
    </row>
    <row r="2141" s="91" customFormat="1" spans="1:9">
      <c r="A2141" s="91" t="str">
        <f t="shared" si="99"/>
        <v>Sm-165</v>
      </c>
      <c r="B2141" s="91" t="s">
        <v>2751</v>
      </c>
      <c r="C2141" s="91" t="s">
        <v>2709</v>
      </c>
      <c r="D2141" s="91">
        <v>62</v>
      </c>
      <c r="E2141" s="91">
        <v>165</v>
      </c>
      <c r="F2141" s="91">
        <v>0</v>
      </c>
      <c r="G2141" s="126">
        <v>0.907260707539195</v>
      </c>
      <c r="H2141" s="126">
        <f t="shared" si="100"/>
        <v>0.764</v>
      </c>
      <c r="I2141" s="126" t="str">
        <f t="shared" si="101"/>
        <v>0y 0d 0h 0m</v>
      </c>
    </row>
    <row r="2142" s="91" customFormat="1" spans="1:9">
      <c r="A2142" s="91" t="str">
        <f t="shared" si="99"/>
        <v>Eu-130</v>
      </c>
      <c r="B2142" s="91" t="s">
        <v>2752</v>
      </c>
      <c r="C2142" s="91" t="s">
        <v>2753</v>
      </c>
      <c r="D2142" s="91">
        <v>63</v>
      </c>
      <c r="E2142" s="91">
        <v>130</v>
      </c>
      <c r="F2142" s="91">
        <v>0</v>
      </c>
      <c r="G2142" s="126">
        <v>693.147180559945</v>
      </c>
      <c r="H2142" s="126">
        <f t="shared" si="100"/>
        <v>0.001</v>
      </c>
      <c r="I2142" s="126" t="str">
        <f t="shared" si="101"/>
        <v>0y 0d 0h 0m</v>
      </c>
    </row>
    <row r="2143" s="91" customFormat="1" spans="1:9">
      <c r="A2143" s="91" t="str">
        <f t="shared" si="99"/>
        <v>Eu-131</v>
      </c>
      <c r="B2143" s="91" t="s">
        <v>2754</v>
      </c>
      <c r="C2143" s="91" t="s">
        <v>2753</v>
      </c>
      <c r="D2143" s="91">
        <v>63</v>
      </c>
      <c r="E2143" s="91">
        <v>131</v>
      </c>
      <c r="F2143" s="91">
        <v>0</v>
      </c>
      <c r="G2143" s="126">
        <v>38.9408528404463</v>
      </c>
      <c r="H2143" s="126">
        <f t="shared" si="100"/>
        <v>0.0178</v>
      </c>
      <c r="I2143" s="126" t="str">
        <f t="shared" si="101"/>
        <v>0y 0d 0h 0m</v>
      </c>
    </row>
    <row r="2144" s="91" customFormat="1" spans="1:9">
      <c r="A2144" s="91" t="str">
        <f t="shared" si="99"/>
        <v>Eu-132</v>
      </c>
      <c r="B2144" s="91" t="s">
        <v>2755</v>
      </c>
      <c r="C2144" s="91" t="s">
        <v>2753</v>
      </c>
      <c r="D2144" s="91">
        <v>63</v>
      </c>
      <c r="E2144" s="91">
        <v>132</v>
      </c>
      <c r="F2144" s="91">
        <v>0</v>
      </c>
      <c r="G2144" s="126">
        <v>6.93147180559945</v>
      </c>
      <c r="H2144" s="126">
        <f t="shared" si="100"/>
        <v>0.1</v>
      </c>
      <c r="I2144" s="126" t="str">
        <f t="shared" si="101"/>
        <v>0y 0d 0h 0m</v>
      </c>
    </row>
    <row r="2145" s="91" customFormat="1" spans="1:9">
      <c r="A2145" s="91" t="str">
        <f t="shared" si="99"/>
        <v>Eu-133</v>
      </c>
      <c r="B2145" s="91" t="s">
        <v>2756</v>
      </c>
      <c r="C2145" s="91" t="s">
        <v>2753</v>
      </c>
      <c r="D2145" s="91">
        <v>63</v>
      </c>
      <c r="E2145" s="91">
        <v>133</v>
      </c>
      <c r="F2145" s="91">
        <v>0</v>
      </c>
      <c r="G2145" s="126">
        <v>0.693147180559945</v>
      </c>
      <c r="H2145" s="126">
        <f t="shared" si="100"/>
        <v>1</v>
      </c>
      <c r="I2145" s="126" t="str">
        <f t="shared" si="101"/>
        <v>0y 0d 0h 0m</v>
      </c>
    </row>
    <row r="2146" s="91" customFormat="1" spans="1:9">
      <c r="A2146" s="91" t="str">
        <f t="shared" si="99"/>
        <v>Eu-134</v>
      </c>
      <c r="B2146" s="91" t="s">
        <v>2757</v>
      </c>
      <c r="C2146" s="91" t="s">
        <v>2753</v>
      </c>
      <c r="D2146" s="91">
        <v>63</v>
      </c>
      <c r="E2146" s="91">
        <v>134</v>
      </c>
      <c r="F2146" s="91">
        <v>0</v>
      </c>
      <c r="G2146" s="126">
        <v>1.38629436111989</v>
      </c>
      <c r="H2146" s="126">
        <f t="shared" si="100"/>
        <v>0.5</v>
      </c>
      <c r="I2146" s="126" t="str">
        <f t="shared" si="101"/>
        <v>0y 0d 0h 0m</v>
      </c>
    </row>
    <row r="2147" s="91" customFormat="1" spans="1:9">
      <c r="A2147" s="91" t="str">
        <f t="shared" si="99"/>
        <v>Eu-135</v>
      </c>
      <c r="B2147" s="91" t="s">
        <v>2758</v>
      </c>
      <c r="C2147" s="91" t="s">
        <v>2753</v>
      </c>
      <c r="D2147" s="91">
        <v>63</v>
      </c>
      <c r="E2147" s="91">
        <v>135</v>
      </c>
      <c r="F2147" s="91">
        <v>0</v>
      </c>
      <c r="G2147" s="126">
        <v>0.462098120373296</v>
      </c>
      <c r="H2147" s="126">
        <f t="shared" si="100"/>
        <v>1.5</v>
      </c>
      <c r="I2147" s="126" t="str">
        <f t="shared" si="101"/>
        <v>0y 0d 0h 0m</v>
      </c>
    </row>
    <row r="2148" s="91" customFormat="1" spans="1:9">
      <c r="A2148" s="91" t="str">
        <f t="shared" si="99"/>
        <v>Eu-136</v>
      </c>
      <c r="B2148" s="91" t="s">
        <v>2759</v>
      </c>
      <c r="C2148" s="91" t="s">
        <v>2753</v>
      </c>
      <c r="D2148" s="91">
        <v>63</v>
      </c>
      <c r="E2148" s="91">
        <v>136</v>
      </c>
      <c r="F2148" s="91">
        <v>0</v>
      </c>
      <c r="G2148" s="126">
        <v>0.182407152778933</v>
      </c>
      <c r="H2148" s="126">
        <f t="shared" si="100"/>
        <v>3.8</v>
      </c>
      <c r="I2148" s="126" t="str">
        <f t="shared" si="101"/>
        <v>0y 0d 0h 0m</v>
      </c>
    </row>
    <row r="2149" s="91" customFormat="1" spans="1:9">
      <c r="A2149" s="91" t="str">
        <f t="shared" si="99"/>
        <v>Eu-136m</v>
      </c>
      <c r="B2149" s="91" t="s">
        <v>2760</v>
      </c>
      <c r="C2149" s="91" t="s">
        <v>2753</v>
      </c>
      <c r="D2149" s="91">
        <v>63</v>
      </c>
      <c r="E2149" s="91">
        <v>136</v>
      </c>
      <c r="F2149" s="91">
        <v>1</v>
      </c>
      <c r="G2149" s="126">
        <v>0.21004460016968</v>
      </c>
      <c r="H2149" s="126">
        <f t="shared" si="100"/>
        <v>3.30000000000001</v>
      </c>
      <c r="I2149" s="126" t="str">
        <f t="shared" si="101"/>
        <v>0y 0d 0h 0m</v>
      </c>
    </row>
    <row r="2150" s="91" customFormat="1" spans="1:9">
      <c r="A2150" s="91" t="str">
        <f t="shared" si="99"/>
        <v>Eu-136m2</v>
      </c>
      <c r="B2150" s="91" t="s">
        <v>2761</v>
      </c>
      <c r="C2150" s="91" t="s">
        <v>2753</v>
      </c>
      <c r="D2150" s="91">
        <v>63</v>
      </c>
      <c r="E2150" s="91">
        <v>136</v>
      </c>
      <c r="F2150" s="91">
        <v>2</v>
      </c>
      <c r="G2150" s="126">
        <v>0.182407152778933</v>
      </c>
      <c r="H2150" s="126">
        <f t="shared" si="100"/>
        <v>3.8</v>
      </c>
      <c r="I2150" s="126" t="str">
        <f t="shared" si="101"/>
        <v>0y 0d 0h 0m</v>
      </c>
    </row>
    <row r="2151" s="91" customFormat="1" spans="1:9">
      <c r="A2151" s="91" t="str">
        <f t="shared" si="99"/>
        <v>Eu-137</v>
      </c>
      <c r="B2151" s="91" t="s">
        <v>2762</v>
      </c>
      <c r="C2151" s="91" t="s">
        <v>2753</v>
      </c>
      <c r="D2151" s="91">
        <v>63</v>
      </c>
      <c r="E2151" s="91">
        <v>137</v>
      </c>
      <c r="F2151" s="91">
        <v>0</v>
      </c>
      <c r="G2151" s="126">
        <v>0.0630133800509041</v>
      </c>
      <c r="H2151" s="126">
        <f t="shared" si="100"/>
        <v>11</v>
      </c>
      <c r="I2151" s="126" t="str">
        <f t="shared" si="101"/>
        <v>0y 0d 0h 0m</v>
      </c>
    </row>
    <row r="2152" s="91" customFormat="1" spans="1:9">
      <c r="A2152" s="91" t="str">
        <f t="shared" si="99"/>
        <v>Eu-138</v>
      </c>
      <c r="B2152" s="91" t="s">
        <v>2763</v>
      </c>
      <c r="C2152" s="91" t="s">
        <v>2753</v>
      </c>
      <c r="D2152" s="91">
        <v>63</v>
      </c>
      <c r="E2152" s="91">
        <v>138</v>
      </c>
      <c r="F2152" s="91">
        <v>0</v>
      </c>
      <c r="G2152" s="126">
        <v>0.0572848909553673</v>
      </c>
      <c r="H2152" s="126">
        <f t="shared" si="100"/>
        <v>12.1</v>
      </c>
      <c r="I2152" s="126" t="str">
        <f t="shared" si="101"/>
        <v>0y 0d 0h 0m</v>
      </c>
    </row>
    <row r="2153" s="91" customFormat="1" spans="1:9">
      <c r="A2153" s="91" t="str">
        <f t="shared" si="99"/>
        <v>Eu-139</v>
      </c>
      <c r="B2153" s="91" t="s">
        <v>2764</v>
      </c>
      <c r="C2153" s="91" t="s">
        <v>2753</v>
      </c>
      <c r="D2153" s="91">
        <v>63</v>
      </c>
      <c r="E2153" s="91">
        <v>139</v>
      </c>
      <c r="F2153" s="91">
        <v>0</v>
      </c>
      <c r="G2153" s="126">
        <v>0.0387233061765332</v>
      </c>
      <c r="H2153" s="126">
        <f t="shared" si="100"/>
        <v>17.9</v>
      </c>
      <c r="I2153" s="126" t="str">
        <f t="shared" si="101"/>
        <v>0y 0d 0h 0m</v>
      </c>
    </row>
    <row r="2154" s="91" customFormat="1" spans="1:9">
      <c r="A2154" s="91" t="str">
        <f t="shared" si="99"/>
        <v>Eu-140</v>
      </c>
      <c r="B2154" s="91" t="s">
        <v>2765</v>
      </c>
      <c r="C2154" s="91" t="s">
        <v>2753</v>
      </c>
      <c r="D2154" s="91">
        <v>63</v>
      </c>
      <c r="E2154" s="91">
        <v>140</v>
      </c>
      <c r="F2154" s="91">
        <v>0</v>
      </c>
      <c r="G2154" s="126">
        <v>0.459037867920493</v>
      </c>
      <c r="H2154" s="126">
        <f t="shared" si="100"/>
        <v>1.51</v>
      </c>
      <c r="I2154" s="126" t="str">
        <f t="shared" si="101"/>
        <v>0y 0d 0h 0m</v>
      </c>
    </row>
    <row r="2155" s="91" customFormat="1" spans="1:9">
      <c r="A2155" s="91" t="str">
        <f t="shared" si="99"/>
        <v>Eu-140m</v>
      </c>
      <c r="B2155" s="91" t="s">
        <v>2766</v>
      </c>
      <c r="C2155" s="91" t="s">
        <v>2753</v>
      </c>
      <c r="D2155" s="91">
        <v>63</v>
      </c>
      <c r="E2155" s="91">
        <v>140</v>
      </c>
      <c r="F2155" s="91">
        <v>1</v>
      </c>
      <c r="G2155" s="126">
        <v>5.54517744447956</v>
      </c>
      <c r="H2155" s="126">
        <f t="shared" si="100"/>
        <v>0.125</v>
      </c>
      <c r="I2155" s="126" t="str">
        <f t="shared" si="101"/>
        <v>0y 0d 0h 0m</v>
      </c>
    </row>
    <row r="2156" s="91" customFormat="1" spans="1:9">
      <c r="A2156" s="91" t="str">
        <f t="shared" si="99"/>
        <v>Eu-141</v>
      </c>
      <c r="B2156" s="91" t="s">
        <v>2767</v>
      </c>
      <c r="C2156" s="91" t="s">
        <v>2753</v>
      </c>
      <c r="D2156" s="91">
        <v>63</v>
      </c>
      <c r="E2156" s="91">
        <v>141</v>
      </c>
      <c r="F2156" s="91">
        <v>0</v>
      </c>
      <c r="G2156" s="126">
        <v>0.0170306432570011</v>
      </c>
      <c r="H2156" s="126">
        <f t="shared" si="100"/>
        <v>40.7</v>
      </c>
      <c r="I2156" s="126" t="str">
        <f t="shared" si="101"/>
        <v>0y 0d 0h 0m</v>
      </c>
    </row>
    <row r="2157" s="91" customFormat="1" spans="1:9">
      <c r="A2157" s="91" t="str">
        <f t="shared" si="99"/>
        <v>Eu-141m</v>
      </c>
      <c r="B2157" s="91" t="s">
        <v>2768</v>
      </c>
      <c r="C2157" s="91" t="s">
        <v>2753</v>
      </c>
      <c r="D2157" s="91">
        <v>63</v>
      </c>
      <c r="E2157" s="91">
        <v>141</v>
      </c>
      <c r="F2157" s="91">
        <v>1</v>
      </c>
      <c r="G2157" s="126">
        <v>0.256721177985164</v>
      </c>
      <c r="H2157" s="126">
        <f t="shared" si="100"/>
        <v>2.70000000000001</v>
      </c>
      <c r="I2157" s="126" t="str">
        <f t="shared" si="101"/>
        <v>0y 0d 0h 0m</v>
      </c>
    </row>
    <row r="2158" s="91" customFormat="1" spans="1:9">
      <c r="A2158" s="91" t="str">
        <f t="shared" si="99"/>
        <v>Eu-142</v>
      </c>
      <c r="B2158" s="91" t="s">
        <v>2769</v>
      </c>
      <c r="C2158" s="91" t="s">
        <v>2753</v>
      </c>
      <c r="D2158" s="91">
        <v>63</v>
      </c>
      <c r="E2158" s="91">
        <v>142</v>
      </c>
      <c r="F2158" s="91">
        <v>0</v>
      </c>
      <c r="G2158" s="126">
        <v>0.296216743829036</v>
      </c>
      <c r="H2158" s="126">
        <f t="shared" si="100"/>
        <v>2.34</v>
      </c>
      <c r="I2158" s="126" t="str">
        <f t="shared" si="101"/>
        <v>0y 0d 0h 0m</v>
      </c>
    </row>
    <row r="2159" s="91" customFormat="1" spans="1:9">
      <c r="A2159" s="91" t="str">
        <f t="shared" si="99"/>
        <v>Eu-142m</v>
      </c>
      <c r="B2159" s="91" t="s">
        <v>2770</v>
      </c>
      <c r="C2159" s="91" t="s">
        <v>2753</v>
      </c>
      <c r="D2159" s="91">
        <v>63</v>
      </c>
      <c r="E2159" s="91">
        <v>142</v>
      </c>
      <c r="F2159" s="91">
        <v>1</v>
      </c>
      <c r="G2159" s="126">
        <v>0.00944599591932332</v>
      </c>
      <c r="H2159" s="126">
        <f t="shared" si="100"/>
        <v>73.38</v>
      </c>
      <c r="I2159" s="126" t="str">
        <f t="shared" si="101"/>
        <v>0y 0d 0h 1m</v>
      </c>
    </row>
    <row r="2160" s="91" customFormat="1" spans="1:9">
      <c r="A2160" s="91" t="str">
        <f t="shared" si="99"/>
        <v>Eu-143</v>
      </c>
      <c r="B2160" s="91" t="s">
        <v>2771</v>
      </c>
      <c r="C2160" s="91" t="s">
        <v>2753</v>
      </c>
      <c r="D2160" s="91">
        <v>63</v>
      </c>
      <c r="E2160" s="91">
        <v>143</v>
      </c>
      <c r="F2160" s="91">
        <v>0</v>
      </c>
      <c r="G2160" s="126">
        <v>0.00446040656730981</v>
      </c>
      <c r="H2160" s="126">
        <f t="shared" si="100"/>
        <v>155.4</v>
      </c>
      <c r="I2160" s="126" t="str">
        <f t="shared" si="101"/>
        <v>0y 0d 0h 2m</v>
      </c>
    </row>
    <row r="2161" s="91" customFormat="1" spans="1:9">
      <c r="A2161" s="91" t="str">
        <f t="shared" si="99"/>
        <v>Eu-144</v>
      </c>
      <c r="B2161" s="91" t="s">
        <v>2772</v>
      </c>
      <c r="C2161" s="91" t="s">
        <v>2753</v>
      </c>
      <c r="D2161" s="91">
        <v>63</v>
      </c>
      <c r="E2161" s="91">
        <v>144</v>
      </c>
      <c r="F2161" s="91">
        <v>0</v>
      </c>
      <c r="G2161" s="126">
        <v>0.0679556059372495</v>
      </c>
      <c r="H2161" s="126">
        <f t="shared" si="100"/>
        <v>10.2</v>
      </c>
      <c r="I2161" s="126" t="str">
        <f t="shared" si="101"/>
        <v>0y 0d 0h 0m</v>
      </c>
    </row>
    <row r="2162" s="91" customFormat="1" spans="1:9">
      <c r="A2162" s="91" t="str">
        <f t="shared" si="99"/>
        <v>Eu-145</v>
      </c>
      <c r="B2162" s="91" t="s">
        <v>2773</v>
      </c>
      <c r="C2162" s="91" t="s">
        <v>2753</v>
      </c>
      <c r="D2162" s="91">
        <v>63</v>
      </c>
      <c r="E2162" s="91">
        <v>145</v>
      </c>
      <c r="F2162" s="91">
        <v>0</v>
      </c>
      <c r="G2162" s="126">
        <v>1.35287298685268e-6</v>
      </c>
      <c r="H2162" s="126">
        <f t="shared" si="100"/>
        <v>512352.000000001</v>
      </c>
      <c r="I2162" s="126" t="str">
        <f t="shared" si="101"/>
        <v>0y 5d 22h 19m</v>
      </c>
    </row>
    <row r="2163" s="91" customFormat="1" spans="1:9">
      <c r="A2163" s="91" t="str">
        <f t="shared" si="99"/>
        <v>Eu-146</v>
      </c>
      <c r="B2163" s="91" t="s">
        <v>2774</v>
      </c>
      <c r="C2163" s="91" t="s">
        <v>2753</v>
      </c>
      <c r="D2163" s="91">
        <v>63</v>
      </c>
      <c r="E2163" s="91">
        <v>146</v>
      </c>
      <c r="F2163" s="91">
        <v>0</v>
      </c>
      <c r="G2163" s="126">
        <v>1.74782937081403e-6</v>
      </c>
      <c r="H2163" s="126">
        <f t="shared" si="100"/>
        <v>396576</v>
      </c>
      <c r="I2163" s="126" t="str">
        <f t="shared" si="101"/>
        <v>0y 4d 14h 9m</v>
      </c>
    </row>
    <row r="2164" s="91" customFormat="1" spans="1:9">
      <c r="A2164" s="91" t="str">
        <f t="shared" si="99"/>
        <v>Eu-147</v>
      </c>
      <c r="B2164" s="91" t="s">
        <v>2775</v>
      </c>
      <c r="C2164" s="91" t="s">
        <v>2753</v>
      </c>
      <c r="D2164" s="91">
        <v>63</v>
      </c>
      <c r="E2164" s="91">
        <v>147</v>
      </c>
      <c r="F2164" s="91">
        <v>0</v>
      </c>
      <c r="G2164" s="126">
        <v>3.32885344897776e-7</v>
      </c>
      <c r="H2164" s="126">
        <f t="shared" si="100"/>
        <v>2082240</v>
      </c>
      <c r="I2164" s="126" t="str">
        <f t="shared" si="101"/>
        <v>0y 24d 2h 24m</v>
      </c>
    </row>
    <row r="2165" s="91" customFormat="1" spans="1:9">
      <c r="A2165" s="91" t="str">
        <f t="shared" si="99"/>
        <v>Eu-148</v>
      </c>
      <c r="B2165" s="91" t="s">
        <v>2776</v>
      </c>
      <c r="C2165" s="91" t="s">
        <v>2753</v>
      </c>
      <c r="D2165" s="91">
        <v>63</v>
      </c>
      <c r="E2165" s="91">
        <v>148</v>
      </c>
      <c r="F2165" s="91">
        <v>0</v>
      </c>
      <c r="G2165" s="126">
        <v>1.47202510312594e-7</v>
      </c>
      <c r="H2165" s="126">
        <f t="shared" si="100"/>
        <v>4708800.00000002</v>
      </c>
      <c r="I2165" s="126" t="str">
        <f t="shared" si="101"/>
        <v>0y 54d 12h 0m</v>
      </c>
    </row>
    <row r="2166" s="91" customFormat="1" spans="1:9">
      <c r="A2166" s="91" t="str">
        <f t="shared" si="99"/>
        <v>Eu-149</v>
      </c>
      <c r="B2166" s="91" t="s">
        <v>2777</v>
      </c>
      <c r="C2166" s="91" t="s">
        <v>2753</v>
      </c>
      <c r="D2166" s="91">
        <v>63</v>
      </c>
      <c r="E2166" s="91">
        <v>149</v>
      </c>
      <c r="F2166" s="91">
        <v>0</v>
      </c>
      <c r="G2166" s="126">
        <v>8.61711795062986e-8</v>
      </c>
      <c r="H2166" s="126">
        <f t="shared" si="100"/>
        <v>8043840</v>
      </c>
      <c r="I2166" s="126" t="str">
        <f t="shared" si="101"/>
        <v>0y 93d 2h 24m</v>
      </c>
    </row>
    <row r="2167" s="91" customFormat="1" spans="1:9">
      <c r="A2167" s="91" t="str">
        <f t="shared" si="99"/>
        <v>Eu-150</v>
      </c>
      <c r="B2167" s="91" t="s">
        <v>2778</v>
      </c>
      <c r="C2167" s="91" t="s">
        <v>2753</v>
      </c>
      <c r="D2167" s="91">
        <v>63</v>
      </c>
      <c r="E2167" s="91">
        <v>150</v>
      </c>
      <c r="F2167" s="91">
        <v>0</v>
      </c>
      <c r="G2167" s="126">
        <v>5.95241807982915e-10</v>
      </c>
      <c r="H2167" s="126">
        <f t="shared" si="100"/>
        <v>1164480000</v>
      </c>
      <c r="I2167" s="126" t="str">
        <f t="shared" si="101"/>
        <v>36y 337d 18h 40m</v>
      </c>
    </row>
    <row r="2168" s="91" customFormat="1" spans="1:9">
      <c r="A2168" s="91" t="str">
        <f t="shared" si="99"/>
        <v>Eu-150m</v>
      </c>
      <c r="B2168" s="91" t="s">
        <v>2779</v>
      </c>
      <c r="C2168" s="91" t="s">
        <v>2753</v>
      </c>
      <c r="D2168" s="91">
        <v>63</v>
      </c>
      <c r="E2168" s="91">
        <v>150</v>
      </c>
      <c r="F2168" s="91">
        <v>1</v>
      </c>
      <c r="G2168" s="126">
        <v>1.50422565225682e-5</v>
      </c>
      <c r="H2168" s="126">
        <f t="shared" si="100"/>
        <v>46080.0000000002</v>
      </c>
      <c r="I2168" s="126" t="str">
        <f t="shared" si="101"/>
        <v>0y 0d 12h 48m</v>
      </c>
    </row>
    <row r="2169" s="91" customFormat="1" spans="1:9">
      <c r="A2169" s="91" t="str">
        <f t="shared" si="99"/>
        <v>Eu-151</v>
      </c>
      <c r="B2169" s="91" t="s">
        <v>2780</v>
      </c>
      <c r="C2169" s="91" t="s">
        <v>2753</v>
      </c>
      <c r="D2169" s="91">
        <v>63</v>
      </c>
      <c r="E2169" s="91">
        <v>151</v>
      </c>
      <c r="F2169" s="91">
        <v>0</v>
      </c>
      <c r="G2169" s="126">
        <v>0</v>
      </c>
      <c r="H2169" s="126">
        <f t="shared" si="100"/>
        <v>0</v>
      </c>
      <c r="I2169" s="126" t="str">
        <f t="shared" si="101"/>
        <v>0y 0d 0h 0m</v>
      </c>
    </row>
    <row r="2170" s="91" customFormat="1" spans="1:9">
      <c r="A2170" s="91" t="str">
        <f t="shared" si="99"/>
        <v>Eu-152</v>
      </c>
      <c r="B2170" s="91" t="s">
        <v>2781</v>
      </c>
      <c r="C2170" s="91" t="s">
        <v>2753</v>
      </c>
      <c r="D2170" s="91">
        <v>63</v>
      </c>
      <c r="E2170" s="91">
        <v>152</v>
      </c>
      <c r="F2170" s="91">
        <v>0</v>
      </c>
      <c r="G2170" s="126">
        <v>1.62255376595978e-9</v>
      </c>
      <c r="H2170" s="126">
        <f t="shared" si="100"/>
        <v>427195200.000002</v>
      </c>
      <c r="I2170" s="126" t="str">
        <f t="shared" si="101"/>
        <v>13y 199d 9h 20m</v>
      </c>
    </row>
    <row r="2171" s="91" customFormat="1" spans="1:9">
      <c r="A2171" s="91" t="str">
        <f t="shared" si="99"/>
        <v>Eu-152m</v>
      </c>
      <c r="B2171" s="91" t="s">
        <v>2782</v>
      </c>
      <c r="C2171" s="91" t="s">
        <v>2753</v>
      </c>
      <c r="D2171" s="91">
        <v>63</v>
      </c>
      <c r="E2171" s="91">
        <v>152</v>
      </c>
      <c r="F2171" s="91">
        <v>1</v>
      </c>
      <c r="G2171" s="126">
        <v>2.06775294781641e-5</v>
      </c>
      <c r="H2171" s="126">
        <f t="shared" si="100"/>
        <v>33521.7600000001</v>
      </c>
      <c r="I2171" s="126" t="str">
        <f t="shared" si="101"/>
        <v>0y 0d 9h 18m</v>
      </c>
    </row>
    <row r="2172" s="91" customFormat="1" spans="1:9">
      <c r="A2172" s="91" t="str">
        <f t="shared" si="99"/>
        <v>Eu-152m2</v>
      </c>
      <c r="B2172" s="91" t="s">
        <v>2783</v>
      </c>
      <c r="C2172" s="91" t="s">
        <v>2753</v>
      </c>
      <c r="D2172" s="91">
        <v>63</v>
      </c>
      <c r="E2172" s="91">
        <v>152</v>
      </c>
      <c r="F2172" s="91">
        <v>2</v>
      </c>
      <c r="G2172" s="126">
        <v>0.000120338052180546</v>
      </c>
      <c r="H2172" s="126">
        <f t="shared" si="100"/>
        <v>5760</v>
      </c>
      <c r="I2172" s="126" t="str">
        <f t="shared" si="101"/>
        <v>0y 0d 1h 36m</v>
      </c>
    </row>
    <row r="2173" s="91" customFormat="1" spans="1:9">
      <c r="A2173" s="91" t="str">
        <f t="shared" si="99"/>
        <v>Eu-153</v>
      </c>
      <c r="B2173" s="91" t="s">
        <v>2784</v>
      </c>
      <c r="C2173" s="91" t="s">
        <v>2753</v>
      </c>
      <c r="D2173" s="91">
        <v>63</v>
      </c>
      <c r="E2173" s="91">
        <v>153</v>
      </c>
      <c r="F2173" s="91">
        <v>0</v>
      </c>
      <c r="G2173" s="126">
        <v>0</v>
      </c>
      <c r="H2173" s="126">
        <f t="shared" si="100"/>
        <v>0</v>
      </c>
      <c r="I2173" s="126" t="str">
        <f t="shared" si="101"/>
        <v>0y 0d 0h 0m</v>
      </c>
    </row>
    <row r="2174" s="91" customFormat="1" spans="1:9">
      <c r="A2174" s="91" t="str">
        <f t="shared" si="99"/>
        <v>Eu-154</v>
      </c>
      <c r="B2174" s="91" t="s">
        <v>2785</v>
      </c>
      <c r="C2174" s="91" t="s">
        <v>2753</v>
      </c>
      <c r="D2174" s="91">
        <v>63</v>
      </c>
      <c r="E2174" s="91">
        <v>154</v>
      </c>
      <c r="F2174" s="91">
        <v>0</v>
      </c>
      <c r="G2174" s="126">
        <v>2.55371586441854e-9</v>
      </c>
      <c r="H2174" s="126">
        <f t="shared" si="100"/>
        <v>271426900</v>
      </c>
      <c r="I2174" s="126" t="str">
        <f t="shared" si="101"/>
        <v>8y 221d 12h 21m</v>
      </c>
    </row>
    <row r="2175" s="91" customFormat="1" spans="1:9">
      <c r="A2175" s="91" t="str">
        <f t="shared" si="99"/>
        <v>Eu-154m</v>
      </c>
      <c r="B2175" s="91" t="s">
        <v>2786</v>
      </c>
      <c r="C2175" s="91" t="s">
        <v>2753</v>
      </c>
      <c r="D2175" s="91">
        <v>63</v>
      </c>
      <c r="E2175" s="91">
        <v>154</v>
      </c>
      <c r="F2175" s="91">
        <v>1</v>
      </c>
      <c r="G2175" s="126">
        <v>0.000251140282811574</v>
      </c>
      <c r="H2175" s="126">
        <f t="shared" si="100"/>
        <v>2760</v>
      </c>
      <c r="I2175" s="126" t="str">
        <f t="shared" si="101"/>
        <v>0y 0d 0h 46m</v>
      </c>
    </row>
    <row r="2176" s="91" customFormat="1" spans="1:9">
      <c r="A2176" s="91" t="str">
        <f t="shared" si="99"/>
        <v>Eu-155</v>
      </c>
      <c r="B2176" s="91" t="s">
        <v>2787</v>
      </c>
      <c r="C2176" s="91" t="s">
        <v>2753</v>
      </c>
      <c r="D2176" s="91">
        <v>63</v>
      </c>
      <c r="E2176" s="91">
        <v>155</v>
      </c>
      <c r="F2176" s="91">
        <v>0</v>
      </c>
      <c r="G2176" s="126">
        <v>4.62118761677985e-9</v>
      </c>
      <c r="H2176" s="126">
        <f t="shared" si="100"/>
        <v>149993300</v>
      </c>
      <c r="I2176" s="126" t="str">
        <f t="shared" si="101"/>
        <v>4y 276d 0h 48m</v>
      </c>
    </row>
    <row r="2177" s="91" customFormat="1" spans="1:9">
      <c r="A2177" s="91" t="str">
        <f t="shared" si="99"/>
        <v>Eu-156</v>
      </c>
      <c r="B2177" s="91" t="s">
        <v>2788</v>
      </c>
      <c r="C2177" s="91" t="s">
        <v>2753</v>
      </c>
      <c r="D2177" s="91">
        <v>63</v>
      </c>
      <c r="E2177" s="91">
        <v>156</v>
      </c>
      <c r="F2177" s="91">
        <v>0</v>
      </c>
      <c r="G2177" s="126">
        <v>5.28145938909572e-7</v>
      </c>
      <c r="H2177" s="126">
        <f t="shared" si="100"/>
        <v>1312416</v>
      </c>
      <c r="I2177" s="126" t="str">
        <f t="shared" si="101"/>
        <v>0y 15d 4h 33m</v>
      </c>
    </row>
    <row r="2178" s="91" customFormat="1" spans="1:9">
      <c r="A2178" s="91" t="str">
        <f t="shared" ref="A2178:A2241" si="102">C2178&amp;"-"&amp;E2178&amp;_xlfn.IFS(F2178=0,"",F2178=1,"m",F2178&gt;1,"m"&amp;F2178)</f>
        <v>Eu-157</v>
      </c>
      <c r="B2178" s="91" t="s">
        <v>2789</v>
      </c>
      <c r="C2178" s="91" t="s">
        <v>2753</v>
      </c>
      <c r="D2178" s="91">
        <v>63</v>
      </c>
      <c r="E2178" s="91">
        <v>157</v>
      </c>
      <c r="F2178" s="91">
        <v>0</v>
      </c>
      <c r="G2178" s="126">
        <v>1.26838526672512e-5</v>
      </c>
      <c r="H2178" s="126">
        <f t="shared" ref="H2178:H2241" si="103">IF(G2178&gt;0,LN(2)/G2178,0)</f>
        <v>54648.0000000001</v>
      </c>
      <c r="I2178" s="126" t="str">
        <f t="shared" si="101"/>
        <v>0y 0d 15h 10m</v>
      </c>
    </row>
    <row r="2179" s="91" customFormat="1" spans="1:9">
      <c r="A2179" s="91" t="str">
        <f t="shared" si="102"/>
        <v>Eu-158</v>
      </c>
      <c r="B2179" s="91" t="s">
        <v>2790</v>
      </c>
      <c r="C2179" s="91" t="s">
        <v>2753</v>
      </c>
      <c r="D2179" s="91">
        <v>63</v>
      </c>
      <c r="E2179" s="91">
        <v>158</v>
      </c>
      <c r="F2179" s="91">
        <v>0</v>
      </c>
      <c r="G2179" s="126">
        <v>0.00025168742939722</v>
      </c>
      <c r="H2179" s="126">
        <f t="shared" si="103"/>
        <v>2754.00000000001</v>
      </c>
      <c r="I2179" s="126" t="str">
        <f t="shared" ref="I2179:I2242" si="104">INT(H2179/31536000)&amp;"y "&amp;INT(MOD(H2179,31536000)/86400)&amp;"d "&amp;INT(MOD(MOD(H2179,31536000),86400)/3600)&amp;"h "&amp;INT(MOD(MOD(MOD(H2179,31536000),86400),3600)/60)&amp;"m"</f>
        <v>0y 0d 0h 45m</v>
      </c>
    </row>
    <row r="2180" s="91" customFormat="1" spans="1:9">
      <c r="A2180" s="91" t="str">
        <f t="shared" si="102"/>
        <v>Eu-159</v>
      </c>
      <c r="B2180" s="91" t="s">
        <v>2791</v>
      </c>
      <c r="C2180" s="91" t="s">
        <v>2753</v>
      </c>
      <c r="D2180" s="91">
        <v>63</v>
      </c>
      <c r="E2180" s="91">
        <v>159</v>
      </c>
      <c r="F2180" s="91">
        <v>0</v>
      </c>
      <c r="G2180" s="126">
        <v>0.000638257072338807</v>
      </c>
      <c r="H2180" s="126">
        <f t="shared" si="103"/>
        <v>1086</v>
      </c>
      <c r="I2180" s="126" t="str">
        <f t="shared" si="104"/>
        <v>0y 0d 0h 18m</v>
      </c>
    </row>
    <row r="2181" s="91" customFormat="1" spans="1:9">
      <c r="A2181" s="91" t="str">
        <f t="shared" si="102"/>
        <v>Eu-160</v>
      </c>
      <c r="B2181" s="91" t="s">
        <v>2792</v>
      </c>
      <c r="C2181" s="91" t="s">
        <v>2753</v>
      </c>
      <c r="D2181" s="91">
        <v>63</v>
      </c>
      <c r="E2181" s="91">
        <v>160</v>
      </c>
      <c r="F2181" s="91">
        <v>0</v>
      </c>
      <c r="G2181" s="126">
        <v>0.0182407152778932</v>
      </c>
      <c r="H2181" s="126">
        <f t="shared" si="103"/>
        <v>38.0000000000002</v>
      </c>
      <c r="I2181" s="126" t="str">
        <f t="shared" si="104"/>
        <v>0y 0d 0h 0m</v>
      </c>
    </row>
    <row r="2182" s="91" customFormat="1" spans="1:9">
      <c r="A2182" s="91" t="str">
        <f t="shared" si="102"/>
        <v>Eu-161</v>
      </c>
      <c r="B2182" s="91" t="s">
        <v>2793</v>
      </c>
      <c r="C2182" s="91" t="s">
        <v>2753</v>
      </c>
      <c r="D2182" s="91">
        <v>63</v>
      </c>
      <c r="E2182" s="91">
        <v>161</v>
      </c>
      <c r="F2182" s="91">
        <v>0</v>
      </c>
      <c r="G2182" s="126">
        <v>0.0266595069446132</v>
      </c>
      <c r="H2182" s="126">
        <f t="shared" si="103"/>
        <v>26.0000000000001</v>
      </c>
      <c r="I2182" s="126" t="str">
        <f t="shared" si="104"/>
        <v>0y 0d 0h 0m</v>
      </c>
    </row>
    <row r="2183" s="91" customFormat="1" spans="1:9">
      <c r="A2183" s="91" t="str">
        <f t="shared" si="102"/>
        <v>Eu-162</v>
      </c>
      <c r="B2183" s="91" t="s">
        <v>2794</v>
      </c>
      <c r="C2183" s="91" t="s">
        <v>2753</v>
      </c>
      <c r="D2183" s="91">
        <v>63</v>
      </c>
      <c r="E2183" s="91">
        <v>162</v>
      </c>
      <c r="F2183" s="91">
        <v>0</v>
      </c>
      <c r="G2183" s="126">
        <v>0.0653912434490514</v>
      </c>
      <c r="H2183" s="126">
        <f t="shared" si="103"/>
        <v>10.6</v>
      </c>
      <c r="I2183" s="126" t="str">
        <f t="shared" si="104"/>
        <v>0y 0d 0h 0m</v>
      </c>
    </row>
    <row r="2184" s="91" customFormat="1" spans="1:9">
      <c r="A2184" s="91" t="str">
        <f t="shared" si="102"/>
        <v>Eu-163</v>
      </c>
      <c r="B2184" s="91" t="s">
        <v>2795</v>
      </c>
      <c r="C2184" s="91" t="s">
        <v>2753</v>
      </c>
      <c r="D2184" s="91">
        <v>63</v>
      </c>
      <c r="E2184" s="91">
        <v>163</v>
      </c>
      <c r="F2184" s="91">
        <v>0</v>
      </c>
      <c r="G2184" s="126">
        <v>0.0900191143584344</v>
      </c>
      <c r="H2184" s="126">
        <f t="shared" si="103"/>
        <v>7.7</v>
      </c>
      <c r="I2184" s="126" t="str">
        <f t="shared" si="104"/>
        <v>0y 0d 0h 0m</v>
      </c>
    </row>
    <row r="2185" s="91" customFormat="1" spans="1:9">
      <c r="A2185" s="91" t="str">
        <f t="shared" si="102"/>
        <v>Eu-164</v>
      </c>
      <c r="B2185" s="91" t="s">
        <v>2796</v>
      </c>
      <c r="C2185" s="91" t="s">
        <v>2753</v>
      </c>
      <c r="D2185" s="91">
        <v>63</v>
      </c>
      <c r="E2185" s="91">
        <v>164</v>
      </c>
      <c r="F2185" s="91">
        <v>0</v>
      </c>
      <c r="G2185" s="126">
        <v>0.243722637327688</v>
      </c>
      <c r="H2185" s="126">
        <f t="shared" si="103"/>
        <v>2.844</v>
      </c>
      <c r="I2185" s="126" t="str">
        <f t="shared" si="104"/>
        <v>0y 0d 0h 0m</v>
      </c>
    </row>
    <row r="2186" s="91" customFormat="1" spans="1:9">
      <c r="A2186" s="91" t="str">
        <f t="shared" si="102"/>
        <v>Eu-165</v>
      </c>
      <c r="B2186" s="91" t="s">
        <v>2797</v>
      </c>
      <c r="C2186" s="91" t="s">
        <v>2753</v>
      </c>
      <c r="D2186" s="91">
        <v>63</v>
      </c>
      <c r="E2186" s="91">
        <v>165</v>
      </c>
      <c r="F2186" s="91">
        <v>0</v>
      </c>
      <c r="G2186" s="126">
        <v>0.301368339373889</v>
      </c>
      <c r="H2186" s="126">
        <f t="shared" si="103"/>
        <v>2.3</v>
      </c>
      <c r="I2186" s="126" t="str">
        <f t="shared" si="104"/>
        <v>0y 0d 0h 0m</v>
      </c>
    </row>
    <row r="2187" s="91" customFormat="1" spans="1:9">
      <c r="A2187" s="91" t="str">
        <f t="shared" si="102"/>
        <v>Eu-166</v>
      </c>
      <c r="B2187" s="91" t="s">
        <v>2798</v>
      </c>
      <c r="C2187" s="91" t="s">
        <v>2753</v>
      </c>
      <c r="D2187" s="91">
        <v>63</v>
      </c>
      <c r="E2187" s="91">
        <v>166</v>
      </c>
      <c r="F2187" s="91">
        <v>0</v>
      </c>
      <c r="G2187" s="126">
        <v>1.73286795139986</v>
      </c>
      <c r="H2187" s="126">
        <f t="shared" si="103"/>
        <v>0.400000000000001</v>
      </c>
      <c r="I2187" s="126" t="str">
        <f t="shared" si="104"/>
        <v>0y 0d 0h 0m</v>
      </c>
    </row>
    <row r="2188" s="91" customFormat="1" spans="1:9">
      <c r="A2188" s="91" t="str">
        <f t="shared" si="102"/>
        <v>Eu-167</v>
      </c>
      <c r="B2188" s="91" t="s">
        <v>2799</v>
      </c>
      <c r="C2188" s="91" t="s">
        <v>2753</v>
      </c>
      <c r="D2188" s="91">
        <v>63</v>
      </c>
      <c r="E2188" s="91">
        <v>167</v>
      </c>
      <c r="F2188" s="91">
        <v>0</v>
      </c>
      <c r="G2188" s="126">
        <v>3.46573590279972</v>
      </c>
      <c r="H2188" s="126">
        <f t="shared" si="103"/>
        <v>0.2</v>
      </c>
      <c r="I2188" s="126" t="str">
        <f t="shared" si="104"/>
        <v>0y 0d 0h 0m</v>
      </c>
    </row>
    <row r="2189" s="91" customFormat="1" spans="1:9">
      <c r="A2189" s="91" t="str">
        <f t="shared" si="102"/>
        <v>Gd-134</v>
      </c>
      <c r="B2189" s="91" t="s">
        <v>2800</v>
      </c>
      <c r="C2189" s="91" t="s">
        <v>2801</v>
      </c>
      <c r="D2189" s="91">
        <v>64</v>
      </c>
      <c r="E2189" s="91">
        <v>134</v>
      </c>
      <c r="F2189" s="91">
        <v>0</v>
      </c>
      <c r="G2189" s="126">
        <v>1.73286795139986</v>
      </c>
      <c r="H2189" s="126">
        <f t="shared" si="103"/>
        <v>0.400000000000001</v>
      </c>
      <c r="I2189" s="126" t="str">
        <f t="shared" si="104"/>
        <v>0y 0d 0h 0m</v>
      </c>
    </row>
    <row r="2190" s="91" customFormat="1" spans="1:9">
      <c r="A2190" s="91" t="str">
        <f t="shared" si="102"/>
        <v>Gd-135</v>
      </c>
      <c r="B2190" s="91" t="s">
        <v>2802</v>
      </c>
      <c r="C2190" s="91" t="s">
        <v>2801</v>
      </c>
      <c r="D2190" s="91">
        <v>64</v>
      </c>
      <c r="E2190" s="91">
        <v>135</v>
      </c>
      <c r="F2190" s="91">
        <v>0</v>
      </c>
      <c r="G2190" s="126">
        <v>0.630133800509041</v>
      </c>
      <c r="H2190" s="126">
        <f t="shared" si="103"/>
        <v>1.1</v>
      </c>
      <c r="I2190" s="126" t="str">
        <f t="shared" si="104"/>
        <v>0y 0d 0h 0m</v>
      </c>
    </row>
    <row r="2191" s="91" customFormat="1" spans="1:9">
      <c r="A2191" s="91" t="str">
        <f t="shared" si="102"/>
        <v>Gd-136</v>
      </c>
      <c r="B2191" s="91" t="s">
        <v>2803</v>
      </c>
      <c r="C2191" s="91" t="s">
        <v>2801</v>
      </c>
      <c r="D2191" s="91">
        <v>64</v>
      </c>
      <c r="E2191" s="91">
        <v>136</v>
      </c>
      <c r="F2191" s="91">
        <v>0</v>
      </c>
      <c r="G2191" s="126">
        <v>34657.3590279972</v>
      </c>
      <c r="H2191" s="126">
        <f t="shared" si="103"/>
        <v>2e-5</v>
      </c>
      <c r="I2191" s="126" t="str">
        <f t="shared" si="104"/>
        <v>0y 0d 0h 0m</v>
      </c>
    </row>
    <row r="2192" s="91" customFormat="1" spans="1:9">
      <c r="A2192" s="91" t="str">
        <f t="shared" si="102"/>
        <v>Gd-137</v>
      </c>
      <c r="B2192" s="91" t="s">
        <v>2804</v>
      </c>
      <c r="C2192" s="91" t="s">
        <v>2801</v>
      </c>
      <c r="D2192" s="91">
        <v>64</v>
      </c>
      <c r="E2192" s="91">
        <v>137</v>
      </c>
      <c r="F2192" s="91">
        <v>0</v>
      </c>
      <c r="G2192" s="126">
        <v>0.31506690025452</v>
      </c>
      <c r="H2192" s="126">
        <f t="shared" si="103"/>
        <v>2.2</v>
      </c>
      <c r="I2192" s="126" t="str">
        <f t="shared" si="104"/>
        <v>0y 0d 0h 0m</v>
      </c>
    </row>
    <row r="2193" s="91" customFormat="1" spans="1:9">
      <c r="A2193" s="91" t="str">
        <f t="shared" si="102"/>
        <v>Gd-138</v>
      </c>
      <c r="B2193" s="91" t="s">
        <v>2805</v>
      </c>
      <c r="C2193" s="91" t="s">
        <v>2801</v>
      </c>
      <c r="D2193" s="91">
        <v>64</v>
      </c>
      <c r="E2193" s="91">
        <v>138</v>
      </c>
      <c r="F2193" s="91">
        <v>0</v>
      </c>
      <c r="G2193" s="126">
        <v>0.147478123523392</v>
      </c>
      <c r="H2193" s="126">
        <f t="shared" si="103"/>
        <v>4.70000000000002</v>
      </c>
      <c r="I2193" s="126" t="str">
        <f t="shared" si="104"/>
        <v>0y 0d 0h 0m</v>
      </c>
    </row>
    <row r="2194" s="91" customFormat="1" spans="1:9">
      <c r="A2194" s="91" t="str">
        <f t="shared" si="102"/>
        <v>Gd-139</v>
      </c>
      <c r="B2194" s="91" t="s">
        <v>2806</v>
      </c>
      <c r="C2194" s="91" t="s">
        <v>2801</v>
      </c>
      <c r="D2194" s="91">
        <v>64</v>
      </c>
      <c r="E2194" s="91">
        <v>139</v>
      </c>
      <c r="F2194" s="91">
        <v>0</v>
      </c>
      <c r="G2194" s="126">
        <v>0.1195081345793</v>
      </c>
      <c r="H2194" s="126">
        <f t="shared" si="103"/>
        <v>5.80000000000004</v>
      </c>
      <c r="I2194" s="126" t="str">
        <f t="shared" si="104"/>
        <v>0y 0d 0h 0m</v>
      </c>
    </row>
    <row r="2195" s="91" customFormat="1" spans="1:9">
      <c r="A2195" s="91" t="str">
        <f t="shared" si="102"/>
        <v>Gd-139m</v>
      </c>
      <c r="B2195" s="91" t="s">
        <v>2807</v>
      </c>
      <c r="C2195" s="91" t="s">
        <v>2801</v>
      </c>
      <c r="D2195" s="91">
        <v>64</v>
      </c>
      <c r="E2195" s="91">
        <v>139</v>
      </c>
      <c r="F2195" s="91">
        <v>1</v>
      </c>
      <c r="G2195" s="126">
        <v>0.144405662616655</v>
      </c>
      <c r="H2195" s="126">
        <f t="shared" si="103"/>
        <v>4.80000000000001</v>
      </c>
      <c r="I2195" s="126" t="str">
        <f t="shared" si="104"/>
        <v>0y 0d 0h 0m</v>
      </c>
    </row>
    <row r="2196" s="91" customFormat="1" spans="1:9">
      <c r="A2196" s="91" t="str">
        <f t="shared" si="102"/>
        <v>Gd-140</v>
      </c>
      <c r="B2196" s="91" t="s">
        <v>2808</v>
      </c>
      <c r="C2196" s="91" t="s">
        <v>2801</v>
      </c>
      <c r="D2196" s="91">
        <v>64</v>
      </c>
      <c r="E2196" s="91">
        <v>140</v>
      </c>
      <c r="F2196" s="91">
        <v>0</v>
      </c>
      <c r="G2196" s="126">
        <v>0.0438700747189838</v>
      </c>
      <c r="H2196" s="126">
        <f t="shared" si="103"/>
        <v>15.8</v>
      </c>
      <c r="I2196" s="126" t="str">
        <f t="shared" si="104"/>
        <v>0y 0d 0h 0m</v>
      </c>
    </row>
    <row r="2197" s="91" customFormat="1" spans="1:9">
      <c r="A2197" s="91" t="str">
        <f t="shared" si="102"/>
        <v>Gd-141</v>
      </c>
      <c r="B2197" s="91" t="s">
        <v>2809</v>
      </c>
      <c r="C2197" s="91" t="s">
        <v>2801</v>
      </c>
      <c r="D2197" s="91">
        <v>64</v>
      </c>
      <c r="E2197" s="91">
        <v>141</v>
      </c>
      <c r="F2197" s="91">
        <v>0</v>
      </c>
      <c r="G2197" s="126">
        <v>0.0495105128971389</v>
      </c>
      <c r="H2197" s="126">
        <f t="shared" si="103"/>
        <v>14</v>
      </c>
      <c r="I2197" s="126" t="str">
        <f t="shared" si="104"/>
        <v>0y 0d 0h 0m</v>
      </c>
    </row>
    <row r="2198" s="91" customFormat="1" spans="1:9">
      <c r="A2198" s="91" t="str">
        <f t="shared" si="102"/>
        <v>Gd-141m</v>
      </c>
      <c r="B2198" s="91" t="s">
        <v>2810</v>
      </c>
      <c r="C2198" s="91" t="s">
        <v>2801</v>
      </c>
      <c r="D2198" s="91">
        <v>64</v>
      </c>
      <c r="E2198" s="91">
        <v>141</v>
      </c>
      <c r="F2198" s="91">
        <v>1</v>
      </c>
      <c r="G2198" s="126">
        <v>0.0282917216555079</v>
      </c>
      <c r="H2198" s="126">
        <f t="shared" si="103"/>
        <v>24.5000000000001</v>
      </c>
      <c r="I2198" s="126" t="str">
        <f t="shared" si="104"/>
        <v>0y 0d 0h 0m</v>
      </c>
    </row>
    <row r="2199" s="91" customFormat="1" spans="1:9">
      <c r="A2199" s="91" t="str">
        <f t="shared" si="102"/>
        <v>Gd-142</v>
      </c>
      <c r="B2199" s="91" t="s">
        <v>2811</v>
      </c>
      <c r="C2199" s="91" t="s">
        <v>2801</v>
      </c>
      <c r="D2199" s="91">
        <v>64</v>
      </c>
      <c r="E2199" s="91">
        <v>142</v>
      </c>
      <c r="F2199" s="91">
        <v>0</v>
      </c>
      <c r="G2199" s="126">
        <v>0.00987389146096788</v>
      </c>
      <c r="H2199" s="126">
        <f t="shared" si="103"/>
        <v>70.2</v>
      </c>
      <c r="I2199" s="126" t="str">
        <f t="shared" si="104"/>
        <v>0y 0d 0h 1m</v>
      </c>
    </row>
    <row r="2200" s="91" customFormat="1" spans="1:9">
      <c r="A2200" s="91" t="str">
        <f t="shared" si="102"/>
        <v>Gd-143</v>
      </c>
      <c r="B2200" s="91" t="s">
        <v>2812</v>
      </c>
      <c r="C2200" s="91" t="s">
        <v>2801</v>
      </c>
      <c r="D2200" s="91">
        <v>64</v>
      </c>
      <c r="E2200" s="91">
        <v>143</v>
      </c>
      <c r="F2200" s="91">
        <v>0</v>
      </c>
      <c r="G2200" s="126">
        <v>0.0177730046297421</v>
      </c>
      <c r="H2200" s="126">
        <f t="shared" si="103"/>
        <v>39.0000000000002</v>
      </c>
      <c r="I2200" s="126" t="str">
        <f t="shared" si="104"/>
        <v>0y 0d 0h 0m</v>
      </c>
    </row>
    <row r="2201" s="91" customFormat="1" spans="1:9">
      <c r="A2201" s="91" t="str">
        <f t="shared" si="102"/>
        <v>Gd-143m</v>
      </c>
      <c r="B2201" s="91" t="s">
        <v>2813</v>
      </c>
      <c r="C2201" s="91" t="s">
        <v>2801</v>
      </c>
      <c r="D2201" s="91">
        <v>64</v>
      </c>
      <c r="E2201" s="91">
        <v>143</v>
      </c>
      <c r="F2201" s="91">
        <v>1</v>
      </c>
      <c r="G2201" s="126">
        <v>0.00630133800509041</v>
      </c>
      <c r="H2201" s="126">
        <f t="shared" si="103"/>
        <v>110</v>
      </c>
      <c r="I2201" s="126" t="str">
        <f t="shared" si="104"/>
        <v>0y 0d 0h 1m</v>
      </c>
    </row>
    <row r="2202" s="91" customFormat="1" spans="1:9">
      <c r="A2202" s="91" t="str">
        <f t="shared" si="102"/>
        <v>Gd-144</v>
      </c>
      <c r="B2202" s="91" t="s">
        <v>2814</v>
      </c>
      <c r="C2202" s="91" t="s">
        <v>2801</v>
      </c>
      <c r="D2202" s="91">
        <v>64</v>
      </c>
      <c r="E2202" s="91">
        <v>144</v>
      </c>
      <c r="F2202" s="91">
        <v>0</v>
      </c>
      <c r="G2202" s="126">
        <v>0.00258444138911239</v>
      </c>
      <c r="H2202" s="126">
        <f t="shared" si="103"/>
        <v>268.200000000001</v>
      </c>
      <c r="I2202" s="126" t="str">
        <f t="shared" si="104"/>
        <v>0y 0d 0h 4m</v>
      </c>
    </row>
    <row r="2203" s="91" customFormat="1" spans="1:9">
      <c r="A2203" s="91" t="str">
        <f t="shared" si="102"/>
        <v>Gd-145</v>
      </c>
      <c r="B2203" s="91" t="s">
        <v>2815</v>
      </c>
      <c r="C2203" s="91" t="s">
        <v>2801</v>
      </c>
      <c r="D2203" s="91">
        <v>64</v>
      </c>
      <c r="E2203" s="91">
        <v>145</v>
      </c>
      <c r="F2203" s="91">
        <v>0</v>
      </c>
      <c r="G2203" s="126">
        <v>0.000502280565623148</v>
      </c>
      <c r="H2203" s="126">
        <f t="shared" si="103"/>
        <v>1380</v>
      </c>
      <c r="I2203" s="126" t="str">
        <f t="shared" si="104"/>
        <v>0y 0d 0h 23m</v>
      </c>
    </row>
    <row r="2204" s="91" customFormat="1" spans="1:9">
      <c r="A2204" s="91" t="str">
        <f t="shared" si="102"/>
        <v>Gd-145m</v>
      </c>
      <c r="B2204" s="91" t="s">
        <v>2816</v>
      </c>
      <c r="C2204" s="91" t="s">
        <v>2801</v>
      </c>
      <c r="D2204" s="91">
        <v>64</v>
      </c>
      <c r="E2204" s="91">
        <v>145</v>
      </c>
      <c r="F2204" s="91">
        <v>1</v>
      </c>
      <c r="G2204" s="126">
        <v>0.00815467271246994</v>
      </c>
      <c r="H2204" s="126">
        <f t="shared" si="103"/>
        <v>85</v>
      </c>
      <c r="I2204" s="126" t="str">
        <f t="shared" si="104"/>
        <v>0y 0d 0h 1m</v>
      </c>
    </row>
    <row r="2205" s="91" customFormat="1" spans="1:9">
      <c r="A2205" s="91" t="str">
        <f t="shared" si="102"/>
        <v>Gd-146</v>
      </c>
      <c r="B2205" s="91" t="s">
        <v>2817</v>
      </c>
      <c r="C2205" s="91" t="s">
        <v>2801</v>
      </c>
      <c r="D2205" s="91">
        <v>64</v>
      </c>
      <c r="E2205" s="91">
        <v>146</v>
      </c>
      <c r="F2205" s="91">
        <v>0</v>
      </c>
      <c r="G2205" s="126">
        <v>1.66201301264479e-7</v>
      </c>
      <c r="H2205" s="126">
        <f t="shared" si="103"/>
        <v>4170528</v>
      </c>
      <c r="I2205" s="126" t="str">
        <f t="shared" si="104"/>
        <v>0y 48d 6h 28m</v>
      </c>
    </row>
    <row r="2206" s="91" customFormat="1" spans="1:9">
      <c r="A2206" s="91" t="str">
        <f t="shared" si="102"/>
        <v>Gd-147</v>
      </c>
      <c r="B2206" s="91" t="s">
        <v>2818</v>
      </c>
      <c r="C2206" s="91" t="s">
        <v>2801</v>
      </c>
      <c r="D2206" s="91">
        <v>64</v>
      </c>
      <c r="E2206" s="91">
        <v>147</v>
      </c>
      <c r="F2206" s="91">
        <v>0</v>
      </c>
      <c r="G2206" s="126">
        <v>5.05887765341234e-6</v>
      </c>
      <c r="H2206" s="126">
        <f t="shared" si="103"/>
        <v>137016</v>
      </c>
      <c r="I2206" s="126" t="str">
        <f t="shared" si="104"/>
        <v>0y 1d 14h 3m</v>
      </c>
    </row>
    <row r="2207" s="91" customFormat="1" spans="1:9">
      <c r="A2207" s="91" t="str">
        <f t="shared" si="102"/>
        <v>Gd-148</v>
      </c>
      <c r="B2207" s="91" t="s">
        <v>2819</v>
      </c>
      <c r="C2207" s="91" t="s">
        <v>2801</v>
      </c>
      <c r="D2207" s="91">
        <v>64</v>
      </c>
      <c r="E2207" s="91">
        <v>148</v>
      </c>
      <c r="F2207" s="91">
        <v>0</v>
      </c>
      <c r="G2207" s="126">
        <v>2.9443040686907e-10</v>
      </c>
      <c r="H2207" s="126">
        <f t="shared" si="103"/>
        <v>2354197000</v>
      </c>
      <c r="I2207" s="126" t="str">
        <f t="shared" si="104"/>
        <v>74y 237d 15h 36m</v>
      </c>
    </row>
    <row r="2208" s="91" customFormat="1" spans="1:9">
      <c r="A2208" s="91" t="str">
        <f t="shared" si="102"/>
        <v>Gd-149</v>
      </c>
      <c r="B2208" s="91" t="s">
        <v>2820</v>
      </c>
      <c r="C2208" s="91" t="s">
        <v>2801</v>
      </c>
      <c r="D2208" s="91">
        <v>64</v>
      </c>
      <c r="E2208" s="91">
        <v>149</v>
      </c>
      <c r="F2208" s="91">
        <v>0</v>
      </c>
      <c r="G2208" s="126">
        <v>8.64497501297026e-7</v>
      </c>
      <c r="H2208" s="126">
        <f t="shared" si="103"/>
        <v>801792</v>
      </c>
      <c r="I2208" s="126" t="str">
        <f t="shared" si="104"/>
        <v>0y 9d 6h 43m</v>
      </c>
    </row>
    <row r="2209" s="91" customFormat="1" spans="1:9">
      <c r="A2209" s="91" t="str">
        <f t="shared" si="102"/>
        <v>Gd-150</v>
      </c>
      <c r="B2209" s="91" t="s">
        <v>2821</v>
      </c>
      <c r="C2209" s="91" t="s">
        <v>2801</v>
      </c>
      <c r="D2209" s="91">
        <v>64</v>
      </c>
      <c r="E2209" s="91">
        <v>150</v>
      </c>
      <c r="F2209" s="91">
        <v>0</v>
      </c>
      <c r="G2209" s="126">
        <v>1.22706761346185e-14</v>
      </c>
      <c r="H2209" s="126">
        <f t="shared" si="103"/>
        <v>56488100000000.2</v>
      </c>
      <c r="I2209" s="126" t="str">
        <f t="shared" si="104"/>
        <v>1791225y 328d 16h 53m</v>
      </c>
    </row>
    <row r="2210" s="91" customFormat="1" spans="1:9">
      <c r="A2210" s="91" t="str">
        <f t="shared" si="102"/>
        <v>Gd-151</v>
      </c>
      <c r="B2210" s="91" t="s">
        <v>2822</v>
      </c>
      <c r="C2210" s="91" t="s">
        <v>2801</v>
      </c>
      <c r="D2210" s="91">
        <v>64</v>
      </c>
      <c r="E2210" s="91">
        <v>151</v>
      </c>
      <c r="F2210" s="91">
        <v>0</v>
      </c>
      <c r="G2210" s="126">
        <v>6.46978775164226e-8</v>
      </c>
      <c r="H2210" s="126">
        <f t="shared" si="103"/>
        <v>10713600</v>
      </c>
      <c r="I2210" s="126" t="str">
        <f t="shared" si="104"/>
        <v>0y 124d 0h 0m</v>
      </c>
    </row>
    <row r="2211" s="91" customFormat="1" spans="1:9">
      <c r="A2211" s="91" t="str">
        <f t="shared" si="102"/>
        <v>Gd-152</v>
      </c>
      <c r="B2211" s="91" t="s">
        <v>2823</v>
      </c>
      <c r="C2211" s="91" t="s">
        <v>2801</v>
      </c>
      <c r="D2211" s="91">
        <v>64</v>
      </c>
      <c r="E2211" s="91">
        <v>152</v>
      </c>
      <c r="F2211" s="91">
        <v>0</v>
      </c>
      <c r="G2211" s="126">
        <v>2.03375128530419e-22</v>
      </c>
      <c r="H2211" s="126">
        <f t="shared" si="103"/>
        <v>3.40822e+21</v>
      </c>
      <c r="I2211" s="126" t="str">
        <f t="shared" si="104"/>
        <v>108073947234906y 91d 0h 32m</v>
      </c>
    </row>
    <row r="2212" s="91" customFormat="1" spans="1:9">
      <c r="A2212" s="91" t="str">
        <f t="shared" si="102"/>
        <v>Gd-153</v>
      </c>
      <c r="B2212" s="91" t="s">
        <v>2824</v>
      </c>
      <c r="C2212" s="91" t="s">
        <v>2801</v>
      </c>
      <c r="D2212" s="91">
        <v>64</v>
      </c>
      <c r="E2212" s="91">
        <v>153</v>
      </c>
      <c r="F2212" s="91">
        <v>0</v>
      </c>
      <c r="G2212" s="126">
        <v>3.33716173545607e-8</v>
      </c>
      <c r="H2212" s="126">
        <f t="shared" si="103"/>
        <v>20770560</v>
      </c>
      <c r="I2212" s="126" t="str">
        <f t="shared" si="104"/>
        <v>0y 240d 9h 36m</v>
      </c>
    </row>
    <row r="2213" s="91" customFormat="1" spans="1:9">
      <c r="A2213" s="91" t="str">
        <f t="shared" si="102"/>
        <v>Gd-154</v>
      </c>
      <c r="B2213" s="91" t="s">
        <v>2825</v>
      </c>
      <c r="C2213" s="91" t="s">
        <v>2801</v>
      </c>
      <c r="D2213" s="91">
        <v>64</v>
      </c>
      <c r="E2213" s="91">
        <v>154</v>
      </c>
      <c r="F2213" s="91">
        <v>0</v>
      </c>
      <c r="G2213" s="126">
        <v>0</v>
      </c>
      <c r="H2213" s="126">
        <f t="shared" si="103"/>
        <v>0</v>
      </c>
      <c r="I2213" s="126" t="str">
        <f t="shared" si="104"/>
        <v>0y 0d 0h 0m</v>
      </c>
    </row>
    <row r="2214" s="91" customFormat="1" spans="1:9">
      <c r="A2214" s="91" t="str">
        <f t="shared" si="102"/>
        <v>Gd-155</v>
      </c>
      <c r="B2214" s="91" t="s">
        <v>2826</v>
      </c>
      <c r="C2214" s="91" t="s">
        <v>2801</v>
      </c>
      <c r="D2214" s="91">
        <v>64</v>
      </c>
      <c r="E2214" s="91">
        <v>155</v>
      </c>
      <c r="F2214" s="91">
        <v>0</v>
      </c>
      <c r="G2214" s="126">
        <v>0</v>
      </c>
      <c r="H2214" s="126">
        <f t="shared" si="103"/>
        <v>0</v>
      </c>
      <c r="I2214" s="126" t="str">
        <f t="shared" si="104"/>
        <v>0y 0d 0h 0m</v>
      </c>
    </row>
    <row r="2215" s="91" customFormat="1" spans="1:9">
      <c r="A2215" s="91" t="str">
        <f t="shared" si="102"/>
        <v>Gd-155m</v>
      </c>
      <c r="B2215" s="91" t="s">
        <v>2827</v>
      </c>
      <c r="C2215" s="91" t="s">
        <v>2801</v>
      </c>
      <c r="D2215" s="91">
        <v>64</v>
      </c>
      <c r="E2215" s="91">
        <v>155</v>
      </c>
      <c r="F2215" s="91">
        <v>1</v>
      </c>
      <c r="G2215" s="126">
        <v>21.6811754945244</v>
      </c>
      <c r="H2215" s="126">
        <f t="shared" si="103"/>
        <v>0.03197</v>
      </c>
      <c r="I2215" s="126" t="str">
        <f t="shared" si="104"/>
        <v>0y 0d 0h 0m</v>
      </c>
    </row>
    <row r="2216" s="91" customFormat="1" spans="1:9">
      <c r="A2216" s="91" t="str">
        <f t="shared" si="102"/>
        <v>Gd-156</v>
      </c>
      <c r="B2216" s="91" t="s">
        <v>2828</v>
      </c>
      <c r="C2216" s="91" t="s">
        <v>2801</v>
      </c>
      <c r="D2216" s="91">
        <v>64</v>
      </c>
      <c r="E2216" s="91">
        <v>156</v>
      </c>
      <c r="F2216" s="91">
        <v>0</v>
      </c>
      <c r="G2216" s="126">
        <v>0</v>
      </c>
      <c r="H2216" s="126">
        <f t="shared" si="103"/>
        <v>0</v>
      </c>
      <c r="I2216" s="126" t="str">
        <f t="shared" si="104"/>
        <v>0y 0d 0h 0m</v>
      </c>
    </row>
    <row r="2217" s="91" customFormat="1" spans="1:9">
      <c r="A2217" s="91" t="str">
        <f t="shared" si="102"/>
        <v>Gd-157</v>
      </c>
      <c r="B2217" s="91" t="s">
        <v>2829</v>
      </c>
      <c r="C2217" s="91" t="s">
        <v>2801</v>
      </c>
      <c r="D2217" s="91">
        <v>64</v>
      </c>
      <c r="E2217" s="91">
        <v>157</v>
      </c>
      <c r="F2217" s="91">
        <v>0</v>
      </c>
      <c r="G2217" s="126">
        <v>0</v>
      </c>
      <c r="H2217" s="126">
        <f t="shared" si="103"/>
        <v>0</v>
      </c>
      <c r="I2217" s="126" t="str">
        <f t="shared" si="104"/>
        <v>0y 0d 0h 0m</v>
      </c>
    </row>
    <row r="2218" s="91" customFormat="1" spans="1:9">
      <c r="A2218" s="91" t="str">
        <f t="shared" si="102"/>
        <v>Gd-158</v>
      </c>
      <c r="B2218" s="91" t="s">
        <v>2830</v>
      </c>
      <c r="C2218" s="91" t="s">
        <v>2801</v>
      </c>
      <c r="D2218" s="91">
        <v>64</v>
      </c>
      <c r="E2218" s="91">
        <v>158</v>
      </c>
      <c r="F2218" s="91">
        <v>0</v>
      </c>
      <c r="G2218" s="126">
        <v>0</v>
      </c>
      <c r="H2218" s="126">
        <f t="shared" si="103"/>
        <v>0</v>
      </c>
      <c r="I2218" s="126" t="str">
        <f t="shared" si="104"/>
        <v>0y 0d 0h 0m</v>
      </c>
    </row>
    <row r="2219" s="91" customFormat="1" spans="1:9">
      <c r="A2219" s="91" t="str">
        <f t="shared" si="102"/>
        <v>Gd-159</v>
      </c>
      <c r="B2219" s="91" t="s">
        <v>2831</v>
      </c>
      <c r="C2219" s="91" t="s">
        <v>2801</v>
      </c>
      <c r="D2219" s="91">
        <v>64</v>
      </c>
      <c r="E2219" s="91">
        <v>159</v>
      </c>
      <c r="F2219" s="91">
        <v>0</v>
      </c>
      <c r="G2219" s="126">
        <v>1.04194427993329e-5</v>
      </c>
      <c r="H2219" s="126">
        <f t="shared" si="103"/>
        <v>66524.4000000004</v>
      </c>
      <c r="I2219" s="126" t="str">
        <f t="shared" si="104"/>
        <v>0y 0d 18h 28m</v>
      </c>
    </row>
    <row r="2220" s="91" customFormat="1" spans="1:9">
      <c r="A2220" s="91" t="str">
        <f t="shared" si="102"/>
        <v>Gd-160</v>
      </c>
      <c r="B2220" s="91" t="s">
        <v>2832</v>
      </c>
      <c r="C2220" s="91" t="s">
        <v>2801</v>
      </c>
      <c r="D2220" s="91">
        <v>64</v>
      </c>
      <c r="E2220" s="91">
        <v>160</v>
      </c>
      <c r="F2220" s="91">
        <v>0</v>
      </c>
      <c r="G2220" s="126">
        <v>0</v>
      </c>
      <c r="H2220" s="126">
        <f t="shared" si="103"/>
        <v>0</v>
      </c>
      <c r="I2220" s="126" t="str">
        <f t="shared" si="104"/>
        <v>0y 0d 0h 0m</v>
      </c>
    </row>
    <row r="2221" s="91" customFormat="1" spans="1:9">
      <c r="A2221" s="91" t="str">
        <f t="shared" si="102"/>
        <v>Gd-161</v>
      </c>
      <c r="B2221" s="91" t="s">
        <v>2833</v>
      </c>
      <c r="C2221" s="91" t="s">
        <v>2801</v>
      </c>
      <c r="D2221" s="91">
        <v>64</v>
      </c>
      <c r="E2221" s="91">
        <v>161</v>
      </c>
      <c r="F2221" s="91">
        <v>0</v>
      </c>
      <c r="G2221" s="126">
        <v>0.0031564079260471</v>
      </c>
      <c r="H2221" s="126">
        <f t="shared" si="103"/>
        <v>219.600000000001</v>
      </c>
      <c r="I2221" s="126" t="str">
        <f t="shared" si="104"/>
        <v>0y 0d 0h 3m</v>
      </c>
    </row>
    <row r="2222" s="91" customFormat="1" spans="1:9">
      <c r="A2222" s="91" t="str">
        <f t="shared" si="102"/>
        <v>Gd-162</v>
      </c>
      <c r="B2222" s="91" t="s">
        <v>2834</v>
      </c>
      <c r="C2222" s="91" t="s">
        <v>2801</v>
      </c>
      <c r="D2222" s="91">
        <v>64</v>
      </c>
      <c r="E2222" s="91">
        <v>162</v>
      </c>
      <c r="F2222" s="91">
        <v>0</v>
      </c>
      <c r="G2222" s="126">
        <v>0.00137529202492052</v>
      </c>
      <c r="H2222" s="126">
        <f t="shared" si="103"/>
        <v>504.000000000002</v>
      </c>
      <c r="I2222" s="126" t="str">
        <f t="shared" si="104"/>
        <v>0y 0d 0h 8m</v>
      </c>
    </row>
    <row r="2223" s="91" customFormat="1" spans="1:9">
      <c r="A2223" s="91" t="str">
        <f t="shared" si="102"/>
        <v>Gd-163</v>
      </c>
      <c r="B2223" s="91" t="s">
        <v>2835</v>
      </c>
      <c r="C2223" s="91" t="s">
        <v>2801</v>
      </c>
      <c r="D2223" s="91">
        <v>64</v>
      </c>
      <c r="E2223" s="91">
        <v>163</v>
      </c>
      <c r="F2223" s="91">
        <v>0</v>
      </c>
      <c r="G2223" s="126">
        <v>0.0101933408905874</v>
      </c>
      <c r="H2223" s="126">
        <f t="shared" si="103"/>
        <v>68.0000000000002</v>
      </c>
      <c r="I2223" s="126" t="str">
        <f t="shared" si="104"/>
        <v>0y 0d 0h 1m</v>
      </c>
    </row>
    <row r="2224" s="91" customFormat="1" spans="1:9">
      <c r="A2224" s="91" t="str">
        <f t="shared" si="102"/>
        <v>Gd-164</v>
      </c>
      <c r="B2224" s="91" t="s">
        <v>2836</v>
      </c>
      <c r="C2224" s="91" t="s">
        <v>2801</v>
      </c>
      <c r="D2224" s="91">
        <v>64</v>
      </c>
      <c r="E2224" s="91">
        <v>164</v>
      </c>
      <c r="F2224" s="91">
        <v>0</v>
      </c>
      <c r="G2224" s="126">
        <v>0.0154032706791098</v>
      </c>
      <c r="H2224" s="126">
        <f t="shared" si="103"/>
        <v>45.0000000000003</v>
      </c>
      <c r="I2224" s="126" t="str">
        <f t="shared" si="104"/>
        <v>0y 0d 0h 0m</v>
      </c>
    </row>
    <row r="2225" s="91" customFormat="1" spans="1:9">
      <c r="A2225" s="91" t="str">
        <f t="shared" si="102"/>
        <v>Gd-165</v>
      </c>
      <c r="B2225" s="91" t="s">
        <v>2837</v>
      </c>
      <c r="C2225" s="91" t="s">
        <v>2801</v>
      </c>
      <c r="D2225" s="91">
        <v>64</v>
      </c>
      <c r="E2225" s="91">
        <v>165</v>
      </c>
      <c r="F2225" s="91">
        <v>0</v>
      </c>
      <c r="G2225" s="126">
        <v>0.0672958427728102</v>
      </c>
      <c r="H2225" s="126">
        <f t="shared" si="103"/>
        <v>10.3</v>
      </c>
      <c r="I2225" s="126" t="str">
        <f t="shared" si="104"/>
        <v>0y 0d 0h 0m</v>
      </c>
    </row>
    <row r="2226" s="91" customFormat="1" spans="1:9">
      <c r="A2226" s="91" t="str">
        <f t="shared" si="102"/>
        <v>Gd-166</v>
      </c>
      <c r="B2226" s="91" t="s">
        <v>2838</v>
      </c>
      <c r="C2226" s="91" t="s">
        <v>2801</v>
      </c>
      <c r="D2226" s="91">
        <v>64</v>
      </c>
      <c r="E2226" s="91">
        <v>166</v>
      </c>
      <c r="F2226" s="91">
        <v>0</v>
      </c>
      <c r="G2226" s="126">
        <v>0.144405662616655</v>
      </c>
      <c r="H2226" s="126">
        <f t="shared" si="103"/>
        <v>4.80000000000001</v>
      </c>
      <c r="I2226" s="126" t="str">
        <f t="shared" si="104"/>
        <v>0y 0d 0h 0m</v>
      </c>
    </row>
    <row r="2227" s="91" customFormat="1" spans="1:9">
      <c r="A2227" s="91" t="str">
        <f t="shared" si="102"/>
        <v>Gd-167</v>
      </c>
      <c r="B2227" s="91" t="s">
        <v>2839</v>
      </c>
      <c r="C2227" s="91" t="s">
        <v>2801</v>
      </c>
      <c r="D2227" s="91">
        <v>64</v>
      </c>
      <c r="E2227" s="91">
        <v>167</v>
      </c>
      <c r="F2227" s="91">
        <v>0</v>
      </c>
      <c r="G2227" s="126">
        <v>0.231049060186648</v>
      </c>
      <c r="H2227" s="126">
        <f t="shared" si="103"/>
        <v>3.00000000000001</v>
      </c>
      <c r="I2227" s="126" t="str">
        <f t="shared" si="104"/>
        <v>0y 0d 0h 0m</v>
      </c>
    </row>
    <row r="2228" s="91" customFormat="1" spans="1:9">
      <c r="A2228" s="91" t="str">
        <f t="shared" si="102"/>
        <v>Gd-168</v>
      </c>
      <c r="B2228" s="91" t="s">
        <v>2840</v>
      </c>
      <c r="C2228" s="91" t="s">
        <v>2801</v>
      </c>
      <c r="D2228" s="91">
        <v>64</v>
      </c>
      <c r="E2228" s="91">
        <v>168</v>
      </c>
      <c r="F2228" s="91">
        <v>0</v>
      </c>
      <c r="G2228" s="126">
        <v>2.31049060186648</v>
      </c>
      <c r="H2228" s="126">
        <f t="shared" si="103"/>
        <v>0.300000000000001</v>
      </c>
      <c r="I2228" s="126" t="str">
        <f t="shared" si="104"/>
        <v>0y 0d 0h 0m</v>
      </c>
    </row>
    <row r="2229" s="91" customFormat="1" spans="1:9">
      <c r="A2229" s="91" t="str">
        <f t="shared" si="102"/>
        <v>Gd-169</v>
      </c>
      <c r="B2229" s="91" t="s">
        <v>2841</v>
      </c>
      <c r="C2229" s="91" t="s">
        <v>2801</v>
      </c>
      <c r="D2229" s="91">
        <v>64</v>
      </c>
      <c r="E2229" s="91">
        <v>169</v>
      </c>
      <c r="F2229" s="91">
        <v>0</v>
      </c>
      <c r="G2229" s="126">
        <v>0.693147180559945</v>
      </c>
      <c r="H2229" s="126">
        <f t="shared" si="103"/>
        <v>1</v>
      </c>
      <c r="I2229" s="126" t="str">
        <f t="shared" si="104"/>
        <v>0y 0d 0h 0m</v>
      </c>
    </row>
    <row r="2230" s="91" customFormat="1" spans="1:9">
      <c r="A2230" s="91" t="str">
        <f t="shared" si="102"/>
        <v>Tb-135</v>
      </c>
      <c r="B2230" s="91" t="s">
        <v>2842</v>
      </c>
      <c r="C2230" s="91" t="s">
        <v>2843</v>
      </c>
      <c r="D2230" s="91">
        <v>65</v>
      </c>
      <c r="E2230" s="91">
        <v>135</v>
      </c>
      <c r="F2230" s="91">
        <v>0</v>
      </c>
      <c r="G2230" s="126">
        <v>0.69663033222105</v>
      </c>
      <c r="H2230" s="126">
        <f t="shared" si="103"/>
        <v>0.995000000000001</v>
      </c>
      <c r="I2230" s="126" t="str">
        <f t="shared" si="104"/>
        <v>0y 0d 0h 0m</v>
      </c>
    </row>
    <row r="2231" s="91" customFormat="1" spans="1:9">
      <c r="A2231" s="91" t="str">
        <f t="shared" si="102"/>
        <v>Tb-136</v>
      </c>
      <c r="B2231" s="91" t="s">
        <v>2844</v>
      </c>
      <c r="C2231" s="91" t="s">
        <v>2843</v>
      </c>
      <c r="D2231" s="91">
        <v>65</v>
      </c>
      <c r="E2231" s="91">
        <v>136</v>
      </c>
      <c r="F2231" s="91">
        <v>0</v>
      </c>
      <c r="G2231" s="126">
        <v>3.46573590279972</v>
      </c>
      <c r="H2231" s="126">
        <f t="shared" si="103"/>
        <v>0.2</v>
      </c>
      <c r="I2231" s="126" t="str">
        <f t="shared" si="104"/>
        <v>0y 0d 0h 0m</v>
      </c>
    </row>
    <row r="2232" s="91" customFormat="1" spans="1:9">
      <c r="A2232" s="91" t="str">
        <f t="shared" si="102"/>
        <v>Tb-137</v>
      </c>
      <c r="B2232" s="91" t="s">
        <v>2845</v>
      </c>
      <c r="C2232" s="91" t="s">
        <v>2843</v>
      </c>
      <c r="D2232" s="91">
        <v>65</v>
      </c>
      <c r="E2232" s="91">
        <v>137</v>
      </c>
      <c r="F2232" s="91">
        <v>0</v>
      </c>
      <c r="G2232" s="126">
        <v>1.15524530093324</v>
      </c>
      <c r="H2232" s="126">
        <f t="shared" si="103"/>
        <v>0.600000000000001</v>
      </c>
      <c r="I2232" s="126" t="str">
        <f t="shared" si="104"/>
        <v>0y 0d 0h 0m</v>
      </c>
    </row>
    <row r="2233" s="91" customFormat="1" spans="1:9">
      <c r="A2233" s="91" t="str">
        <f t="shared" si="102"/>
        <v>Tb-138</v>
      </c>
      <c r="B2233" s="91" t="s">
        <v>2846</v>
      </c>
      <c r="C2233" s="91" t="s">
        <v>2843</v>
      </c>
      <c r="D2233" s="91">
        <v>65</v>
      </c>
      <c r="E2233" s="91">
        <v>138</v>
      </c>
      <c r="F2233" s="91">
        <v>0</v>
      </c>
      <c r="G2233" s="126">
        <v>3465735.90279972</v>
      </c>
      <c r="H2233" s="126">
        <f t="shared" si="103"/>
        <v>2e-7</v>
      </c>
      <c r="I2233" s="126" t="str">
        <f t="shared" si="104"/>
        <v>0y 0d 0h 0m</v>
      </c>
    </row>
    <row r="2234" s="91" customFormat="1" spans="1:9">
      <c r="A2234" s="91" t="str">
        <f t="shared" si="102"/>
        <v>Tb-139</v>
      </c>
      <c r="B2234" s="91" t="s">
        <v>2847</v>
      </c>
      <c r="C2234" s="91" t="s">
        <v>2843</v>
      </c>
      <c r="D2234" s="91">
        <v>65</v>
      </c>
      <c r="E2234" s="91">
        <v>139</v>
      </c>
      <c r="F2234" s="91">
        <v>0</v>
      </c>
      <c r="G2234" s="126">
        <v>0.433216987849965</v>
      </c>
      <c r="H2234" s="126">
        <f t="shared" si="103"/>
        <v>1.6</v>
      </c>
      <c r="I2234" s="126" t="str">
        <f t="shared" si="104"/>
        <v>0y 0d 0h 0m</v>
      </c>
    </row>
    <row r="2235" s="91" customFormat="1" spans="1:9">
      <c r="A2235" s="91" t="str">
        <f t="shared" si="102"/>
        <v>Tb-140</v>
      </c>
      <c r="B2235" s="91" t="s">
        <v>2848</v>
      </c>
      <c r="C2235" s="91" t="s">
        <v>2843</v>
      </c>
      <c r="D2235" s="91">
        <v>65</v>
      </c>
      <c r="E2235" s="91">
        <v>140</v>
      </c>
      <c r="F2235" s="91">
        <v>0</v>
      </c>
      <c r="G2235" s="126">
        <v>0.28881132523331</v>
      </c>
      <c r="H2235" s="126">
        <f t="shared" si="103"/>
        <v>2.4</v>
      </c>
      <c r="I2235" s="126" t="str">
        <f t="shared" si="104"/>
        <v>0y 0d 0h 0m</v>
      </c>
    </row>
    <row r="2236" s="91" customFormat="1" spans="1:9">
      <c r="A2236" s="91" t="str">
        <f t="shared" si="102"/>
        <v>Tb-141</v>
      </c>
      <c r="B2236" s="91" t="s">
        <v>2849</v>
      </c>
      <c r="C2236" s="91" t="s">
        <v>2843</v>
      </c>
      <c r="D2236" s="91">
        <v>65</v>
      </c>
      <c r="E2236" s="91">
        <v>141</v>
      </c>
      <c r="F2236" s="91">
        <v>0</v>
      </c>
      <c r="G2236" s="126">
        <v>0.198042051588555</v>
      </c>
      <c r="H2236" s="126">
        <f t="shared" si="103"/>
        <v>3.50000000000001</v>
      </c>
      <c r="I2236" s="126" t="str">
        <f t="shared" si="104"/>
        <v>0y 0d 0h 0m</v>
      </c>
    </row>
    <row r="2237" s="91" customFormat="1" spans="1:9">
      <c r="A2237" s="91" t="str">
        <f t="shared" si="102"/>
        <v>Tb-141m</v>
      </c>
      <c r="B2237" s="91" t="s">
        <v>2850</v>
      </c>
      <c r="C2237" s="91" t="s">
        <v>2843</v>
      </c>
      <c r="D2237" s="91">
        <v>65</v>
      </c>
      <c r="E2237" s="91">
        <v>141</v>
      </c>
      <c r="F2237" s="91">
        <v>1</v>
      </c>
      <c r="G2237" s="126">
        <v>0.0877401494379677</v>
      </c>
      <c r="H2237" s="126">
        <f t="shared" si="103"/>
        <v>7.90000000000001</v>
      </c>
      <c r="I2237" s="126" t="str">
        <f t="shared" si="104"/>
        <v>0y 0d 0h 0m</v>
      </c>
    </row>
    <row r="2238" s="91" customFormat="1" spans="1:9">
      <c r="A2238" s="91" t="str">
        <f t="shared" si="102"/>
        <v>Tb-142</v>
      </c>
      <c r="B2238" s="91" t="s">
        <v>2851</v>
      </c>
      <c r="C2238" s="91" t="s">
        <v>2843</v>
      </c>
      <c r="D2238" s="91">
        <v>65</v>
      </c>
      <c r="E2238" s="91">
        <v>142</v>
      </c>
      <c r="F2238" s="91">
        <v>0</v>
      </c>
      <c r="G2238" s="126">
        <v>1.16105055370175</v>
      </c>
      <c r="H2238" s="126">
        <f t="shared" si="103"/>
        <v>0.597000000000001</v>
      </c>
      <c r="I2238" s="126" t="str">
        <f t="shared" si="104"/>
        <v>0y 0d 0h 0m</v>
      </c>
    </row>
    <row r="2239" s="91" customFormat="1" spans="1:9">
      <c r="A2239" s="91" t="str">
        <f t="shared" si="102"/>
        <v>Tb-142m</v>
      </c>
      <c r="B2239" s="91" t="s">
        <v>2852</v>
      </c>
      <c r="C2239" s="91" t="s">
        <v>2843</v>
      </c>
      <c r="D2239" s="91">
        <v>65</v>
      </c>
      <c r="E2239" s="91">
        <v>142</v>
      </c>
      <c r="F2239" s="91">
        <v>1</v>
      </c>
      <c r="G2239" s="126">
        <v>2.28761445729354</v>
      </c>
      <c r="H2239" s="126">
        <f t="shared" si="103"/>
        <v>0.303000000000001</v>
      </c>
      <c r="I2239" s="126" t="str">
        <f t="shared" si="104"/>
        <v>0y 0d 0h 0m</v>
      </c>
    </row>
    <row r="2240" s="91" customFormat="1" spans="1:9">
      <c r="A2240" s="91" t="str">
        <f t="shared" si="102"/>
        <v>Tb-143</v>
      </c>
      <c r="B2240" s="91" t="s">
        <v>2853</v>
      </c>
      <c r="C2240" s="91" t="s">
        <v>2843</v>
      </c>
      <c r="D2240" s="91">
        <v>65</v>
      </c>
      <c r="E2240" s="91">
        <v>143</v>
      </c>
      <c r="F2240" s="91">
        <v>0</v>
      </c>
      <c r="G2240" s="126">
        <v>0.0577622650466621</v>
      </c>
      <c r="H2240" s="126">
        <f t="shared" si="103"/>
        <v>12</v>
      </c>
      <c r="I2240" s="126" t="str">
        <f t="shared" si="104"/>
        <v>0y 0d 0h 0m</v>
      </c>
    </row>
    <row r="2241" s="91" customFormat="1" spans="1:9">
      <c r="A2241" s="91" t="str">
        <f t="shared" si="102"/>
        <v>Tb-143m</v>
      </c>
      <c r="B2241" s="91" t="s">
        <v>2854</v>
      </c>
      <c r="C2241" s="91" t="s">
        <v>2843</v>
      </c>
      <c r="D2241" s="91">
        <v>65</v>
      </c>
      <c r="E2241" s="91">
        <v>143</v>
      </c>
      <c r="F2241" s="91">
        <v>1</v>
      </c>
      <c r="G2241" s="126">
        <v>0.0330070085980926</v>
      </c>
      <c r="H2241" s="126">
        <f t="shared" si="103"/>
        <v>21</v>
      </c>
      <c r="I2241" s="126" t="str">
        <f t="shared" si="104"/>
        <v>0y 0d 0h 0m</v>
      </c>
    </row>
    <row r="2242" s="91" customFormat="1" spans="1:9">
      <c r="A2242" s="91" t="str">
        <f t="shared" ref="A2242:A2305" si="105">C2242&amp;"-"&amp;E2242&amp;_xlfn.IFS(F2242=0,"",F2242=1,"m",F2242&gt;1,"m"&amp;F2242)</f>
        <v>Tb-144</v>
      </c>
      <c r="B2242" s="91" t="s">
        <v>2855</v>
      </c>
      <c r="C2242" s="91" t="s">
        <v>2843</v>
      </c>
      <c r="D2242" s="91">
        <v>65</v>
      </c>
      <c r="E2242" s="91">
        <v>144</v>
      </c>
      <c r="F2242" s="91">
        <v>0</v>
      </c>
      <c r="G2242" s="126">
        <v>0.693147180559945</v>
      </c>
      <c r="H2242" s="126">
        <f t="shared" ref="H2242:H2305" si="106">IF(G2242&gt;0,LN(2)/G2242,0)</f>
        <v>1</v>
      </c>
      <c r="I2242" s="126" t="str">
        <f t="shared" si="104"/>
        <v>0y 0d 0h 0m</v>
      </c>
    </row>
    <row r="2243" s="91" customFormat="1" spans="1:9">
      <c r="A2243" s="91" t="str">
        <f t="shared" si="105"/>
        <v>Tb-144m</v>
      </c>
      <c r="B2243" s="91" t="s">
        <v>2856</v>
      </c>
      <c r="C2243" s="91" t="s">
        <v>2843</v>
      </c>
      <c r="D2243" s="91">
        <v>65</v>
      </c>
      <c r="E2243" s="91">
        <v>144</v>
      </c>
      <c r="F2243" s="91">
        <v>1</v>
      </c>
      <c r="G2243" s="126">
        <v>0.163093454249398</v>
      </c>
      <c r="H2243" s="126">
        <f t="shared" si="106"/>
        <v>4.25000000000002</v>
      </c>
      <c r="I2243" s="126" t="str">
        <f t="shared" ref="I2243:I2306" si="107">INT(H2243/31536000)&amp;"y "&amp;INT(MOD(H2243,31536000)/86400)&amp;"d "&amp;INT(MOD(MOD(H2243,31536000),86400)/3600)&amp;"h "&amp;INT(MOD(MOD(MOD(H2243,31536000),86400),3600)/60)&amp;"m"</f>
        <v>0y 0d 0h 0m</v>
      </c>
    </row>
    <row r="2244" s="91" customFormat="1" spans="1:9">
      <c r="A2244" s="91" t="str">
        <f t="shared" si="105"/>
        <v>Tb-145</v>
      </c>
      <c r="B2244" s="91" t="s">
        <v>2857</v>
      </c>
      <c r="C2244" s="91" t="s">
        <v>2843</v>
      </c>
      <c r="D2244" s="91">
        <v>65</v>
      </c>
      <c r="E2244" s="91">
        <v>145</v>
      </c>
      <c r="F2244" s="91">
        <v>0</v>
      </c>
      <c r="G2244" s="126">
        <v>0.0224319475909367</v>
      </c>
      <c r="H2244" s="126">
        <f t="shared" si="106"/>
        <v>30.9000000000001</v>
      </c>
      <c r="I2244" s="126" t="str">
        <f t="shared" si="107"/>
        <v>0y 0d 0h 0m</v>
      </c>
    </row>
    <row r="2245" s="91" customFormat="1" spans="1:9">
      <c r="A2245" s="91" t="str">
        <f t="shared" si="105"/>
        <v>Tb-145m</v>
      </c>
      <c r="B2245" s="91" t="s">
        <v>2858</v>
      </c>
      <c r="C2245" s="91" t="s">
        <v>2843</v>
      </c>
      <c r="D2245" s="91">
        <v>65</v>
      </c>
      <c r="E2245" s="91">
        <v>145</v>
      </c>
      <c r="F2245" s="91">
        <v>1</v>
      </c>
      <c r="G2245" s="126">
        <v>0.0224319475909367</v>
      </c>
      <c r="H2245" s="126">
        <f t="shared" si="106"/>
        <v>30.9000000000001</v>
      </c>
      <c r="I2245" s="126" t="str">
        <f t="shared" si="107"/>
        <v>0y 0d 0h 0m</v>
      </c>
    </row>
    <row r="2246" s="91" customFormat="1" spans="1:9">
      <c r="A2246" s="91" t="str">
        <f t="shared" si="105"/>
        <v>Tb-146</v>
      </c>
      <c r="B2246" s="91" t="s">
        <v>2859</v>
      </c>
      <c r="C2246" s="91" t="s">
        <v>2843</v>
      </c>
      <c r="D2246" s="91">
        <v>65</v>
      </c>
      <c r="E2246" s="91">
        <v>146</v>
      </c>
      <c r="F2246" s="91">
        <v>0</v>
      </c>
      <c r="G2246" s="126">
        <v>0.0866433975699931</v>
      </c>
      <c r="H2246" s="126">
        <f t="shared" si="106"/>
        <v>8.00000000000001</v>
      </c>
      <c r="I2246" s="126" t="str">
        <f t="shared" si="107"/>
        <v>0y 0d 0h 0m</v>
      </c>
    </row>
    <row r="2247" s="91" customFormat="1" spans="1:9">
      <c r="A2247" s="91" t="str">
        <f t="shared" si="105"/>
        <v>Tb-146m</v>
      </c>
      <c r="B2247" s="91" t="s">
        <v>2860</v>
      </c>
      <c r="C2247" s="91" t="s">
        <v>2843</v>
      </c>
      <c r="D2247" s="91">
        <v>65</v>
      </c>
      <c r="E2247" s="91">
        <v>146</v>
      </c>
      <c r="F2247" s="91">
        <v>1</v>
      </c>
      <c r="G2247" s="126">
        <v>0.0301368339373889</v>
      </c>
      <c r="H2247" s="126">
        <f t="shared" si="106"/>
        <v>23</v>
      </c>
      <c r="I2247" s="126" t="str">
        <f t="shared" si="107"/>
        <v>0y 0d 0h 0m</v>
      </c>
    </row>
    <row r="2248" s="91" customFormat="1" spans="1:9">
      <c r="A2248" s="91" t="str">
        <f t="shared" si="105"/>
        <v>Tb-146m2</v>
      </c>
      <c r="B2248" s="91" t="s">
        <v>2861</v>
      </c>
      <c r="C2248" s="91" t="s">
        <v>2843</v>
      </c>
      <c r="D2248" s="91">
        <v>65</v>
      </c>
      <c r="E2248" s="91">
        <v>146</v>
      </c>
      <c r="F2248" s="91">
        <v>2</v>
      </c>
      <c r="G2248" s="126">
        <v>587.412864881309</v>
      </c>
      <c r="H2248" s="126">
        <f t="shared" si="106"/>
        <v>0.00118</v>
      </c>
      <c r="I2248" s="126" t="str">
        <f t="shared" si="107"/>
        <v>0y 0d 0h 0m</v>
      </c>
    </row>
    <row r="2249" s="91" customFormat="1" spans="1:9">
      <c r="A2249" s="91" t="str">
        <f t="shared" si="105"/>
        <v>Tb-147</v>
      </c>
      <c r="B2249" s="91" t="s">
        <v>2862</v>
      </c>
      <c r="C2249" s="91" t="s">
        <v>2843</v>
      </c>
      <c r="D2249" s="91">
        <v>65</v>
      </c>
      <c r="E2249" s="91">
        <v>147</v>
      </c>
      <c r="F2249" s="91">
        <v>0</v>
      </c>
      <c r="G2249" s="126">
        <v>0.000117402977737118</v>
      </c>
      <c r="H2249" s="126">
        <f t="shared" si="106"/>
        <v>5904</v>
      </c>
      <c r="I2249" s="126" t="str">
        <f t="shared" si="107"/>
        <v>0y 0d 1h 38m</v>
      </c>
    </row>
    <row r="2250" s="91" customFormat="1" spans="1:9">
      <c r="A2250" s="91" t="str">
        <f t="shared" si="105"/>
        <v>Tb-147m</v>
      </c>
      <c r="B2250" s="91" t="s">
        <v>2863</v>
      </c>
      <c r="C2250" s="91" t="s">
        <v>2843</v>
      </c>
      <c r="D2250" s="91">
        <v>65</v>
      </c>
      <c r="E2250" s="91">
        <v>147</v>
      </c>
      <c r="F2250" s="91">
        <v>1</v>
      </c>
      <c r="G2250" s="126">
        <v>0.00631281585209421</v>
      </c>
      <c r="H2250" s="126">
        <f t="shared" si="106"/>
        <v>109.8</v>
      </c>
      <c r="I2250" s="126" t="str">
        <f t="shared" si="107"/>
        <v>0y 0d 0h 1m</v>
      </c>
    </row>
    <row r="2251" s="91" customFormat="1" spans="1:9">
      <c r="A2251" s="91" t="str">
        <f t="shared" si="105"/>
        <v>Tb-148</v>
      </c>
      <c r="B2251" s="91" t="s">
        <v>2864</v>
      </c>
      <c r="C2251" s="91" t="s">
        <v>2843</v>
      </c>
      <c r="D2251" s="91">
        <v>65</v>
      </c>
      <c r="E2251" s="91">
        <v>148</v>
      </c>
      <c r="F2251" s="91">
        <v>0</v>
      </c>
      <c r="G2251" s="126">
        <v>0.000192540883488873</v>
      </c>
      <c r="H2251" s="126">
        <f t="shared" si="106"/>
        <v>3600.00000000001</v>
      </c>
      <c r="I2251" s="126" t="str">
        <f t="shared" si="107"/>
        <v>0y 0d 1h 0m</v>
      </c>
    </row>
    <row r="2252" s="91" customFormat="1" spans="1:9">
      <c r="A2252" s="91" t="str">
        <f t="shared" si="105"/>
        <v>Tb-148m</v>
      </c>
      <c r="B2252" s="91" t="s">
        <v>2865</v>
      </c>
      <c r="C2252" s="91" t="s">
        <v>2843</v>
      </c>
      <c r="D2252" s="91">
        <v>65</v>
      </c>
      <c r="E2252" s="91">
        <v>148</v>
      </c>
      <c r="F2252" s="91">
        <v>1</v>
      </c>
      <c r="G2252" s="126">
        <v>0.00525111500424201</v>
      </c>
      <c r="H2252" s="126">
        <f t="shared" si="106"/>
        <v>132</v>
      </c>
      <c r="I2252" s="126" t="str">
        <f t="shared" si="107"/>
        <v>0y 0d 0h 2m</v>
      </c>
    </row>
    <row r="2253" s="91" customFormat="1" spans="1:9">
      <c r="A2253" s="91" t="str">
        <f t="shared" si="105"/>
        <v>Tb-149</v>
      </c>
      <c r="B2253" s="91" t="s">
        <v>2866</v>
      </c>
      <c r="C2253" s="91" t="s">
        <v>2843</v>
      </c>
      <c r="D2253" s="91">
        <v>65</v>
      </c>
      <c r="E2253" s="91">
        <v>149</v>
      </c>
      <c r="F2253" s="91">
        <v>0</v>
      </c>
      <c r="G2253" s="126">
        <v>4.67559211969095e-5</v>
      </c>
      <c r="H2253" s="126">
        <f t="shared" si="106"/>
        <v>14824.8</v>
      </c>
      <c r="I2253" s="126" t="str">
        <f t="shared" si="107"/>
        <v>0y 0d 4h 7m</v>
      </c>
    </row>
    <row r="2254" s="91" customFormat="1" spans="1:9">
      <c r="A2254" s="91" t="str">
        <f t="shared" si="105"/>
        <v>Tb-149m</v>
      </c>
      <c r="B2254" s="91" t="s">
        <v>2867</v>
      </c>
      <c r="C2254" s="91" t="s">
        <v>2843</v>
      </c>
      <c r="D2254" s="91">
        <v>65</v>
      </c>
      <c r="E2254" s="91">
        <v>149</v>
      </c>
      <c r="F2254" s="91">
        <v>1</v>
      </c>
      <c r="G2254" s="126">
        <v>0.00277703197339721</v>
      </c>
      <c r="H2254" s="126">
        <f t="shared" si="106"/>
        <v>249.600000000001</v>
      </c>
      <c r="I2254" s="126" t="str">
        <f t="shared" si="107"/>
        <v>0y 0d 0h 4m</v>
      </c>
    </row>
    <row r="2255" s="91" customFormat="1" spans="1:9">
      <c r="A2255" s="91" t="str">
        <f t="shared" si="105"/>
        <v>Tb-150</v>
      </c>
      <c r="B2255" s="91" t="s">
        <v>2868</v>
      </c>
      <c r="C2255" s="91" t="s">
        <v>2843</v>
      </c>
      <c r="D2255" s="91">
        <v>65</v>
      </c>
      <c r="E2255" s="91">
        <v>150</v>
      </c>
      <c r="F2255" s="91">
        <v>0</v>
      </c>
      <c r="G2255" s="126">
        <v>5.53278400830096e-5</v>
      </c>
      <c r="H2255" s="126">
        <f t="shared" si="106"/>
        <v>12528</v>
      </c>
      <c r="I2255" s="126" t="str">
        <f t="shared" si="107"/>
        <v>0y 0d 3h 28m</v>
      </c>
    </row>
    <row r="2256" s="91" customFormat="1" spans="1:9">
      <c r="A2256" s="91" t="str">
        <f t="shared" si="105"/>
        <v>Tb-150m</v>
      </c>
      <c r="B2256" s="91" t="s">
        <v>2869</v>
      </c>
      <c r="C2256" s="91" t="s">
        <v>2843</v>
      </c>
      <c r="D2256" s="91">
        <v>65</v>
      </c>
      <c r="E2256" s="91">
        <v>150</v>
      </c>
      <c r="F2256" s="91">
        <v>1</v>
      </c>
      <c r="G2256" s="126">
        <v>0.00199180224298834</v>
      </c>
      <c r="H2256" s="126">
        <f t="shared" si="106"/>
        <v>348.000000000001</v>
      </c>
      <c r="I2256" s="126" t="str">
        <f t="shared" si="107"/>
        <v>0y 0d 0h 5m</v>
      </c>
    </row>
    <row r="2257" s="91" customFormat="1" spans="1:9">
      <c r="A2257" s="91" t="str">
        <f t="shared" si="105"/>
        <v>Tb-151</v>
      </c>
      <c r="B2257" s="91" t="s">
        <v>2870</v>
      </c>
      <c r="C2257" s="91" t="s">
        <v>2843</v>
      </c>
      <c r="D2257" s="91">
        <v>65</v>
      </c>
      <c r="E2257" s="91">
        <v>151</v>
      </c>
      <c r="F2257" s="91">
        <v>0</v>
      </c>
      <c r="G2257" s="126">
        <v>1.09342315570943e-5</v>
      </c>
      <c r="H2257" s="126">
        <f t="shared" si="106"/>
        <v>63392.4000000001</v>
      </c>
      <c r="I2257" s="126" t="str">
        <f t="shared" si="107"/>
        <v>0y 0d 17h 36m</v>
      </c>
    </row>
    <row r="2258" s="91" customFormat="1" spans="1:9">
      <c r="A2258" s="91" t="str">
        <f t="shared" si="105"/>
        <v>Tb-151m</v>
      </c>
      <c r="B2258" s="91" t="s">
        <v>2871</v>
      </c>
      <c r="C2258" s="91" t="s">
        <v>2843</v>
      </c>
      <c r="D2258" s="91">
        <v>65</v>
      </c>
      <c r="E2258" s="91">
        <v>151</v>
      </c>
      <c r="F2258" s="91">
        <v>1</v>
      </c>
      <c r="G2258" s="126">
        <v>0.0277258872223978</v>
      </c>
      <c r="H2258" s="126">
        <f t="shared" si="106"/>
        <v>25</v>
      </c>
      <c r="I2258" s="126" t="str">
        <f t="shared" si="107"/>
        <v>0y 0d 0h 0m</v>
      </c>
    </row>
    <row r="2259" s="91" customFormat="1" spans="1:9">
      <c r="A2259" s="91" t="str">
        <f t="shared" si="105"/>
        <v>Tb-152</v>
      </c>
      <c r="B2259" s="91" t="s">
        <v>2872</v>
      </c>
      <c r="C2259" s="91" t="s">
        <v>2843</v>
      </c>
      <c r="D2259" s="91">
        <v>65</v>
      </c>
      <c r="E2259" s="91">
        <v>152</v>
      </c>
      <c r="F2259" s="91">
        <v>0</v>
      </c>
      <c r="G2259" s="126">
        <v>1.10023361993642e-5</v>
      </c>
      <c r="H2259" s="126">
        <f t="shared" si="106"/>
        <v>63000.0000000001</v>
      </c>
      <c r="I2259" s="126" t="str">
        <f t="shared" si="107"/>
        <v>0y 0d 17h 30m</v>
      </c>
    </row>
    <row r="2260" s="91" customFormat="1" spans="1:9">
      <c r="A2260" s="91" t="str">
        <f t="shared" si="105"/>
        <v>Tb-152m</v>
      </c>
      <c r="B2260" s="91" t="s">
        <v>2873</v>
      </c>
      <c r="C2260" s="91" t="s">
        <v>2843</v>
      </c>
      <c r="D2260" s="91">
        <v>65</v>
      </c>
      <c r="E2260" s="91">
        <v>152</v>
      </c>
      <c r="F2260" s="91">
        <v>1</v>
      </c>
      <c r="G2260" s="126">
        <v>0.00275058404984105</v>
      </c>
      <c r="H2260" s="126">
        <f t="shared" si="106"/>
        <v>252</v>
      </c>
      <c r="I2260" s="126" t="str">
        <f t="shared" si="107"/>
        <v>0y 0d 0h 4m</v>
      </c>
    </row>
    <row r="2261" s="91" customFormat="1" spans="1:9">
      <c r="A2261" s="91" t="str">
        <f t="shared" si="105"/>
        <v>Tb-153</v>
      </c>
      <c r="B2261" s="91" t="s">
        <v>2874</v>
      </c>
      <c r="C2261" s="91" t="s">
        <v>2843</v>
      </c>
      <c r="D2261" s="91">
        <v>65</v>
      </c>
      <c r="E2261" s="91">
        <v>153</v>
      </c>
      <c r="F2261" s="91">
        <v>0</v>
      </c>
      <c r="G2261" s="126">
        <v>3.42843453505829e-6</v>
      </c>
      <c r="H2261" s="126">
        <f t="shared" si="106"/>
        <v>202176</v>
      </c>
      <c r="I2261" s="126" t="str">
        <f t="shared" si="107"/>
        <v>0y 2d 8h 9m</v>
      </c>
    </row>
    <row r="2262" s="91" customFormat="1" spans="1:9">
      <c r="A2262" s="91" t="str">
        <f t="shared" si="105"/>
        <v>Tb-154</v>
      </c>
      <c r="B2262" s="91" t="s">
        <v>2875</v>
      </c>
      <c r="C2262" s="91" t="s">
        <v>2843</v>
      </c>
      <c r="D2262" s="91">
        <v>65</v>
      </c>
      <c r="E2262" s="91">
        <v>154</v>
      </c>
      <c r="F2262" s="91">
        <v>0</v>
      </c>
      <c r="G2262" s="126">
        <v>8.95538992971505e-6</v>
      </c>
      <c r="H2262" s="126">
        <f t="shared" si="106"/>
        <v>77400.0000000001</v>
      </c>
      <c r="I2262" s="126" t="str">
        <f t="shared" si="107"/>
        <v>0y 0d 21h 30m</v>
      </c>
    </row>
    <row r="2263" s="91" customFormat="1" spans="1:9">
      <c r="A2263" s="91" t="str">
        <f t="shared" si="105"/>
        <v>Tb-154m</v>
      </c>
      <c r="B2263" s="91" t="s">
        <v>2876</v>
      </c>
      <c r="C2263" s="91" t="s">
        <v>2843</v>
      </c>
      <c r="D2263" s="91">
        <v>65</v>
      </c>
      <c r="E2263" s="91">
        <v>154</v>
      </c>
      <c r="F2263" s="91">
        <v>1</v>
      </c>
      <c r="G2263" s="126">
        <v>2.04830727115823e-5</v>
      </c>
      <c r="H2263" s="126">
        <f t="shared" si="106"/>
        <v>33840</v>
      </c>
      <c r="I2263" s="126" t="str">
        <f t="shared" si="107"/>
        <v>0y 0d 9h 24m</v>
      </c>
    </row>
    <row r="2264" s="91" customFormat="1" spans="1:9">
      <c r="A2264" s="91" t="str">
        <f t="shared" si="105"/>
        <v>Tb-154m2</v>
      </c>
      <c r="B2264" s="91" t="s">
        <v>2877</v>
      </c>
      <c r="C2264" s="91" t="s">
        <v>2843</v>
      </c>
      <c r="D2264" s="91">
        <v>65</v>
      </c>
      <c r="E2264" s="91">
        <v>154</v>
      </c>
      <c r="F2264" s="91">
        <v>2</v>
      </c>
      <c r="G2264" s="126">
        <v>8.48197724620589e-6</v>
      </c>
      <c r="H2264" s="126">
        <f t="shared" si="106"/>
        <v>81720</v>
      </c>
      <c r="I2264" s="126" t="str">
        <f t="shared" si="107"/>
        <v>0y 0d 22h 42m</v>
      </c>
    </row>
    <row r="2265" s="91" customFormat="1" spans="1:9">
      <c r="A2265" s="91" t="str">
        <f t="shared" si="105"/>
        <v>Tb-155</v>
      </c>
      <c r="B2265" s="91" t="s">
        <v>2878</v>
      </c>
      <c r="C2265" s="91" t="s">
        <v>2843</v>
      </c>
      <c r="D2265" s="91">
        <v>65</v>
      </c>
      <c r="E2265" s="91">
        <v>155</v>
      </c>
      <c r="F2265" s="91">
        <v>0</v>
      </c>
      <c r="G2265" s="126">
        <v>1.50799564136022e-6</v>
      </c>
      <c r="H2265" s="126">
        <f t="shared" si="106"/>
        <v>459648.000000002</v>
      </c>
      <c r="I2265" s="126" t="str">
        <f t="shared" si="107"/>
        <v>0y 5d 7h 40m</v>
      </c>
    </row>
    <row r="2266" s="91" customFormat="1" spans="1:9">
      <c r="A2266" s="91" t="str">
        <f t="shared" si="105"/>
        <v>Tb-156</v>
      </c>
      <c r="B2266" s="91" t="s">
        <v>2879</v>
      </c>
      <c r="C2266" s="91" t="s">
        <v>2843</v>
      </c>
      <c r="D2266" s="91">
        <v>65</v>
      </c>
      <c r="E2266" s="91">
        <v>156</v>
      </c>
      <c r="F2266" s="91">
        <v>0</v>
      </c>
      <c r="G2266" s="126">
        <v>1.49953959103484e-6</v>
      </c>
      <c r="H2266" s="126">
        <f t="shared" si="106"/>
        <v>462240.000000001</v>
      </c>
      <c r="I2266" s="126" t="str">
        <f t="shared" si="107"/>
        <v>0y 5d 8h 24m</v>
      </c>
    </row>
    <row r="2267" s="91" customFormat="1" spans="1:9">
      <c r="A2267" s="91" t="str">
        <f t="shared" si="105"/>
        <v>Tb-156m</v>
      </c>
      <c r="B2267" s="91" t="s">
        <v>2880</v>
      </c>
      <c r="C2267" s="91" t="s">
        <v>2843</v>
      </c>
      <c r="D2267" s="91">
        <v>65</v>
      </c>
      <c r="E2267" s="91">
        <v>156</v>
      </c>
      <c r="F2267" s="91">
        <v>1</v>
      </c>
      <c r="G2267" s="126">
        <v>7.89101981511777e-6</v>
      </c>
      <c r="H2267" s="126">
        <f t="shared" si="106"/>
        <v>87840</v>
      </c>
      <c r="I2267" s="126" t="str">
        <f t="shared" si="107"/>
        <v>0y 1d 0h 24m</v>
      </c>
    </row>
    <row r="2268" s="91" customFormat="1" spans="1:9">
      <c r="A2268" s="91" t="str">
        <f t="shared" si="105"/>
        <v>Tb-156m2</v>
      </c>
      <c r="B2268" s="91" t="s">
        <v>2881</v>
      </c>
      <c r="C2268" s="91" t="s">
        <v>2843</v>
      </c>
      <c r="D2268" s="91">
        <v>65</v>
      </c>
      <c r="E2268" s="91">
        <v>156</v>
      </c>
      <c r="F2268" s="91">
        <v>2</v>
      </c>
      <c r="G2268" s="126">
        <v>3.63284685828063e-5</v>
      </c>
      <c r="H2268" s="126">
        <f t="shared" si="106"/>
        <v>19080</v>
      </c>
      <c r="I2268" s="126" t="str">
        <f t="shared" si="107"/>
        <v>0y 0d 5h 18m</v>
      </c>
    </row>
    <row r="2269" s="91" customFormat="1" spans="1:9">
      <c r="A2269" s="91" t="str">
        <f t="shared" si="105"/>
        <v>Tb-157</v>
      </c>
      <c r="B2269" s="91" t="s">
        <v>2882</v>
      </c>
      <c r="C2269" s="91" t="s">
        <v>2843</v>
      </c>
      <c r="D2269" s="91">
        <v>65</v>
      </c>
      <c r="E2269" s="91">
        <v>157</v>
      </c>
      <c r="F2269" s="91">
        <v>0</v>
      </c>
      <c r="G2269" s="126">
        <v>3.09359222597594e-10</v>
      </c>
      <c r="H2269" s="126">
        <f t="shared" si="106"/>
        <v>2240590000.00001</v>
      </c>
      <c r="I2269" s="126" t="str">
        <f t="shared" si="107"/>
        <v>71y 17d 18h 6m</v>
      </c>
    </row>
    <row r="2270" s="91" customFormat="1" spans="1:9">
      <c r="A2270" s="91" t="str">
        <f t="shared" si="105"/>
        <v>Tb-158</v>
      </c>
      <c r="B2270" s="91" t="s">
        <v>2883</v>
      </c>
      <c r="C2270" s="91" t="s">
        <v>2843</v>
      </c>
      <c r="D2270" s="91">
        <v>65</v>
      </c>
      <c r="E2270" s="91">
        <v>158</v>
      </c>
      <c r="F2270" s="91">
        <v>0</v>
      </c>
      <c r="G2270" s="126">
        <v>1.22025048475722e-10</v>
      </c>
      <c r="H2270" s="126">
        <f t="shared" si="106"/>
        <v>5680368000.00004</v>
      </c>
      <c r="I2270" s="126" t="str">
        <f t="shared" si="107"/>
        <v>180y 45d 0h 0m</v>
      </c>
    </row>
    <row r="2271" s="91" customFormat="1" spans="1:9">
      <c r="A2271" s="91" t="str">
        <f t="shared" si="105"/>
        <v>Tb-158m</v>
      </c>
      <c r="B2271" s="91" t="s">
        <v>2884</v>
      </c>
      <c r="C2271" s="91" t="s">
        <v>2843</v>
      </c>
      <c r="D2271" s="91">
        <v>65</v>
      </c>
      <c r="E2271" s="91">
        <v>158</v>
      </c>
      <c r="F2271" s="91">
        <v>1</v>
      </c>
      <c r="G2271" s="126">
        <v>0.0647801103327051</v>
      </c>
      <c r="H2271" s="126">
        <f t="shared" si="106"/>
        <v>10.7</v>
      </c>
      <c r="I2271" s="126" t="str">
        <f t="shared" si="107"/>
        <v>0y 0d 0h 0m</v>
      </c>
    </row>
    <row r="2272" s="91" customFormat="1" spans="1:9">
      <c r="A2272" s="91" t="str">
        <f t="shared" si="105"/>
        <v>Tb-159</v>
      </c>
      <c r="B2272" s="91" t="s">
        <v>2885</v>
      </c>
      <c r="C2272" s="91" t="s">
        <v>2843</v>
      </c>
      <c r="D2272" s="91">
        <v>65</v>
      </c>
      <c r="E2272" s="91">
        <v>159</v>
      </c>
      <c r="F2272" s="91">
        <v>0</v>
      </c>
      <c r="G2272" s="126">
        <v>0</v>
      </c>
      <c r="H2272" s="126">
        <f t="shared" si="106"/>
        <v>0</v>
      </c>
      <c r="I2272" s="126" t="str">
        <f t="shared" si="107"/>
        <v>0y 0d 0h 0m</v>
      </c>
    </row>
    <row r="2273" s="91" customFormat="1" spans="1:9">
      <c r="A2273" s="91" t="str">
        <f t="shared" si="105"/>
        <v>Tb-160</v>
      </c>
      <c r="B2273" s="91" t="s">
        <v>2886</v>
      </c>
      <c r="C2273" s="91" t="s">
        <v>2843</v>
      </c>
      <c r="D2273" s="91">
        <v>65</v>
      </c>
      <c r="E2273" s="91">
        <v>160</v>
      </c>
      <c r="F2273" s="91">
        <v>0</v>
      </c>
      <c r="G2273" s="126">
        <v>1.10961781632592e-7</v>
      </c>
      <c r="H2273" s="126">
        <f t="shared" si="106"/>
        <v>6246720</v>
      </c>
      <c r="I2273" s="126" t="str">
        <f t="shared" si="107"/>
        <v>0y 72d 7h 12m</v>
      </c>
    </row>
    <row r="2274" s="91" customFormat="1" spans="1:9">
      <c r="A2274" s="91" t="str">
        <f t="shared" si="105"/>
        <v>Tb-161</v>
      </c>
      <c r="B2274" s="91" t="s">
        <v>2887</v>
      </c>
      <c r="C2274" s="91" t="s">
        <v>2843</v>
      </c>
      <c r="D2274" s="91">
        <v>65</v>
      </c>
      <c r="E2274" s="91">
        <v>161</v>
      </c>
      <c r="F2274" s="91">
        <v>0</v>
      </c>
      <c r="G2274" s="126">
        <v>1.16167634115789e-6</v>
      </c>
      <c r="H2274" s="126">
        <f t="shared" si="106"/>
        <v>596678.400000001</v>
      </c>
      <c r="I2274" s="126" t="str">
        <f t="shared" si="107"/>
        <v>0y 6d 21h 44m</v>
      </c>
    </row>
    <row r="2275" s="91" customFormat="1" spans="1:9">
      <c r="A2275" s="91" t="str">
        <f t="shared" si="105"/>
        <v>Tb-162</v>
      </c>
      <c r="B2275" s="91" t="s">
        <v>2888</v>
      </c>
      <c r="C2275" s="91" t="s">
        <v>2843</v>
      </c>
      <c r="D2275" s="91">
        <v>65</v>
      </c>
      <c r="E2275" s="91">
        <v>162</v>
      </c>
      <c r="F2275" s="91">
        <v>0</v>
      </c>
      <c r="G2275" s="126">
        <v>0.0015200596064911</v>
      </c>
      <c r="H2275" s="126">
        <f t="shared" si="106"/>
        <v>456.000000000002</v>
      </c>
      <c r="I2275" s="126" t="str">
        <f t="shared" si="107"/>
        <v>0y 0d 0h 7m</v>
      </c>
    </row>
    <row r="2276" s="91" customFormat="1" spans="1:9">
      <c r="A2276" s="91" t="str">
        <f t="shared" si="105"/>
        <v>Tb-163</v>
      </c>
      <c r="B2276" s="91" t="s">
        <v>2889</v>
      </c>
      <c r="C2276" s="91" t="s">
        <v>2843</v>
      </c>
      <c r="D2276" s="91">
        <v>65</v>
      </c>
      <c r="E2276" s="91">
        <v>163</v>
      </c>
      <c r="F2276" s="91">
        <v>0</v>
      </c>
      <c r="G2276" s="126">
        <v>0.000592433487658072</v>
      </c>
      <c r="H2276" s="126">
        <f t="shared" si="106"/>
        <v>1170</v>
      </c>
      <c r="I2276" s="126" t="str">
        <f t="shared" si="107"/>
        <v>0y 0d 0h 19m</v>
      </c>
    </row>
    <row r="2277" s="91" customFormat="1" spans="1:9">
      <c r="A2277" s="91" t="str">
        <f t="shared" si="105"/>
        <v>Tb-164</v>
      </c>
      <c r="B2277" s="91" t="s">
        <v>2890</v>
      </c>
      <c r="C2277" s="91" t="s">
        <v>2843</v>
      </c>
      <c r="D2277" s="91">
        <v>65</v>
      </c>
      <c r="E2277" s="91">
        <v>164</v>
      </c>
      <c r="F2277" s="91">
        <v>0</v>
      </c>
      <c r="G2277" s="126">
        <v>0.00385081766977747</v>
      </c>
      <c r="H2277" s="126">
        <f t="shared" si="106"/>
        <v>180</v>
      </c>
      <c r="I2277" s="126" t="str">
        <f t="shared" si="107"/>
        <v>0y 0d 0h 3m</v>
      </c>
    </row>
    <row r="2278" s="91" customFormat="1" spans="1:9">
      <c r="A2278" s="91" t="str">
        <f t="shared" si="105"/>
        <v>Tb-165</v>
      </c>
      <c r="B2278" s="91" t="s">
        <v>2891</v>
      </c>
      <c r="C2278" s="91" t="s">
        <v>2843</v>
      </c>
      <c r="D2278" s="91">
        <v>65</v>
      </c>
      <c r="E2278" s="91">
        <v>165</v>
      </c>
      <c r="F2278" s="91">
        <v>0</v>
      </c>
      <c r="G2278" s="126">
        <v>0.00547509621295375</v>
      </c>
      <c r="H2278" s="126">
        <f t="shared" si="106"/>
        <v>126.6</v>
      </c>
      <c r="I2278" s="126" t="str">
        <f t="shared" si="107"/>
        <v>0y 0d 0h 2m</v>
      </c>
    </row>
    <row r="2279" s="91" customFormat="1" spans="1:9">
      <c r="A2279" s="91" t="str">
        <f t="shared" si="105"/>
        <v>Tb-166</v>
      </c>
      <c r="B2279" s="91" t="s">
        <v>2892</v>
      </c>
      <c r="C2279" s="91" t="s">
        <v>2843</v>
      </c>
      <c r="D2279" s="91">
        <v>65</v>
      </c>
      <c r="E2279" s="91">
        <v>166</v>
      </c>
      <c r="F2279" s="91">
        <v>0</v>
      </c>
      <c r="G2279" s="126">
        <v>0.0276154255203165</v>
      </c>
      <c r="H2279" s="126">
        <f t="shared" si="106"/>
        <v>25.1</v>
      </c>
      <c r="I2279" s="126" t="str">
        <f t="shared" si="107"/>
        <v>0y 0d 0h 0m</v>
      </c>
    </row>
    <row r="2280" s="91" customFormat="1" spans="1:9">
      <c r="A2280" s="91" t="str">
        <f t="shared" si="105"/>
        <v>Tb-167</v>
      </c>
      <c r="B2280" s="91" t="s">
        <v>2893</v>
      </c>
      <c r="C2280" s="91" t="s">
        <v>2843</v>
      </c>
      <c r="D2280" s="91">
        <v>65</v>
      </c>
      <c r="E2280" s="91">
        <v>167</v>
      </c>
      <c r="F2280" s="91">
        <v>0</v>
      </c>
      <c r="G2280" s="126">
        <v>0.0357292361113373</v>
      </c>
      <c r="H2280" s="126">
        <f t="shared" si="106"/>
        <v>19.4</v>
      </c>
      <c r="I2280" s="126" t="str">
        <f t="shared" si="107"/>
        <v>0y 0d 0h 0m</v>
      </c>
    </row>
    <row r="2281" s="91" customFormat="1" spans="1:9">
      <c r="A2281" s="91" t="str">
        <f t="shared" si="105"/>
        <v>Tb-168</v>
      </c>
      <c r="B2281" s="91" t="s">
        <v>2894</v>
      </c>
      <c r="C2281" s="91" t="s">
        <v>2843</v>
      </c>
      <c r="D2281" s="91">
        <v>65</v>
      </c>
      <c r="E2281" s="91">
        <v>168</v>
      </c>
      <c r="F2281" s="91">
        <v>0</v>
      </c>
      <c r="G2281" s="126">
        <v>0.084530143970725</v>
      </c>
      <c r="H2281" s="126">
        <f t="shared" si="106"/>
        <v>8.2</v>
      </c>
      <c r="I2281" s="126" t="str">
        <f t="shared" si="107"/>
        <v>0y 0d 0h 0m</v>
      </c>
    </row>
    <row r="2282" s="91" customFormat="1" spans="1:9">
      <c r="A2282" s="91" t="str">
        <f t="shared" si="105"/>
        <v>Tb-169</v>
      </c>
      <c r="B2282" s="91" t="s">
        <v>2895</v>
      </c>
      <c r="C2282" s="91" t="s">
        <v>2843</v>
      </c>
      <c r="D2282" s="91">
        <v>65</v>
      </c>
      <c r="E2282" s="91">
        <v>169</v>
      </c>
      <c r="F2282" s="91">
        <v>0</v>
      </c>
      <c r="G2282" s="126">
        <v>0.346573590279972</v>
      </c>
      <c r="H2282" s="126">
        <f t="shared" si="106"/>
        <v>2</v>
      </c>
      <c r="I2282" s="126" t="str">
        <f t="shared" si="107"/>
        <v>0y 0d 0h 0m</v>
      </c>
    </row>
    <row r="2283" s="91" customFormat="1" spans="1:9">
      <c r="A2283" s="91" t="str">
        <f t="shared" si="105"/>
        <v>Tb-170</v>
      </c>
      <c r="B2283" s="91" t="s">
        <v>2896</v>
      </c>
      <c r="C2283" s="91" t="s">
        <v>2843</v>
      </c>
      <c r="D2283" s="91">
        <v>65</v>
      </c>
      <c r="E2283" s="91">
        <v>170</v>
      </c>
      <c r="F2283" s="91">
        <v>0</v>
      </c>
      <c r="G2283" s="126">
        <v>0.231049060186648</v>
      </c>
      <c r="H2283" s="126">
        <f t="shared" si="106"/>
        <v>3.00000000000001</v>
      </c>
      <c r="I2283" s="126" t="str">
        <f t="shared" si="107"/>
        <v>0y 0d 0h 0m</v>
      </c>
    </row>
    <row r="2284" s="91" customFormat="1" spans="1:9">
      <c r="A2284" s="91" t="str">
        <f t="shared" si="105"/>
        <v>Tb-171</v>
      </c>
      <c r="B2284" s="91" t="s">
        <v>2897</v>
      </c>
      <c r="C2284" s="91" t="s">
        <v>2843</v>
      </c>
      <c r="D2284" s="91">
        <v>65</v>
      </c>
      <c r="E2284" s="91">
        <v>171</v>
      </c>
      <c r="F2284" s="91">
        <v>0</v>
      </c>
      <c r="G2284" s="126">
        <v>1.38629436111989</v>
      </c>
      <c r="H2284" s="126">
        <f t="shared" si="106"/>
        <v>0.5</v>
      </c>
      <c r="I2284" s="126" t="str">
        <f t="shared" si="107"/>
        <v>0y 0d 0h 0m</v>
      </c>
    </row>
    <row r="2285" s="91" customFormat="1" spans="1:9">
      <c r="A2285" s="91" t="str">
        <f t="shared" si="105"/>
        <v>Dy-138</v>
      </c>
      <c r="B2285" s="91" t="s">
        <v>2898</v>
      </c>
      <c r="C2285" s="91" t="s">
        <v>2899</v>
      </c>
      <c r="D2285" s="91">
        <v>66</v>
      </c>
      <c r="E2285" s="91">
        <v>138</v>
      </c>
      <c r="F2285" s="91">
        <v>0</v>
      </c>
      <c r="G2285" s="126">
        <v>3.46573590279972</v>
      </c>
      <c r="H2285" s="126">
        <f t="shared" si="106"/>
        <v>0.2</v>
      </c>
      <c r="I2285" s="126" t="str">
        <f t="shared" si="107"/>
        <v>0y 0d 0h 0m</v>
      </c>
    </row>
    <row r="2286" s="91" customFormat="1" spans="1:9">
      <c r="A2286" s="91" t="str">
        <f t="shared" si="105"/>
        <v>Dy-139</v>
      </c>
      <c r="B2286" s="91" t="s">
        <v>2900</v>
      </c>
      <c r="C2286" s="91" t="s">
        <v>2899</v>
      </c>
      <c r="D2286" s="91">
        <v>66</v>
      </c>
      <c r="E2286" s="91">
        <v>139</v>
      </c>
      <c r="F2286" s="91">
        <v>0</v>
      </c>
      <c r="G2286" s="126">
        <v>1.15524530093324</v>
      </c>
      <c r="H2286" s="126">
        <f t="shared" si="106"/>
        <v>0.600000000000001</v>
      </c>
      <c r="I2286" s="126" t="str">
        <f t="shared" si="107"/>
        <v>0y 0d 0h 0m</v>
      </c>
    </row>
    <row r="2287" s="91" customFormat="1" spans="1:9">
      <c r="A2287" s="91" t="str">
        <f t="shared" si="105"/>
        <v>Dy-140</v>
      </c>
      <c r="B2287" s="91" t="s">
        <v>2901</v>
      </c>
      <c r="C2287" s="91" t="s">
        <v>2899</v>
      </c>
      <c r="D2287" s="91">
        <v>66</v>
      </c>
      <c r="E2287" s="91">
        <v>140</v>
      </c>
      <c r="F2287" s="91">
        <v>0</v>
      </c>
      <c r="G2287" s="126">
        <v>0.825175214952315</v>
      </c>
      <c r="H2287" s="126">
        <f t="shared" si="106"/>
        <v>0.840000000000001</v>
      </c>
      <c r="I2287" s="126" t="str">
        <f t="shared" si="107"/>
        <v>0y 0d 0h 0m</v>
      </c>
    </row>
    <row r="2288" s="91" customFormat="1" spans="1:9">
      <c r="A2288" s="91" t="str">
        <f t="shared" si="105"/>
        <v>Dy-141</v>
      </c>
      <c r="B2288" s="91" t="s">
        <v>2902</v>
      </c>
      <c r="C2288" s="91" t="s">
        <v>2899</v>
      </c>
      <c r="D2288" s="91">
        <v>66</v>
      </c>
      <c r="E2288" s="91">
        <v>141</v>
      </c>
      <c r="F2288" s="91">
        <v>0</v>
      </c>
      <c r="G2288" s="126">
        <v>0.770163533955494</v>
      </c>
      <c r="H2288" s="126">
        <f t="shared" si="106"/>
        <v>0.900000000000001</v>
      </c>
      <c r="I2288" s="126" t="str">
        <f t="shared" si="107"/>
        <v>0y 0d 0h 0m</v>
      </c>
    </row>
    <row r="2289" s="91" customFormat="1" spans="1:9">
      <c r="A2289" s="91" t="str">
        <f t="shared" si="105"/>
        <v>Dy-142</v>
      </c>
      <c r="B2289" s="91" t="s">
        <v>2903</v>
      </c>
      <c r="C2289" s="91" t="s">
        <v>2899</v>
      </c>
      <c r="D2289" s="91">
        <v>66</v>
      </c>
      <c r="E2289" s="91">
        <v>142</v>
      </c>
      <c r="F2289" s="91">
        <v>0</v>
      </c>
      <c r="G2289" s="126">
        <v>0.301368339373889</v>
      </c>
      <c r="H2289" s="126">
        <f t="shared" si="106"/>
        <v>2.3</v>
      </c>
      <c r="I2289" s="126" t="str">
        <f t="shared" si="107"/>
        <v>0y 0d 0h 0m</v>
      </c>
    </row>
    <row r="2290" s="91" customFormat="1" spans="1:9">
      <c r="A2290" s="91" t="str">
        <f t="shared" si="105"/>
        <v>Dy-143</v>
      </c>
      <c r="B2290" s="91" t="s">
        <v>2904</v>
      </c>
      <c r="C2290" s="91" t="s">
        <v>2899</v>
      </c>
      <c r="D2290" s="91">
        <v>66</v>
      </c>
      <c r="E2290" s="91">
        <v>143</v>
      </c>
      <c r="F2290" s="91">
        <v>0</v>
      </c>
      <c r="G2290" s="126">
        <v>0.216608493924982</v>
      </c>
      <c r="H2290" s="126">
        <f t="shared" si="106"/>
        <v>3.20000000000001</v>
      </c>
      <c r="I2290" s="126" t="str">
        <f t="shared" si="107"/>
        <v>0y 0d 0h 0m</v>
      </c>
    </row>
    <row r="2291" s="91" customFormat="1" spans="1:9">
      <c r="A2291" s="91" t="str">
        <f t="shared" si="105"/>
        <v>Dy-143m</v>
      </c>
      <c r="B2291" s="91" t="s">
        <v>2905</v>
      </c>
      <c r="C2291" s="91" t="s">
        <v>2899</v>
      </c>
      <c r="D2291" s="91">
        <v>66</v>
      </c>
      <c r="E2291" s="91">
        <v>143</v>
      </c>
      <c r="F2291" s="91">
        <v>1</v>
      </c>
      <c r="G2291" s="126">
        <v>0.231049060186648</v>
      </c>
      <c r="H2291" s="126">
        <f t="shared" si="106"/>
        <v>3.00000000000001</v>
      </c>
      <c r="I2291" s="126" t="str">
        <f t="shared" si="107"/>
        <v>0y 0d 0h 0m</v>
      </c>
    </row>
    <row r="2292" s="91" customFormat="1" spans="1:9">
      <c r="A2292" s="91" t="str">
        <f t="shared" si="105"/>
        <v>Dy-144</v>
      </c>
      <c r="B2292" s="91" t="s">
        <v>2906</v>
      </c>
      <c r="C2292" s="91" t="s">
        <v>2899</v>
      </c>
      <c r="D2292" s="91">
        <v>66</v>
      </c>
      <c r="E2292" s="91">
        <v>144</v>
      </c>
      <c r="F2292" s="91">
        <v>0</v>
      </c>
      <c r="G2292" s="126">
        <v>0.0761700198417522</v>
      </c>
      <c r="H2292" s="126">
        <f t="shared" si="106"/>
        <v>9.1</v>
      </c>
      <c r="I2292" s="126" t="str">
        <f t="shared" si="107"/>
        <v>0y 0d 0h 0m</v>
      </c>
    </row>
    <row r="2293" s="91" customFormat="1" spans="1:9">
      <c r="A2293" s="91" t="str">
        <f t="shared" si="105"/>
        <v>Dy-145</v>
      </c>
      <c r="B2293" s="91" t="s">
        <v>2907</v>
      </c>
      <c r="C2293" s="91" t="s">
        <v>2899</v>
      </c>
      <c r="D2293" s="91">
        <v>66</v>
      </c>
      <c r="E2293" s="91">
        <v>145</v>
      </c>
      <c r="F2293" s="91">
        <v>0</v>
      </c>
      <c r="G2293" s="126">
        <v>0.115524530093324</v>
      </c>
      <c r="H2293" s="126">
        <f t="shared" si="106"/>
        <v>6.00000000000001</v>
      </c>
      <c r="I2293" s="126" t="str">
        <f t="shared" si="107"/>
        <v>0y 0d 0h 0m</v>
      </c>
    </row>
    <row r="2294" s="91" customFormat="1" spans="1:9">
      <c r="A2294" s="91" t="str">
        <f t="shared" si="105"/>
        <v>Dy-145m</v>
      </c>
      <c r="B2294" s="91" t="s">
        <v>2908</v>
      </c>
      <c r="C2294" s="91" t="s">
        <v>2899</v>
      </c>
      <c r="D2294" s="91">
        <v>66</v>
      </c>
      <c r="E2294" s="91">
        <v>145</v>
      </c>
      <c r="F2294" s="91">
        <v>1</v>
      </c>
      <c r="G2294" s="126">
        <v>0.0491593745077975</v>
      </c>
      <c r="H2294" s="126">
        <f t="shared" si="106"/>
        <v>14.1</v>
      </c>
      <c r="I2294" s="126" t="str">
        <f t="shared" si="107"/>
        <v>0y 0d 0h 0m</v>
      </c>
    </row>
    <row r="2295" s="91" customFormat="1" spans="1:9">
      <c r="A2295" s="91" t="str">
        <f t="shared" si="105"/>
        <v>Dy-146</v>
      </c>
      <c r="B2295" s="91" t="s">
        <v>2909</v>
      </c>
      <c r="C2295" s="91" t="s">
        <v>2899</v>
      </c>
      <c r="D2295" s="91">
        <v>66</v>
      </c>
      <c r="E2295" s="91">
        <v>146</v>
      </c>
      <c r="F2295" s="91">
        <v>0</v>
      </c>
      <c r="G2295" s="126">
        <v>0.0239016269158601</v>
      </c>
      <c r="H2295" s="126">
        <f t="shared" si="106"/>
        <v>29.0000000000001</v>
      </c>
      <c r="I2295" s="126" t="str">
        <f t="shared" si="107"/>
        <v>0y 0d 0h 0m</v>
      </c>
    </row>
    <row r="2296" s="91" customFormat="1" spans="1:9">
      <c r="A2296" s="91" t="str">
        <f t="shared" si="105"/>
        <v>Dy-146m</v>
      </c>
      <c r="B2296" s="91" t="s">
        <v>2910</v>
      </c>
      <c r="C2296" s="91" t="s">
        <v>2899</v>
      </c>
      <c r="D2296" s="91">
        <v>66</v>
      </c>
      <c r="E2296" s="91">
        <v>146</v>
      </c>
      <c r="F2296" s="91">
        <v>1</v>
      </c>
      <c r="G2296" s="126">
        <v>4.62098120373296</v>
      </c>
      <c r="H2296" s="126">
        <f t="shared" si="106"/>
        <v>0.15</v>
      </c>
      <c r="I2296" s="126" t="str">
        <f t="shared" si="107"/>
        <v>0y 0d 0h 0m</v>
      </c>
    </row>
    <row r="2297" s="91" customFormat="1" spans="1:9">
      <c r="A2297" s="91" t="str">
        <f t="shared" si="105"/>
        <v>Dy-147</v>
      </c>
      <c r="B2297" s="91" t="s">
        <v>2911</v>
      </c>
      <c r="C2297" s="91" t="s">
        <v>2899</v>
      </c>
      <c r="D2297" s="91">
        <v>66</v>
      </c>
      <c r="E2297" s="91">
        <v>147</v>
      </c>
      <c r="F2297" s="91">
        <v>0</v>
      </c>
      <c r="G2297" s="126">
        <v>0.0173286795139986</v>
      </c>
      <c r="H2297" s="126">
        <f t="shared" si="106"/>
        <v>40.0000000000001</v>
      </c>
      <c r="I2297" s="126" t="str">
        <f t="shared" si="107"/>
        <v>0y 0d 0h 0m</v>
      </c>
    </row>
    <row r="2298" s="91" customFormat="1" spans="1:9">
      <c r="A2298" s="91" t="str">
        <f t="shared" si="105"/>
        <v>Dy-147m</v>
      </c>
      <c r="B2298" s="91" t="s">
        <v>2912</v>
      </c>
      <c r="C2298" s="91" t="s">
        <v>2899</v>
      </c>
      <c r="D2298" s="91">
        <v>66</v>
      </c>
      <c r="E2298" s="91">
        <v>147</v>
      </c>
      <c r="F2298" s="91">
        <v>1</v>
      </c>
      <c r="G2298" s="126">
        <v>0.0124442940854568</v>
      </c>
      <c r="H2298" s="126">
        <f t="shared" si="106"/>
        <v>55.7000000000001</v>
      </c>
      <c r="I2298" s="126" t="str">
        <f t="shared" si="107"/>
        <v>0y 0d 0h 0m</v>
      </c>
    </row>
    <row r="2299" s="91" customFormat="1" spans="1:9">
      <c r="A2299" s="91" t="str">
        <f t="shared" si="105"/>
        <v>Dy-148</v>
      </c>
      <c r="B2299" s="91" t="s">
        <v>2913</v>
      </c>
      <c r="C2299" s="91" t="s">
        <v>2899</v>
      </c>
      <c r="D2299" s="91">
        <v>66</v>
      </c>
      <c r="E2299" s="91">
        <v>148</v>
      </c>
      <c r="F2299" s="91">
        <v>0</v>
      </c>
      <c r="G2299" s="126">
        <v>0.00350074333616134</v>
      </c>
      <c r="H2299" s="126">
        <f t="shared" si="106"/>
        <v>198</v>
      </c>
      <c r="I2299" s="126" t="str">
        <f t="shared" si="107"/>
        <v>0y 0d 0h 3m</v>
      </c>
    </row>
    <row r="2300" s="91" customFormat="1" spans="1:9">
      <c r="A2300" s="91" t="str">
        <f t="shared" si="105"/>
        <v>Dy-149</v>
      </c>
      <c r="B2300" s="91" t="s">
        <v>2914</v>
      </c>
      <c r="C2300" s="91" t="s">
        <v>2899</v>
      </c>
      <c r="D2300" s="91">
        <v>66</v>
      </c>
      <c r="E2300" s="91">
        <v>149</v>
      </c>
      <c r="F2300" s="91">
        <v>0</v>
      </c>
      <c r="G2300" s="126">
        <v>0.00275058404984105</v>
      </c>
      <c r="H2300" s="126">
        <f t="shared" si="106"/>
        <v>252</v>
      </c>
      <c r="I2300" s="126" t="str">
        <f t="shared" si="107"/>
        <v>0y 0d 0h 4m</v>
      </c>
    </row>
    <row r="2301" s="91" customFormat="1" spans="1:9">
      <c r="A2301" s="91" t="str">
        <f t="shared" si="105"/>
        <v>Dy-149m</v>
      </c>
      <c r="B2301" s="91" t="s">
        <v>2915</v>
      </c>
      <c r="C2301" s="91" t="s">
        <v>2899</v>
      </c>
      <c r="D2301" s="91">
        <v>66</v>
      </c>
      <c r="E2301" s="91">
        <v>149</v>
      </c>
      <c r="F2301" s="91">
        <v>1</v>
      </c>
      <c r="G2301" s="126">
        <v>1.41458608277539</v>
      </c>
      <c r="H2301" s="126">
        <f t="shared" si="106"/>
        <v>0.490000000000003</v>
      </c>
      <c r="I2301" s="126" t="str">
        <f t="shared" si="107"/>
        <v>0y 0d 0h 0m</v>
      </c>
    </row>
    <row r="2302" s="91" customFormat="1" spans="1:9">
      <c r="A2302" s="91" t="str">
        <f t="shared" si="105"/>
        <v>Dy-150</v>
      </c>
      <c r="B2302" s="91" t="s">
        <v>2916</v>
      </c>
      <c r="C2302" s="91" t="s">
        <v>2899</v>
      </c>
      <c r="D2302" s="91">
        <v>66</v>
      </c>
      <c r="E2302" s="91">
        <v>150</v>
      </c>
      <c r="F2302" s="91">
        <v>0</v>
      </c>
      <c r="G2302" s="126">
        <v>0.00161122078233367</v>
      </c>
      <c r="H2302" s="126">
        <f t="shared" si="106"/>
        <v>430.2</v>
      </c>
      <c r="I2302" s="126" t="str">
        <f t="shared" si="107"/>
        <v>0y 0d 0h 7m</v>
      </c>
    </row>
    <row r="2303" s="91" customFormat="1" spans="1:9">
      <c r="A2303" s="91" t="str">
        <f t="shared" si="105"/>
        <v>Dy-151</v>
      </c>
      <c r="B2303" s="91" t="s">
        <v>2917</v>
      </c>
      <c r="C2303" s="91" t="s">
        <v>2899</v>
      </c>
      <c r="D2303" s="91">
        <v>66</v>
      </c>
      <c r="E2303" s="91">
        <v>151</v>
      </c>
      <c r="F2303" s="91">
        <v>0</v>
      </c>
      <c r="G2303" s="126">
        <v>0.000645388436275554</v>
      </c>
      <c r="H2303" s="126">
        <f t="shared" si="106"/>
        <v>1074</v>
      </c>
      <c r="I2303" s="126" t="str">
        <f t="shared" si="107"/>
        <v>0y 0d 0h 17m</v>
      </c>
    </row>
    <row r="2304" s="91" customFormat="1" spans="1:9">
      <c r="A2304" s="91" t="str">
        <f t="shared" si="105"/>
        <v>Dy-152</v>
      </c>
      <c r="B2304" s="91" t="s">
        <v>2918</v>
      </c>
      <c r="C2304" s="91" t="s">
        <v>2899</v>
      </c>
      <c r="D2304" s="91">
        <v>66</v>
      </c>
      <c r="E2304" s="91">
        <v>152</v>
      </c>
      <c r="F2304" s="91">
        <v>0</v>
      </c>
      <c r="G2304" s="126">
        <v>8.0899530877678e-5</v>
      </c>
      <c r="H2304" s="126">
        <f t="shared" si="106"/>
        <v>8568</v>
      </c>
      <c r="I2304" s="126" t="str">
        <f t="shared" si="107"/>
        <v>0y 0d 2h 22m</v>
      </c>
    </row>
    <row r="2305" s="91" customFormat="1" spans="1:9">
      <c r="A2305" s="91" t="str">
        <f t="shared" si="105"/>
        <v>Dy-153</v>
      </c>
      <c r="B2305" s="91" t="s">
        <v>2919</v>
      </c>
      <c r="C2305" s="91" t="s">
        <v>2899</v>
      </c>
      <c r="D2305" s="91">
        <v>66</v>
      </c>
      <c r="E2305" s="91">
        <v>153</v>
      </c>
      <c r="F2305" s="91">
        <v>0</v>
      </c>
      <c r="G2305" s="126">
        <v>3.00845130451365e-5</v>
      </c>
      <c r="H2305" s="126">
        <f t="shared" si="106"/>
        <v>23040</v>
      </c>
      <c r="I2305" s="126" t="str">
        <f t="shared" si="107"/>
        <v>0y 0d 6h 24m</v>
      </c>
    </row>
    <row r="2306" s="91" customFormat="1" spans="1:9">
      <c r="A2306" s="91" t="str">
        <f t="shared" ref="A2306:A2369" si="108">C2306&amp;"-"&amp;E2306&amp;_xlfn.IFS(F2306=0,"",F2306=1,"m",F2306&gt;1,"m"&amp;F2306)</f>
        <v>Dy-154</v>
      </c>
      <c r="B2306" s="91" t="s">
        <v>2920</v>
      </c>
      <c r="C2306" s="91" t="s">
        <v>2899</v>
      </c>
      <c r="D2306" s="91">
        <v>66</v>
      </c>
      <c r="E2306" s="91">
        <v>154</v>
      </c>
      <c r="F2306" s="91">
        <v>0</v>
      </c>
      <c r="G2306" s="126">
        <v>7.32150290854337e-15</v>
      </c>
      <c r="H2306" s="126">
        <f t="shared" ref="H2306:H2369" si="109">IF(G2306&gt;0,LN(2)/G2306,0)</f>
        <v>94672800000000.1</v>
      </c>
      <c r="I2306" s="126" t="str">
        <f t="shared" si="107"/>
        <v>3002054y 290d 0h 0m</v>
      </c>
    </row>
    <row r="2307" s="91" customFormat="1" spans="1:9">
      <c r="A2307" s="91" t="str">
        <f t="shared" si="108"/>
        <v>Dy-155</v>
      </c>
      <c r="B2307" s="91" t="s">
        <v>2921</v>
      </c>
      <c r="C2307" s="91" t="s">
        <v>2899</v>
      </c>
      <c r="D2307" s="91">
        <v>66</v>
      </c>
      <c r="E2307" s="91">
        <v>155</v>
      </c>
      <c r="F2307" s="91">
        <v>0</v>
      </c>
      <c r="G2307" s="126">
        <v>1.94485740897852e-5</v>
      </c>
      <c r="H2307" s="126">
        <f t="shared" si="109"/>
        <v>35640</v>
      </c>
      <c r="I2307" s="126" t="str">
        <f t="shared" ref="I2307:I2370" si="110">INT(H2307/31536000)&amp;"y "&amp;INT(MOD(H2307,31536000)/86400)&amp;"d "&amp;INT(MOD(MOD(H2307,31536000),86400)/3600)&amp;"h "&amp;INT(MOD(MOD(MOD(H2307,31536000),86400),3600)/60)&amp;"m"</f>
        <v>0y 0d 9h 54m</v>
      </c>
    </row>
    <row r="2308" s="91" customFormat="1" spans="1:9">
      <c r="A2308" s="91" t="str">
        <f t="shared" si="108"/>
        <v>Dy-156</v>
      </c>
      <c r="B2308" s="91" t="s">
        <v>2922</v>
      </c>
      <c r="C2308" s="91" t="s">
        <v>2899</v>
      </c>
      <c r="D2308" s="91">
        <v>66</v>
      </c>
      <c r="E2308" s="91">
        <v>156</v>
      </c>
      <c r="F2308" s="91">
        <v>0</v>
      </c>
      <c r="G2308" s="126">
        <v>0</v>
      </c>
      <c r="H2308" s="126">
        <f t="shared" si="109"/>
        <v>0</v>
      </c>
      <c r="I2308" s="126" t="str">
        <f t="shared" si="110"/>
        <v>0y 0d 0h 0m</v>
      </c>
    </row>
    <row r="2309" s="91" customFormat="1" spans="1:9">
      <c r="A2309" s="91" t="str">
        <f t="shared" si="108"/>
        <v>Dy-157</v>
      </c>
      <c r="B2309" s="91" t="s">
        <v>2923</v>
      </c>
      <c r="C2309" s="91" t="s">
        <v>2899</v>
      </c>
      <c r="D2309" s="91">
        <v>66</v>
      </c>
      <c r="E2309" s="91">
        <v>157</v>
      </c>
      <c r="F2309" s="91">
        <v>0</v>
      </c>
      <c r="G2309" s="126">
        <v>2.36536711902793e-5</v>
      </c>
      <c r="H2309" s="126">
        <f t="shared" si="109"/>
        <v>29304</v>
      </c>
      <c r="I2309" s="126" t="str">
        <f t="shared" si="110"/>
        <v>0y 0d 8h 8m</v>
      </c>
    </row>
    <row r="2310" s="91" customFormat="1" spans="1:9">
      <c r="A2310" s="91" t="str">
        <f t="shared" si="108"/>
        <v>Dy-157m</v>
      </c>
      <c r="B2310" s="91" t="s">
        <v>2924</v>
      </c>
      <c r="C2310" s="91" t="s">
        <v>2899</v>
      </c>
      <c r="D2310" s="91">
        <v>66</v>
      </c>
      <c r="E2310" s="91">
        <v>157</v>
      </c>
      <c r="F2310" s="91">
        <v>1</v>
      </c>
      <c r="G2310" s="126">
        <v>32.0901472481456</v>
      </c>
      <c r="H2310" s="126">
        <f t="shared" si="109"/>
        <v>0.0216</v>
      </c>
      <c r="I2310" s="126" t="str">
        <f t="shared" si="110"/>
        <v>0y 0d 0h 0m</v>
      </c>
    </row>
    <row r="2311" s="91" customFormat="1" spans="1:9">
      <c r="A2311" s="91" t="str">
        <f t="shared" si="108"/>
        <v>Dy-158</v>
      </c>
      <c r="B2311" s="91" t="s">
        <v>2925</v>
      </c>
      <c r="C2311" s="91" t="s">
        <v>2899</v>
      </c>
      <c r="D2311" s="91">
        <v>66</v>
      </c>
      <c r="E2311" s="91">
        <v>158</v>
      </c>
      <c r="F2311" s="91">
        <v>0</v>
      </c>
      <c r="G2311" s="126">
        <v>0</v>
      </c>
      <c r="H2311" s="126">
        <f t="shared" si="109"/>
        <v>0</v>
      </c>
      <c r="I2311" s="126" t="str">
        <f t="shared" si="110"/>
        <v>0y 0d 0h 0m</v>
      </c>
    </row>
    <row r="2312" s="91" customFormat="1" spans="1:9">
      <c r="A2312" s="91" t="str">
        <f t="shared" si="108"/>
        <v>Dy-159</v>
      </c>
      <c r="B2312" s="91" t="s">
        <v>2926</v>
      </c>
      <c r="C2312" s="91" t="s">
        <v>2899</v>
      </c>
      <c r="D2312" s="91">
        <v>66</v>
      </c>
      <c r="E2312" s="91">
        <v>159</v>
      </c>
      <c r="F2312" s="91">
        <v>0</v>
      </c>
      <c r="G2312" s="126">
        <v>5.55577341553767e-8</v>
      </c>
      <c r="H2312" s="126">
        <f t="shared" si="109"/>
        <v>12476160</v>
      </c>
      <c r="I2312" s="126" t="str">
        <f t="shared" si="110"/>
        <v>0y 144d 9h 36m</v>
      </c>
    </row>
    <row r="2313" s="91" customFormat="1" spans="1:9">
      <c r="A2313" s="91" t="str">
        <f t="shared" si="108"/>
        <v>Dy-160</v>
      </c>
      <c r="B2313" s="91" t="s">
        <v>2927</v>
      </c>
      <c r="C2313" s="91" t="s">
        <v>2899</v>
      </c>
      <c r="D2313" s="91">
        <v>66</v>
      </c>
      <c r="E2313" s="91">
        <v>160</v>
      </c>
      <c r="F2313" s="91">
        <v>0</v>
      </c>
      <c r="G2313" s="126">
        <v>0</v>
      </c>
      <c r="H2313" s="126">
        <f t="shared" si="109"/>
        <v>0</v>
      </c>
      <c r="I2313" s="126" t="str">
        <f t="shared" si="110"/>
        <v>0y 0d 0h 0m</v>
      </c>
    </row>
    <row r="2314" s="91" customFormat="1" spans="1:9">
      <c r="A2314" s="91" t="str">
        <f t="shared" si="108"/>
        <v>Dy-161</v>
      </c>
      <c r="B2314" s="91" t="s">
        <v>2928</v>
      </c>
      <c r="C2314" s="91" t="s">
        <v>2899</v>
      </c>
      <c r="D2314" s="91">
        <v>66</v>
      </c>
      <c r="E2314" s="91">
        <v>161</v>
      </c>
      <c r="F2314" s="91">
        <v>0</v>
      </c>
      <c r="G2314" s="126">
        <v>0</v>
      </c>
      <c r="H2314" s="126">
        <f t="shared" si="109"/>
        <v>0</v>
      </c>
      <c r="I2314" s="126" t="str">
        <f t="shared" si="110"/>
        <v>0y 0d 0h 0m</v>
      </c>
    </row>
    <row r="2315" s="91" customFormat="1" spans="1:9">
      <c r="A2315" s="91" t="str">
        <f t="shared" si="108"/>
        <v>Dy-162</v>
      </c>
      <c r="B2315" s="91" t="s">
        <v>2929</v>
      </c>
      <c r="C2315" s="91" t="s">
        <v>2899</v>
      </c>
      <c r="D2315" s="91">
        <v>66</v>
      </c>
      <c r="E2315" s="91">
        <v>162</v>
      </c>
      <c r="F2315" s="91">
        <v>0</v>
      </c>
      <c r="G2315" s="126">
        <v>0</v>
      </c>
      <c r="H2315" s="126">
        <f t="shared" si="109"/>
        <v>0</v>
      </c>
      <c r="I2315" s="126" t="str">
        <f t="shared" si="110"/>
        <v>0y 0d 0h 0m</v>
      </c>
    </row>
    <row r="2316" s="91" customFormat="1" spans="1:9">
      <c r="A2316" s="91" t="str">
        <f t="shared" si="108"/>
        <v>Dy-163</v>
      </c>
      <c r="B2316" s="91" t="s">
        <v>2930</v>
      </c>
      <c r="C2316" s="91" t="s">
        <v>2899</v>
      </c>
      <c r="D2316" s="91">
        <v>66</v>
      </c>
      <c r="E2316" s="91">
        <v>163</v>
      </c>
      <c r="F2316" s="91">
        <v>0</v>
      </c>
      <c r="G2316" s="126">
        <v>0</v>
      </c>
      <c r="H2316" s="126">
        <f t="shared" si="109"/>
        <v>0</v>
      </c>
      <c r="I2316" s="126" t="str">
        <f t="shared" si="110"/>
        <v>0y 0d 0h 0m</v>
      </c>
    </row>
    <row r="2317" s="91" customFormat="1" spans="1:9">
      <c r="A2317" s="91" t="str">
        <f t="shared" si="108"/>
        <v>Dy-164</v>
      </c>
      <c r="B2317" s="91" t="s">
        <v>2931</v>
      </c>
      <c r="C2317" s="91" t="s">
        <v>2899</v>
      </c>
      <c r="D2317" s="91">
        <v>66</v>
      </c>
      <c r="E2317" s="91">
        <v>164</v>
      </c>
      <c r="F2317" s="91">
        <v>0</v>
      </c>
      <c r="G2317" s="126">
        <v>0</v>
      </c>
      <c r="H2317" s="126">
        <f t="shared" si="109"/>
        <v>0</v>
      </c>
      <c r="I2317" s="126" t="str">
        <f t="shared" si="110"/>
        <v>0y 0d 0h 0m</v>
      </c>
    </row>
    <row r="2318" s="91" customFormat="1" spans="1:9">
      <c r="A2318" s="91" t="str">
        <f t="shared" si="108"/>
        <v>Dy-165</v>
      </c>
      <c r="B2318" s="91" t="s">
        <v>2932</v>
      </c>
      <c r="C2318" s="91" t="s">
        <v>2899</v>
      </c>
      <c r="D2318" s="91">
        <v>66</v>
      </c>
      <c r="E2318" s="91">
        <v>165</v>
      </c>
      <c r="F2318" s="91">
        <v>0</v>
      </c>
      <c r="G2318" s="126">
        <v>8.24939517947188e-5</v>
      </c>
      <c r="H2318" s="126">
        <f t="shared" si="109"/>
        <v>8402.4</v>
      </c>
      <c r="I2318" s="126" t="str">
        <f t="shared" si="110"/>
        <v>0y 0d 2h 20m</v>
      </c>
    </row>
    <row r="2319" s="91" customFormat="1" spans="1:9">
      <c r="A2319" s="91" t="str">
        <f t="shared" si="108"/>
        <v>Dy-165m</v>
      </c>
      <c r="B2319" s="91" t="s">
        <v>2933</v>
      </c>
      <c r="C2319" s="91" t="s">
        <v>2899</v>
      </c>
      <c r="D2319" s="91">
        <v>66</v>
      </c>
      <c r="E2319" s="91">
        <v>165</v>
      </c>
      <c r="F2319" s="91">
        <v>1</v>
      </c>
      <c r="G2319" s="126">
        <v>0.00919049563192714</v>
      </c>
      <c r="H2319" s="126">
        <f t="shared" si="109"/>
        <v>75.42</v>
      </c>
      <c r="I2319" s="126" t="str">
        <f t="shared" si="110"/>
        <v>0y 0d 0h 1m</v>
      </c>
    </row>
    <row r="2320" s="91" customFormat="1" spans="1:9">
      <c r="A2320" s="91" t="str">
        <f t="shared" si="108"/>
        <v>Dy-166</v>
      </c>
      <c r="B2320" s="91" t="s">
        <v>2934</v>
      </c>
      <c r="C2320" s="91" t="s">
        <v>2899</v>
      </c>
      <c r="D2320" s="91">
        <v>66</v>
      </c>
      <c r="E2320" s="91">
        <v>166</v>
      </c>
      <c r="F2320" s="91">
        <v>0</v>
      </c>
      <c r="G2320" s="126">
        <v>2.35956965059894e-6</v>
      </c>
      <c r="H2320" s="126">
        <f t="shared" si="109"/>
        <v>293760</v>
      </c>
      <c r="I2320" s="126" t="str">
        <f t="shared" si="110"/>
        <v>0y 3d 9h 36m</v>
      </c>
    </row>
    <row r="2321" s="91" customFormat="1" spans="1:9">
      <c r="A2321" s="91" t="str">
        <f t="shared" si="108"/>
        <v>Dy-167</v>
      </c>
      <c r="B2321" s="91" t="s">
        <v>2935</v>
      </c>
      <c r="C2321" s="91" t="s">
        <v>2899</v>
      </c>
      <c r="D2321" s="91">
        <v>66</v>
      </c>
      <c r="E2321" s="91">
        <v>167</v>
      </c>
      <c r="F2321" s="91">
        <v>0</v>
      </c>
      <c r="G2321" s="126">
        <v>0.00186329887247297</v>
      </c>
      <c r="H2321" s="126">
        <f t="shared" si="109"/>
        <v>372</v>
      </c>
      <c r="I2321" s="126" t="str">
        <f t="shared" si="110"/>
        <v>0y 0d 0h 6m</v>
      </c>
    </row>
    <row r="2322" s="91" customFormat="1" spans="1:9">
      <c r="A2322" s="91" t="str">
        <f t="shared" si="108"/>
        <v>Dy-168</v>
      </c>
      <c r="B2322" s="91" t="s">
        <v>2936</v>
      </c>
      <c r="C2322" s="91" t="s">
        <v>2899</v>
      </c>
      <c r="D2322" s="91">
        <v>66</v>
      </c>
      <c r="E2322" s="91">
        <v>168</v>
      </c>
      <c r="F2322" s="91">
        <v>0</v>
      </c>
      <c r="G2322" s="126">
        <v>0.00132786816199223</v>
      </c>
      <c r="H2322" s="126">
        <f t="shared" si="109"/>
        <v>522.000000000001</v>
      </c>
      <c r="I2322" s="126" t="str">
        <f t="shared" si="110"/>
        <v>0y 0d 0h 8m</v>
      </c>
    </row>
    <row r="2323" s="91" customFormat="1" spans="1:9">
      <c r="A2323" s="91" t="str">
        <f t="shared" si="108"/>
        <v>Dy-169</v>
      </c>
      <c r="B2323" s="91" t="s">
        <v>2937</v>
      </c>
      <c r="C2323" s="91" t="s">
        <v>2899</v>
      </c>
      <c r="D2323" s="91">
        <v>66</v>
      </c>
      <c r="E2323" s="91">
        <v>169</v>
      </c>
      <c r="F2323" s="91">
        <v>0</v>
      </c>
      <c r="G2323" s="126">
        <v>0.0177730046297421</v>
      </c>
      <c r="H2323" s="126">
        <f t="shared" si="109"/>
        <v>39.0000000000002</v>
      </c>
      <c r="I2323" s="126" t="str">
        <f t="shared" si="110"/>
        <v>0y 0d 0h 0m</v>
      </c>
    </row>
    <row r="2324" s="91" customFormat="1" spans="1:9">
      <c r="A2324" s="91" t="str">
        <f t="shared" si="108"/>
        <v>Dy-170</v>
      </c>
      <c r="B2324" s="91" t="s">
        <v>2938</v>
      </c>
      <c r="C2324" s="91" t="s">
        <v>2899</v>
      </c>
      <c r="D2324" s="91">
        <v>66</v>
      </c>
      <c r="E2324" s="91">
        <v>170</v>
      </c>
      <c r="F2324" s="91">
        <v>0</v>
      </c>
      <c r="G2324" s="126">
        <v>0.0231049060186648</v>
      </c>
      <c r="H2324" s="126">
        <f t="shared" si="109"/>
        <v>30.0000000000001</v>
      </c>
      <c r="I2324" s="126" t="str">
        <f t="shared" si="110"/>
        <v>0y 0d 0h 0m</v>
      </c>
    </row>
    <row r="2325" s="91" customFormat="1" spans="1:9">
      <c r="A2325" s="91" t="str">
        <f t="shared" si="108"/>
        <v>Dy-171</v>
      </c>
      <c r="B2325" s="91" t="s">
        <v>2939</v>
      </c>
      <c r="C2325" s="91" t="s">
        <v>2899</v>
      </c>
      <c r="D2325" s="91">
        <v>66</v>
      </c>
      <c r="E2325" s="91">
        <v>171</v>
      </c>
      <c r="F2325" s="91">
        <v>0</v>
      </c>
      <c r="G2325" s="126">
        <v>0.115524530093324</v>
      </c>
      <c r="H2325" s="126">
        <f t="shared" si="109"/>
        <v>6.00000000000001</v>
      </c>
      <c r="I2325" s="126" t="str">
        <f t="shared" si="110"/>
        <v>0y 0d 0h 0m</v>
      </c>
    </row>
    <row r="2326" s="91" customFormat="1" spans="1:9">
      <c r="A2326" s="91" t="str">
        <f t="shared" si="108"/>
        <v>Dy-172</v>
      </c>
      <c r="B2326" s="91" t="s">
        <v>2940</v>
      </c>
      <c r="C2326" s="91" t="s">
        <v>2899</v>
      </c>
      <c r="D2326" s="91">
        <v>66</v>
      </c>
      <c r="E2326" s="91">
        <v>172</v>
      </c>
      <c r="F2326" s="91">
        <v>0</v>
      </c>
      <c r="G2326" s="126">
        <v>0.231049060186648</v>
      </c>
      <c r="H2326" s="126">
        <f t="shared" si="109"/>
        <v>3.00000000000001</v>
      </c>
      <c r="I2326" s="126" t="str">
        <f t="shared" si="110"/>
        <v>0y 0d 0h 0m</v>
      </c>
    </row>
    <row r="2327" s="91" customFormat="1" spans="1:9">
      <c r="A2327" s="91" t="str">
        <f t="shared" si="108"/>
        <v>Dy-173</v>
      </c>
      <c r="B2327" s="91" t="s">
        <v>2941</v>
      </c>
      <c r="C2327" s="91" t="s">
        <v>2899</v>
      </c>
      <c r="D2327" s="91">
        <v>66</v>
      </c>
      <c r="E2327" s="91">
        <v>173</v>
      </c>
      <c r="F2327" s="91">
        <v>0</v>
      </c>
      <c r="G2327" s="126">
        <v>0.346573590279972</v>
      </c>
      <c r="H2327" s="126">
        <f t="shared" si="109"/>
        <v>2</v>
      </c>
      <c r="I2327" s="126" t="str">
        <f t="shared" si="110"/>
        <v>0y 0d 0h 0m</v>
      </c>
    </row>
    <row r="2328" s="91" customFormat="1" spans="1:9">
      <c r="A2328" s="91" t="str">
        <f t="shared" si="108"/>
        <v>Ho-140</v>
      </c>
      <c r="B2328" s="91" t="s">
        <v>2942</v>
      </c>
      <c r="C2328" s="91" t="s">
        <v>2943</v>
      </c>
      <c r="D2328" s="91">
        <v>67</v>
      </c>
      <c r="E2328" s="91">
        <v>140</v>
      </c>
      <c r="F2328" s="91">
        <v>0</v>
      </c>
      <c r="G2328" s="126">
        <v>115.524530093324</v>
      </c>
      <c r="H2328" s="126">
        <f t="shared" si="109"/>
        <v>0.00600000000000001</v>
      </c>
      <c r="I2328" s="126" t="str">
        <f t="shared" si="110"/>
        <v>0y 0d 0h 0m</v>
      </c>
    </row>
    <row r="2329" s="91" customFormat="1" spans="1:9">
      <c r="A2329" s="91" t="str">
        <f t="shared" si="108"/>
        <v>Ho-141</v>
      </c>
      <c r="B2329" s="91" t="s">
        <v>2944</v>
      </c>
      <c r="C2329" s="91" t="s">
        <v>2943</v>
      </c>
      <c r="D2329" s="91">
        <v>67</v>
      </c>
      <c r="E2329" s="91">
        <v>141</v>
      </c>
      <c r="F2329" s="91">
        <v>0</v>
      </c>
      <c r="G2329" s="126">
        <v>169.06028794145</v>
      </c>
      <c r="H2329" s="126">
        <f t="shared" si="109"/>
        <v>0.0041</v>
      </c>
      <c r="I2329" s="126" t="str">
        <f t="shared" si="110"/>
        <v>0y 0d 0h 0m</v>
      </c>
    </row>
    <row r="2330" s="91" customFormat="1" spans="1:9">
      <c r="A2330" s="91" t="str">
        <f t="shared" si="108"/>
        <v>Ho-142</v>
      </c>
      <c r="B2330" s="91" t="s">
        <v>2945</v>
      </c>
      <c r="C2330" s="91" t="s">
        <v>2943</v>
      </c>
      <c r="D2330" s="91">
        <v>67</v>
      </c>
      <c r="E2330" s="91">
        <v>142</v>
      </c>
      <c r="F2330" s="91">
        <v>0</v>
      </c>
      <c r="G2330" s="126">
        <v>1.73286795139986</v>
      </c>
      <c r="H2330" s="126">
        <f t="shared" si="109"/>
        <v>0.400000000000001</v>
      </c>
      <c r="I2330" s="126" t="str">
        <f t="shared" si="110"/>
        <v>0y 0d 0h 0m</v>
      </c>
    </row>
    <row r="2331" s="91" customFormat="1" spans="1:9">
      <c r="A2331" s="91" t="str">
        <f t="shared" si="108"/>
        <v>Ho-143</v>
      </c>
      <c r="B2331" s="91" t="s">
        <v>2946</v>
      </c>
      <c r="C2331" s="91" t="s">
        <v>2943</v>
      </c>
      <c r="D2331" s="91">
        <v>67</v>
      </c>
      <c r="E2331" s="91">
        <v>143</v>
      </c>
      <c r="F2331" s="91">
        <v>0</v>
      </c>
      <c r="G2331" s="126">
        <v>3465735.90279972</v>
      </c>
      <c r="H2331" s="126">
        <f t="shared" si="109"/>
        <v>2e-7</v>
      </c>
      <c r="I2331" s="126" t="str">
        <f t="shared" si="110"/>
        <v>0y 0d 0h 0m</v>
      </c>
    </row>
    <row r="2332" s="91" customFormat="1" spans="1:9">
      <c r="A2332" s="91" t="str">
        <f t="shared" si="108"/>
        <v>Ho-144</v>
      </c>
      <c r="B2332" s="91" t="s">
        <v>2947</v>
      </c>
      <c r="C2332" s="91" t="s">
        <v>2943</v>
      </c>
      <c r="D2332" s="91">
        <v>67</v>
      </c>
      <c r="E2332" s="91">
        <v>144</v>
      </c>
      <c r="F2332" s="91">
        <v>0</v>
      </c>
      <c r="G2332" s="126">
        <v>0.990210257942779</v>
      </c>
      <c r="H2332" s="126">
        <f t="shared" si="109"/>
        <v>0.7</v>
      </c>
      <c r="I2332" s="126" t="str">
        <f t="shared" si="110"/>
        <v>0y 0d 0h 0m</v>
      </c>
    </row>
    <row r="2333" s="91" customFormat="1" spans="1:9">
      <c r="A2333" s="91" t="str">
        <f t="shared" si="108"/>
        <v>Ho-145</v>
      </c>
      <c r="B2333" s="91" t="s">
        <v>2948</v>
      </c>
      <c r="C2333" s="91" t="s">
        <v>2943</v>
      </c>
      <c r="D2333" s="91">
        <v>67</v>
      </c>
      <c r="E2333" s="91">
        <v>145</v>
      </c>
      <c r="F2333" s="91">
        <v>0</v>
      </c>
      <c r="G2333" s="126">
        <v>0.28881132523331</v>
      </c>
      <c r="H2333" s="126">
        <f t="shared" si="109"/>
        <v>2.4</v>
      </c>
      <c r="I2333" s="126" t="str">
        <f t="shared" si="110"/>
        <v>0y 0d 0h 0m</v>
      </c>
    </row>
    <row r="2334" s="91" customFormat="1" spans="1:9">
      <c r="A2334" s="91" t="str">
        <f t="shared" si="108"/>
        <v>Ho-146</v>
      </c>
      <c r="B2334" s="91" t="s">
        <v>2949</v>
      </c>
      <c r="C2334" s="91" t="s">
        <v>2943</v>
      </c>
      <c r="D2334" s="91">
        <v>67</v>
      </c>
      <c r="E2334" s="91">
        <v>146</v>
      </c>
      <c r="F2334" s="91">
        <v>0</v>
      </c>
      <c r="G2334" s="126">
        <v>0.192540883488873</v>
      </c>
      <c r="H2334" s="126">
        <f t="shared" si="109"/>
        <v>3.60000000000001</v>
      </c>
      <c r="I2334" s="126" t="str">
        <f t="shared" si="110"/>
        <v>0y 0d 0h 0m</v>
      </c>
    </row>
    <row r="2335" s="91" customFormat="1" spans="1:9">
      <c r="A2335" s="91" t="str">
        <f t="shared" si="108"/>
        <v>Ho-147</v>
      </c>
      <c r="B2335" s="91" t="s">
        <v>2950</v>
      </c>
      <c r="C2335" s="91" t="s">
        <v>2943</v>
      </c>
      <c r="D2335" s="91">
        <v>67</v>
      </c>
      <c r="E2335" s="91">
        <v>147</v>
      </c>
      <c r="F2335" s="91">
        <v>0</v>
      </c>
      <c r="G2335" s="126">
        <v>0.1195081345793</v>
      </c>
      <c r="H2335" s="126">
        <f t="shared" si="109"/>
        <v>5.80000000000004</v>
      </c>
      <c r="I2335" s="126" t="str">
        <f t="shared" si="110"/>
        <v>0y 0d 0h 0m</v>
      </c>
    </row>
    <row r="2336" s="91" customFormat="1" spans="1:9">
      <c r="A2336" s="91" t="str">
        <f t="shared" si="108"/>
        <v>Ho-148</v>
      </c>
      <c r="B2336" s="91" t="s">
        <v>2951</v>
      </c>
      <c r="C2336" s="91" t="s">
        <v>2943</v>
      </c>
      <c r="D2336" s="91">
        <v>67</v>
      </c>
      <c r="E2336" s="91">
        <v>148</v>
      </c>
      <c r="F2336" s="91">
        <v>0</v>
      </c>
      <c r="G2336" s="126">
        <v>0.31506690025452</v>
      </c>
      <c r="H2336" s="126">
        <f t="shared" si="109"/>
        <v>2.2</v>
      </c>
      <c r="I2336" s="126" t="str">
        <f t="shared" si="110"/>
        <v>0y 0d 0h 0m</v>
      </c>
    </row>
    <row r="2337" s="91" customFormat="1" spans="1:9">
      <c r="A2337" s="91" t="str">
        <f t="shared" si="108"/>
        <v>Ho-148m</v>
      </c>
      <c r="B2337" s="91" t="s">
        <v>2952</v>
      </c>
      <c r="C2337" s="91" t="s">
        <v>2943</v>
      </c>
      <c r="D2337" s="91">
        <v>67</v>
      </c>
      <c r="E2337" s="91">
        <v>148</v>
      </c>
      <c r="F2337" s="91">
        <v>1</v>
      </c>
      <c r="G2337" s="126">
        <v>0.072278121017721</v>
      </c>
      <c r="H2337" s="126">
        <f t="shared" si="109"/>
        <v>9.59000000000001</v>
      </c>
      <c r="I2337" s="126" t="str">
        <f t="shared" si="110"/>
        <v>0y 0d 0h 0m</v>
      </c>
    </row>
    <row r="2338" s="91" customFormat="1" spans="1:9">
      <c r="A2338" s="91" t="str">
        <f t="shared" si="108"/>
        <v>Ho-148m2</v>
      </c>
      <c r="B2338" s="91" t="s">
        <v>2953</v>
      </c>
      <c r="C2338" s="91" t="s">
        <v>2943</v>
      </c>
      <c r="D2338" s="91">
        <v>67</v>
      </c>
      <c r="E2338" s="91">
        <v>148</v>
      </c>
      <c r="F2338" s="91">
        <v>2</v>
      </c>
      <c r="G2338" s="126">
        <v>293.706432440654</v>
      </c>
      <c r="H2338" s="126">
        <f t="shared" si="109"/>
        <v>0.00236000000000001</v>
      </c>
      <c r="I2338" s="126" t="str">
        <f t="shared" si="110"/>
        <v>0y 0d 0h 0m</v>
      </c>
    </row>
    <row r="2339" s="91" customFormat="1" spans="1:9">
      <c r="A2339" s="91" t="str">
        <f t="shared" si="108"/>
        <v>Ho-149</v>
      </c>
      <c r="B2339" s="91" t="s">
        <v>2954</v>
      </c>
      <c r="C2339" s="91" t="s">
        <v>2943</v>
      </c>
      <c r="D2339" s="91">
        <v>67</v>
      </c>
      <c r="E2339" s="91">
        <v>149</v>
      </c>
      <c r="F2339" s="91">
        <v>0</v>
      </c>
      <c r="G2339" s="126">
        <v>0.0328505772777225</v>
      </c>
      <c r="H2339" s="126">
        <f t="shared" si="109"/>
        <v>21.1</v>
      </c>
      <c r="I2339" s="126" t="str">
        <f t="shared" si="110"/>
        <v>0y 0d 0h 0m</v>
      </c>
    </row>
    <row r="2340" s="91" customFormat="1" spans="1:9">
      <c r="A2340" s="91" t="str">
        <f t="shared" si="108"/>
        <v>Ho-149m</v>
      </c>
      <c r="B2340" s="91" t="s">
        <v>2955</v>
      </c>
      <c r="C2340" s="91" t="s">
        <v>2943</v>
      </c>
      <c r="D2340" s="91">
        <v>67</v>
      </c>
      <c r="E2340" s="91">
        <v>149</v>
      </c>
      <c r="F2340" s="91">
        <v>1</v>
      </c>
      <c r="G2340" s="126">
        <v>0.0123776282242847</v>
      </c>
      <c r="H2340" s="126">
        <f t="shared" si="109"/>
        <v>56.0000000000002</v>
      </c>
      <c r="I2340" s="126" t="str">
        <f t="shared" si="110"/>
        <v>0y 0d 0h 0m</v>
      </c>
    </row>
    <row r="2341" s="91" customFormat="1" spans="1:9">
      <c r="A2341" s="91" t="str">
        <f t="shared" si="108"/>
        <v>Ho-150</v>
      </c>
      <c r="B2341" s="91" t="s">
        <v>2956</v>
      </c>
      <c r="C2341" s="91" t="s">
        <v>2943</v>
      </c>
      <c r="D2341" s="91">
        <v>67</v>
      </c>
      <c r="E2341" s="91">
        <v>150</v>
      </c>
      <c r="F2341" s="91">
        <v>0</v>
      </c>
      <c r="G2341" s="126">
        <v>0.00962704417444368</v>
      </c>
      <c r="H2341" s="126">
        <f t="shared" si="109"/>
        <v>72</v>
      </c>
      <c r="I2341" s="126" t="str">
        <f t="shared" si="110"/>
        <v>0y 0d 0h 1m</v>
      </c>
    </row>
    <row r="2342" s="91" customFormat="1" spans="1:9">
      <c r="A2342" s="91" t="str">
        <f t="shared" si="108"/>
        <v>Ho-150m</v>
      </c>
      <c r="B2342" s="91" t="s">
        <v>2957</v>
      </c>
      <c r="C2342" s="91" t="s">
        <v>2943</v>
      </c>
      <c r="D2342" s="91">
        <v>67</v>
      </c>
      <c r="E2342" s="91">
        <v>150</v>
      </c>
      <c r="F2342" s="91">
        <v>1</v>
      </c>
      <c r="G2342" s="126">
        <v>0.0297488060326156</v>
      </c>
      <c r="H2342" s="126">
        <f t="shared" si="109"/>
        <v>23.3000000000001</v>
      </c>
      <c r="I2342" s="126" t="str">
        <f t="shared" si="110"/>
        <v>0y 0d 0h 0m</v>
      </c>
    </row>
    <row r="2343" s="91" customFormat="1" spans="1:9">
      <c r="A2343" s="91" t="str">
        <f t="shared" si="108"/>
        <v>Ho-151</v>
      </c>
      <c r="B2343" s="91" t="s">
        <v>2958</v>
      </c>
      <c r="C2343" s="91" t="s">
        <v>2943</v>
      </c>
      <c r="D2343" s="91">
        <v>67</v>
      </c>
      <c r="E2343" s="91">
        <v>151</v>
      </c>
      <c r="F2343" s="91">
        <v>0</v>
      </c>
      <c r="G2343" s="126">
        <v>0.0196916812659075</v>
      </c>
      <c r="H2343" s="126">
        <f t="shared" si="109"/>
        <v>35.2000000000001</v>
      </c>
      <c r="I2343" s="126" t="str">
        <f t="shared" si="110"/>
        <v>0y 0d 0h 0m</v>
      </c>
    </row>
    <row r="2344" s="91" customFormat="1" spans="1:9">
      <c r="A2344" s="91" t="str">
        <f t="shared" si="108"/>
        <v>Ho-151m</v>
      </c>
      <c r="B2344" s="91" t="s">
        <v>2959</v>
      </c>
      <c r="C2344" s="91" t="s">
        <v>2943</v>
      </c>
      <c r="D2344" s="91">
        <v>67</v>
      </c>
      <c r="E2344" s="91">
        <v>151</v>
      </c>
      <c r="F2344" s="91">
        <v>1</v>
      </c>
      <c r="G2344" s="126">
        <v>0.0146853216220327</v>
      </c>
      <c r="H2344" s="126">
        <f t="shared" si="109"/>
        <v>47.2000000000001</v>
      </c>
      <c r="I2344" s="126" t="str">
        <f t="shared" si="110"/>
        <v>0y 0d 0h 0m</v>
      </c>
    </row>
    <row r="2345" s="91" customFormat="1" spans="1:9">
      <c r="A2345" s="91" t="str">
        <f t="shared" si="108"/>
        <v>Ho-152</v>
      </c>
      <c r="B2345" s="91" t="s">
        <v>2960</v>
      </c>
      <c r="C2345" s="91" t="s">
        <v>2943</v>
      </c>
      <c r="D2345" s="91">
        <v>67</v>
      </c>
      <c r="E2345" s="91">
        <v>152</v>
      </c>
      <c r="F2345" s="91">
        <v>0</v>
      </c>
      <c r="G2345" s="126">
        <v>0.00428397515797246</v>
      </c>
      <c r="H2345" s="126">
        <f t="shared" si="109"/>
        <v>161.8</v>
      </c>
      <c r="I2345" s="126" t="str">
        <f t="shared" si="110"/>
        <v>0y 0d 0h 2m</v>
      </c>
    </row>
    <row r="2346" s="91" customFormat="1" spans="1:9">
      <c r="A2346" s="91" t="str">
        <f t="shared" si="108"/>
        <v>Ho-152m</v>
      </c>
      <c r="B2346" s="91" t="s">
        <v>2961</v>
      </c>
      <c r="C2346" s="91" t="s">
        <v>2943</v>
      </c>
      <c r="D2346" s="91">
        <v>67</v>
      </c>
      <c r="E2346" s="91">
        <v>152</v>
      </c>
      <c r="F2346" s="91">
        <v>1</v>
      </c>
      <c r="G2346" s="126">
        <v>0.0138629436111989</v>
      </c>
      <c r="H2346" s="126">
        <f t="shared" si="109"/>
        <v>50</v>
      </c>
      <c r="I2346" s="126" t="str">
        <f t="shared" si="110"/>
        <v>0y 0d 0h 0m</v>
      </c>
    </row>
    <row r="2347" s="91" customFormat="1" spans="1:9">
      <c r="A2347" s="91" t="str">
        <f t="shared" si="108"/>
        <v>Ho-153</v>
      </c>
      <c r="B2347" s="91" t="s">
        <v>2962</v>
      </c>
      <c r="C2347" s="91" t="s">
        <v>2943</v>
      </c>
      <c r="D2347" s="91">
        <v>67</v>
      </c>
      <c r="E2347" s="91">
        <v>153</v>
      </c>
      <c r="F2347" s="91">
        <v>0</v>
      </c>
      <c r="G2347" s="126">
        <v>0.00574748905936936</v>
      </c>
      <c r="H2347" s="126">
        <f t="shared" si="109"/>
        <v>120.6</v>
      </c>
      <c r="I2347" s="126" t="str">
        <f t="shared" si="110"/>
        <v>0y 0d 0h 2m</v>
      </c>
    </row>
    <row r="2348" s="91" customFormat="1" spans="1:9">
      <c r="A2348" s="91" t="str">
        <f t="shared" si="108"/>
        <v>Ho-153m</v>
      </c>
      <c r="B2348" s="91" t="s">
        <v>2963</v>
      </c>
      <c r="C2348" s="91" t="s">
        <v>2943</v>
      </c>
      <c r="D2348" s="91">
        <v>67</v>
      </c>
      <c r="E2348" s="91">
        <v>153</v>
      </c>
      <c r="F2348" s="91">
        <v>1</v>
      </c>
      <c r="G2348" s="126">
        <v>0.00124219924831531</v>
      </c>
      <c r="H2348" s="126">
        <f t="shared" si="109"/>
        <v>558.000000000002</v>
      </c>
      <c r="I2348" s="126" t="str">
        <f t="shared" si="110"/>
        <v>0y 0d 0h 9m</v>
      </c>
    </row>
    <row r="2349" s="91" customFormat="1" spans="1:9">
      <c r="A2349" s="91" t="str">
        <f t="shared" si="108"/>
        <v>Ho-154</v>
      </c>
      <c r="B2349" s="91" t="s">
        <v>2964</v>
      </c>
      <c r="C2349" s="91" t="s">
        <v>2943</v>
      </c>
      <c r="D2349" s="91">
        <v>67</v>
      </c>
      <c r="E2349" s="91">
        <v>154</v>
      </c>
      <c r="F2349" s="91">
        <v>0</v>
      </c>
      <c r="G2349" s="126">
        <v>0.000982351446371804</v>
      </c>
      <c r="H2349" s="126">
        <f t="shared" si="109"/>
        <v>705.6</v>
      </c>
      <c r="I2349" s="126" t="str">
        <f t="shared" si="110"/>
        <v>0y 0d 0h 11m</v>
      </c>
    </row>
    <row r="2350" s="91" customFormat="1" spans="1:9">
      <c r="A2350" s="91" t="str">
        <f t="shared" si="108"/>
        <v>Ho-154m</v>
      </c>
      <c r="B2350" s="91" t="s">
        <v>2965</v>
      </c>
      <c r="C2350" s="91" t="s">
        <v>2943</v>
      </c>
      <c r="D2350" s="91">
        <v>67</v>
      </c>
      <c r="E2350" s="91">
        <v>154</v>
      </c>
      <c r="F2350" s="91">
        <v>1</v>
      </c>
      <c r="G2350" s="126">
        <v>0.00372659774494594</v>
      </c>
      <c r="H2350" s="126">
        <f t="shared" si="109"/>
        <v>186</v>
      </c>
      <c r="I2350" s="126" t="str">
        <f t="shared" si="110"/>
        <v>0y 0d 0h 3m</v>
      </c>
    </row>
    <row r="2351" s="91" customFormat="1" spans="1:9">
      <c r="A2351" s="91" t="str">
        <f t="shared" si="108"/>
        <v>Ho-155</v>
      </c>
      <c r="B2351" s="91" t="s">
        <v>2966</v>
      </c>
      <c r="C2351" s="91" t="s">
        <v>2943</v>
      </c>
      <c r="D2351" s="91">
        <v>67</v>
      </c>
      <c r="E2351" s="91">
        <v>155</v>
      </c>
      <c r="F2351" s="91">
        <v>0</v>
      </c>
      <c r="G2351" s="126">
        <v>0.000240676104361092</v>
      </c>
      <c r="H2351" s="126">
        <f t="shared" si="109"/>
        <v>2880</v>
      </c>
      <c r="I2351" s="126" t="str">
        <f t="shared" si="110"/>
        <v>0y 0d 0h 48m</v>
      </c>
    </row>
    <row r="2352" s="91" customFormat="1" spans="1:9">
      <c r="A2352" s="91" t="str">
        <f t="shared" si="108"/>
        <v>Ho-155m</v>
      </c>
      <c r="B2352" s="91" t="s">
        <v>2967</v>
      </c>
      <c r="C2352" s="91" t="s">
        <v>2943</v>
      </c>
      <c r="D2352" s="91">
        <v>67</v>
      </c>
      <c r="E2352" s="91">
        <v>155</v>
      </c>
      <c r="F2352" s="91">
        <v>1</v>
      </c>
      <c r="G2352" s="126">
        <v>787.667250636301</v>
      </c>
      <c r="H2352" s="126">
        <f t="shared" si="109"/>
        <v>0.000880000000000001</v>
      </c>
      <c r="I2352" s="126" t="str">
        <f t="shared" si="110"/>
        <v>0y 0d 0h 0m</v>
      </c>
    </row>
    <row r="2353" s="91" customFormat="1" spans="1:9">
      <c r="A2353" s="91" t="str">
        <f t="shared" si="108"/>
        <v>Ho-156</v>
      </c>
      <c r="B2353" s="91" t="s">
        <v>2968</v>
      </c>
      <c r="C2353" s="91" t="s">
        <v>2943</v>
      </c>
      <c r="D2353" s="91">
        <v>67</v>
      </c>
      <c r="E2353" s="91">
        <v>156</v>
      </c>
      <c r="F2353" s="91">
        <v>0</v>
      </c>
      <c r="G2353" s="126">
        <v>0.000206293803738078</v>
      </c>
      <c r="H2353" s="126">
        <f t="shared" si="109"/>
        <v>3360.00000000002</v>
      </c>
      <c r="I2353" s="126" t="str">
        <f t="shared" si="110"/>
        <v>0y 0d 0h 56m</v>
      </c>
    </row>
    <row r="2354" s="91" customFormat="1" spans="1:9">
      <c r="A2354" s="91" t="str">
        <f t="shared" si="108"/>
        <v>Ho-156m</v>
      </c>
      <c r="B2354" s="91" t="s">
        <v>2969</v>
      </c>
      <c r="C2354" s="91" t="s">
        <v>2943</v>
      </c>
      <c r="D2354" s="91">
        <v>67</v>
      </c>
      <c r="E2354" s="91">
        <v>156</v>
      </c>
      <c r="F2354" s="91">
        <v>1</v>
      </c>
      <c r="G2354" s="126">
        <v>0.0729628611115731</v>
      </c>
      <c r="H2354" s="126">
        <f t="shared" si="109"/>
        <v>9.50000000000001</v>
      </c>
      <c r="I2354" s="126" t="str">
        <f t="shared" si="110"/>
        <v>0y 0d 0h 0m</v>
      </c>
    </row>
    <row r="2355" s="91" customFormat="1" spans="1:9">
      <c r="A2355" s="91" t="str">
        <f t="shared" si="108"/>
        <v>Ho-156m2</v>
      </c>
      <c r="B2355" s="91" t="s">
        <v>2970</v>
      </c>
      <c r="C2355" s="91" t="s">
        <v>2943</v>
      </c>
      <c r="D2355" s="91">
        <v>67</v>
      </c>
      <c r="E2355" s="91">
        <v>156</v>
      </c>
      <c r="F2355" s="91">
        <v>2</v>
      </c>
      <c r="G2355" s="126">
        <v>0.00148108371914518</v>
      </c>
      <c r="H2355" s="126">
        <f t="shared" si="109"/>
        <v>468.000000000001</v>
      </c>
      <c r="I2355" s="126" t="str">
        <f t="shared" si="110"/>
        <v>0y 0d 0h 7m</v>
      </c>
    </row>
    <row r="2356" s="91" customFormat="1" spans="1:9">
      <c r="A2356" s="91" t="str">
        <f t="shared" si="108"/>
        <v>Ho-157</v>
      </c>
      <c r="B2356" s="91" t="s">
        <v>2971</v>
      </c>
      <c r="C2356" s="91" t="s">
        <v>2943</v>
      </c>
      <c r="D2356" s="91">
        <v>67</v>
      </c>
      <c r="E2356" s="91">
        <v>157</v>
      </c>
      <c r="F2356" s="91">
        <v>0</v>
      </c>
      <c r="G2356" s="126">
        <v>0.000916861349947017</v>
      </c>
      <c r="H2356" s="126">
        <f t="shared" si="109"/>
        <v>756</v>
      </c>
      <c r="I2356" s="126" t="str">
        <f t="shared" si="110"/>
        <v>0y 0d 0h 12m</v>
      </c>
    </row>
    <row r="2357" s="91" customFormat="1" spans="1:9">
      <c r="A2357" s="91" t="str">
        <f t="shared" si="108"/>
        <v>Ho-158</v>
      </c>
      <c r="B2357" s="91" t="s">
        <v>2972</v>
      </c>
      <c r="C2357" s="91" t="s">
        <v>2943</v>
      </c>
      <c r="D2357" s="91">
        <v>67</v>
      </c>
      <c r="E2357" s="91">
        <v>158</v>
      </c>
      <c r="F2357" s="91">
        <v>0</v>
      </c>
      <c r="G2357" s="126">
        <v>0.0010223409742772</v>
      </c>
      <c r="H2357" s="126">
        <f t="shared" si="109"/>
        <v>678.000000000004</v>
      </c>
      <c r="I2357" s="126" t="str">
        <f t="shared" si="110"/>
        <v>0y 0d 0h 11m</v>
      </c>
    </row>
    <row r="2358" s="91" customFormat="1" spans="1:9">
      <c r="A2358" s="91" t="str">
        <f t="shared" si="108"/>
        <v>Ho-158m</v>
      </c>
      <c r="B2358" s="91" t="s">
        <v>2973</v>
      </c>
      <c r="C2358" s="91" t="s">
        <v>2943</v>
      </c>
      <c r="D2358" s="91">
        <v>67</v>
      </c>
      <c r="E2358" s="91">
        <v>158</v>
      </c>
      <c r="F2358" s="91">
        <v>1</v>
      </c>
      <c r="G2358" s="126">
        <v>0.000412587607476157</v>
      </c>
      <c r="H2358" s="126">
        <f t="shared" si="109"/>
        <v>1680</v>
      </c>
      <c r="I2358" s="126" t="str">
        <f t="shared" si="110"/>
        <v>0y 0d 0h 28m</v>
      </c>
    </row>
    <row r="2359" s="91" customFormat="1" spans="1:9">
      <c r="A2359" s="91" t="str">
        <f t="shared" si="108"/>
        <v>Ho-158m2</v>
      </c>
      <c r="B2359" s="91" t="s">
        <v>2974</v>
      </c>
      <c r="C2359" s="91" t="s">
        <v>2943</v>
      </c>
      <c r="D2359" s="91">
        <v>67</v>
      </c>
      <c r="E2359" s="91">
        <v>158</v>
      </c>
      <c r="F2359" s="91">
        <v>2</v>
      </c>
      <c r="G2359" s="126">
        <v>0.000542368685884151</v>
      </c>
      <c r="H2359" s="126">
        <f t="shared" si="109"/>
        <v>1278</v>
      </c>
      <c r="I2359" s="126" t="str">
        <f t="shared" si="110"/>
        <v>0y 0d 0h 21m</v>
      </c>
    </row>
    <row r="2360" s="91" customFormat="1" spans="1:9">
      <c r="A2360" s="91" t="str">
        <f t="shared" si="108"/>
        <v>Ho-159</v>
      </c>
      <c r="B2360" s="91" t="s">
        <v>2975</v>
      </c>
      <c r="C2360" s="91" t="s">
        <v>2943</v>
      </c>
      <c r="D2360" s="91">
        <v>67</v>
      </c>
      <c r="E2360" s="91">
        <v>159</v>
      </c>
      <c r="F2360" s="91">
        <v>0</v>
      </c>
      <c r="G2360" s="126">
        <v>0.000349544720403401</v>
      </c>
      <c r="H2360" s="126">
        <f t="shared" si="109"/>
        <v>1983</v>
      </c>
      <c r="I2360" s="126" t="str">
        <f t="shared" si="110"/>
        <v>0y 0d 0h 33m</v>
      </c>
    </row>
    <row r="2361" s="91" customFormat="1" spans="1:9">
      <c r="A2361" s="91" t="str">
        <f t="shared" si="108"/>
        <v>Ho-159m</v>
      </c>
      <c r="B2361" s="91" t="s">
        <v>2976</v>
      </c>
      <c r="C2361" s="91" t="s">
        <v>2943</v>
      </c>
      <c r="D2361" s="91">
        <v>67</v>
      </c>
      <c r="E2361" s="91">
        <v>159</v>
      </c>
      <c r="F2361" s="91">
        <v>1</v>
      </c>
      <c r="G2361" s="126">
        <v>0.0835117085011982</v>
      </c>
      <c r="H2361" s="126">
        <f t="shared" si="109"/>
        <v>8.3</v>
      </c>
      <c r="I2361" s="126" t="str">
        <f t="shared" si="110"/>
        <v>0y 0d 0h 0m</v>
      </c>
    </row>
    <row r="2362" s="91" customFormat="1" spans="1:9">
      <c r="A2362" s="91" t="str">
        <f t="shared" si="108"/>
        <v>Ho-160</v>
      </c>
      <c r="B2362" s="91" t="s">
        <v>2977</v>
      </c>
      <c r="C2362" s="91" t="s">
        <v>2943</v>
      </c>
      <c r="D2362" s="91">
        <v>67</v>
      </c>
      <c r="E2362" s="91">
        <v>160</v>
      </c>
      <c r="F2362" s="91">
        <v>0</v>
      </c>
      <c r="G2362" s="126">
        <v>0.000451267695677047</v>
      </c>
      <c r="H2362" s="126">
        <f t="shared" si="109"/>
        <v>1536</v>
      </c>
      <c r="I2362" s="126" t="str">
        <f t="shared" si="110"/>
        <v>0y 0d 0h 25m</v>
      </c>
    </row>
    <row r="2363" s="91" customFormat="1" spans="1:9">
      <c r="A2363" s="91" t="str">
        <f t="shared" si="108"/>
        <v>Ho-160m</v>
      </c>
      <c r="B2363" s="91" t="s">
        <v>2978</v>
      </c>
      <c r="C2363" s="91" t="s">
        <v>2943</v>
      </c>
      <c r="D2363" s="91">
        <v>67</v>
      </c>
      <c r="E2363" s="91">
        <v>160</v>
      </c>
      <c r="F2363" s="91">
        <v>1</v>
      </c>
      <c r="G2363" s="126">
        <v>3.83547576671063e-5</v>
      </c>
      <c r="H2363" s="126">
        <f t="shared" si="109"/>
        <v>18072</v>
      </c>
      <c r="I2363" s="126" t="str">
        <f t="shared" si="110"/>
        <v>0y 0d 5h 1m</v>
      </c>
    </row>
    <row r="2364" s="91" customFormat="1" spans="1:9">
      <c r="A2364" s="91" t="str">
        <f t="shared" si="108"/>
        <v>Ho-160m2</v>
      </c>
      <c r="B2364" s="91" t="s">
        <v>2979</v>
      </c>
      <c r="C2364" s="91" t="s">
        <v>2943</v>
      </c>
      <c r="D2364" s="91">
        <v>67</v>
      </c>
      <c r="E2364" s="91">
        <v>160</v>
      </c>
      <c r="F2364" s="91">
        <v>2</v>
      </c>
      <c r="G2364" s="126">
        <v>0.231049060186648</v>
      </c>
      <c r="H2364" s="126">
        <f t="shared" si="109"/>
        <v>3.00000000000001</v>
      </c>
      <c r="I2364" s="126" t="str">
        <f t="shared" si="110"/>
        <v>0y 0d 0h 0m</v>
      </c>
    </row>
    <row r="2365" s="91" customFormat="1" spans="1:9">
      <c r="A2365" s="91" t="str">
        <f t="shared" si="108"/>
        <v>Ho-161</v>
      </c>
      <c r="B2365" s="91" t="s">
        <v>2980</v>
      </c>
      <c r="C2365" s="91" t="s">
        <v>2943</v>
      </c>
      <c r="D2365" s="91">
        <v>67</v>
      </c>
      <c r="E2365" s="91">
        <v>161</v>
      </c>
      <c r="F2365" s="91">
        <v>0</v>
      </c>
      <c r="G2365" s="126">
        <v>7.76374530197071e-5</v>
      </c>
      <c r="H2365" s="126">
        <f t="shared" si="109"/>
        <v>8928</v>
      </c>
      <c r="I2365" s="126" t="str">
        <f t="shared" si="110"/>
        <v>0y 0d 2h 28m</v>
      </c>
    </row>
    <row r="2366" s="91" customFormat="1" spans="1:9">
      <c r="A2366" s="91" t="str">
        <f t="shared" si="108"/>
        <v>Ho-161m</v>
      </c>
      <c r="B2366" s="91" t="s">
        <v>2981</v>
      </c>
      <c r="C2366" s="91" t="s">
        <v>2943</v>
      </c>
      <c r="D2366" s="91">
        <v>67</v>
      </c>
      <c r="E2366" s="91">
        <v>161</v>
      </c>
      <c r="F2366" s="91">
        <v>1</v>
      </c>
      <c r="G2366" s="126">
        <v>0.102536565171589</v>
      </c>
      <c r="H2366" s="126">
        <f t="shared" si="109"/>
        <v>6.76000000000004</v>
      </c>
      <c r="I2366" s="126" t="str">
        <f t="shared" si="110"/>
        <v>0y 0d 0h 0m</v>
      </c>
    </row>
    <row r="2367" s="91" customFormat="1" spans="1:9">
      <c r="A2367" s="91" t="str">
        <f t="shared" si="108"/>
        <v>Ho-162</v>
      </c>
      <c r="B2367" s="91" t="s">
        <v>2982</v>
      </c>
      <c r="C2367" s="91" t="s">
        <v>2943</v>
      </c>
      <c r="D2367" s="91">
        <v>67</v>
      </c>
      <c r="E2367" s="91">
        <v>162</v>
      </c>
      <c r="F2367" s="91">
        <v>0</v>
      </c>
      <c r="G2367" s="126">
        <v>0.000770163533955494</v>
      </c>
      <c r="H2367" s="126">
        <f t="shared" si="109"/>
        <v>900.000000000001</v>
      </c>
      <c r="I2367" s="126" t="str">
        <f t="shared" si="110"/>
        <v>0y 0d 0h 15m</v>
      </c>
    </row>
    <row r="2368" s="91" customFormat="1" spans="1:9">
      <c r="A2368" s="91" t="str">
        <f t="shared" si="108"/>
        <v>Ho-162m</v>
      </c>
      <c r="B2368" s="91" t="s">
        <v>2983</v>
      </c>
      <c r="C2368" s="91" t="s">
        <v>2943</v>
      </c>
      <c r="D2368" s="91">
        <v>67</v>
      </c>
      <c r="E2368" s="91">
        <v>162</v>
      </c>
      <c r="F2368" s="91">
        <v>1</v>
      </c>
      <c r="G2368" s="126">
        <v>0.00017242467178108</v>
      </c>
      <c r="H2368" s="126">
        <f t="shared" si="109"/>
        <v>4020.00000000002</v>
      </c>
      <c r="I2368" s="126" t="str">
        <f t="shared" si="110"/>
        <v>0y 0d 1h 7m</v>
      </c>
    </row>
    <row r="2369" s="91" customFormat="1" spans="1:9">
      <c r="A2369" s="91" t="str">
        <f t="shared" si="108"/>
        <v>Ho-163</v>
      </c>
      <c r="B2369" s="91" t="s">
        <v>2984</v>
      </c>
      <c r="C2369" s="91" t="s">
        <v>2943</v>
      </c>
      <c r="D2369" s="91">
        <v>67</v>
      </c>
      <c r="E2369" s="91">
        <v>163</v>
      </c>
      <c r="F2369" s="91">
        <v>0</v>
      </c>
      <c r="G2369" s="126">
        <v>4.80624596485837e-12</v>
      </c>
      <c r="H2369" s="126">
        <f t="shared" si="109"/>
        <v>144218000000</v>
      </c>
      <c r="I2369" s="126" t="str">
        <f t="shared" si="110"/>
        <v>4573y 44d 19h 33m</v>
      </c>
    </row>
    <row r="2370" s="91" customFormat="1" spans="1:9">
      <c r="A2370" s="91" t="str">
        <f t="shared" ref="A2370:A2433" si="111">C2370&amp;"-"&amp;E2370&amp;_xlfn.IFS(F2370=0,"",F2370=1,"m",F2370&gt;1,"m"&amp;F2370)</f>
        <v>Ho-163m</v>
      </c>
      <c r="B2370" s="91" t="s">
        <v>2985</v>
      </c>
      <c r="C2370" s="91" t="s">
        <v>2943</v>
      </c>
      <c r="D2370" s="91">
        <v>67</v>
      </c>
      <c r="E2370" s="91">
        <v>163</v>
      </c>
      <c r="F2370" s="91">
        <v>1</v>
      </c>
      <c r="G2370" s="126">
        <v>0.635914844550408</v>
      </c>
      <c r="H2370" s="126">
        <f t="shared" ref="H2370:H2433" si="112">IF(G2370&gt;0,LN(2)/G2370,0)</f>
        <v>1.09</v>
      </c>
      <c r="I2370" s="126" t="str">
        <f t="shared" si="110"/>
        <v>0y 0d 0h 0m</v>
      </c>
    </row>
    <row r="2371" s="91" customFormat="1" spans="1:9">
      <c r="A2371" s="91" t="str">
        <f t="shared" si="111"/>
        <v>Ho-164</v>
      </c>
      <c r="B2371" s="91" t="s">
        <v>2986</v>
      </c>
      <c r="C2371" s="91" t="s">
        <v>2943</v>
      </c>
      <c r="D2371" s="91">
        <v>67</v>
      </c>
      <c r="E2371" s="91">
        <v>164</v>
      </c>
      <c r="F2371" s="91">
        <v>0</v>
      </c>
      <c r="G2371" s="126">
        <v>0.000398360448597669</v>
      </c>
      <c r="H2371" s="126">
        <f t="shared" si="112"/>
        <v>1740</v>
      </c>
      <c r="I2371" s="126" t="str">
        <f t="shared" ref="I2371:I2434" si="113">INT(H2371/31536000)&amp;"y "&amp;INT(MOD(H2371,31536000)/86400)&amp;"d "&amp;INT(MOD(MOD(H2371,31536000),86400)/3600)&amp;"h "&amp;INT(MOD(MOD(MOD(H2371,31536000),86400),3600)/60)&amp;"m"</f>
        <v>0y 0d 0h 29m</v>
      </c>
    </row>
    <row r="2372" s="91" customFormat="1" spans="1:9">
      <c r="A2372" s="91" t="str">
        <f t="shared" si="111"/>
        <v>Ho-164m</v>
      </c>
      <c r="B2372" s="91" t="s">
        <v>2987</v>
      </c>
      <c r="C2372" s="91" t="s">
        <v>2943</v>
      </c>
      <c r="D2372" s="91">
        <v>67</v>
      </c>
      <c r="E2372" s="91">
        <v>164</v>
      </c>
      <c r="F2372" s="91">
        <v>1</v>
      </c>
      <c r="G2372" s="126">
        <v>0.000308065413582197</v>
      </c>
      <c r="H2372" s="126">
        <f t="shared" si="112"/>
        <v>2250.00000000001</v>
      </c>
      <c r="I2372" s="126" t="str">
        <f t="shared" si="113"/>
        <v>0y 0d 0h 37m</v>
      </c>
    </row>
    <row r="2373" s="91" customFormat="1" spans="1:9">
      <c r="A2373" s="91" t="str">
        <f t="shared" si="111"/>
        <v>Ho-165</v>
      </c>
      <c r="B2373" s="91" t="s">
        <v>2988</v>
      </c>
      <c r="C2373" s="91" t="s">
        <v>2943</v>
      </c>
      <c r="D2373" s="91">
        <v>67</v>
      </c>
      <c r="E2373" s="91">
        <v>165</v>
      </c>
      <c r="F2373" s="91">
        <v>0</v>
      </c>
      <c r="G2373" s="126">
        <v>0</v>
      </c>
      <c r="H2373" s="126">
        <f t="shared" si="112"/>
        <v>0</v>
      </c>
      <c r="I2373" s="126" t="str">
        <f t="shared" si="113"/>
        <v>0y 0d 0h 0m</v>
      </c>
    </row>
    <row r="2374" s="91" customFormat="1" spans="1:9">
      <c r="A2374" s="91" t="str">
        <f t="shared" si="111"/>
        <v>Ho-166</v>
      </c>
      <c r="B2374" s="91" t="s">
        <v>2989</v>
      </c>
      <c r="C2374" s="91" t="s">
        <v>2943</v>
      </c>
      <c r="D2374" s="91">
        <v>67</v>
      </c>
      <c r="E2374" s="91">
        <v>166</v>
      </c>
      <c r="F2374" s="91">
        <v>0</v>
      </c>
      <c r="G2374" s="126">
        <v>7.1843613242117e-6</v>
      </c>
      <c r="H2374" s="126">
        <f t="shared" si="112"/>
        <v>96480.0000000001</v>
      </c>
      <c r="I2374" s="126" t="str">
        <f t="shared" si="113"/>
        <v>0y 1d 2h 48m</v>
      </c>
    </row>
    <row r="2375" s="91" customFormat="1" spans="1:9">
      <c r="A2375" s="91" t="str">
        <f t="shared" si="111"/>
        <v>Ho-166m</v>
      </c>
      <c r="B2375" s="91" t="s">
        <v>2990</v>
      </c>
      <c r="C2375" s="91" t="s">
        <v>2943</v>
      </c>
      <c r="D2375" s="91">
        <v>67</v>
      </c>
      <c r="E2375" s="91">
        <v>166</v>
      </c>
      <c r="F2375" s="91">
        <v>1</v>
      </c>
      <c r="G2375" s="126">
        <v>1.83037669382146e-11</v>
      </c>
      <c r="H2375" s="126">
        <f t="shared" si="112"/>
        <v>37869100000.0002</v>
      </c>
      <c r="I2375" s="126" t="str">
        <f t="shared" si="113"/>
        <v>1200y 299d 18h 26m</v>
      </c>
    </row>
    <row r="2376" s="91" customFormat="1" spans="1:9">
      <c r="A2376" s="91" t="str">
        <f t="shared" si="111"/>
        <v>Ho-167</v>
      </c>
      <c r="B2376" s="91" t="s">
        <v>2991</v>
      </c>
      <c r="C2376" s="91" t="s">
        <v>2943</v>
      </c>
      <c r="D2376" s="91">
        <v>67</v>
      </c>
      <c r="E2376" s="91">
        <v>167</v>
      </c>
      <c r="F2376" s="91">
        <v>0</v>
      </c>
      <c r="G2376" s="126">
        <v>6.21099624157657e-5</v>
      </c>
      <c r="H2376" s="126">
        <f t="shared" si="112"/>
        <v>11160</v>
      </c>
      <c r="I2376" s="126" t="str">
        <f t="shared" si="113"/>
        <v>0y 0d 3h 6m</v>
      </c>
    </row>
    <row r="2377" s="91" customFormat="1" spans="1:9">
      <c r="A2377" s="91" t="str">
        <f t="shared" si="111"/>
        <v>Ho-168</v>
      </c>
      <c r="B2377" s="91" t="s">
        <v>2992</v>
      </c>
      <c r="C2377" s="91" t="s">
        <v>2943</v>
      </c>
      <c r="D2377" s="91">
        <v>67</v>
      </c>
      <c r="E2377" s="91">
        <v>168</v>
      </c>
      <c r="F2377" s="91">
        <v>0</v>
      </c>
      <c r="G2377" s="126">
        <v>0.0038636966586396</v>
      </c>
      <c r="H2377" s="126">
        <f t="shared" si="112"/>
        <v>179.4</v>
      </c>
      <c r="I2377" s="126" t="str">
        <f t="shared" si="113"/>
        <v>0y 0d 0h 2m</v>
      </c>
    </row>
    <row r="2378" s="91" customFormat="1" spans="1:9">
      <c r="A2378" s="91" t="str">
        <f t="shared" si="111"/>
        <v>Ho-168m</v>
      </c>
      <c r="B2378" s="91" t="s">
        <v>2993</v>
      </c>
      <c r="C2378" s="91" t="s">
        <v>2943</v>
      </c>
      <c r="D2378" s="91">
        <v>67</v>
      </c>
      <c r="E2378" s="91">
        <v>168</v>
      </c>
      <c r="F2378" s="91">
        <v>1</v>
      </c>
      <c r="G2378" s="126">
        <v>0.00525111500424201</v>
      </c>
      <c r="H2378" s="126">
        <f t="shared" si="112"/>
        <v>132</v>
      </c>
      <c r="I2378" s="126" t="str">
        <f t="shared" si="113"/>
        <v>0y 0d 0h 2m</v>
      </c>
    </row>
    <row r="2379" s="91" customFormat="1" spans="1:9">
      <c r="A2379" s="91" t="str">
        <f t="shared" si="111"/>
        <v>Ho-169</v>
      </c>
      <c r="B2379" s="91" t="s">
        <v>2994</v>
      </c>
      <c r="C2379" s="91" t="s">
        <v>2943</v>
      </c>
      <c r="D2379" s="91">
        <v>67</v>
      </c>
      <c r="E2379" s="91">
        <v>169</v>
      </c>
      <c r="F2379" s="91">
        <v>0</v>
      </c>
      <c r="G2379" s="126">
        <v>0.00244755360367212</v>
      </c>
      <c r="H2379" s="126">
        <f t="shared" si="112"/>
        <v>283.2</v>
      </c>
      <c r="I2379" s="126" t="str">
        <f t="shared" si="113"/>
        <v>0y 0d 0h 4m</v>
      </c>
    </row>
    <row r="2380" s="91" customFormat="1" spans="1:9">
      <c r="A2380" s="91" t="str">
        <f t="shared" si="111"/>
        <v>Ho-170</v>
      </c>
      <c r="B2380" s="91" t="s">
        <v>2995</v>
      </c>
      <c r="C2380" s="91" t="s">
        <v>2943</v>
      </c>
      <c r="D2380" s="91">
        <v>67</v>
      </c>
      <c r="E2380" s="91">
        <v>170</v>
      </c>
      <c r="F2380" s="91">
        <v>0</v>
      </c>
      <c r="G2380" s="126">
        <v>0.0041856713801929</v>
      </c>
      <c r="H2380" s="126">
        <f t="shared" si="112"/>
        <v>165.6</v>
      </c>
      <c r="I2380" s="126" t="str">
        <f t="shared" si="113"/>
        <v>0y 0d 0h 2m</v>
      </c>
    </row>
    <row r="2381" s="91" customFormat="1" spans="1:9">
      <c r="A2381" s="91" t="str">
        <f t="shared" si="111"/>
        <v>Ho-170m</v>
      </c>
      <c r="B2381" s="91" t="s">
        <v>2996</v>
      </c>
      <c r="C2381" s="91" t="s">
        <v>2943</v>
      </c>
      <c r="D2381" s="91">
        <v>67</v>
      </c>
      <c r="E2381" s="91">
        <v>170</v>
      </c>
      <c r="F2381" s="91">
        <v>1</v>
      </c>
      <c r="G2381" s="126">
        <v>0.0161197018734871</v>
      </c>
      <c r="H2381" s="126">
        <f t="shared" si="112"/>
        <v>43</v>
      </c>
      <c r="I2381" s="126" t="str">
        <f t="shared" si="113"/>
        <v>0y 0d 0h 0m</v>
      </c>
    </row>
    <row r="2382" s="91" customFormat="1" spans="1:9">
      <c r="A2382" s="91" t="str">
        <f t="shared" si="111"/>
        <v>Ho-171</v>
      </c>
      <c r="B2382" s="91" t="s">
        <v>2997</v>
      </c>
      <c r="C2382" s="91" t="s">
        <v>2943</v>
      </c>
      <c r="D2382" s="91">
        <v>67</v>
      </c>
      <c r="E2382" s="91">
        <v>171</v>
      </c>
      <c r="F2382" s="91">
        <v>0</v>
      </c>
      <c r="G2382" s="126">
        <v>0.0130782486898102</v>
      </c>
      <c r="H2382" s="126">
        <f t="shared" si="112"/>
        <v>53.0000000000004</v>
      </c>
      <c r="I2382" s="126" t="str">
        <f t="shared" si="113"/>
        <v>0y 0d 0h 0m</v>
      </c>
    </row>
    <row r="2383" s="91" customFormat="1" spans="1:9">
      <c r="A2383" s="91" t="str">
        <f t="shared" si="111"/>
        <v>Ho-172</v>
      </c>
      <c r="B2383" s="91" t="s">
        <v>2998</v>
      </c>
      <c r="C2383" s="91" t="s">
        <v>2943</v>
      </c>
      <c r="D2383" s="91">
        <v>67</v>
      </c>
      <c r="E2383" s="91">
        <v>172</v>
      </c>
      <c r="F2383" s="91">
        <v>0</v>
      </c>
      <c r="G2383" s="126">
        <v>0.0277258872223978</v>
      </c>
      <c r="H2383" s="126">
        <f t="shared" si="112"/>
        <v>25</v>
      </c>
      <c r="I2383" s="126" t="str">
        <f t="shared" si="113"/>
        <v>0y 0d 0h 0m</v>
      </c>
    </row>
    <row r="2384" s="91" customFormat="1" spans="1:9">
      <c r="A2384" s="91" t="str">
        <f t="shared" si="111"/>
        <v>Ho-173</v>
      </c>
      <c r="B2384" s="91" t="s">
        <v>2999</v>
      </c>
      <c r="C2384" s="91" t="s">
        <v>2943</v>
      </c>
      <c r="D2384" s="91">
        <v>67</v>
      </c>
      <c r="E2384" s="91">
        <v>173</v>
      </c>
      <c r="F2384" s="91">
        <v>0</v>
      </c>
      <c r="G2384" s="126">
        <v>0.0693147180559945</v>
      </c>
      <c r="H2384" s="126">
        <f t="shared" si="112"/>
        <v>10</v>
      </c>
      <c r="I2384" s="126" t="str">
        <f t="shared" si="113"/>
        <v>0y 0d 0h 0m</v>
      </c>
    </row>
    <row r="2385" s="91" customFormat="1" spans="1:9">
      <c r="A2385" s="91" t="str">
        <f t="shared" si="111"/>
        <v>Ho-174</v>
      </c>
      <c r="B2385" s="91" t="s">
        <v>3000</v>
      </c>
      <c r="C2385" s="91" t="s">
        <v>2943</v>
      </c>
      <c r="D2385" s="91">
        <v>67</v>
      </c>
      <c r="E2385" s="91">
        <v>174</v>
      </c>
      <c r="F2385" s="91">
        <v>0</v>
      </c>
      <c r="G2385" s="126">
        <v>0.0866433975699931</v>
      </c>
      <c r="H2385" s="126">
        <f t="shared" si="112"/>
        <v>8.00000000000001</v>
      </c>
      <c r="I2385" s="126" t="str">
        <f t="shared" si="113"/>
        <v>0y 0d 0h 0m</v>
      </c>
    </row>
    <row r="2386" s="91" customFormat="1" spans="1:9">
      <c r="A2386" s="91" t="str">
        <f t="shared" si="111"/>
        <v>Ho-175</v>
      </c>
      <c r="B2386" s="91" t="s">
        <v>3001</v>
      </c>
      <c r="C2386" s="91" t="s">
        <v>2943</v>
      </c>
      <c r="D2386" s="91">
        <v>67</v>
      </c>
      <c r="E2386" s="91">
        <v>175</v>
      </c>
      <c r="F2386" s="91">
        <v>0</v>
      </c>
      <c r="G2386" s="126">
        <v>0.138629436111989</v>
      </c>
      <c r="H2386" s="126">
        <f t="shared" si="112"/>
        <v>5</v>
      </c>
      <c r="I2386" s="126" t="str">
        <f t="shared" si="113"/>
        <v>0y 0d 0h 0m</v>
      </c>
    </row>
    <row r="2387" s="91" customFormat="1" spans="1:9">
      <c r="A2387" s="91" t="str">
        <f t="shared" si="111"/>
        <v>Er-143</v>
      </c>
      <c r="B2387" s="91" t="s">
        <v>3002</v>
      </c>
      <c r="C2387" s="91" t="s">
        <v>3003</v>
      </c>
      <c r="D2387" s="91">
        <v>68</v>
      </c>
      <c r="E2387" s="91">
        <v>143</v>
      </c>
      <c r="F2387" s="91">
        <v>0</v>
      </c>
      <c r="G2387" s="126">
        <v>3.46573590279972</v>
      </c>
      <c r="H2387" s="126">
        <f t="shared" si="112"/>
        <v>0.2</v>
      </c>
      <c r="I2387" s="126" t="str">
        <f t="shared" si="113"/>
        <v>0y 0d 0h 0m</v>
      </c>
    </row>
    <row r="2388" s="91" customFormat="1" spans="1:9">
      <c r="A2388" s="91" t="str">
        <f t="shared" si="111"/>
        <v>Er-144</v>
      </c>
      <c r="B2388" s="91" t="s">
        <v>3004</v>
      </c>
      <c r="C2388" s="91" t="s">
        <v>3003</v>
      </c>
      <c r="D2388" s="91">
        <v>68</v>
      </c>
      <c r="E2388" s="91">
        <v>144</v>
      </c>
      <c r="F2388" s="91">
        <v>0</v>
      </c>
      <c r="G2388" s="126">
        <v>3465735.90279972</v>
      </c>
      <c r="H2388" s="126">
        <f t="shared" si="112"/>
        <v>2e-7</v>
      </c>
      <c r="I2388" s="126" t="str">
        <f t="shared" si="113"/>
        <v>0y 0d 0h 0m</v>
      </c>
    </row>
    <row r="2389" s="91" customFormat="1" spans="1:9">
      <c r="A2389" s="91" t="str">
        <f t="shared" si="111"/>
        <v>Er-145</v>
      </c>
      <c r="B2389" s="91" t="s">
        <v>3005</v>
      </c>
      <c r="C2389" s="91" t="s">
        <v>3003</v>
      </c>
      <c r="D2389" s="91">
        <v>68</v>
      </c>
      <c r="E2389" s="91">
        <v>145</v>
      </c>
      <c r="F2389" s="91">
        <v>0</v>
      </c>
      <c r="G2389" s="126">
        <v>0</v>
      </c>
      <c r="H2389" s="126">
        <f t="shared" si="112"/>
        <v>0</v>
      </c>
      <c r="I2389" s="126" t="str">
        <f t="shared" si="113"/>
        <v>0y 0d 0h 0m</v>
      </c>
    </row>
    <row r="2390" s="91" customFormat="1" spans="1:9">
      <c r="A2390" s="91" t="str">
        <f t="shared" si="111"/>
        <v>Er-146</v>
      </c>
      <c r="B2390" s="91" t="s">
        <v>3006</v>
      </c>
      <c r="C2390" s="91" t="s">
        <v>3003</v>
      </c>
      <c r="D2390" s="91">
        <v>68</v>
      </c>
      <c r="E2390" s="91">
        <v>146</v>
      </c>
      <c r="F2390" s="91">
        <v>0</v>
      </c>
      <c r="G2390" s="126">
        <v>0.407733635623497</v>
      </c>
      <c r="H2390" s="126">
        <f t="shared" si="112"/>
        <v>1.7</v>
      </c>
      <c r="I2390" s="126" t="str">
        <f t="shared" si="113"/>
        <v>0y 0d 0h 0m</v>
      </c>
    </row>
    <row r="2391" s="91" customFormat="1" spans="1:9">
      <c r="A2391" s="91" t="str">
        <f t="shared" si="111"/>
        <v>Er-147</v>
      </c>
      <c r="B2391" s="91" t="s">
        <v>3007</v>
      </c>
      <c r="C2391" s="91" t="s">
        <v>3003</v>
      </c>
      <c r="D2391" s="91">
        <v>68</v>
      </c>
      <c r="E2391" s="91">
        <v>147</v>
      </c>
      <c r="F2391" s="91">
        <v>0</v>
      </c>
      <c r="G2391" s="126">
        <v>0.277258872223978</v>
      </c>
      <c r="H2391" s="126">
        <f t="shared" si="112"/>
        <v>2.5</v>
      </c>
      <c r="I2391" s="126" t="str">
        <f t="shared" si="113"/>
        <v>0y 0d 0h 0m</v>
      </c>
    </row>
    <row r="2392" s="91" customFormat="1" spans="1:9">
      <c r="A2392" s="91" t="str">
        <f t="shared" si="111"/>
        <v>Er-147m</v>
      </c>
      <c r="B2392" s="91" t="s">
        <v>3008</v>
      </c>
      <c r="C2392" s="91" t="s">
        <v>3003</v>
      </c>
      <c r="D2392" s="91">
        <v>68</v>
      </c>
      <c r="E2392" s="91">
        <v>147</v>
      </c>
      <c r="F2392" s="91">
        <v>1</v>
      </c>
      <c r="G2392" s="126">
        <v>0.277258872223978</v>
      </c>
      <c r="H2392" s="126">
        <f t="shared" si="112"/>
        <v>2.5</v>
      </c>
      <c r="I2392" s="126" t="str">
        <f t="shared" si="113"/>
        <v>0y 0d 0h 0m</v>
      </c>
    </row>
    <row r="2393" s="91" customFormat="1" spans="1:9">
      <c r="A2393" s="91" t="str">
        <f t="shared" si="111"/>
        <v>Er-148</v>
      </c>
      <c r="B2393" s="91" t="s">
        <v>3009</v>
      </c>
      <c r="C2393" s="91" t="s">
        <v>3003</v>
      </c>
      <c r="D2393" s="91">
        <v>68</v>
      </c>
      <c r="E2393" s="91">
        <v>148</v>
      </c>
      <c r="F2393" s="91">
        <v>0</v>
      </c>
      <c r="G2393" s="126">
        <v>0.150684169686944</v>
      </c>
      <c r="H2393" s="126">
        <f t="shared" si="112"/>
        <v>4.60000000000002</v>
      </c>
      <c r="I2393" s="126" t="str">
        <f t="shared" si="113"/>
        <v>0y 0d 0h 0m</v>
      </c>
    </row>
    <row r="2394" s="91" customFormat="1" spans="1:9">
      <c r="A2394" s="91" t="str">
        <f t="shared" si="111"/>
        <v>Er-149</v>
      </c>
      <c r="B2394" s="91" t="s">
        <v>3010</v>
      </c>
      <c r="C2394" s="91" t="s">
        <v>3003</v>
      </c>
      <c r="D2394" s="91">
        <v>68</v>
      </c>
      <c r="E2394" s="91">
        <v>149</v>
      </c>
      <c r="F2394" s="91">
        <v>0</v>
      </c>
      <c r="G2394" s="126">
        <v>0.173286795139986</v>
      </c>
      <c r="H2394" s="126">
        <f t="shared" si="112"/>
        <v>4.00000000000001</v>
      </c>
      <c r="I2394" s="126" t="str">
        <f t="shared" si="113"/>
        <v>0y 0d 0h 0m</v>
      </c>
    </row>
    <row r="2395" s="91" customFormat="1" spans="1:9">
      <c r="A2395" s="91" t="str">
        <f t="shared" si="111"/>
        <v>Er-149m</v>
      </c>
      <c r="B2395" s="91" t="s">
        <v>3011</v>
      </c>
      <c r="C2395" s="91" t="s">
        <v>3003</v>
      </c>
      <c r="D2395" s="91">
        <v>68</v>
      </c>
      <c r="E2395" s="91">
        <v>149</v>
      </c>
      <c r="F2395" s="91">
        <v>1</v>
      </c>
      <c r="G2395" s="126">
        <v>0.0778817056808927</v>
      </c>
      <c r="H2395" s="126">
        <f t="shared" si="112"/>
        <v>8.9</v>
      </c>
      <c r="I2395" s="126" t="str">
        <f t="shared" si="113"/>
        <v>0y 0d 0h 0m</v>
      </c>
    </row>
    <row r="2396" s="91" customFormat="1" spans="1:9">
      <c r="A2396" s="91" t="str">
        <f t="shared" si="111"/>
        <v>Er-150</v>
      </c>
      <c r="B2396" s="91" t="s">
        <v>3012</v>
      </c>
      <c r="C2396" s="91" t="s">
        <v>3003</v>
      </c>
      <c r="D2396" s="91">
        <v>68</v>
      </c>
      <c r="E2396" s="91">
        <v>150</v>
      </c>
      <c r="F2396" s="91">
        <v>0</v>
      </c>
      <c r="G2396" s="126">
        <v>0.0374674151654024</v>
      </c>
      <c r="H2396" s="126">
        <f t="shared" si="112"/>
        <v>18.5</v>
      </c>
      <c r="I2396" s="126" t="str">
        <f t="shared" si="113"/>
        <v>0y 0d 0h 0m</v>
      </c>
    </row>
    <row r="2397" s="91" customFormat="1" spans="1:9">
      <c r="A2397" s="91" t="str">
        <f t="shared" si="111"/>
        <v>Er-151</v>
      </c>
      <c r="B2397" s="91" t="s">
        <v>3013</v>
      </c>
      <c r="C2397" s="91" t="s">
        <v>3003</v>
      </c>
      <c r="D2397" s="91">
        <v>68</v>
      </c>
      <c r="E2397" s="91">
        <v>151</v>
      </c>
      <c r="F2397" s="91">
        <v>0</v>
      </c>
      <c r="G2397" s="126">
        <v>0.0294956247046785</v>
      </c>
      <c r="H2397" s="126">
        <f t="shared" si="112"/>
        <v>23.5</v>
      </c>
      <c r="I2397" s="126" t="str">
        <f t="shared" si="113"/>
        <v>0y 0d 0h 0m</v>
      </c>
    </row>
    <row r="2398" s="91" customFormat="1" spans="1:9">
      <c r="A2398" s="91" t="str">
        <f t="shared" si="111"/>
        <v>Er-151m</v>
      </c>
      <c r="B2398" s="91" t="s">
        <v>3014</v>
      </c>
      <c r="C2398" s="91" t="s">
        <v>3003</v>
      </c>
      <c r="D2398" s="91">
        <v>68</v>
      </c>
      <c r="E2398" s="91">
        <v>151</v>
      </c>
      <c r="F2398" s="91">
        <v>1</v>
      </c>
      <c r="G2398" s="126">
        <v>1.195081345793</v>
      </c>
      <c r="H2398" s="126">
        <f t="shared" si="112"/>
        <v>0.580000000000004</v>
      </c>
      <c r="I2398" s="126" t="str">
        <f t="shared" si="113"/>
        <v>0y 0d 0h 0m</v>
      </c>
    </row>
    <row r="2399" s="91" customFormat="1" spans="1:9">
      <c r="A2399" s="91" t="str">
        <f t="shared" si="111"/>
        <v>Er-152</v>
      </c>
      <c r="B2399" s="91" t="s">
        <v>3015</v>
      </c>
      <c r="C2399" s="91" t="s">
        <v>3003</v>
      </c>
      <c r="D2399" s="91">
        <v>68</v>
      </c>
      <c r="E2399" s="91">
        <v>152</v>
      </c>
      <c r="F2399" s="91">
        <v>0</v>
      </c>
      <c r="G2399" s="126">
        <v>0.0672958427728102</v>
      </c>
      <c r="H2399" s="126">
        <f t="shared" si="112"/>
        <v>10.3</v>
      </c>
      <c r="I2399" s="126" t="str">
        <f t="shared" si="113"/>
        <v>0y 0d 0h 0m</v>
      </c>
    </row>
    <row r="2400" s="91" customFormat="1" spans="1:9">
      <c r="A2400" s="91" t="str">
        <f t="shared" si="111"/>
        <v>Er-153</v>
      </c>
      <c r="B2400" s="91" t="s">
        <v>3016</v>
      </c>
      <c r="C2400" s="91" t="s">
        <v>3003</v>
      </c>
      <c r="D2400" s="91">
        <v>68</v>
      </c>
      <c r="E2400" s="91">
        <v>153</v>
      </c>
      <c r="F2400" s="91">
        <v>0</v>
      </c>
      <c r="G2400" s="126">
        <v>0.0186832124140147</v>
      </c>
      <c r="H2400" s="126">
        <f t="shared" si="112"/>
        <v>37.1</v>
      </c>
      <c r="I2400" s="126" t="str">
        <f t="shared" si="113"/>
        <v>0y 0d 0h 0m</v>
      </c>
    </row>
    <row r="2401" s="91" customFormat="1" spans="1:9">
      <c r="A2401" s="91" t="str">
        <f t="shared" si="111"/>
        <v>Er-154</v>
      </c>
      <c r="B2401" s="91" t="s">
        <v>3017</v>
      </c>
      <c r="C2401" s="91" t="s">
        <v>3003</v>
      </c>
      <c r="D2401" s="91">
        <v>68</v>
      </c>
      <c r="E2401" s="91">
        <v>154</v>
      </c>
      <c r="F2401" s="91">
        <v>0</v>
      </c>
      <c r="G2401" s="126">
        <v>0.00309717238856097</v>
      </c>
      <c r="H2401" s="126">
        <f t="shared" si="112"/>
        <v>223.8</v>
      </c>
      <c r="I2401" s="126" t="str">
        <f t="shared" si="113"/>
        <v>0y 0d 0h 3m</v>
      </c>
    </row>
    <row r="2402" s="91" customFormat="1" spans="1:9">
      <c r="A2402" s="91" t="str">
        <f t="shared" si="111"/>
        <v>Er-155</v>
      </c>
      <c r="B2402" s="91" t="s">
        <v>3018</v>
      </c>
      <c r="C2402" s="91" t="s">
        <v>3003</v>
      </c>
      <c r="D2402" s="91">
        <v>68</v>
      </c>
      <c r="E2402" s="91">
        <v>155</v>
      </c>
      <c r="F2402" s="91">
        <v>0</v>
      </c>
      <c r="G2402" s="126">
        <v>0.00217970811496838</v>
      </c>
      <c r="H2402" s="126">
        <f t="shared" si="112"/>
        <v>318</v>
      </c>
      <c r="I2402" s="126" t="str">
        <f t="shared" si="113"/>
        <v>0y 0d 0h 5m</v>
      </c>
    </row>
    <row r="2403" s="91" customFormat="1" spans="1:9">
      <c r="A2403" s="91" t="str">
        <f t="shared" si="111"/>
        <v>Er-156</v>
      </c>
      <c r="B2403" s="91" t="s">
        <v>3019</v>
      </c>
      <c r="C2403" s="91" t="s">
        <v>3003</v>
      </c>
      <c r="D2403" s="91">
        <v>68</v>
      </c>
      <c r="E2403" s="91">
        <v>156</v>
      </c>
      <c r="F2403" s="91">
        <v>0</v>
      </c>
      <c r="G2403" s="126">
        <v>0.000592433487658072</v>
      </c>
      <c r="H2403" s="126">
        <f t="shared" si="112"/>
        <v>1170</v>
      </c>
      <c r="I2403" s="126" t="str">
        <f t="shared" si="113"/>
        <v>0y 0d 0h 19m</v>
      </c>
    </row>
    <row r="2404" s="91" customFormat="1" spans="1:9">
      <c r="A2404" s="91" t="str">
        <f t="shared" si="111"/>
        <v>Er-157</v>
      </c>
      <c r="B2404" s="91" t="s">
        <v>3020</v>
      </c>
      <c r="C2404" s="91" t="s">
        <v>3003</v>
      </c>
      <c r="D2404" s="91">
        <v>68</v>
      </c>
      <c r="E2404" s="91">
        <v>157</v>
      </c>
      <c r="F2404" s="91">
        <v>0</v>
      </c>
      <c r="G2404" s="126">
        <v>0.000619434477712194</v>
      </c>
      <c r="H2404" s="126">
        <f t="shared" si="112"/>
        <v>1119</v>
      </c>
      <c r="I2404" s="126" t="str">
        <f t="shared" si="113"/>
        <v>0y 0d 0h 18m</v>
      </c>
    </row>
    <row r="2405" s="91" customFormat="1" spans="1:9">
      <c r="A2405" s="91" t="str">
        <f t="shared" si="111"/>
        <v>Er-157m</v>
      </c>
      <c r="B2405" s="91" t="s">
        <v>3021</v>
      </c>
      <c r="C2405" s="91" t="s">
        <v>3003</v>
      </c>
      <c r="D2405" s="91">
        <v>68</v>
      </c>
      <c r="E2405" s="91">
        <v>157</v>
      </c>
      <c r="F2405" s="91">
        <v>1</v>
      </c>
      <c r="G2405" s="126">
        <v>9.12035763894664</v>
      </c>
      <c r="H2405" s="126">
        <f t="shared" si="112"/>
        <v>0.0760000000000001</v>
      </c>
      <c r="I2405" s="126" t="str">
        <f t="shared" si="113"/>
        <v>0y 0d 0h 0m</v>
      </c>
    </row>
    <row r="2406" s="91" customFormat="1" spans="1:9">
      <c r="A2406" s="91" t="str">
        <f t="shared" si="111"/>
        <v>Er-158</v>
      </c>
      <c r="B2406" s="91" t="s">
        <v>3022</v>
      </c>
      <c r="C2406" s="91" t="s">
        <v>3003</v>
      </c>
      <c r="D2406" s="91">
        <v>68</v>
      </c>
      <c r="E2406" s="91">
        <v>158</v>
      </c>
      <c r="F2406" s="91">
        <v>0</v>
      </c>
      <c r="G2406" s="126">
        <v>8.40789884230889e-5</v>
      </c>
      <c r="H2406" s="126">
        <f t="shared" si="112"/>
        <v>8244</v>
      </c>
      <c r="I2406" s="126" t="str">
        <f t="shared" si="113"/>
        <v>0y 0d 2h 17m</v>
      </c>
    </row>
    <row r="2407" s="91" customFormat="1" spans="1:9">
      <c r="A2407" s="91" t="str">
        <f t="shared" si="111"/>
        <v>Er-159</v>
      </c>
      <c r="B2407" s="91" t="s">
        <v>3023</v>
      </c>
      <c r="C2407" s="91" t="s">
        <v>3003</v>
      </c>
      <c r="D2407" s="91">
        <v>68</v>
      </c>
      <c r="E2407" s="91">
        <v>159</v>
      </c>
      <c r="F2407" s="91">
        <v>0</v>
      </c>
      <c r="G2407" s="126">
        <v>0.000320901472481456</v>
      </c>
      <c r="H2407" s="126">
        <f t="shared" si="112"/>
        <v>2160</v>
      </c>
      <c r="I2407" s="126" t="str">
        <f t="shared" si="113"/>
        <v>0y 0d 0h 36m</v>
      </c>
    </row>
    <row r="2408" s="91" customFormat="1" spans="1:9">
      <c r="A2408" s="91" t="str">
        <f t="shared" si="111"/>
        <v>Er-160</v>
      </c>
      <c r="B2408" s="91" t="s">
        <v>3024</v>
      </c>
      <c r="C2408" s="91" t="s">
        <v>3003</v>
      </c>
      <c r="D2408" s="91">
        <v>68</v>
      </c>
      <c r="E2408" s="91">
        <v>160</v>
      </c>
      <c r="F2408" s="91">
        <v>0</v>
      </c>
      <c r="G2408" s="126">
        <v>6.73690984915583e-6</v>
      </c>
      <c r="H2408" s="126">
        <f t="shared" si="112"/>
        <v>102888</v>
      </c>
      <c r="I2408" s="126" t="str">
        <f t="shared" si="113"/>
        <v>0y 1d 4h 34m</v>
      </c>
    </row>
    <row r="2409" s="91" customFormat="1" spans="1:9">
      <c r="A2409" s="91" t="str">
        <f t="shared" si="111"/>
        <v>Er-161</v>
      </c>
      <c r="B2409" s="91" t="s">
        <v>3025</v>
      </c>
      <c r="C2409" s="91" t="s">
        <v>3003</v>
      </c>
      <c r="D2409" s="91">
        <v>68</v>
      </c>
      <c r="E2409" s="91">
        <v>161</v>
      </c>
      <c r="F2409" s="91">
        <v>0</v>
      </c>
      <c r="G2409" s="126">
        <v>5.99815836413936e-5</v>
      </c>
      <c r="H2409" s="126">
        <f t="shared" si="112"/>
        <v>11556</v>
      </c>
      <c r="I2409" s="126" t="str">
        <f t="shared" si="113"/>
        <v>0y 0d 3h 12m</v>
      </c>
    </row>
    <row r="2410" s="91" customFormat="1" spans="1:9">
      <c r="A2410" s="91" t="str">
        <f t="shared" si="111"/>
        <v>Er-162</v>
      </c>
      <c r="B2410" s="91" t="s">
        <v>3026</v>
      </c>
      <c r="C2410" s="91" t="s">
        <v>3003</v>
      </c>
      <c r="D2410" s="91">
        <v>68</v>
      </c>
      <c r="E2410" s="91">
        <v>162</v>
      </c>
      <c r="F2410" s="91">
        <v>0</v>
      </c>
      <c r="G2410" s="126">
        <v>0</v>
      </c>
      <c r="H2410" s="126">
        <f t="shared" si="112"/>
        <v>0</v>
      </c>
      <c r="I2410" s="126" t="str">
        <f t="shared" si="113"/>
        <v>0y 0d 0h 0m</v>
      </c>
    </row>
    <row r="2411" s="91" customFormat="1" spans="1:9">
      <c r="A2411" s="91" t="str">
        <f t="shared" si="111"/>
        <v>Er-163</v>
      </c>
      <c r="B2411" s="91" t="s">
        <v>3027</v>
      </c>
      <c r="C2411" s="91" t="s">
        <v>3003</v>
      </c>
      <c r="D2411" s="91">
        <v>68</v>
      </c>
      <c r="E2411" s="91">
        <v>163</v>
      </c>
      <c r="F2411" s="91">
        <v>0</v>
      </c>
      <c r="G2411" s="126">
        <v>0.000154032706791098</v>
      </c>
      <c r="H2411" s="126">
        <f t="shared" si="112"/>
        <v>4500.00000000003</v>
      </c>
      <c r="I2411" s="126" t="str">
        <f t="shared" si="113"/>
        <v>0y 0d 1h 15m</v>
      </c>
    </row>
    <row r="2412" s="91" customFormat="1" spans="1:9">
      <c r="A2412" s="91" t="str">
        <f t="shared" si="111"/>
        <v>Er-164</v>
      </c>
      <c r="B2412" s="91" t="s">
        <v>3028</v>
      </c>
      <c r="C2412" s="91" t="s">
        <v>3003</v>
      </c>
      <c r="D2412" s="91">
        <v>68</v>
      </c>
      <c r="E2412" s="91">
        <v>164</v>
      </c>
      <c r="F2412" s="91">
        <v>0</v>
      </c>
      <c r="G2412" s="126">
        <v>0</v>
      </c>
      <c r="H2412" s="126">
        <f t="shared" si="112"/>
        <v>0</v>
      </c>
      <c r="I2412" s="126" t="str">
        <f t="shared" si="113"/>
        <v>0y 0d 0h 0m</v>
      </c>
    </row>
    <row r="2413" s="91" customFormat="1" spans="1:9">
      <c r="A2413" s="91" t="str">
        <f t="shared" si="111"/>
        <v>Er-165</v>
      </c>
      <c r="B2413" s="91" t="s">
        <v>3029</v>
      </c>
      <c r="C2413" s="91" t="s">
        <v>3003</v>
      </c>
      <c r="D2413" s="91">
        <v>68</v>
      </c>
      <c r="E2413" s="91">
        <v>165</v>
      </c>
      <c r="F2413" s="91">
        <v>0</v>
      </c>
      <c r="G2413" s="126">
        <v>1.85850273637908e-5</v>
      </c>
      <c r="H2413" s="126">
        <f t="shared" si="112"/>
        <v>37296.0000000002</v>
      </c>
      <c r="I2413" s="126" t="str">
        <f t="shared" si="113"/>
        <v>0y 0d 10h 21m</v>
      </c>
    </row>
    <row r="2414" s="91" customFormat="1" spans="1:9">
      <c r="A2414" s="91" t="str">
        <f t="shared" si="111"/>
        <v>Er-166</v>
      </c>
      <c r="B2414" s="91" t="s">
        <v>3030</v>
      </c>
      <c r="C2414" s="91" t="s">
        <v>3003</v>
      </c>
      <c r="D2414" s="91">
        <v>68</v>
      </c>
      <c r="E2414" s="91">
        <v>166</v>
      </c>
      <c r="F2414" s="91">
        <v>0</v>
      </c>
      <c r="G2414" s="126">
        <v>0</v>
      </c>
      <c r="H2414" s="126">
        <f t="shared" si="112"/>
        <v>0</v>
      </c>
      <c r="I2414" s="126" t="str">
        <f t="shared" si="113"/>
        <v>0y 0d 0h 0m</v>
      </c>
    </row>
    <row r="2415" s="91" customFormat="1" spans="1:9">
      <c r="A2415" s="91" t="str">
        <f t="shared" si="111"/>
        <v>Er-167</v>
      </c>
      <c r="B2415" s="91" t="s">
        <v>3031</v>
      </c>
      <c r="C2415" s="91" t="s">
        <v>3003</v>
      </c>
      <c r="D2415" s="91">
        <v>68</v>
      </c>
      <c r="E2415" s="91">
        <v>167</v>
      </c>
      <c r="F2415" s="91">
        <v>0</v>
      </c>
      <c r="G2415" s="126">
        <v>0</v>
      </c>
      <c r="H2415" s="126">
        <f t="shared" si="112"/>
        <v>0</v>
      </c>
      <c r="I2415" s="126" t="str">
        <f t="shared" si="113"/>
        <v>0y 0d 0h 0m</v>
      </c>
    </row>
    <row r="2416" s="91" customFormat="1" spans="1:9">
      <c r="A2416" s="91" t="str">
        <f t="shared" si="111"/>
        <v>Er-167m</v>
      </c>
      <c r="B2416" s="91" t="s">
        <v>3032</v>
      </c>
      <c r="C2416" s="91" t="s">
        <v>3003</v>
      </c>
      <c r="D2416" s="91">
        <v>68</v>
      </c>
      <c r="E2416" s="91">
        <v>167</v>
      </c>
      <c r="F2416" s="91">
        <v>1</v>
      </c>
      <c r="G2416" s="126">
        <v>0.305485756086357</v>
      </c>
      <c r="H2416" s="126">
        <f t="shared" si="112"/>
        <v>2.269</v>
      </c>
      <c r="I2416" s="126" t="str">
        <f t="shared" si="113"/>
        <v>0y 0d 0h 0m</v>
      </c>
    </row>
    <row r="2417" s="91" customFormat="1" spans="1:9">
      <c r="A2417" s="91" t="str">
        <f t="shared" si="111"/>
        <v>Er-168</v>
      </c>
      <c r="B2417" s="91" t="s">
        <v>3033</v>
      </c>
      <c r="C2417" s="91" t="s">
        <v>3003</v>
      </c>
      <c r="D2417" s="91">
        <v>68</v>
      </c>
      <c r="E2417" s="91">
        <v>168</v>
      </c>
      <c r="F2417" s="91">
        <v>0</v>
      </c>
      <c r="G2417" s="126">
        <v>0</v>
      </c>
      <c r="H2417" s="126">
        <f t="shared" si="112"/>
        <v>0</v>
      </c>
      <c r="I2417" s="126" t="str">
        <f t="shared" si="113"/>
        <v>0y 0d 0h 0m</v>
      </c>
    </row>
    <row r="2418" s="91" customFormat="1" spans="1:9">
      <c r="A2418" s="91" t="str">
        <f t="shared" si="111"/>
        <v>Er-169</v>
      </c>
      <c r="B2418" s="91" t="s">
        <v>3034</v>
      </c>
      <c r="C2418" s="91" t="s">
        <v>3003</v>
      </c>
      <c r="D2418" s="91">
        <v>68</v>
      </c>
      <c r="E2418" s="91">
        <v>169</v>
      </c>
      <c r="F2418" s="91">
        <v>0</v>
      </c>
      <c r="G2418" s="126">
        <v>8.54188331775596e-7</v>
      </c>
      <c r="H2418" s="126">
        <f t="shared" si="112"/>
        <v>811468.800000001</v>
      </c>
      <c r="I2418" s="126" t="str">
        <f t="shared" si="113"/>
        <v>0y 9d 9h 24m</v>
      </c>
    </row>
    <row r="2419" s="91" customFormat="1" spans="1:9">
      <c r="A2419" s="91" t="str">
        <f t="shared" si="111"/>
        <v>Er-170</v>
      </c>
      <c r="B2419" s="91" t="s">
        <v>3035</v>
      </c>
      <c r="C2419" s="91" t="s">
        <v>3003</v>
      </c>
      <c r="D2419" s="91">
        <v>68</v>
      </c>
      <c r="E2419" s="91">
        <v>170</v>
      </c>
      <c r="F2419" s="91">
        <v>0</v>
      </c>
      <c r="G2419" s="126">
        <v>0</v>
      </c>
      <c r="H2419" s="126">
        <f t="shared" si="112"/>
        <v>0</v>
      </c>
      <c r="I2419" s="126" t="str">
        <f t="shared" si="113"/>
        <v>0y 0d 0h 0m</v>
      </c>
    </row>
    <row r="2420" s="91" customFormat="1" spans="1:9">
      <c r="A2420" s="91" t="str">
        <f t="shared" si="111"/>
        <v>Er-171</v>
      </c>
      <c r="B2420" s="91" t="s">
        <v>3036</v>
      </c>
      <c r="C2420" s="91" t="s">
        <v>3003</v>
      </c>
      <c r="D2420" s="91">
        <v>68</v>
      </c>
      <c r="E2420" s="91">
        <v>171</v>
      </c>
      <c r="F2420" s="91">
        <v>0</v>
      </c>
      <c r="G2420" s="126">
        <v>2.56174672018192e-5</v>
      </c>
      <c r="H2420" s="126">
        <f t="shared" si="112"/>
        <v>27057.6000000001</v>
      </c>
      <c r="I2420" s="126" t="str">
        <f t="shared" si="113"/>
        <v>0y 0d 7h 30m</v>
      </c>
    </row>
    <row r="2421" s="91" customFormat="1" spans="1:9">
      <c r="A2421" s="91" t="str">
        <f t="shared" si="111"/>
        <v>Er-172</v>
      </c>
      <c r="B2421" s="91" t="s">
        <v>3037</v>
      </c>
      <c r="C2421" s="91" t="s">
        <v>3003</v>
      </c>
      <c r="D2421" s="91">
        <v>68</v>
      </c>
      <c r="E2421" s="91">
        <v>172</v>
      </c>
      <c r="F2421" s="91">
        <v>0</v>
      </c>
      <c r="G2421" s="126">
        <v>3.9054945940948e-6</v>
      </c>
      <c r="H2421" s="126">
        <f t="shared" si="112"/>
        <v>177480</v>
      </c>
      <c r="I2421" s="126" t="str">
        <f t="shared" si="113"/>
        <v>0y 2d 1h 18m</v>
      </c>
    </row>
    <row r="2422" s="91" customFormat="1" spans="1:9">
      <c r="A2422" s="91" t="str">
        <f t="shared" si="111"/>
        <v>Er-173</v>
      </c>
      <c r="B2422" s="91" t="s">
        <v>3038</v>
      </c>
      <c r="C2422" s="91" t="s">
        <v>3003</v>
      </c>
      <c r="D2422" s="91">
        <v>68</v>
      </c>
      <c r="E2422" s="91">
        <v>173</v>
      </c>
      <c r="F2422" s="91">
        <v>0</v>
      </c>
      <c r="G2422" s="126">
        <v>0.00825175214952315</v>
      </c>
      <c r="H2422" s="126">
        <f t="shared" si="112"/>
        <v>84.0000000000001</v>
      </c>
      <c r="I2422" s="126" t="str">
        <f t="shared" si="113"/>
        <v>0y 0d 0h 1m</v>
      </c>
    </row>
    <row r="2423" s="91" customFormat="1" spans="1:9">
      <c r="A2423" s="91" t="str">
        <f t="shared" si="111"/>
        <v>Er-174</v>
      </c>
      <c r="B2423" s="91" t="s">
        <v>3039</v>
      </c>
      <c r="C2423" s="91" t="s">
        <v>3003</v>
      </c>
      <c r="D2423" s="91">
        <v>68</v>
      </c>
      <c r="E2423" s="91">
        <v>174</v>
      </c>
      <c r="F2423" s="91">
        <v>0</v>
      </c>
      <c r="G2423" s="126">
        <v>0.00361014156541638</v>
      </c>
      <c r="H2423" s="126">
        <f t="shared" si="112"/>
        <v>192</v>
      </c>
      <c r="I2423" s="126" t="str">
        <f t="shared" si="113"/>
        <v>0y 0d 0h 3m</v>
      </c>
    </row>
    <row r="2424" s="91" customFormat="1" spans="1:9">
      <c r="A2424" s="91" t="str">
        <f t="shared" si="111"/>
        <v>Er-175</v>
      </c>
      <c r="B2424" s="91" t="s">
        <v>3040</v>
      </c>
      <c r="C2424" s="91" t="s">
        <v>3003</v>
      </c>
      <c r="D2424" s="91">
        <v>68</v>
      </c>
      <c r="E2424" s="91">
        <v>175</v>
      </c>
      <c r="F2424" s="91">
        <v>0</v>
      </c>
      <c r="G2424" s="126">
        <v>0.00962704417444368</v>
      </c>
      <c r="H2424" s="126">
        <f t="shared" si="112"/>
        <v>72</v>
      </c>
      <c r="I2424" s="126" t="str">
        <f t="shared" si="113"/>
        <v>0y 0d 0h 1m</v>
      </c>
    </row>
    <row r="2425" s="91" customFormat="1" spans="1:9">
      <c r="A2425" s="91" t="str">
        <f t="shared" si="111"/>
        <v>Er-176</v>
      </c>
      <c r="B2425" s="91" t="s">
        <v>3041</v>
      </c>
      <c r="C2425" s="91" t="s">
        <v>3003</v>
      </c>
      <c r="D2425" s="91">
        <v>68</v>
      </c>
      <c r="E2425" s="91">
        <v>176</v>
      </c>
      <c r="F2425" s="91">
        <v>0</v>
      </c>
      <c r="G2425" s="126">
        <v>0.0346573590279972</v>
      </c>
      <c r="H2425" s="126">
        <f t="shared" si="112"/>
        <v>20</v>
      </c>
      <c r="I2425" s="126" t="str">
        <f t="shared" si="113"/>
        <v>0y 0d 0h 0m</v>
      </c>
    </row>
    <row r="2426" s="91" customFormat="1" spans="1:9">
      <c r="A2426" s="91" t="str">
        <f t="shared" si="111"/>
        <v>Er-177</v>
      </c>
      <c r="B2426" s="91" t="s">
        <v>3042</v>
      </c>
      <c r="C2426" s="91" t="s">
        <v>3003</v>
      </c>
      <c r="D2426" s="91">
        <v>68</v>
      </c>
      <c r="E2426" s="91">
        <v>177</v>
      </c>
      <c r="F2426" s="91">
        <v>0</v>
      </c>
      <c r="G2426" s="126">
        <v>0.231049060186648</v>
      </c>
      <c r="H2426" s="126">
        <f t="shared" si="112"/>
        <v>3.00000000000001</v>
      </c>
      <c r="I2426" s="126" t="str">
        <f t="shared" si="113"/>
        <v>0y 0d 0h 0m</v>
      </c>
    </row>
    <row r="2427" s="91" customFormat="1" spans="1:9">
      <c r="A2427" s="91" t="str">
        <f t="shared" si="111"/>
        <v>Tm-145</v>
      </c>
      <c r="B2427" s="91" t="s">
        <v>3043</v>
      </c>
      <c r="C2427" s="91" t="s">
        <v>3044</v>
      </c>
      <c r="D2427" s="91">
        <v>69</v>
      </c>
      <c r="E2427" s="91">
        <v>145</v>
      </c>
      <c r="F2427" s="91">
        <v>0</v>
      </c>
      <c r="G2427" s="126">
        <v>223595.864696756</v>
      </c>
      <c r="H2427" s="126">
        <f t="shared" si="112"/>
        <v>3.10000000000001e-6</v>
      </c>
      <c r="I2427" s="126" t="str">
        <f t="shared" si="113"/>
        <v>0y 0d 0h 0m</v>
      </c>
    </row>
    <row r="2428" s="91" customFormat="1" spans="1:9">
      <c r="A2428" s="91" t="str">
        <f t="shared" si="111"/>
        <v>Tm-146</v>
      </c>
      <c r="B2428" s="91" t="s">
        <v>3045</v>
      </c>
      <c r="C2428" s="91" t="s">
        <v>3044</v>
      </c>
      <c r="D2428" s="91">
        <v>69</v>
      </c>
      <c r="E2428" s="91">
        <v>146</v>
      </c>
      <c r="F2428" s="91">
        <v>0</v>
      </c>
      <c r="G2428" s="126">
        <v>8.66433975699931</v>
      </c>
      <c r="H2428" s="126">
        <f t="shared" si="112"/>
        <v>0.0800000000000001</v>
      </c>
      <c r="I2428" s="126" t="str">
        <f t="shared" si="113"/>
        <v>0y 0d 0h 0m</v>
      </c>
    </row>
    <row r="2429" s="91" customFormat="1" spans="1:9">
      <c r="A2429" s="91" t="str">
        <f t="shared" si="111"/>
        <v>Tm-146m</v>
      </c>
      <c r="B2429" s="91" t="s">
        <v>3046</v>
      </c>
      <c r="C2429" s="91" t="s">
        <v>3044</v>
      </c>
      <c r="D2429" s="91">
        <v>69</v>
      </c>
      <c r="E2429" s="91">
        <v>146</v>
      </c>
      <c r="F2429" s="91">
        <v>1</v>
      </c>
      <c r="G2429" s="126">
        <v>3.46573590279972</v>
      </c>
      <c r="H2429" s="126">
        <f t="shared" si="112"/>
        <v>0.2</v>
      </c>
      <c r="I2429" s="126" t="str">
        <f t="shared" si="113"/>
        <v>0y 0d 0h 0m</v>
      </c>
    </row>
    <row r="2430" s="91" customFormat="1" spans="1:9">
      <c r="A2430" s="91" t="str">
        <f t="shared" si="111"/>
        <v>Tm-147</v>
      </c>
      <c r="B2430" s="91" t="s">
        <v>3047</v>
      </c>
      <c r="C2430" s="91" t="s">
        <v>3044</v>
      </c>
      <c r="D2430" s="91">
        <v>69</v>
      </c>
      <c r="E2430" s="91">
        <v>147</v>
      </c>
      <c r="F2430" s="91">
        <v>0</v>
      </c>
      <c r="G2430" s="126">
        <v>1.195081345793</v>
      </c>
      <c r="H2430" s="126">
        <f t="shared" si="112"/>
        <v>0.580000000000004</v>
      </c>
      <c r="I2430" s="126" t="str">
        <f t="shared" si="113"/>
        <v>0y 0d 0h 0m</v>
      </c>
    </row>
    <row r="2431" s="91" customFormat="1" spans="1:9">
      <c r="A2431" s="91" t="str">
        <f t="shared" si="111"/>
        <v>Tm-148</v>
      </c>
      <c r="B2431" s="91" t="s">
        <v>3048</v>
      </c>
      <c r="C2431" s="91" t="s">
        <v>3044</v>
      </c>
      <c r="D2431" s="91">
        <v>69</v>
      </c>
      <c r="E2431" s="91">
        <v>148</v>
      </c>
      <c r="F2431" s="91">
        <v>0</v>
      </c>
      <c r="G2431" s="126">
        <v>0.990210257942779</v>
      </c>
      <c r="H2431" s="126">
        <f t="shared" si="112"/>
        <v>0.7</v>
      </c>
      <c r="I2431" s="126" t="str">
        <f t="shared" si="113"/>
        <v>0y 0d 0h 0m</v>
      </c>
    </row>
    <row r="2432" s="91" customFormat="1" spans="1:9">
      <c r="A2432" s="91" t="str">
        <f t="shared" si="111"/>
        <v>Tm-149</v>
      </c>
      <c r="B2432" s="91" t="s">
        <v>3049</v>
      </c>
      <c r="C2432" s="91" t="s">
        <v>3044</v>
      </c>
      <c r="D2432" s="91">
        <v>69</v>
      </c>
      <c r="E2432" s="91">
        <v>149</v>
      </c>
      <c r="F2432" s="91">
        <v>0</v>
      </c>
      <c r="G2432" s="126">
        <v>0.770163533955494</v>
      </c>
      <c r="H2432" s="126">
        <f t="shared" si="112"/>
        <v>0.900000000000001</v>
      </c>
      <c r="I2432" s="126" t="str">
        <f t="shared" si="113"/>
        <v>0y 0d 0h 0m</v>
      </c>
    </row>
    <row r="2433" s="91" customFormat="1" spans="1:9">
      <c r="A2433" s="91" t="str">
        <f t="shared" si="111"/>
        <v>Tm-150</v>
      </c>
      <c r="B2433" s="91" t="s">
        <v>3050</v>
      </c>
      <c r="C2433" s="91" t="s">
        <v>3044</v>
      </c>
      <c r="D2433" s="91">
        <v>69</v>
      </c>
      <c r="E2433" s="91">
        <v>150</v>
      </c>
      <c r="F2433" s="91">
        <v>0</v>
      </c>
      <c r="G2433" s="126">
        <v>0.31506690025452</v>
      </c>
      <c r="H2433" s="126">
        <f t="shared" si="112"/>
        <v>2.2</v>
      </c>
      <c r="I2433" s="126" t="str">
        <f t="shared" si="113"/>
        <v>0y 0d 0h 0m</v>
      </c>
    </row>
    <row r="2434" s="91" customFormat="1" spans="1:9">
      <c r="A2434" s="91" t="str">
        <f t="shared" ref="A2434:A2497" si="114">C2434&amp;"-"&amp;E2434&amp;_xlfn.IFS(F2434=0,"",F2434=1,"m",F2434&gt;1,"m"&amp;F2434)</f>
        <v>Tm-150m</v>
      </c>
      <c r="B2434" s="91" t="s">
        <v>3051</v>
      </c>
      <c r="C2434" s="91" t="s">
        <v>3044</v>
      </c>
      <c r="D2434" s="91">
        <v>69</v>
      </c>
      <c r="E2434" s="91">
        <v>150</v>
      </c>
      <c r="F2434" s="91">
        <v>1</v>
      </c>
      <c r="G2434" s="126">
        <v>133.297534723066</v>
      </c>
      <c r="H2434" s="126">
        <f t="shared" ref="H2434:H2497" si="115">IF(G2434&gt;0,LN(2)/G2434,0)</f>
        <v>0.00520000000000002</v>
      </c>
      <c r="I2434" s="126" t="str">
        <f t="shared" si="113"/>
        <v>0y 0d 0h 0m</v>
      </c>
    </row>
    <row r="2435" s="91" customFormat="1" spans="1:9">
      <c r="A2435" s="91" t="str">
        <f t="shared" si="114"/>
        <v>Tm-151</v>
      </c>
      <c r="B2435" s="91" t="s">
        <v>3052</v>
      </c>
      <c r="C2435" s="91" t="s">
        <v>3044</v>
      </c>
      <c r="D2435" s="91">
        <v>69</v>
      </c>
      <c r="E2435" s="91">
        <v>151</v>
      </c>
      <c r="F2435" s="91">
        <v>0</v>
      </c>
      <c r="G2435" s="126">
        <v>0.16622234545802</v>
      </c>
      <c r="H2435" s="126">
        <f t="shared" si="115"/>
        <v>4.17000000000001</v>
      </c>
      <c r="I2435" s="126" t="str">
        <f t="shared" ref="I2435:I2498" si="116">INT(H2435/31536000)&amp;"y "&amp;INT(MOD(H2435,31536000)/86400)&amp;"d "&amp;INT(MOD(MOD(H2435,31536000),86400)/3600)&amp;"h "&amp;INT(MOD(MOD(MOD(H2435,31536000),86400),3600)/60)&amp;"m"</f>
        <v>0y 0d 0h 0m</v>
      </c>
    </row>
    <row r="2436" s="91" customFormat="1" spans="1:9">
      <c r="A2436" s="91" t="str">
        <f t="shared" si="114"/>
        <v>Tm-151m</v>
      </c>
      <c r="B2436" s="91" t="s">
        <v>3053</v>
      </c>
      <c r="C2436" s="91" t="s">
        <v>3044</v>
      </c>
      <c r="D2436" s="91">
        <v>69</v>
      </c>
      <c r="E2436" s="91">
        <v>151</v>
      </c>
      <c r="F2436" s="91">
        <v>1</v>
      </c>
      <c r="G2436" s="126">
        <v>1536911.70855863</v>
      </c>
      <c r="H2436" s="126">
        <f t="shared" si="115"/>
        <v>4.51000000000002e-7</v>
      </c>
      <c r="I2436" s="126" t="str">
        <f t="shared" si="116"/>
        <v>0y 0d 0h 0m</v>
      </c>
    </row>
    <row r="2437" s="91" customFormat="1" spans="1:9">
      <c r="A2437" s="91" t="str">
        <f t="shared" si="114"/>
        <v>Tm-152</v>
      </c>
      <c r="B2437" s="91" t="s">
        <v>3054</v>
      </c>
      <c r="C2437" s="91" t="s">
        <v>3044</v>
      </c>
      <c r="D2437" s="91">
        <v>69</v>
      </c>
      <c r="E2437" s="91">
        <v>152</v>
      </c>
      <c r="F2437" s="91">
        <v>0</v>
      </c>
      <c r="G2437" s="126">
        <v>0.0866433975699931</v>
      </c>
      <c r="H2437" s="126">
        <f t="shared" si="115"/>
        <v>8.00000000000001</v>
      </c>
      <c r="I2437" s="126" t="str">
        <f t="shared" si="116"/>
        <v>0y 0d 0h 0m</v>
      </c>
    </row>
    <row r="2438" s="91" customFormat="1" spans="1:9">
      <c r="A2438" s="91" t="str">
        <f t="shared" si="114"/>
        <v>Tm-152m</v>
      </c>
      <c r="B2438" s="91" t="s">
        <v>3055</v>
      </c>
      <c r="C2438" s="91" t="s">
        <v>3044</v>
      </c>
      <c r="D2438" s="91">
        <v>69</v>
      </c>
      <c r="E2438" s="91">
        <v>152</v>
      </c>
      <c r="F2438" s="91">
        <v>1</v>
      </c>
      <c r="G2438" s="126">
        <v>0.133297534723066</v>
      </c>
      <c r="H2438" s="126">
        <f t="shared" si="115"/>
        <v>5.20000000000002</v>
      </c>
      <c r="I2438" s="126" t="str">
        <f t="shared" si="116"/>
        <v>0y 0d 0h 0m</v>
      </c>
    </row>
    <row r="2439" s="91" customFormat="1" spans="1:9">
      <c r="A2439" s="91" t="str">
        <f t="shared" si="114"/>
        <v>Tm-153</v>
      </c>
      <c r="B2439" s="91" t="s">
        <v>3056</v>
      </c>
      <c r="C2439" s="91" t="s">
        <v>3044</v>
      </c>
      <c r="D2439" s="91">
        <v>69</v>
      </c>
      <c r="E2439" s="91">
        <v>153</v>
      </c>
      <c r="F2439" s="91">
        <v>0</v>
      </c>
      <c r="G2439" s="126">
        <v>0.46834268956753</v>
      </c>
      <c r="H2439" s="126">
        <f t="shared" si="115"/>
        <v>1.48</v>
      </c>
      <c r="I2439" s="126" t="str">
        <f t="shared" si="116"/>
        <v>0y 0d 0h 0m</v>
      </c>
    </row>
    <row r="2440" s="91" customFormat="1" spans="1:9">
      <c r="A2440" s="91" t="str">
        <f t="shared" si="114"/>
        <v>Tm-153m</v>
      </c>
      <c r="B2440" s="91" t="s">
        <v>3057</v>
      </c>
      <c r="C2440" s="91" t="s">
        <v>3044</v>
      </c>
      <c r="D2440" s="91">
        <v>69</v>
      </c>
      <c r="E2440" s="91">
        <v>153</v>
      </c>
      <c r="F2440" s="91">
        <v>1</v>
      </c>
      <c r="G2440" s="126">
        <v>0.277258872223978</v>
      </c>
      <c r="H2440" s="126">
        <f t="shared" si="115"/>
        <v>2.5</v>
      </c>
      <c r="I2440" s="126" t="str">
        <f t="shared" si="116"/>
        <v>0y 0d 0h 0m</v>
      </c>
    </row>
    <row r="2441" s="91" customFormat="1" spans="1:9">
      <c r="A2441" s="91" t="str">
        <f t="shared" si="114"/>
        <v>Tm-154</v>
      </c>
      <c r="B2441" s="91" t="s">
        <v>3058</v>
      </c>
      <c r="C2441" s="91" t="s">
        <v>3044</v>
      </c>
      <c r="D2441" s="91">
        <v>69</v>
      </c>
      <c r="E2441" s="91">
        <v>154</v>
      </c>
      <c r="F2441" s="91">
        <v>0</v>
      </c>
      <c r="G2441" s="126">
        <v>0.0855737259950549</v>
      </c>
      <c r="H2441" s="126">
        <f t="shared" si="115"/>
        <v>8.10000000000001</v>
      </c>
      <c r="I2441" s="126" t="str">
        <f t="shared" si="116"/>
        <v>0y 0d 0h 0m</v>
      </c>
    </row>
    <row r="2442" s="91" customFormat="1" spans="1:9">
      <c r="A2442" s="91" t="str">
        <f t="shared" si="114"/>
        <v>Tm-154m</v>
      </c>
      <c r="B2442" s="91" t="s">
        <v>3059</v>
      </c>
      <c r="C2442" s="91" t="s">
        <v>3044</v>
      </c>
      <c r="D2442" s="91">
        <v>69</v>
      </c>
      <c r="E2442" s="91">
        <v>154</v>
      </c>
      <c r="F2442" s="91">
        <v>1</v>
      </c>
      <c r="G2442" s="126">
        <v>0.21004460016968</v>
      </c>
      <c r="H2442" s="126">
        <f t="shared" si="115"/>
        <v>3.30000000000001</v>
      </c>
      <c r="I2442" s="126" t="str">
        <f t="shared" si="116"/>
        <v>0y 0d 0h 0m</v>
      </c>
    </row>
    <row r="2443" s="91" customFormat="1" spans="1:9">
      <c r="A2443" s="91" t="str">
        <f t="shared" si="114"/>
        <v>Tm-155</v>
      </c>
      <c r="B2443" s="91" t="s">
        <v>3060</v>
      </c>
      <c r="C2443" s="91" t="s">
        <v>3044</v>
      </c>
      <c r="D2443" s="91">
        <v>69</v>
      </c>
      <c r="E2443" s="91">
        <v>155</v>
      </c>
      <c r="F2443" s="91">
        <v>0</v>
      </c>
      <c r="G2443" s="126">
        <v>0.0320901472481456</v>
      </c>
      <c r="H2443" s="126">
        <f t="shared" si="115"/>
        <v>21.6</v>
      </c>
      <c r="I2443" s="126" t="str">
        <f t="shared" si="116"/>
        <v>0y 0d 0h 0m</v>
      </c>
    </row>
    <row r="2444" s="91" customFormat="1" spans="1:9">
      <c r="A2444" s="91" t="str">
        <f t="shared" si="114"/>
        <v>Tm-155m</v>
      </c>
      <c r="B2444" s="91" t="s">
        <v>3061</v>
      </c>
      <c r="C2444" s="91" t="s">
        <v>3044</v>
      </c>
      <c r="D2444" s="91">
        <v>69</v>
      </c>
      <c r="E2444" s="91">
        <v>155</v>
      </c>
      <c r="F2444" s="91">
        <v>1</v>
      </c>
      <c r="G2444" s="126">
        <v>0.0154032706791098</v>
      </c>
      <c r="H2444" s="126">
        <f t="shared" si="115"/>
        <v>45.0000000000003</v>
      </c>
      <c r="I2444" s="126" t="str">
        <f t="shared" si="116"/>
        <v>0y 0d 0h 0m</v>
      </c>
    </row>
    <row r="2445" s="91" customFormat="1" spans="1:9">
      <c r="A2445" s="91" t="str">
        <f t="shared" si="114"/>
        <v>Tm-156</v>
      </c>
      <c r="B2445" s="91" t="s">
        <v>3062</v>
      </c>
      <c r="C2445" s="91" t="s">
        <v>3044</v>
      </c>
      <c r="D2445" s="91">
        <v>69</v>
      </c>
      <c r="E2445" s="91">
        <v>156</v>
      </c>
      <c r="F2445" s="91">
        <v>0</v>
      </c>
      <c r="G2445" s="126">
        <v>0.00827144606873443</v>
      </c>
      <c r="H2445" s="126">
        <f t="shared" si="115"/>
        <v>83.8</v>
      </c>
      <c r="I2445" s="126" t="str">
        <f t="shared" si="116"/>
        <v>0y 0d 0h 1m</v>
      </c>
    </row>
    <row r="2446" s="91" customFormat="1" spans="1:9">
      <c r="A2446" s="91" t="str">
        <f t="shared" si="114"/>
        <v>Tm-157</v>
      </c>
      <c r="B2446" s="91" t="s">
        <v>3063</v>
      </c>
      <c r="C2446" s="91" t="s">
        <v>3044</v>
      </c>
      <c r="D2446" s="91">
        <v>69</v>
      </c>
      <c r="E2446" s="91">
        <v>157</v>
      </c>
      <c r="F2446" s="91">
        <v>0</v>
      </c>
      <c r="G2446" s="126">
        <v>0.00318249394196485</v>
      </c>
      <c r="H2446" s="126">
        <f t="shared" si="115"/>
        <v>217.8</v>
      </c>
      <c r="I2446" s="126" t="str">
        <f t="shared" si="116"/>
        <v>0y 0d 0h 3m</v>
      </c>
    </row>
    <row r="2447" s="91" customFormat="1" spans="1:9">
      <c r="A2447" s="91" t="str">
        <f t="shared" si="114"/>
        <v>Tm-158</v>
      </c>
      <c r="B2447" s="91" t="s">
        <v>3064</v>
      </c>
      <c r="C2447" s="91" t="s">
        <v>3044</v>
      </c>
      <c r="D2447" s="91">
        <v>69</v>
      </c>
      <c r="E2447" s="91">
        <v>158</v>
      </c>
      <c r="F2447" s="91">
        <v>0</v>
      </c>
      <c r="G2447" s="126">
        <v>0.00290262638425437</v>
      </c>
      <c r="H2447" s="126">
        <f t="shared" si="115"/>
        <v>238.800000000001</v>
      </c>
      <c r="I2447" s="126" t="str">
        <f t="shared" si="116"/>
        <v>0y 0d 0h 3m</v>
      </c>
    </row>
    <row r="2448" s="91" customFormat="1" spans="1:9">
      <c r="A2448" s="91" t="str">
        <f t="shared" si="114"/>
        <v>Tm-159</v>
      </c>
      <c r="B2448" s="91" t="s">
        <v>3065</v>
      </c>
      <c r="C2448" s="91" t="s">
        <v>3044</v>
      </c>
      <c r="D2448" s="91">
        <v>69</v>
      </c>
      <c r="E2448" s="91">
        <v>159</v>
      </c>
      <c r="F2448" s="91">
        <v>0</v>
      </c>
      <c r="G2448" s="126">
        <v>0.00126532891668482</v>
      </c>
      <c r="H2448" s="126">
        <f t="shared" si="115"/>
        <v>547.800000000001</v>
      </c>
      <c r="I2448" s="126" t="str">
        <f t="shared" si="116"/>
        <v>0y 0d 0h 9m</v>
      </c>
    </row>
    <row r="2449" s="91" customFormat="1" spans="1:9">
      <c r="A2449" s="91" t="str">
        <f t="shared" si="114"/>
        <v>Tm-160</v>
      </c>
      <c r="B2449" s="91" t="s">
        <v>3066</v>
      </c>
      <c r="C2449" s="91" t="s">
        <v>3044</v>
      </c>
      <c r="D2449" s="91">
        <v>69</v>
      </c>
      <c r="E2449" s="91">
        <v>160</v>
      </c>
      <c r="F2449" s="91">
        <v>0</v>
      </c>
      <c r="G2449" s="126">
        <v>0.00122898436269493</v>
      </c>
      <c r="H2449" s="126">
        <f t="shared" si="115"/>
        <v>564.000000000004</v>
      </c>
      <c r="I2449" s="126" t="str">
        <f t="shared" si="116"/>
        <v>0y 0d 0h 9m</v>
      </c>
    </row>
    <row r="2450" s="91" customFormat="1" spans="1:9">
      <c r="A2450" s="91" t="str">
        <f t="shared" si="114"/>
        <v>Tm-160m</v>
      </c>
      <c r="B2450" s="91" t="s">
        <v>3067</v>
      </c>
      <c r="C2450" s="91" t="s">
        <v>3044</v>
      </c>
      <c r="D2450" s="91">
        <v>69</v>
      </c>
      <c r="E2450" s="91">
        <v>160</v>
      </c>
      <c r="F2450" s="91">
        <v>1</v>
      </c>
      <c r="G2450" s="126">
        <v>0.00930398900080463</v>
      </c>
      <c r="H2450" s="126">
        <f t="shared" si="115"/>
        <v>74.5</v>
      </c>
      <c r="I2450" s="126" t="str">
        <f t="shared" si="116"/>
        <v>0y 0d 0h 1m</v>
      </c>
    </row>
    <row r="2451" s="91" customFormat="1" spans="1:9">
      <c r="A2451" s="91" t="str">
        <f t="shared" si="114"/>
        <v>Tm-161</v>
      </c>
      <c r="B2451" s="91" t="s">
        <v>3068</v>
      </c>
      <c r="C2451" s="91" t="s">
        <v>3044</v>
      </c>
      <c r="D2451" s="91">
        <v>69</v>
      </c>
      <c r="E2451" s="91">
        <v>161</v>
      </c>
      <c r="F2451" s="91">
        <v>0</v>
      </c>
      <c r="G2451" s="126">
        <v>0.000382531556600411</v>
      </c>
      <c r="H2451" s="126">
        <f t="shared" si="115"/>
        <v>1812</v>
      </c>
      <c r="I2451" s="126" t="str">
        <f t="shared" si="116"/>
        <v>0y 0d 0h 30m</v>
      </c>
    </row>
    <row r="2452" s="91" customFormat="1" spans="1:9">
      <c r="A2452" s="91" t="str">
        <f t="shared" si="114"/>
        <v>Tm-162</v>
      </c>
      <c r="B2452" s="91" t="s">
        <v>3069</v>
      </c>
      <c r="C2452" s="91" t="s">
        <v>3044</v>
      </c>
      <c r="D2452" s="91">
        <v>69</v>
      </c>
      <c r="E2452" s="91">
        <v>162</v>
      </c>
      <c r="F2452" s="91">
        <v>0</v>
      </c>
      <c r="G2452" s="126">
        <v>0.000532371106420848</v>
      </c>
      <c r="H2452" s="126">
        <f t="shared" si="115"/>
        <v>1302</v>
      </c>
      <c r="I2452" s="126" t="str">
        <f t="shared" si="116"/>
        <v>0y 0d 0h 21m</v>
      </c>
    </row>
    <row r="2453" s="91" customFormat="1" spans="1:9">
      <c r="A2453" s="91" t="str">
        <f t="shared" si="114"/>
        <v>Tm-162m</v>
      </c>
      <c r="B2453" s="91" t="s">
        <v>3070</v>
      </c>
      <c r="C2453" s="91" t="s">
        <v>3044</v>
      </c>
      <c r="D2453" s="91">
        <v>69</v>
      </c>
      <c r="E2453" s="91">
        <v>162</v>
      </c>
      <c r="F2453" s="91">
        <v>1</v>
      </c>
      <c r="G2453" s="126">
        <v>0.0285245753316849</v>
      </c>
      <c r="H2453" s="126">
        <f t="shared" si="115"/>
        <v>24.3000000000001</v>
      </c>
      <c r="I2453" s="126" t="str">
        <f t="shared" si="116"/>
        <v>0y 0d 0h 0m</v>
      </c>
    </row>
    <row r="2454" s="91" customFormat="1" spans="1:9">
      <c r="A2454" s="91" t="str">
        <f t="shared" si="114"/>
        <v>Tm-163</v>
      </c>
      <c r="B2454" s="91" t="s">
        <v>3071</v>
      </c>
      <c r="C2454" s="91" t="s">
        <v>3044</v>
      </c>
      <c r="D2454" s="91">
        <v>69</v>
      </c>
      <c r="E2454" s="91">
        <v>163</v>
      </c>
      <c r="F2454" s="91">
        <v>0</v>
      </c>
      <c r="G2454" s="126">
        <v>0.000106376178723134</v>
      </c>
      <c r="H2454" s="126">
        <f t="shared" si="115"/>
        <v>6516.00000000004</v>
      </c>
      <c r="I2454" s="126" t="str">
        <f t="shared" si="116"/>
        <v>0y 0d 1h 48m</v>
      </c>
    </row>
    <row r="2455" s="91" customFormat="1" spans="1:9">
      <c r="A2455" s="91" t="str">
        <f t="shared" si="114"/>
        <v>Tm-164</v>
      </c>
      <c r="B2455" s="91" t="s">
        <v>3072</v>
      </c>
      <c r="C2455" s="91" t="s">
        <v>3044</v>
      </c>
      <c r="D2455" s="91">
        <v>69</v>
      </c>
      <c r="E2455" s="91">
        <v>164</v>
      </c>
      <c r="F2455" s="91">
        <v>0</v>
      </c>
      <c r="G2455" s="126">
        <v>0.00577622650466621</v>
      </c>
      <c r="H2455" s="126">
        <f t="shared" si="115"/>
        <v>120</v>
      </c>
      <c r="I2455" s="126" t="str">
        <f t="shared" si="116"/>
        <v>0y 0d 0h 2m</v>
      </c>
    </row>
    <row r="2456" s="91" customFormat="1" spans="1:9">
      <c r="A2456" s="91" t="str">
        <f t="shared" si="114"/>
        <v>Tm-164m</v>
      </c>
      <c r="B2456" s="91" t="s">
        <v>3073</v>
      </c>
      <c r="C2456" s="91" t="s">
        <v>3044</v>
      </c>
      <c r="D2456" s="91">
        <v>69</v>
      </c>
      <c r="E2456" s="91">
        <v>164</v>
      </c>
      <c r="F2456" s="91">
        <v>1</v>
      </c>
      <c r="G2456" s="126">
        <v>0.00226518686457498</v>
      </c>
      <c r="H2456" s="126">
        <f t="shared" si="115"/>
        <v>306.000000000001</v>
      </c>
      <c r="I2456" s="126" t="str">
        <f t="shared" si="116"/>
        <v>0y 0d 0h 5m</v>
      </c>
    </row>
    <row r="2457" s="91" customFormat="1" spans="1:9">
      <c r="A2457" s="91" t="str">
        <f t="shared" si="114"/>
        <v>Tm-165</v>
      </c>
      <c r="B2457" s="91" t="s">
        <v>3074</v>
      </c>
      <c r="C2457" s="91" t="s">
        <v>3044</v>
      </c>
      <c r="D2457" s="91">
        <v>69</v>
      </c>
      <c r="E2457" s="91">
        <v>165</v>
      </c>
      <c r="F2457" s="91">
        <v>0</v>
      </c>
      <c r="G2457" s="126">
        <v>6.40521901160591e-6</v>
      </c>
      <c r="H2457" s="126">
        <f t="shared" si="115"/>
        <v>108216</v>
      </c>
      <c r="I2457" s="126" t="str">
        <f t="shared" si="116"/>
        <v>0y 1d 6h 3m</v>
      </c>
    </row>
    <row r="2458" s="91" customFormat="1" spans="1:9">
      <c r="A2458" s="91" t="str">
        <f t="shared" si="114"/>
        <v>Tm-166</v>
      </c>
      <c r="B2458" s="91" t="s">
        <v>3075</v>
      </c>
      <c r="C2458" s="91" t="s">
        <v>3044</v>
      </c>
      <c r="D2458" s="91">
        <v>69</v>
      </c>
      <c r="E2458" s="91">
        <v>166</v>
      </c>
      <c r="F2458" s="91">
        <v>0</v>
      </c>
      <c r="G2458" s="126">
        <v>2.50053095440095e-5</v>
      </c>
      <c r="H2458" s="126">
        <f t="shared" si="115"/>
        <v>27720.0000000001</v>
      </c>
      <c r="I2458" s="126" t="str">
        <f t="shared" si="116"/>
        <v>0y 0d 7h 42m</v>
      </c>
    </row>
    <row r="2459" s="91" customFormat="1" spans="1:9">
      <c r="A2459" s="91" t="str">
        <f t="shared" si="114"/>
        <v>Tm-166m</v>
      </c>
      <c r="B2459" s="91" t="s">
        <v>3076</v>
      </c>
      <c r="C2459" s="91" t="s">
        <v>3044</v>
      </c>
      <c r="D2459" s="91">
        <v>69</v>
      </c>
      <c r="E2459" s="91">
        <v>166</v>
      </c>
      <c r="F2459" s="91">
        <v>1</v>
      </c>
      <c r="G2459" s="126">
        <v>2.03866817811748</v>
      </c>
      <c r="H2459" s="126">
        <f t="shared" si="115"/>
        <v>0.340000000000001</v>
      </c>
      <c r="I2459" s="126" t="str">
        <f t="shared" si="116"/>
        <v>0y 0d 0h 0m</v>
      </c>
    </row>
    <row r="2460" s="91" customFormat="1" spans="1:9">
      <c r="A2460" s="91" t="str">
        <f t="shared" si="114"/>
        <v>Tm-167</v>
      </c>
      <c r="B2460" s="91" t="s">
        <v>3077</v>
      </c>
      <c r="C2460" s="91" t="s">
        <v>3044</v>
      </c>
      <c r="D2460" s="91">
        <v>69</v>
      </c>
      <c r="E2460" s="91">
        <v>167</v>
      </c>
      <c r="F2460" s="91">
        <v>0</v>
      </c>
      <c r="G2460" s="126">
        <v>8.67301276976908e-7</v>
      </c>
      <c r="H2460" s="126">
        <f t="shared" si="115"/>
        <v>799200</v>
      </c>
      <c r="I2460" s="126" t="str">
        <f t="shared" si="116"/>
        <v>0y 9d 6h 0m</v>
      </c>
    </row>
    <row r="2461" s="91" customFormat="1" spans="1:9">
      <c r="A2461" s="91" t="str">
        <f t="shared" si="114"/>
        <v>Tm-168</v>
      </c>
      <c r="B2461" s="91" t="s">
        <v>3078</v>
      </c>
      <c r="C2461" s="91" t="s">
        <v>3044</v>
      </c>
      <c r="D2461" s="91">
        <v>69</v>
      </c>
      <c r="E2461" s="91">
        <v>168</v>
      </c>
      <c r="F2461" s="91">
        <v>0</v>
      </c>
      <c r="G2461" s="126">
        <v>8.61711795062986e-8</v>
      </c>
      <c r="H2461" s="126">
        <f t="shared" si="115"/>
        <v>8043840</v>
      </c>
      <c r="I2461" s="126" t="str">
        <f t="shared" si="116"/>
        <v>0y 93d 2h 24m</v>
      </c>
    </row>
    <row r="2462" s="91" customFormat="1" spans="1:9">
      <c r="A2462" s="91" t="str">
        <f t="shared" si="114"/>
        <v>Tm-169</v>
      </c>
      <c r="B2462" s="91" t="s">
        <v>3079</v>
      </c>
      <c r="C2462" s="91" t="s">
        <v>3044</v>
      </c>
      <c r="D2462" s="91">
        <v>69</v>
      </c>
      <c r="E2462" s="91">
        <v>169</v>
      </c>
      <c r="F2462" s="91">
        <v>0</v>
      </c>
      <c r="G2462" s="126">
        <v>0</v>
      </c>
      <c r="H2462" s="126">
        <f t="shared" si="115"/>
        <v>0</v>
      </c>
      <c r="I2462" s="126" t="str">
        <f t="shared" si="116"/>
        <v>0y 0d 0h 0m</v>
      </c>
    </row>
    <row r="2463" s="91" customFormat="1" spans="1:9">
      <c r="A2463" s="91" t="str">
        <f t="shared" si="114"/>
        <v>Tm-170</v>
      </c>
      <c r="B2463" s="91" t="s">
        <v>3080</v>
      </c>
      <c r="C2463" s="91" t="s">
        <v>3044</v>
      </c>
      <c r="D2463" s="91">
        <v>69</v>
      </c>
      <c r="E2463" s="91">
        <v>170</v>
      </c>
      <c r="F2463" s="91">
        <v>0</v>
      </c>
      <c r="G2463" s="126">
        <v>6.23836455057263e-8</v>
      </c>
      <c r="H2463" s="126">
        <f t="shared" si="115"/>
        <v>11111040</v>
      </c>
      <c r="I2463" s="126" t="str">
        <f t="shared" si="116"/>
        <v>0y 128d 14h 24m</v>
      </c>
    </row>
    <row r="2464" s="91" customFormat="1" spans="1:9">
      <c r="A2464" s="91" t="str">
        <f t="shared" si="114"/>
        <v>Tm-171</v>
      </c>
      <c r="B2464" s="91" t="s">
        <v>3081</v>
      </c>
      <c r="C2464" s="91" t="s">
        <v>3044</v>
      </c>
      <c r="D2464" s="91">
        <v>69</v>
      </c>
      <c r="E2464" s="91">
        <v>171</v>
      </c>
      <c r="F2464" s="91">
        <v>0</v>
      </c>
      <c r="G2464" s="126">
        <v>1.14398486722104e-8</v>
      </c>
      <c r="H2464" s="126">
        <f t="shared" si="115"/>
        <v>60590590</v>
      </c>
      <c r="I2464" s="126" t="str">
        <f t="shared" si="116"/>
        <v>1y 336d 6h 43m</v>
      </c>
    </row>
    <row r="2465" s="91" customFormat="1" spans="1:9">
      <c r="A2465" s="91" t="str">
        <f t="shared" si="114"/>
        <v>Tm-172</v>
      </c>
      <c r="B2465" s="91" t="s">
        <v>3082</v>
      </c>
      <c r="C2465" s="91" t="s">
        <v>3044</v>
      </c>
      <c r="D2465" s="91">
        <v>69</v>
      </c>
      <c r="E2465" s="91">
        <v>172</v>
      </c>
      <c r="F2465" s="91">
        <v>0</v>
      </c>
      <c r="G2465" s="126">
        <v>3.02737238190052e-6</v>
      </c>
      <c r="H2465" s="126">
        <f t="shared" si="115"/>
        <v>228960.000000001</v>
      </c>
      <c r="I2465" s="126" t="str">
        <f t="shared" si="116"/>
        <v>0y 2d 15h 36m</v>
      </c>
    </row>
    <row r="2466" s="91" customFormat="1" spans="1:9">
      <c r="A2466" s="91" t="str">
        <f t="shared" si="114"/>
        <v>Tm-173</v>
      </c>
      <c r="B2466" s="91" t="s">
        <v>3083</v>
      </c>
      <c r="C2466" s="91" t="s">
        <v>3044</v>
      </c>
      <c r="D2466" s="91">
        <v>69</v>
      </c>
      <c r="E2466" s="91">
        <v>173</v>
      </c>
      <c r="F2466" s="91">
        <v>0</v>
      </c>
      <c r="G2466" s="126">
        <v>2.33666120738924e-5</v>
      </c>
      <c r="H2466" s="126">
        <f t="shared" si="115"/>
        <v>29664</v>
      </c>
      <c r="I2466" s="126" t="str">
        <f t="shared" si="116"/>
        <v>0y 0d 8h 14m</v>
      </c>
    </row>
    <row r="2467" s="91" customFormat="1" spans="1:9">
      <c r="A2467" s="91" t="str">
        <f t="shared" si="114"/>
        <v>Tm-174</v>
      </c>
      <c r="B2467" s="91" t="s">
        <v>3084</v>
      </c>
      <c r="C2467" s="91" t="s">
        <v>3044</v>
      </c>
      <c r="D2467" s="91">
        <v>69</v>
      </c>
      <c r="E2467" s="91">
        <v>174</v>
      </c>
      <c r="F2467" s="91">
        <v>0</v>
      </c>
      <c r="G2467" s="126">
        <v>0.00213934314987637</v>
      </c>
      <c r="H2467" s="126">
        <f t="shared" si="115"/>
        <v>324.000000000001</v>
      </c>
      <c r="I2467" s="126" t="str">
        <f t="shared" si="116"/>
        <v>0y 0d 0h 5m</v>
      </c>
    </row>
    <row r="2468" s="91" customFormat="1" spans="1:9">
      <c r="A2468" s="91" t="str">
        <f t="shared" si="114"/>
        <v>Tm-175</v>
      </c>
      <c r="B2468" s="91" t="s">
        <v>3085</v>
      </c>
      <c r="C2468" s="91" t="s">
        <v>3044</v>
      </c>
      <c r="D2468" s="91">
        <v>69</v>
      </c>
      <c r="E2468" s="91">
        <v>175</v>
      </c>
      <c r="F2468" s="91">
        <v>0</v>
      </c>
      <c r="G2468" s="126">
        <v>0.000760029803245554</v>
      </c>
      <c r="H2468" s="126">
        <f t="shared" si="115"/>
        <v>912</v>
      </c>
      <c r="I2468" s="126" t="str">
        <f t="shared" si="116"/>
        <v>0y 0d 0h 15m</v>
      </c>
    </row>
    <row r="2469" s="91" customFormat="1" spans="1:9">
      <c r="A2469" s="91" t="str">
        <f t="shared" si="114"/>
        <v>Tm-176</v>
      </c>
      <c r="B2469" s="91" t="s">
        <v>3086</v>
      </c>
      <c r="C2469" s="91" t="s">
        <v>3044</v>
      </c>
      <c r="D2469" s="91">
        <v>69</v>
      </c>
      <c r="E2469" s="91">
        <v>176</v>
      </c>
      <c r="F2469" s="91">
        <v>0</v>
      </c>
      <c r="G2469" s="126">
        <v>0.00608023842596443</v>
      </c>
      <c r="H2469" s="126">
        <f t="shared" si="115"/>
        <v>114</v>
      </c>
      <c r="I2469" s="126" t="str">
        <f t="shared" si="116"/>
        <v>0y 0d 0h 1m</v>
      </c>
    </row>
    <row r="2470" s="91" customFormat="1" spans="1:9">
      <c r="A2470" s="91" t="str">
        <f t="shared" si="114"/>
        <v>Tm-177</v>
      </c>
      <c r="B2470" s="91" t="s">
        <v>3087</v>
      </c>
      <c r="C2470" s="91" t="s">
        <v>3044</v>
      </c>
      <c r="D2470" s="91">
        <v>69</v>
      </c>
      <c r="E2470" s="91">
        <v>177</v>
      </c>
      <c r="F2470" s="91">
        <v>0</v>
      </c>
      <c r="G2470" s="126">
        <v>0.00770163533955494</v>
      </c>
      <c r="H2470" s="126">
        <f t="shared" si="115"/>
        <v>90.0000000000001</v>
      </c>
      <c r="I2470" s="126" t="str">
        <f t="shared" si="116"/>
        <v>0y 0d 0h 1m</v>
      </c>
    </row>
    <row r="2471" s="91" customFormat="1" spans="1:9">
      <c r="A2471" s="91" t="str">
        <f t="shared" si="114"/>
        <v>Tm-178</v>
      </c>
      <c r="B2471" s="91" t="s">
        <v>3088</v>
      </c>
      <c r="C2471" s="91" t="s">
        <v>3044</v>
      </c>
      <c r="D2471" s="91">
        <v>69</v>
      </c>
      <c r="E2471" s="91">
        <v>178</v>
      </c>
      <c r="F2471" s="91">
        <v>0</v>
      </c>
      <c r="G2471" s="126">
        <v>0.0231049060186648</v>
      </c>
      <c r="H2471" s="126">
        <f t="shared" si="115"/>
        <v>30.0000000000001</v>
      </c>
      <c r="I2471" s="126" t="str">
        <f t="shared" si="116"/>
        <v>0y 0d 0h 0m</v>
      </c>
    </row>
    <row r="2472" s="91" customFormat="1" spans="1:9">
      <c r="A2472" s="91" t="str">
        <f t="shared" si="114"/>
        <v>Tm-179</v>
      </c>
      <c r="B2472" s="91" t="s">
        <v>3089</v>
      </c>
      <c r="C2472" s="91" t="s">
        <v>3044</v>
      </c>
      <c r="D2472" s="91">
        <v>69</v>
      </c>
      <c r="E2472" s="91">
        <v>179</v>
      </c>
      <c r="F2472" s="91">
        <v>0</v>
      </c>
      <c r="G2472" s="126">
        <v>0.0346573590279972</v>
      </c>
      <c r="H2472" s="126">
        <f t="shared" si="115"/>
        <v>20</v>
      </c>
      <c r="I2472" s="126" t="str">
        <f t="shared" si="116"/>
        <v>0y 0d 0h 0m</v>
      </c>
    </row>
    <row r="2473" s="91" customFormat="1" spans="1:9">
      <c r="A2473" s="91" t="str">
        <f t="shared" si="114"/>
        <v>Yb-148</v>
      </c>
      <c r="B2473" s="91" t="s">
        <v>3090</v>
      </c>
      <c r="C2473" s="91" t="s">
        <v>3091</v>
      </c>
      <c r="D2473" s="91">
        <v>70</v>
      </c>
      <c r="E2473" s="91">
        <v>148</v>
      </c>
      <c r="F2473" s="91">
        <v>0</v>
      </c>
      <c r="G2473" s="126">
        <v>2.77258872223978</v>
      </c>
      <c r="H2473" s="126">
        <f t="shared" si="115"/>
        <v>0.25</v>
      </c>
      <c r="I2473" s="126" t="str">
        <f t="shared" si="116"/>
        <v>0y 0d 0h 0m</v>
      </c>
    </row>
    <row r="2474" s="91" customFormat="1" spans="1:9">
      <c r="A2474" s="91" t="str">
        <f t="shared" si="114"/>
        <v>Yb-149</v>
      </c>
      <c r="B2474" s="91" t="s">
        <v>3092</v>
      </c>
      <c r="C2474" s="91" t="s">
        <v>3091</v>
      </c>
      <c r="D2474" s="91">
        <v>70</v>
      </c>
      <c r="E2474" s="91">
        <v>149</v>
      </c>
      <c r="F2474" s="91">
        <v>0</v>
      </c>
      <c r="G2474" s="126">
        <v>0.990210257942779</v>
      </c>
      <c r="H2474" s="126">
        <f t="shared" si="115"/>
        <v>0.7</v>
      </c>
      <c r="I2474" s="126" t="str">
        <f t="shared" si="116"/>
        <v>0y 0d 0h 0m</v>
      </c>
    </row>
    <row r="2475" s="91" customFormat="1" spans="1:9">
      <c r="A2475" s="91" t="str">
        <f t="shared" si="114"/>
        <v>Yb-150</v>
      </c>
      <c r="B2475" s="91" t="s">
        <v>3093</v>
      </c>
      <c r="C2475" s="91" t="s">
        <v>3091</v>
      </c>
      <c r="D2475" s="91">
        <v>70</v>
      </c>
      <c r="E2475" s="91">
        <v>150</v>
      </c>
      <c r="F2475" s="91">
        <v>0</v>
      </c>
      <c r="G2475" s="126">
        <v>3465735.90279972</v>
      </c>
      <c r="H2475" s="126">
        <f t="shared" si="115"/>
        <v>2e-7</v>
      </c>
      <c r="I2475" s="126" t="str">
        <f t="shared" si="116"/>
        <v>0y 0d 0h 0m</v>
      </c>
    </row>
    <row r="2476" s="91" customFormat="1" spans="1:9">
      <c r="A2476" s="91" t="str">
        <f t="shared" si="114"/>
        <v>Yb-151</v>
      </c>
      <c r="B2476" s="91" t="s">
        <v>3094</v>
      </c>
      <c r="C2476" s="91" t="s">
        <v>3091</v>
      </c>
      <c r="D2476" s="91">
        <v>70</v>
      </c>
      <c r="E2476" s="91">
        <v>151</v>
      </c>
      <c r="F2476" s="91">
        <v>0</v>
      </c>
      <c r="G2476" s="126">
        <v>0.433216987849965</v>
      </c>
      <c r="H2476" s="126">
        <f t="shared" si="115"/>
        <v>1.6</v>
      </c>
      <c r="I2476" s="126" t="str">
        <f t="shared" si="116"/>
        <v>0y 0d 0h 0m</v>
      </c>
    </row>
    <row r="2477" s="91" customFormat="1" spans="1:9">
      <c r="A2477" s="91" t="str">
        <f t="shared" si="114"/>
        <v>Yb-151m</v>
      </c>
      <c r="B2477" s="91" t="s">
        <v>3095</v>
      </c>
      <c r="C2477" s="91" t="s">
        <v>3091</v>
      </c>
      <c r="D2477" s="91">
        <v>70</v>
      </c>
      <c r="E2477" s="91">
        <v>151</v>
      </c>
      <c r="F2477" s="91">
        <v>1</v>
      </c>
      <c r="G2477" s="126">
        <v>0.433216987849965</v>
      </c>
      <c r="H2477" s="126">
        <f t="shared" si="115"/>
        <v>1.6</v>
      </c>
      <c r="I2477" s="126" t="str">
        <f t="shared" si="116"/>
        <v>0y 0d 0h 0m</v>
      </c>
    </row>
    <row r="2478" s="91" customFormat="1" spans="1:9">
      <c r="A2478" s="91" t="str">
        <f t="shared" si="114"/>
        <v>Yb-152</v>
      </c>
      <c r="B2478" s="91" t="s">
        <v>3096</v>
      </c>
      <c r="C2478" s="91" t="s">
        <v>3091</v>
      </c>
      <c r="D2478" s="91">
        <v>70</v>
      </c>
      <c r="E2478" s="91">
        <v>152</v>
      </c>
      <c r="F2478" s="91">
        <v>0</v>
      </c>
      <c r="G2478" s="126">
        <v>0.228008940973666</v>
      </c>
      <c r="H2478" s="126">
        <f t="shared" si="115"/>
        <v>3.04</v>
      </c>
      <c r="I2478" s="126" t="str">
        <f t="shared" si="116"/>
        <v>0y 0d 0h 0m</v>
      </c>
    </row>
    <row r="2479" s="91" customFormat="1" spans="1:9">
      <c r="A2479" s="91" t="str">
        <f t="shared" si="114"/>
        <v>Yb-153</v>
      </c>
      <c r="B2479" s="91" t="s">
        <v>3097</v>
      </c>
      <c r="C2479" s="91" t="s">
        <v>3091</v>
      </c>
      <c r="D2479" s="91">
        <v>70</v>
      </c>
      <c r="E2479" s="91">
        <v>153</v>
      </c>
      <c r="F2479" s="91">
        <v>0</v>
      </c>
      <c r="G2479" s="126">
        <v>0.165035042990463</v>
      </c>
      <c r="H2479" s="126">
        <f t="shared" si="115"/>
        <v>4.2</v>
      </c>
      <c r="I2479" s="126" t="str">
        <f t="shared" si="116"/>
        <v>0y 0d 0h 0m</v>
      </c>
    </row>
    <row r="2480" s="91" customFormat="1" spans="1:9">
      <c r="A2480" s="91" t="str">
        <f t="shared" si="114"/>
        <v>Yb-154</v>
      </c>
      <c r="B2480" s="91" t="s">
        <v>3098</v>
      </c>
      <c r="C2480" s="91" t="s">
        <v>3091</v>
      </c>
      <c r="D2480" s="91">
        <v>70</v>
      </c>
      <c r="E2480" s="91">
        <v>154</v>
      </c>
      <c r="F2480" s="91">
        <v>0</v>
      </c>
      <c r="G2480" s="126">
        <v>1.69473638278715</v>
      </c>
      <c r="H2480" s="126">
        <f t="shared" si="115"/>
        <v>0.409000000000001</v>
      </c>
      <c r="I2480" s="126" t="str">
        <f t="shared" si="116"/>
        <v>0y 0d 0h 0m</v>
      </c>
    </row>
    <row r="2481" s="91" customFormat="1" spans="1:9">
      <c r="A2481" s="91" t="str">
        <f t="shared" si="114"/>
        <v>Yb-155</v>
      </c>
      <c r="B2481" s="91" t="s">
        <v>3099</v>
      </c>
      <c r="C2481" s="91" t="s">
        <v>3091</v>
      </c>
      <c r="D2481" s="91">
        <v>70</v>
      </c>
      <c r="E2481" s="91">
        <v>155</v>
      </c>
      <c r="F2481" s="91">
        <v>0</v>
      </c>
      <c r="G2481" s="126">
        <v>0.386585153686528</v>
      </c>
      <c r="H2481" s="126">
        <f t="shared" si="115"/>
        <v>1.793</v>
      </c>
      <c r="I2481" s="126" t="str">
        <f t="shared" si="116"/>
        <v>0y 0d 0h 0m</v>
      </c>
    </row>
    <row r="2482" s="91" customFormat="1" spans="1:9">
      <c r="A2482" s="91" t="str">
        <f t="shared" si="114"/>
        <v>Yb-156</v>
      </c>
      <c r="B2482" s="91" t="s">
        <v>3100</v>
      </c>
      <c r="C2482" s="91" t="s">
        <v>3091</v>
      </c>
      <c r="D2482" s="91">
        <v>70</v>
      </c>
      <c r="E2482" s="91">
        <v>156</v>
      </c>
      <c r="F2482" s="91">
        <v>0</v>
      </c>
      <c r="G2482" s="126">
        <v>0.0265573632398446</v>
      </c>
      <c r="H2482" s="126">
        <f t="shared" si="115"/>
        <v>26.1</v>
      </c>
      <c r="I2482" s="126" t="str">
        <f t="shared" si="116"/>
        <v>0y 0d 0h 0m</v>
      </c>
    </row>
    <row r="2483" s="91" customFormat="1" spans="1:9">
      <c r="A2483" s="91" t="str">
        <f t="shared" si="114"/>
        <v>Yb-157</v>
      </c>
      <c r="B2483" s="91" t="s">
        <v>3101</v>
      </c>
      <c r="C2483" s="91" t="s">
        <v>3091</v>
      </c>
      <c r="D2483" s="91">
        <v>70</v>
      </c>
      <c r="E2483" s="91">
        <v>157</v>
      </c>
      <c r="F2483" s="91">
        <v>0</v>
      </c>
      <c r="G2483" s="126">
        <v>0.0179571808435218</v>
      </c>
      <c r="H2483" s="126">
        <f t="shared" si="115"/>
        <v>38.6000000000002</v>
      </c>
      <c r="I2483" s="126" t="str">
        <f t="shared" si="116"/>
        <v>0y 0d 0h 0m</v>
      </c>
    </row>
    <row r="2484" s="91" customFormat="1" spans="1:9">
      <c r="A2484" s="91" t="str">
        <f t="shared" si="114"/>
        <v>Yb-158</v>
      </c>
      <c r="B2484" s="91" t="s">
        <v>3102</v>
      </c>
      <c r="C2484" s="91" t="s">
        <v>3091</v>
      </c>
      <c r="D2484" s="91">
        <v>70</v>
      </c>
      <c r="E2484" s="91">
        <v>158</v>
      </c>
      <c r="F2484" s="91">
        <v>0</v>
      </c>
      <c r="G2484" s="126">
        <v>0.00775332416733719</v>
      </c>
      <c r="H2484" s="126">
        <f t="shared" si="115"/>
        <v>89.4000000000001</v>
      </c>
      <c r="I2484" s="126" t="str">
        <f t="shared" si="116"/>
        <v>0y 0d 0h 1m</v>
      </c>
    </row>
    <row r="2485" s="91" customFormat="1" spans="1:9">
      <c r="A2485" s="91" t="str">
        <f t="shared" si="114"/>
        <v>Yb-159</v>
      </c>
      <c r="B2485" s="91" t="s">
        <v>3103</v>
      </c>
      <c r="C2485" s="91" t="s">
        <v>3091</v>
      </c>
      <c r="D2485" s="91">
        <v>70</v>
      </c>
      <c r="E2485" s="91">
        <v>159</v>
      </c>
      <c r="F2485" s="91">
        <v>0</v>
      </c>
      <c r="G2485" s="126">
        <v>0.00691763653253438</v>
      </c>
      <c r="H2485" s="126">
        <f t="shared" si="115"/>
        <v>100.2</v>
      </c>
      <c r="I2485" s="126" t="str">
        <f t="shared" si="116"/>
        <v>0y 0d 0h 1m</v>
      </c>
    </row>
    <row r="2486" s="91" customFormat="1" spans="1:9">
      <c r="A2486" s="91" t="str">
        <f t="shared" si="114"/>
        <v>Yb-160</v>
      </c>
      <c r="B2486" s="91" t="s">
        <v>3104</v>
      </c>
      <c r="C2486" s="91" t="s">
        <v>3091</v>
      </c>
      <c r="D2486" s="91">
        <v>70</v>
      </c>
      <c r="E2486" s="91">
        <v>160</v>
      </c>
      <c r="F2486" s="91">
        <v>0</v>
      </c>
      <c r="G2486" s="126">
        <v>0.00240676104361092</v>
      </c>
      <c r="H2486" s="126">
        <f t="shared" si="115"/>
        <v>288</v>
      </c>
      <c r="I2486" s="126" t="str">
        <f t="shared" si="116"/>
        <v>0y 0d 0h 4m</v>
      </c>
    </row>
    <row r="2487" s="91" customFormat="1" spans="1:9">
      <c r="A2487" s="91" t="str">
        <f t="shared" si="114"/>
        <v>Yb-161</v>
      </c>
      <c r="B2487" s="91" t="s">
        <v>3105</v>
      </c>
      <c r="C2487" s="91" t="s">
        <v>3091</v>
      </c>
      <c r="D2487" s="91">
        <v>70</v>
      </c>
      <c r="E2487" s="91">
        <v>161</v>
      </c>
      <c r="F2487" s="91">
        <v>0</v>
      </c>
      <c r="G2487" s="126">
        <v>0.00275058404984105</v>
      </c>
      <c r="H2487" s="126">
        <f t="shared" si="115"/>
        <v>252</v>
      </c>
      <c r="I2487" s="126" t="str">
        <f t="shared" si="116"/>
        <v>0y 0d 0h 4m</v>
      </c>
    </row>
    <row r="2488" s="91" customFormat="1" spans="1:9">
      <c r="A2488" s="91" t="str">
        <f t="shared" si="114"/>
        <v>Yb-162</v>
      </c>
      <c r="B2488" s="91" t="s">
        <v>3106</v>
      </c>
      <c r="C2488" s="91" t="s">
        <v>3091</v>
      </c>
      <c r="D2488" s="91">
        <v>70</v>
      </c>
      <c r="E2488" s="91">
        <v>162</v>
      </c>
      <c r="F2488" s="91">
        <v>0</v>
      </c>
      <c r="G2488" s="126">
        <v>0.000612212666101347</v>
      </c>
      <c r="H2488" s="126">
        <f t="shared" si="115"/>
        <v>1132.2</v>
      </c>
      <c r="I2488" s="126" t="str">
        <f t="shared" si="116"/>
        <v>0y 0d 0h 18m</v>
      </c>
    </row>
    <row r="2489" s="91" customFormat="1" spans="1:9">
      <c r="A2489" s="91" t="str">
        <f t="shared" si="114"/>
        <v>Yb-163</v>
      </c>
      <c r="B2489" s="91" t="s">
        <v>3107</v>
      </c>
      <c r="C2489" s="91" t="s">
        <v>3091</v>
      </c>
      <c r="D2489" s="91">
        <v>70</v>
      </c>
      <c r="E2489" s="91">
        <v>163</v>
      </c>
      <c r="F2489" s="91">
        <v>0</v>
      </c>
      <c r="G2489" s="126">
        <v>0.00104547086057306</v>
      </c>
      <c r="H2489" s="126">
        <f t="shared" si="115"/>
        <v>663.000000000006</v>
      </c>
      <c r="I2489" s="126" t="str">
        <f t="shared" si="116"/>
        <v>0y 0d 0h 11m</v>
      </c>
    </row>
    <row r="2490" s="91" customFormat="1" spans="1:9">
      <c r="A2490" s="91" t="str">
        <f t="shared" si="114"/>
        <v>Yb-164</v>
      </c>
      <c r="B2490" s="91" t="s">
        <v>3108</v>
      </c>
      <c r="C2490" s="91" t="s">
        <v>3091</v>
      </c>
      <c r="D2490" s="91">
        <v>70</v>
      </c>
      <c r="E2490" s="91">
        <v>164</v>
      </c>
      <c r="F2490" s="91">
        <v>0</v>
      </c>
      <c r="G2490" s="126">
        <v>0.000152407031785388</v>
      </c>
      <c r="H2490" s="126">
        <f t="shared" si="115"/>
        <v>4548</v>
      </c>
      <c r="I2490" s="126" t="str">
        <f t="shared" si="116"/>
        <v>0y 0d 1h 15m</v>
      </c>
    </row>
    <row r="2491" s="91" customFormat="1" spans="1:9">
      <c r="A2491" s="91" t="str">
        <f t="shared" si="114"/>
        <v>Yb-165</v>
      </c>
      <c r="B2491" s="91" t="s">
        <v>3109</v>
      </c>
      <c r="C2491" s="91" t="s">
        <v>3091</v>
      </c>
      <c r="D2491" s="91">
        <v>70</v>
      </c>
      <c r="E2491" s="91">
        <v>165</v>
      </c>
      <c r="F2491" s="91">
        <v>0</v>
      </c>
      <c r="G2491" s="126">
        <v>0.00116691444538711</v>
      </c>
      <c r="H2491" s="126">
        <f t="shared" si="115"/>
        <v>594.000000000002</v>
      </c>
      <c r="I2491" s="126" t="str">
        <f t="shared" si="116"/>
        <v>0y 0d 0h 9m</v>
      </c>
    </row>
    <row r="2492" s="91" customFormat="1" spans="1:9">
      <c r="A2492" s="91" t="str">
        <f t="shared" si="114"/>
        <v>Yb-166</v>
      </c>
      <c r="B2492" s="91" t="s">
        <v>3110</v>
      </c>
      <c r="C2492" s="91" t="s">
        <v>3091</v>
      </c>
      <c r="D2492" s="91">
        <v>70</v>
      </c>
      <c r="E2492" s="91">
        <v>166</v>
      </c>
      <c r="F2492" s="91">
        <v>0</v>
      </c>
      <c r="G2492" s="126">
        <v>3.39578277758154e-6</v>
      </c>
      <c r="H2492" s="126">
        <f t="shared" si="115"/>
        <v>204120</v>
      </c>
      <c r="I2492" s="126" t="str">
        <f t="shared" si="116"/>
        <v>0y 2d 8h 42m</v>
      </c>
    </row>
    <row r="2493" s="91" customFormat="1" spans="1:9">
      <c r="A2493" s="91" t="str">
        <f t="shared" si="114"/>
        <v>Yb-167</v>
      </c>
      <c r="B2493" s="91" t="s">
        <v>3111</v>
      </c>
      <c r="C2493" s="91" t="s">
        <v>3091</v>
      </c>
      <c r="D2493" s="91">
        <v>70</v>
      </c>
      <c r="E2493" s="91">
        <v>167</v>
      </c>
      <c r="F2493" s="91">
        <v>0</v>
      </c>
      <c r="G2493" s="126">
        <v>0.000660140171961852</v>
      </c>
      <c r="H2493" s="126">
        <f t="shared" si="115"/>
        <v>1050</v>
      </c>
      <c r="I2493" s="126" t="str">
        <f t="shared" si="116"/>
        <v>0y 0d 0h 17m</v>
      </c>
    </row>
    <row r="2494" s="91" customFormat="1" spans="1:9">
      <c r="A2494" s="91" t="str">
        <f t="shared" si="114"/>
        <v>Yb-168</v>
      </c>
      <c r="B2494" s="91" t="s">
        <v>3112</v>
      </c>
      <c r="C2494" s="91" t="s">
        <v>3091</v>
      </c>
      <c r="D2494" s="91">
        <v>70</v>
      </c>
      <c r="E2494" s="91">
        <v>168</v>
      </c>
      <c r="F2494" s="91">
        <v>0</v>
      </c>
      <c r="G2494" s="126">
        <v>0</v>
      </c>
      <c r="H2494" s="126">
        <f t="shared" si="115"/>
        <v>0</v>
      </c>
      <c r="I2494" s="126" t="str">
        <f t="shared" si="116"/>
        <v>0y 0d 0h 0m</v>
      </c>
    </row>
    <row r="2495" s="91" customFormat="1" spans="1:9">
      <c r="A2495" s="91" t="str">
        <f t="shared" si="114"/>
        <v>Yb-169</v>
      </c>
      <c r="B2495" s="91" t="s">
        <v>3113</v>
      </c>
      <c r="C2495" s="91" t="s">
        <v>3091</v>
      </c>
      <c r="D2495" s="91">
        <v>70</v>
      </c>
      <c r="E2495" s="91">
        <v>169</v>
      </c>
      <c r="F2495" s="91">
        <v>0</v>
      </c>
      <c r="G2495" s="126">
        <v>2.50563351616096e-7</v>
      </c>
      <c r="H2495" s="126">
        <f t="shared" si="115"/>
        <v>2766355</v>
      </c>
      <c r="I2495" s="126" t="str">
        <f t="shared" si="116"/>
        <v>0y 32d 0h 25m</v>
      </c>
    </row>
    <row r="2496" s="91" customFormat="1" spans="1:9">
      <c r="A2496" s="91" t="str">
        <f t="shared" si="114"/>
        <v>Yb-169m</v>
      </c>
      <c r="B2496" s="91" t="s">
        <v>3114</v>
      </c>
      <c r="C2496" s="91" t="s">
        <v>3091</v>
      </c>
      <c r="D2496" s="91">
        <v>70</v>
      </c>
      <c r="E2496" s="91">
        <v>169</v>
      </c>
      <c r="F2496" s="91">
        <v>1</v>
      </c>
      <c r="G2496" s="126">
        <v>0.0150684169686944</v>
      </c>
      <c r="H2496" s="126">
        <f t="shared" si="115"/>
        <v>46.0000000000002</v>
      </c>
      <c r="I2496" s="126" t="str">
        <f t="shared" si="116"/>
        <v>0y 0d 0h 0m</v>
      </c>
    </row>
    <row r="2497" s="91" customFormat="1" spans="1:9">
      <c r="A2497" s="91" t="str">
        <f t="shared" si="114"/>
        <v>Yb-170</v>
      </c>
      <c r="B2497" s="91" t="s">
        <v>3115</v>
      </c>
      <c r="C2497" s="91" t="s">
        <v>3091</v>
      </c>
      <c r="D2497" s="91">
        <v>70</v>
      </c>
      <c r="E2497" s="91">
        <v>170</v>
      </c>
      <c r="F2497" s="91">
        <v>0</v>
      </c>
      <c r="G2497" s="126">
        <v>0</v>
      </c>
      <c r="H2497" s="126">
        <f t="shared" si="115"/>
        <v>0</v>
      </c>
      <c r="I2497" s="126" t="str">
        <f t="shared" si="116"/>
        <v>0y 0d 0h 0m</v>
      </c>
    </row>
    <row r="2498" s="91" customFormat="1" spans="1:9">
      <c r="A2498" s="91" t="str">
        <f t="shared" ref="A2498:A2561" si="117">C2498&amp;"-"&amp;E2498&amp;_xlfn.IFS(F2498=0,"",F2498=1,"m",F2498&gt;1,"m"&amp;F2498)</f>
        <v>Yb-171</v>
      </c>
      <c r="B2498" s="91" t="s">
        <v>3116</v>
      </c>
      <c r="C2498" s="91" t="s">
        <v>3091</v>
      </c>
      <c r="D2498" s="91">
        <v>70</v>
      </c>
      <c r="E2498" s="91">
        <v>171</v>
      </c>
      <c r="F2498" s="91">
        <v>0</v>
      </c>
      <c r="G2498" s="126">
        <v>0</v>
      </c>
      <c r="H2498" s="126">
        <f t="shared" ref="H2498:H2561" si="118">IF(G2498&gt;0,LN(2)/G2498,0)</f>
        <v>0</v>
      </c>
      <c r="I2498" s="126" t="str">
        <f t="shared" si="116"/>
        <v>0y 0d 0h 0m</v>
      </c>
    </row>
    <row r="2499" s="91" customFormat="1" spans="1:9">
      <c r="A2499" s="91" t="str">
        <f t="shared" si="117"/>
        <v>Yb-171m</v>
      </c>
      <c r="B2499" s="91" t="s">
        <v>3117</v>
      </c>
      <c r="C2499" s="91" t="s">
        <v>3091</v>
      </c>
      <c r="D2499" s="91">
        <v>70</v>
      </c>
      <c r="E2499" s="91">
        <v>171</v>
      </c>
      <c r="F2499" s="91">
        <v>1</v>
      </c>
      <c r="G2499" s="126">
        <v>132.02803439237</v>
      </c>
      <c r="H2499" s="126">
        <f t="shared" si="118"/>
        <v>0.00525000000000002</v>
      </c>
      <c r="I2499" s="126" t="str">
        <f t="shared" ref="I2499:I2562" si="119">INT(H2499/31536000)&amp;"y "&amp;INT(MOD(H2499,31536000)/86400)&amp;"d "&amp;INT(MOD(MOD(H2499,31536000),86400)/3600)&amp;"h "&amp;INT(MOD(MOD(MOD(H2499,31536000),86400),3600)/60)&amp;"m"</f>
        <v>0y 0d 0h 0m</v>
      </c>
    </row>
    <row r="2500" s="91" customFormat="1" spans="1:9">
      <c r="A2500" s="91" t="str">
        <f t="shared" si="117"/>
        <v>Yb-172</v>
      </c>
      <c r="B2500" s="91" t="s">
        <v>3118</v>
      </c>
      <c r="C2500" s="91" t="s">
        <v>3091</v>
      </c>
      <c r="D2500" s="91">
        <v>70</v>
      </c>
      <c r="E2500" s="91">
        <v>172</v>
      </c>
      <c r="F2500" s="91">
        <v>0</v>
      </c>
      <c r="G2500" s="126">
        <v>0</v>
      </c>
      <c r="H2500" s="126">
        <f t="shared" si="118"/>
        <v>0</v>
      </c>
      <c r="I2500" s="126" t="str">
        <f t="shared" si="119"/>
        <v>0y 0d 0h 0m</v>
      </c>
    </row>
    <row r="2501" s="91" customFormat="1" spans="1:9">
      <c r="A2501" s="91" t="str">
        <f t="shared" si="117"/>
        <v>Yb-173</v>
      </c>
      <c r="B2501" s="91" t="s">
        <v>3119</v>
      </c>
      <c r="C2501" s="91" t="s">
        <v>3091</v>
      </c>
      <c r="D2501" s="91">
        <v>70</v>
      </c>
      <c r="E2501" s="91">
        <v>173</v>
      </c>
      <c r="F2501" s="91">
        <v>0</v>
      </c>
      <c r="G2501" s="126">
        <v>0</v>
      </c>
      <c r="H2501" s="126">
        <f t="shared" si="118"/>
        <v>0</v>
      </c>
      <c r="I2501" s="126" t="str">
        <f t="shared" si="119"/>
        <v>0y 0d 0h 0m</v>
      </c>
    </row>
    <row r="2502" s="91" customFormat="1" spans="1:9">
      <c r="A2502" s="91" t="str">
        <f t="shared" si="117"/>
        <v>Yb-174</v>
      </c>
      <c r="B2502" s="91" t="s">
        <v>3120</v>
      </c>
      <c r="C2502" s="91" t="s">
        <v>3091</v>
      </c>
      <c r="D2502" s="91">
        <v>70</v>
      </c>
      <c r="E2502" s="91">
        <v>174</v>
      </c>
      <c r="F2502" s="91">
        <v>0</v>
      </c>
      <c r="G2502" s="126">
        <v>0</v>
      </c>
      <c r="H2502" s="126">
        <f t="shared" si="118"/>
        <v>0</v>
      </c>
      <c r="I2502" s="126" t="str">
        <f t="shared" si="119"/>
        <v>0y 0d 0h 0m</v>
      </c>
    </row>
    <row r="2503" s="91" customFormat="1" spans="1:9">
      <c r="A2503" s="91" t="str">
        <f t="shared" si="117"/>
        <v>Yb-175</v>
      </c>
      <c r="B2503" s="91" t="s">
        <v>3121</v>
      </c>
      <c r="C2503" s="91" t="s">
        <v>3091</v>
      </c>
      <c r="D2503" s="91">
        <v>70</v>
      </c>
      <c r="E2503" s="91">
        <v>175</v>
      </c>
      <c r="F2503" s="91">
        <v>0</v>
      </c>
      <c r="G2503" s="126">
        <v>1.91697414863474e-6</v>
      </c>
      <c r="H2503" s="126">
        <f t="shared" si="118"/>
        <v>361584.000000001</v>
      </c>
      <c r="I2503" s="126" t="str">
        <f t="shared" si="119"/>
        <v>0y 4d 4h 26m</v>
      </c>
    </row>
    <row r="2504" s="91" customFormat="1" spans="1:9">
      <c r="A2504" s="91" t="str">
        <f t="shared" si="117"/>
        <v>Yb-175m</v>
      </c>
      <c r="B2504" s="91" t="s">
        <v>3122</v>
      </c>
      <c r="C2504" s="91" t="s">
        <v>3091</v>
      </c>
      <c r="D2504" s="91">
        <v>70</v>
      </c>
      <c r="E2504" s="91">
        <v>175</v>
      </c>
      <c r="F2504" s="91">
        <v>1</v>
      </c>
      <c r="G2504" s="126">
        <v>10.1634483953071</v>
      </c>
      <c r="H2504" s="126">
        <f t="shared" si="118"/>
        <v>0.0682000000000001</v>
      </c>
      <c r="I2504" s="126" t="str">
        <f t="shared" si="119"/>
        <v>0y 0d 0h 0m</v>
      </c>
    </row>
    <row r="2505" s="91" customFormat="1" spans="1:9">
      <c r="A2505" s="91" t="str">
        <f t="shared" si="117"/>
        <v>Yb-176</v>
      </c>
      <c r="B2505" s="91" t="s">
        <v>3123</v>
      </c>
      <c r="C2505" s="91" t="s">
        <v>3091</v>
      </c>
      <c r="D2505" s="91">
        <v>70</v>
      </c>
      <c r="E2505" s="91">
        <v>176</v>
      </c>
      <c r="F2505" s="91">
        <v>0</v>
      </c>
      <c r="G2505" s="126">
        <v>0</v>
      </c>
      <c r="H2505" s="126">
        <f t="shared" si="118"/>
        <v>0</v>
      </c>
      <c r="I2505" s="126" t="str">
        <f t="shared" si="119"/>
        <v>0y 0d 0h 0m</v>
      </c>
    </row>
    <row r="2506" s="91" customFormat="1" spans="1:9">
      <c r="A2506" s="91" t="str">
        <f t="shared" si="117"/>
        <v>Yb-176m</v>
      </c>
      <c r="B2506" s="91" t="s">
        <v>3124</v>
      </c>
      <c r="C2506" s="91" t="s">
        <v>3091</v>
      </c>
      <c r="D2506" s="91">
        <v>70</v>
      </c>
      <c r="E2506" s="91">
        <v>176</v>
      </c>
      <c r="F2506" s="91">
        <v>1</v>
      </c>
      <c r="G2506" s="126">
        <v>0.0608023842596443</v>
      </c>
      <c r="H2506" s="126">
        <f t="shared" si="118"/>
        <v>11.4</v>
      </c>
      <c r="I2506" s="126" t="str">
        <f t="shared" si="119"/>
        <v>0y 0d 0h 0m</v>
      </c>
    </row>
    <row r="2507" s="91" customFormat="1" spans="1:9">
      <c r="A2507" s="91" t="str">
        <f t="shared" si="117"/>
        <v>Yb-177</v>
      </c>
      <c r="B2507" s="91" t="s">
        <v>3125</v>
      </c>
      <c r="C2507" s="91" t="s">
        <v>3091</v>
      </c>
      <c r="D2507" s="91">
        <v>70</v>
      </c>
      <c r="E2507" s="91">
        <v>177</v>
      </c>
      <c r="F2507" s="91">
        <v>0</v>
      </c>
      <c r="G2507" s="126">
        <v>0.000100753994499672</v>
      </c>
      <c r="H2507" s="126">
        <f t="shared" si="118"/>
        <v>6879.60000000002</v>
      </c>
      <c r="I2507" s="126" t="str">
        <f t="shared" si="119"/>
        <v>0y 0d 1h 54m</v>
      </c>
    </row>
    <row r="2508" s="91" customFormat="1" spans="1:9">
      <c r="A2508" s="91" t="str">
        <f t="shared" si="117"/>
        <v>Yb-177m</v>
      </c>
      <c r="B2508" s="91" t="s">
        <v>3126</v>
      </c>
      <c r="C2508" s="91" t="s">
        <v>3091</v>
      </c>
      <c r="D2508" s="91">
        <v>70</v>
      </c>
      <c r="E2508" s="91">
        <v>177</v>
      </c>
      <c r="F2508" s="91">
        <v>1</v>
      </c>
      <c r="G2508" s="126">
        <v>0.108135285578774</v>
      </c>
      <c r="H2508" s="126">
        <f t="shared" si="118"/>
        <v>6.41000000000004</v>
      </c>
      <c r="I2508" s="126" t="str">
        <f t="shared" si="119"/>
        <v>0y 0d 0h 0m</v>
      </c>
    </row>
    <row r="2509" s="91" customFormat="1" spans="1:9">
      <c r="A2509" s="91" t="str">
        <f t="shared" si="117"/>
        <v>Yb-178</v>
      </c>
      <c r="B2509" s="91" t="s">
        <v>3127</v>
      </c>
      <c r="C2509" s="91" t="s">
        <v>3091</v>
      </c>
      <c r="D2509" s="91">
        <v>70</v>
      </c>
      <c r="E2509" s="91">
        <v>178</v>
      </c>
      <c r="F2509" s="91">
        <v>0</v>
      </c>
      <c r="G2509" s="126">
        <v>0.000156114229855843</v>
      </c>
      <c r="H2509" s="126">
        <f t="shared" si="118"/>
        <v>4440.00000000002</v>
      </c>
      <c r="I2509" s="126" t="str">
        <f t="shared" si="119"/>
        <v>0y 0d 1h 14m</v>
      </c>
    </row>
    <row r="2510" s="91" customFormat="1" spans="1:9">
      <c r="A2510" s="91" t="str">
        <f t="shared" si="117"/>
        <v>Yb-179</v>
      </c>
      <c r="B2510" s="91" t="s">
        <v>3128</v>
      </c>
      <c r="C2510" s="91" t="s">
        <v>3091</v>
      </c>
      <c r="D2510" s="91">
        <v>70</v>
      </c>
      <c r="E2510" s="91">
        <v>179</v>
      </c>
      <c r="F2510" s="91">
        <v>0</v>
      </c>
      <c r="G2510" s="126">
        <v>0.00144405662616655</v>
      </c>
      <c r="H2510" s="126">
        <f t="shared" si="118"/>
        <v>480.000000000001</v>
      </c>
      <c r="I2510" s="126" t="str">
        <f t="shared" si="119"/>
        <v>0y 0d 0h 8m</v>
      </c>
    </row>
    <row r="2511" s="91" customFormat="1" spans="1:9">
      <c r="A2511" s="91" t="str">
        <f t="shared" si="117"/>
        <v>Yb-180</v>
      </c>
      <c r="B2511" s="91" t="s">
        <v>3129</v>
      </c>
      <c r="C2511" s="91" t="s">
        <v>3091</v>
      </c>
      <c r="D2511" s="91">
        <v>70</v>
      </c>
      <c r="E2511" s="91">
        <v>180</v>
      </c>
      <c r="F2511" s="91">
        <v>0</v>
      </c>
      <c r="G2511" s="126">
        <v>0.00481352208722184</v>
      </c>
      <c r="H2511" s="126">
        <f t="shared" si="118"/>
        <v>144</v>
      </c>
      <c r="I2511" s="126" t="str">
        <f t="shared" si="119"/>
        <v>0y 0d 0h 2m</v>
      </c>
    </row>
    <row r="2512" s="91" customFormat="1" spans="1:9">
      <c r="A2512" s="91" t="str">
        <f t="shared" si="117"/>
        <v>Yb-181</v>
      </c>
      <c r="B2512" s="91" t="s">
        <v>3130</v>
      </c>
      <c r="C2512" s="91" t="s">
        <v>3091</v>
      </c>
      <c r="D2512" s="91">
        <v>70</v>
      </c>
      <c r="E2512" s="91">
        <v>181</v>
      </c>
      <c r="F2512" s="91">
        <v>0</v>
      </c>
      <c r="G2512" s="126">
        <v>0.0115524530093324</v>
      </c>
      <c r="H2512" s="126">
        <f t="shared" si="118"/>
        <v>60.0000000000001</v>
      </c>
      <c r="I2512" s="126" t="str">
        <f t="shared" si="119"/>
        <v>0y 0d 0h 1m</v>
      </c>
    </row>
    <row r="2513" s="91" customFormat="1" spans="1:9">
      <c r="A2513" s="91" t="str">
        <f t="shared" si="117"/>
        <v>Lu-150</v>
      </c>
      <c r="B2513" s="91" t="s">
        <v>3131</v>
      </c>
      <c r="C2513" s="91" t="s">
        <v>3132</v>
      </c>
      <c r="D2513" s="91">
        <v>71</v>
      </c>
      <c r="E2513" s="91">
        <v>150</v>
      </c>
      <c r="F2513" s="91">
        <v>0</v>
      </c>
      <c r="G2513" s="126">
        <v>16.1197018734871</v>
      </c>
      <c r="H2513" s="126">
        <f t="shared" si="118"/>
        <v>0.043</v>
      </c>
      <c r="I2513" s="126" t="str">
        <f t="shared" si="119"/>
        <v>0y 0d 0h 0m</v>
      </c>
    </row>
    <row r="2514" s="91" customFormat="1" spans="1:9">
      <c r="A2514" s="91" t="str">
        <f t="shared" si="117"/>
        <v>Lu-151</v>
      </c>
      <c r="B2514" s="91" t="s">
        <v>3133</v>
      </c>
      <c r="C2514" s="91" t="s">
        <v>3132</v>
      </c>
      <c r="D2514" s="91">
        <v>71</v>
      </c>
      <c r="E2514" s="91">
        <v>151</v>
      </c>
      <c r="F2514" s="91">
        <v>0</v>
      </c>
      <c r="G2514" s="126">
        <v>8.59984094987525</v>
      </c>
      <c r="H2514" s="126">
        <f t="shared" si="118"/>
        <v>0.0806</v>
      </c>
      <c r="I2514" s="126" t="str">
        <f t="shared" si="119"/>
        <v>0y 0d 0h 0m</v>
      </c>
    </row>
    <row r="2515" s="91" customFormat="1" spans="1:9">
      <c r="A2515" s="91" t="str">
        <f t="shared" si="117"/>
        <v>Lu-152</v>
      </c>
      <c r="B2515" s="91" t="s">
        <v>3134</v>
      </c>
      <c r="C2515" s="91" t="s">
        <v>3132</v>
      </c>
      <c r="D2515" s="91">
        <v>71</v>
      </c>
      <c r="E2515" s="91">
        <v>152</v>
      </c>
      <c r="F2515" s="91">
        <v>0</v>
      </c>
      <c r="G2515" s="126">
        <v>0.990210257942779</v>
      </c>
      <c r="H2515" s="126">
        <f t="shared" si="118"/>
        <v>0.7</v>
      </c>
      <c r="I2515" s="126" t="str">
        <f t="shared" si="119"/>
        <v>0y 0d 0h 0m</v>
      </c>
    </row>
    <row r="2516" s="91" customFormat="1" spans="1:9">
      <c r="A2516" s="91" t="str">
        <f t="shared" si="117"/>
        <v>Lu-153</v>
      </c>
      <c r="B2516" s="91" t="s">
        <v>3135</v>
      </c>
      <c r="C2516" s="91" t="s">
        <v>3132</v>
      </c>
      <c r="D2516" s="91">
        <v>71</v>
      </c>
      <c r="E2516" s="91">
        <v>153</v>
      </c>
      <c r="F2516" s="91">
        <v>0</v>
      </c>
      <c r="G2516" s="126">
        <v>0.770163533955494</v>
      </c>
      <c r="H2516" s="126">
        <f t="shared" si="118"/>
        <v>0.900000000000001</v>
      </c>
      <c r="I2516" s="126" t="str">
        <f t="shared" si="119"/>
        <v>0y 0d 0h 0m</v>
      </c>
    </row>
    <row r="2517" s="91" customFormat="1" spans="1:9">
      <c r="A2517" s="91" t="str">
        <f t="shared" si="117"/>
        <v>Lu-153m</v>
      </c>
      <c r="B2517" s="91" t="s">
        <v>3136</v>
      </c>
      <c r="C2517" s="91" t="s">
        <v>3132</v>
      </c>
      <c r="D2517" s="91">
        <v>71</v>
      </c>
      <c r="E2517" s="91">
        <v>153</v>
      </c>
      <c r="F2517" s="91">
        <v>1</v>
      </c>
      <c r="G2517" s="126">
        <v>0.693147180559945</v>
      </c>
      <c r="H2517" s="126">
        <f t="shared" si="118"/>
        <v>1</v>
      </c>
      <c r="I2517" s="126" t="str">
        <f t="shared" si="119"/>
        <v>0y 0d 0h 0m</v>
      </c>
    </row>
    <row r="2518" s="91" customFormat="1" spans="1:9">
      <c r="A2518" s="91" t="str">
        <f t="shared" si="117"/>
        <v>Lu-154</v>
      </c>
      <c r="B2518" s="91" t="s">
        <v>3137</v>
      </c>
      <c r="C2518" s="91" t="s">
        <v>3132</v>
      </c>
      <c r="D2518" s="91">
        <v>71</v>
      </c>
      <c r="E2518" s="91">
        <v>154</v>
      </c>
      <c r="F2518" s="91">
        <v>0</v>
      </c>
      <c r="G2518" s="126">
        <v>0.346573590279972</v>
      </c>
      <c r="H2518" s="126">
        <f t="shared" si="118"/>
        <v>2</v>
      </c>
      <c r="I2518" s="126" t="str">
        <f t="shared" si="119"/>
        <v>0y 0d 0h 0m</v>
      </c>
    </row>
    <row r="2519" s="91" customFormat="1" spans="1:9">
      <c r="A2519" s="91" t="str">
        <f t="shared" si="117"/>
        <v>Lu-154m</v>
      </c>
      <c r="B2519" s="91" t="s">
        <v>3138</v>
      </c>
      <c r="C2519" s="91" t="s">
        <v>3132</v>
      </c>
      <c r="D2519" s="91">
        <v>71</v>
      </c>
      <c r="E2519" s="91">
        <v>154</v>
      </c>
      <c r="F2519" s="91">
        <v>1</v>
      </c>
      <c r="G2519" s="126">
        <v>0.618881411214236</v>
      </c>
      <c r="H2519" s="126">
        <f t="shared" si="118"/>
        <v>1.12</v>
      </c>
      <c r="I2519" s="126" t="str">
        <f t="shared" si="119"/>
        <v>0y 0d 0h 0m</v>
      </c>
    </row>
    <row r="2520" s="91" customFormat="1" spans="1:9">
      <c r="A2520" s="91" t="str">
        <f t="shared" si="117"/>
        <v>Lu-155</v>
      </c>
      <c r="B2520" s="91" t="s">
        <v>3139</v>
      </c>
      <c r="C2520" s="91" t="s">
        <v>3132</v>
      </c>
      <c r="D2520" s="91">
        <v>71</v>
      </c>
      <c r="E2520" s="91">
        <v>155</v>
      </c>
      <c r="F2520" s="91">
        <v>0</v>
      </c>
      <c r="G2520" s="126">
        <v>10.1933408905874</v>
      </c>
      <c r="H2520" s="126">
        <f t="shared" si="118"/>
        <v>0.0680000000000002</v>
      </c>
      <c r="I2520" s="126" t="str">
        <f t="shared" si="119"/>
        <v>0y 0d 0h 0m</v>
      </c>
    </row>
    <row r="2521" s="91" customFormat="1" spans="1:9">
      <c r="A2521" s="91" t="str">
        <f t="shared" si="117"/>
        <v>Lu-155m</v>
      </c>
      <c r="B2521" s="91" t="s">
        <v>3140</v>
      </c>
      <c r="C2521" s="91" t="s">
        <v>3132</v>
      </c>
      <c r="D2521" s="91">
        <v>71</v>
      </c>
      <c r="E2521" s="91">
        <v>155</v>
      </c>
      <c r="F2521" s="91">
        <v>1</v>
      </c>
      <c r="G2521" s="126">
        <v>5.02280565623148</v>
      </c>
      <c r="H2521" s="126">
        <f t="shared" si="118"/>
        <v>0.138</v>
      </c>
      <c r="I2521" s="126" t="str">
        <f t="shared" si="119"/>
        <v>0y 0d 0h 0m</v>
      </c>
    </row>
    <row r="2522" s="91" customFormat="1" spans="1:9">
      <c r="A2522" s="91" t="str">
        <f t="shared" si="117"/>
        <v>Lu-155m2</v>
      </c>
      <c r="B2522" s="91" t="s">
        <v>3141</v>
      </c>
      <c r="C2522" s="91" t="s">
        <v>3132</v>
      </c>
      <c r="D2522" s="91">
        <v>71</v>
      </c>
      <c r="E2522" s="91">
        <v>155</v>
      </c>
      <c r="F2522" s="91">
        <v>2</v>
      </c>
      <c r="G2522" s="126">
        <v>257.675531806671</v>
      </c>
      <c r="H2522" s="126">
        <f t="shared" si="118"/>
        <v>0.00269</v>
      </c>
      <c r="I2522" s="126" t="str">
        <f t="shared" si="119"/>
        <v>0y 0d 0h 0m</v>
      </c>
    </row>
    <row r="2523" s="91" customFormat="1" spans="1:9">
      <c r="A2523" s="91" t="str">
        <f t="shared" si="117"/>
        <v>Lu-156</v>
      </c>
      <c r="B2523" s="91" t="s">
        <v>3142</v>
      </c>
      <c r="C2523" s="91" t="s">
        <v>3132</v>
      </c>
      <c r="D2523" s="91">
        <v>71</v>
      </c>
      <c r="E2523" s="91">
        <v>156</v>
      </c>
      <c r="F2523" s="91">
        <v>0</v>
      </c>
      <c r="G2523" s="126">
        <v>1.40313194445333</v>
      </c>
      <c r="H2523" s="126">
        <f t="shared" si="118"/>
        <v>0.494</v>
      </c>
      <c r="I2523" s="126" t="str">
        <f t="shared" si="119"/>
        <v>0y 0d 0h 0m</v>
      </c>
    </row>
    <row r="2524" s="91" customFormat="1" spans="1:9">
      <c r="A2524" s="91" t="str">
        <f t="shared" si="117"/>
        <v>Lu-156m</v>
      </c>
      <c r="B2524" s="91" t="s">
        <v>3143</v>
      </c>
      <c r="C2524" s="91" t="s">
        <v>3132</v>
      </c>
      <c r="D2524" s="91">
        <v>71</v>
      </c>
      <c r="E2524" s="91">
        <v>156</v>
      </c>
      <c r="F2524" s="91">
        <v>1</v>
      </c>
      <c r="G2524" s="126">
        <v>3.50074333616133</v>
      </c>
      <c r="H2524" s="126">
        <f t="shared" si="118"/>
        <v>0.198000000000001</v>
      </c>
      <c r="I2524" s="126" t="str">
        <f t="shared" si="119"/>
        <v>0y 0d 0h 0m</v>
      </c>
    </row>
    <row r="2525" s="91" customFormat="1" spans="1:9">
      <c r="A2525" s="91" t="str">
        <f t="shared" si="117"/>
        <v>Lu-157</v>
      </c>
      <c r="B2525" s="91" t="s">
        <v>3144</v>
      </c>
      <c r="C2525" s="91" t="s">
        <v>3132</v>
      </c>
      <c r="D2525" s="91">
        <v>71</v>
      </c>
      <c r="E2525" s="91">
        <v>157</v>
      </c>
      <c r="F2525" s="91">
        <v>0</v>
      </c>
      <c r="G2525" s="126">
        <v>0.101933408905874</v>
      </c>
      <c r="H2525" s="126">
        <f t="shared" si="118"/>
        <v>6.80000000000002</v>
      </c>
      <c r="I2525" s="126" t="str">
        <f t="shared" si="119"/>
        <v>0y 0d 0h 0m</v>
      </c>
    </row>
    <row r="2526" s="91" customFormat="1" spans="1:9">
      <c r="A2526" s="91" t="str">
        <f t="shared" si="117"/>
        <v>Lu-157m</v>
      </c>
      <c r="B2526" s="91" t="s">
        <v>3145</v>
      </c>
      <c r="C2526" s="91" t="s">
        <v>3132</v>
      </c>
      <c r="D2526" s="91">
        <v>71</v>
      </c>
      <c r="E2526" s="91">
        <v>157</v>
      </c>
      <c r="F2526" s="91">
        <v>1</v>
      </c>
      <c r="G2526" s="126">
        <v>0.144707135816272</v>
      </c>
      <c r="H2526" s="126">
        <f t="shared" si="118"/>
        <v>4.79000000000002</v>
      </c>
      <c r="I2526" s="126" t="str">
        <f t="shared" si="119"/>
        <v>0y 0d 0h 0m</v>
      </c>
    </row>
    <row r="2527" s="91" customFormat="1" spans="1:9">
      <c r="A2527" s="91" t="str">
        <f t="shared" si="117"/>
        <v>Lu-158</v>
      </c>
      <c r="B2527" s="91" t="s">
        <v>3146</v>
      </c>
      <c r="C2527" s="91" t="s">
        <v>3132</v>
      </c>
      <c r="D2527" s="91">
        <v>71</v>
      </c>
      <c r="E2527" s="91">
        <v>158</v>
      </c>
      <c r="F2527" s="91">
        <v>0</v>
      </c>
      <c r="G2527" s="126">
        <v>0.0653912434490514</v>
      </c>
      <c r="H2527" s="126">
        <f t="shared" si="118"/>
        <v>10.6</v>
      </c>
      <c r="I2527" s="126" t="str">
        <f t="shared" si="119"/>
        <v>0y 0d 0h 0m</v>
      </c>
    </row>
    <row r="2528" s="91" customFormat="1" spans="1:9">
      <c r="A2528" s="91" t="str">
        <f t="shared" si="117"/>
        <v>Lu-159</v>
      </c>
      <c r="B2528" s="91" t="s">
        <v>3147</v>
      </c>
      <c r="C2528" s="91" t="s">
        <v>3132</v>
      </c>
      <c r="D2528" s="91">
        <v>71</v>
      </c>
      <c r="E2528" s="91">
        <v>159</v>
      </c>
      <c r="F2528" s="91">
        <v>0</v>
      </c>
      <c r="G2528" s="126">
        <v>0.0572848909553673</v>
      </c>
      <c r="H2528" s="126">
        <f t="shared" si="118"/>
        <v>12.1</v>
      </c>
      <c r="I2528" s="126" t="str">
        <f t="shared" si="119"/>
        <v>0y 0d 0h 0m</v>
      </c>
    </row>
    <row r="2529" s="91" customFormat="1" spans="1:9">
      <c r="A2529" s="91" t="str">
        <f t="shared" si="117"/>
        <v>Lu-160</v>
      </c>
      <c r="B2529" s="91" t="s">
        <v>3148</v>
      </c>
      <c r="C2529" s="91" t="s">
        <v>3132</v>
      </c>
      <c r="D2529" s="91">
        <v>71</v>
      </c>
      <c r="E2529" s="91">
        <v>160</v>
      </c>
      <c r="F2529" s="91">
        <v>0</v>
      </c>
      <c r="G2529" s="126">
        <v>0.0192007529240982</v>
      </c>
      <c r="H2529" s="126">
        <f t="shared" si="118"/>
        <v>36.1</v>
      </c>
      <c r="I2529" s="126" t="str">
        <f t="shared" si="119"/>
        <v>0y 0d 0h 0m</v>
      </c>
    </row>
    <row r="2530" s="91" customFormat="1" spans="1:9">
      <c r="A2530" s="91" t="str">
        <f t="shared" si="117"/>
        <v>Lu-160m</v>
      </c>
      <c r="B2530" s="91" t="s">
        <v>3149</v>
      </c>
      <c r="C2530" s="91" t="s">
        <v>3132</v>
      </c>
      <c r="D2530" s="91">
        <v>71</v>
      </c>
      <c r="E2530" s="91">
        <v>160</v>
      </c>
      <c r="F2530" s="91">
        <v>1</v>
      </c>
      <c r="G2530" s="126">
        <v>0.0173286795139986</v>
      </c>
      <c r="H2530" s="126">
        <f t="shared" si="118"/>
        <v>40.0000000000001</v>
      </c>
      <c r="I2530" s="126" t="str">
        <f t="shared" si="119"/>
        <v>0y 0d 0h 0m</v>
      </c>
    </row>
    <row r="2531" s="91" customFormat="1" spans="1:9">
      <c r="A2531" s="91" t="str">
        <f t="shared" si="117"/>
        <v>Lu-161</v>
      </c>
      <c r="B2531" s="91" t="s">
        <v>3150</v>
      </c>
      <c r="C2531" s="91" t="s">
        <v>3132</v>
      </c>
      <c r="D2531" s="91">
        <v>71</v>
      </c>
      <c r="E2531" s="91">
        <v>161</v>
      </c>
      <c r="F2531" s="91">
        <v>0</v>
      </c>
      <c r="G2531" s="126">
        <v>0.00900191143584344</v>
      </c>
      <c r="H2531" s="126">
        <f t="shared" si="118"/>
        <v>77</v>
      </c>
      <c r="I2531" s="126" t="str">
        <f t="shared" si="119"/>
        <v>0y 0d 0h 1m</v>
      </c>
    </row>
    <row r="2532" s="91" customFormat="1" spans="1:9">
      <c r="A2532" s="91" t="str">
        <f t="shared" si="117"/>
        <v>Lu-161m</v>
      </c>
      <c r="B2532" s="91" t="s">
        <v>3151</v>
      </c>
      <c r="C2532" s="91" t="s">
        <v>3132</v>
      </c>
      <c r="D2532" s="91">
        <v>71</v>
      </c>
      <c r="E2532" s="91">
        <v>161</v>
      </c>
      <c r="F2532" s="91">
        <v>1</v>
      </c>
      <c r="G2532" s="126">
        <v>94.9516685698555</v>
      </c>
      <c r="H2532" s="126">
        <f t="shared" si="118"/>
        <v>0.0073</v>
      </c>
      <c r="I2532" s="126" t="str">
        <f t="shared" si="119"/>
        <v>0y 0d 0h 0m</v>
      </c>
    </row>
    <row r="2533" s="91" customFormat="1" spans="1:9">
      <c r="A2533" s="91" t="str">
        <f t="shared" si="117"/>
        <v>Lu-162</v>
      </c>
      <c r="B2533" s="91" t="s">
        <v>3152</v>
      </c>
      <c r="C2533" s="91" t="s">
        <v>3132</v>
      </c>
      <c r="D2533" s="91">
        <v>71</v>
      </c>
      <c r="E2533" s="91">
        <v>162</v>
      </c>
      <c r="F2533" s="91">
        <v>0</v>
      </c>
      <c r="G2533" s="126">
        <v>0.00843244745206746</v>
      </c>
      <c r="H2533" s="126">
        <f t="shared" si="118"/>
        <v>82.2</v>
      </c>
      <c r="I2533" s="126" t="str">
        <f t="shared" si="119"/>
        <v>0y 0d 0h 1m</v>
      </c>
    </row>
    <row r="2534" s="91" customFormat="1" spans="1:9">
      <c r="A2534" s="91" t="str">
        <f t="shared" si="117"/>
        <v>Lu-162m</v>
      </c>
      <c r="B2534" s="91" t="s">
        <v>3153</v>
      </c>
      <c r="C2534" s="91" t="s">
        <v>3132</v>
      </c>
      <c r="D2534" s="91">
        <v>71</v>
      </c>
      <c r="E2534" s="91">
        <v>162</v>
      </c>
      <c r="F2534" s="91">
        <v>1</v>
      </c>
      <c r="G2534" s="126">
        <v>0.00770163533955494</v>
      </c>
      <c r="H2534" s="126">
        <f t="shared" si="118"/>
        <v>90.0000000000001</v>
      </c>
      <c r="I2534" s="126" t="str">
        <f t="shared" si="119"/>
        <v>0y 0d 0h 1m</v>
      </c>
    </row>
    <row r="2535" s="91" customFormat="1" spans="1:9">
      <c r="A2535" s="91" t="str">
        <f t="shared" si="117"/>
        <v>Lu-162m2</v>
      </c>
      <c r="B2535" s="91" t="s">
        <v>3154</v>
      </c>
      <c r="C2535" s="91" t="s">
        <v>3132</v>
      </c>
      <c r="D2535" s="91">
        <v>71</v>
      </c>
      <c r="E2535" s="91">
        <v>162</v>
      </c>
      <c r="F2535" s="91">
        <v>2</v>
      </c>
      <c r="G2535" s="126">
        <v>0.00608023842596443</v>
      </c>
      <c r="H2535" s="126">
        <f t="shared" si="118"/>
        <v>114</v>
      </c>
      <c r="I2535" s="126" t="str">
        <f t="shared" si="119"/>
        <v>0y 0d 0h 1m</v>
      </c>
    </row>
    <row r="2536" s="91" customFormat="1" spans="1:9">
      <c r="A2536" s="91" t="str">
        <f t="shared" si="117"/>
        <v>Lu-163</v>
      </c>
      <c r="B2536" s="91" t="s">
        <v>3155</v>
      </c>
      <c r="C2536" s="91" t="s">
        <v>3132</v>
      </c>
      <c r="D2536" s="91">
        <v>71</v>
      </c>
      <c r="E2536" s="91">
        <v>163</v>
      </c>
      <c r="F2536" s="91">
        <v>0</v>
      </c>
      <c r="G2536" s="126">
        <v>0.00290993778572605</v>
      </c>
      <c r="H2536" s="126">
        <f t="shared" si="118"/>
        <v>238.2</v>
      </c>
      <c r="I2536" s="126" t="str">
        <f t="shared" si="119"/>
        <v>0y 0d 0h 3m</v>
      </c>
    </row>
    <row r="2537" s="91" customFormat="1" spans="1:9">
      <c r="A2537" s="91" t="str">
        <f t="shared" si="117"/>
        <v>Lu-164</v>
      </c>
      <c r="B2537" s="91" t="s">
        <v>3156</v>
      </c>
      <c r="C2537" s="91" t="s">
        <v>3132</v>
      </c>
      <c r="D2537" s="91">
        <v>71</v>
      </c>
      <c r="E2537" s="91">
        <v>164</v>
      </c>
      <c r="F2537" s="91">
        <v>0</v>
      </c>
      <c r="G2537" s="126">
        <v>0.00367912516220777</v>
      </c>
      <c r="H2537" s="126">
        <f t="shared" si="118"/>
        <v>188.4</v>
      </c>
      <c r="I2537" s="126" t="str">
        <f t="shared" si="119"/>
        <v>0y 0d 0h 3m</v>
      </c>
    </row>
    <row r="2538" s="91" customFormat="1" spans="1:9">
      <c r="A2538" s="91" t="str">
        <f t="shared" si="117"/>
        <v>Lu-165</v>
      </c>
      <c r="B2538" s="91" t="s">
        <v>3157</v>
      </c>
      <c r="C2538" s="91" t="s">
        <v>3132</v>
      </c>
      <c r="D2538" s="91">
        <v>71</v>
      </c>
      <c r="E2538" s="91">
        <v>165</v>
      </c>
      <c r="F2538" s="91">
        <v>0</v>
      </c>
      <c r="G2538" s="126">
        <v>0.00107564739379259</v>
      </c>
      <c r="H2538" s="126">
        <f t="shared" si="118"/>
        <v>644.4</v>
      </c>
      <c r="I2538" s="126" t="str">
        <f t="shared" si="119"/>
        <v>0y 0d 0h 10m</v>
      </c>
    </row>
    <row r="2539" s="91" customFormat="1" spans="1:9">
      <c r="A2539" s="91" t="str">
        <f t="shared" si="117"/>
        <v>Lu-166</v>
      </c>
      <c r="B2539" s="91" t="s">
        <v>3158</v>
      </c>
      <c r="C2539" s="91" t="s">
        <v>3132</v>
      </c>
      <c r="D2539" s="91">
        <v>71</v>
      </c>
      <c r="E2539" s="91">
        <v>166</v>
      </c>
      <c r="F2539" s="91">
        <v>0</v>
      </c>
      <c r="G2539" s="126">
        <v>0.00435941622993676</v>
      </c>
      <c r="H2539" s="126">
        <f t="shared" si="118"/>
        <v>159</v>
      </c>
      <c r="I2539" s="126" t="str">
        <f t="shared" si="119"/>
        <v>0y 0d 0h 2m</v>
      </c>
    </row>
    <row r="2540" s="91" customFormat="1" spans="1:9">
      <c r="A2540" s="91" t="str">
        <f t="shared" si="117"/>
        <v>Lu-166m</v>
      </c>
      <c r="B2540" s="91" t="s">
        <v>3159</v>
      </c>
      <c r="C2540" s="91" t="s">
        <v>3132</v>
      </c>
      <c r="D2540" s="91">
        <v>71</v>
      </c>
      <c r="E2540" s="91">
        <v>166</v>
      </c>
      <c r="F2540" s="91">
        <v>1</v>
      </c>
      <c r="G2540" s="126">
        <v>0.00819322908463292</v>
      </c>
      <c r="H2540" s="126">
        <f t="shared" si="118"/>
        <v>84.6</v>
      </c>
      <c r="I2540" s="126" t="str">
        <f t="shared" si="119"/>
        <v>0y 0d 0h 1m</v>
      </c>
    </row>
    <row r="2541" s="91" customFormat="1" spans="1:9">
      <c r="A2541" s="91" t="str">
        <f t="shared" si="117"/>
        <v>Lu-166m2</v>
      </c>
      <c r="B2541" s="91" t="s">
        <v>3160</v>
      </c>
      <c r="C2541" s="91" t="s">
        <v>3132</v>
      </c>
      <c r="D2541" s="91">
        <v>71</v>
      </c>
      <c r="E2541" s="91">
        <v>166</v>
      </c>
      <c r="F2541" s="91">
        <v>2</v>
      </c>
      <c r="G2541" s="126">
        <v>0.00544927028742095</v>
      </c>
      <c r="H2541" s="126">
        <f t="shared" si="118"/>
        <v>127.2</v>
      </c>
      <c r="I2541" s="126" t="str">
        <f t="shared" si="119"/>
        <v>0y 0d 0h 2m</v>
      </c>
    </row>
    <row r="2542" s="91" customFormat="1" spans="1:9">
      <c r="A2542" s="91" t="str">
        <f t="shared" si="117"/>
        <v>Lu-167</v>
      </c>
      <c r="B2542" s="91" t="s">
        <v>3161</v>
      </c>
      <c r="C2542" s="91" t="s">
        <v>3132</v>
      </c>
      <c r="D2542" s="91">
        <v>71</v>
      </c>
      <c r="E2542" s="91">
        <v>167</v>
      </c>
      <c r="F2542" s="91">
        <v>0</v>
      </c>
      <c r="G2542" s="126">
        <v>0.000224319475909367</v>
      </c>
      <c r="H2542" s="126">
        <f t="shared" si="118"/>
        <v>3090.00000000001</v>
      </c>
      <c r="I2542" s="126" t="str">
        <f t="shared" si="119"/>
        <v>0y 0d 0h 51m</v>
      </c>
    </row>
    <row r="2543" s="91" customFormat="1" spans="1:9">
      <c r="A2543" s="91" t="str">
        <f t="shared" si="117"/>
        <v>Lu-167m</v>
      </c>
      <c r="B2543" s="91" t="s">
        <v>3162</v>
      </c>
      <c r="C2543" s="91" t="s">
        <v>3132</v>
      </c>
      <c r="D2543" s="91">
        <v>71</v>
      </c>
      <c r="E2543" s="91">
        <v>167</v>
      </c>
      <c r="F2543" s="91">
        <v>1</v>
      </c>
      <c r="G2543" s="126">
        <v>0.0115524530093324</v>
      </c>
      <c r="H2543" s="126">
        <f t="shared" si="118"/>
        <v>60.0000000000001</v>
      </c>
      <c r="I2543" s="126" t="str">
        <f t="shared" si="119"/>
        <v>0y 0d 0h 1m</v>
      </c>
    </row>
    <row r="2544" s="91" customFormat="1" spans="1:9">
      <c r="A2544" s="91" t="str">
        <f t="shared" si="117"/>
        <v>Lu-168</v>
      </c>
      <c r="B2544" s="91" t="s">
        <v>3163</v>
      </c>
      <c r="C2544" s="91" t="s">
        <v>3132</v>
      </c>
      <c r="D2544" s="91">
        <v>71</v>
      </c>
      <c r="E2544" s="91">
        <v>168</v>
      </c>
      <c r="F2544" s="91">
        <v>0</v>
      </c>
      <c r="G2544" s="126">
        <v>0.0021004460016968</v>
      </c>
      <c r="H2544" s="126">
        <f t="shared" si="118"/>
        <v>330.000000000001</v>
      </c>
      <c r="I2544" s="126" t="str">
        <f t="shared" si="119"/>
        <v>0y 0d 0h 5m</v>
      </c>
    </row>
    <row r="2545" s="91" customFormat="1" spans="1:9">
      <c r="A2545" s="91" t="str">
        <f t="shared" si="117"/>
        <v>Lu-168m</v>
      </c>
      <c r="B2545" s="91" t="s">
        <v>3164</v>
      </c>
      <c r="C2545" s="91" t="s">
        <v>3132</v>
      </c>
      <c r="D2545" s="91">
        <v>71</v>
      </c>
      <c r="E2545" s="91">
        <v>168</v>
      </c>
      <c r="F2545" s="91">
        <v>1</v>
      </c>
      <c r="G2545" s="126">
        <v>0.0017242467178108</v>
      </c>
      <c r="H2545" s="126">
        <f t="shared" si="118"/>
        <v>402.000000000002</v>
      </c>
      <c r="I2545" s="126" t="str">
        <f t="shared" si="119"/>
        <v>0y 0d 0h 6m</v>
      </c>
    </row>
    <row r="2546" s="91" customFormat="1" spans="1:9">
      <c r="A2546" s="91" t="str">
        <f t="shared" si="117"/>
        <v>Lu-169</v>
      </c>
      <c r="B2546" s="91" t="s">
        <v>3165</v>
      </c>
      <c r="C2546" s="91" t="s">
        <v>3132</v>
      </c>
      <c r="D2546" s="91">
        <v>71</v>
      </c>
      <c r="E2546" s="91">
        <v>169</v>
      </c>
      <c r="F2546" s="91">
        <v>0</v>
      </c>
      <c r="G2546" s="126">
        <v>5.65299129444726e-6</v>
      </c>
      <c r="H2546" s="126">
        <f t="shared" si="118"/>
        <v>122616</v>
      </c>
      <c r="I2546" s="126" t="str">
        <f t="shared" si="119"/>
        <v>0y 1d 10h 3m</v>
      </c>
    </row>
    <row r="2547" s="91" customFormat="1" spans="1:9">
      <c r="A2547" s="91" t="str">
        <f t="shared" si="117"/>
        <v>Lu-169m</v>
      </c>
      <c r="B2547" s="91" t="s">
        <v>3166</v>
      </c>
      <c r="C2547" s="91" t="s">
        <v>3132</v>
      </c>
      <c r="D2547" s="91">
        <v>71</v>
      </c>
      <c r="E2547" s="91">
        <v>169</v>
      </c>
      <c r="F2547" s="91">
        <v>1</v>
      </c>
      <c r="G2547" s="126">
        <v>0.00433216987849965</v>
      </c>
      <c r="H2547" s="126">
        <f t="shared" si="118"/>
        <v>160</v>
      </c>
      <c r="I2547" s="126" t="str">
        <f t="shared" si="119"/>
        <v>0y 0d 0h 2m</v>
      </c>
    </row>
    <row r="2548" s="91" customFormat="1" spans="1:9">
      <c r="A2548" s="91" t="str">
        <f t="shared" si="117"/>
        <v>Lu-170</v>
      </c>
      <c r="B2548" s="91" t="s">
        <v>3167</v>
      </c>
      <c r="C2548" s="91" t="s">
        <v>3132</v>
      </c>
      <c r="D2548" s="91">
        <v>71</v>
      </c>
      <c r="E2548" s="91">
        <v>170</v>
      </c>
      <c r="F2548" s="91">
        <v>0</v>
      </c>
      <c r="G2548" s="126">
        <v>3.98734433997833e-6</v>
      </c>
      <c r="H2548" s="126">
        <f t="shared" si="118"/>
        <v>173836.8</v>
      </c>
      <c r="I2548" s="126" t="str">
        <f t="shared" si="119"/>
        <v>0y 2d 0h 17m</v>
      </c>
    </row>
    <row r="2549" s="91" customFormat="1" spans="1:9">
      <c r="A2549" s="91" t="str">
        <f t="shared" si="117"/>
        <v>Lu-170m</v>
      </c>
      <c r="B2549" s="91" t="s">
        <v>3168</v>
      </c>
      <c r="C2549" s="91" t="s">
        <v>3132</v>
      </c>
      <c r="D2549" s="91">
        <v>71</v>
      </c>
      <c r="E2549" s="91">
        <v>170</v>
      </c>
      <c r="F2549" s="91">
        <v>1</v>
      </c>
      <c r="G2549" s="126">
        <v>1.03454803068648</v>
      </c>
      <c r="H2549" s="126">
        <f t="shared" si="118"/>
        <v>0.670000000000003</v>
      </c>
      <c r="I2549" s="126" t="str">
        <f t="shared" si="119"/>
        <v>0y 0d 0h 0m</v>
      </c>
    </row>
    <row r="2550" s="91" customFormat="1" spans="1:9">
      <c r="A2550" s="91" t="str">
        <f t="shared" si="117"/>
        <v>Lu-171</v>
      </c>
      <c r="B2550" s="91" t="s">
        <v>3169</v>
      </c>
      <c r="C2550" s="91" t="s">
        <v>3132</v>
      </c>
      <c r="D2550" s="91">
        <v>71</v>
      </c>
      <c r="E2550" s="91">
        <v>171</v>
      </c>
      <c r="F2550" s="91">
        <v>0</v>
      </c>
      <c r="G2550" s="126">
        <v>9.73608836412184e-7</v>
      </c>
      <c r="H2550" s="126">
        <f t="shared" si="118"/>
        <v>711936.000000001</v>
      </c>
      <c r="I2550" s="126" t="str">
        <f t="shared" si="119"/>
        <v>0y 8d 5h 45m</v>
      </c>
    </row>
    <row r="2551" s="91" customFormat="1" spans="1:9">
      <c r="A2551" s="91" t="str">
        <f t="shared" si="117"/>
        <v>Lu-171m</v>
      </c>
      <c r="B2551" s="91" t="s">
        <v>3170</v>
      </c>
      <c r="C2551" s="91" t="s">
        <v>3132</v>
      </c>
      <c r="D2551" s="91">
        <v>71</v>
      </c>
      <c r="E2551" s="91">
        <v>171</v>
      </c>
      <c r="F2551" s="91">
        <v>1</v>
      </c>
      <c r="G2551" s="126">
        <v>0.00877401494379677</v>
      </c>
      <c r="H2551" s="126">
        <f t="shared" si="118"/>
        <v>79.0000000000001</v>
      </c>
      <c r="I2551" s="126" t="str">
        <f t="shared" si="119"/>
        <v>0y 0d 0h 1m</v>
      </c>
    </row>
    <row r="2552" s="91" customFormat="1" spans="1:9">
      <c r="A2552" s="91" t="str">
        <f t="shared" si="117"/>
        <v>Lu-172</v>
      </c>
      <c r="B2552" s="91" t="s">
        <v>3171</v>
      </c>
      <c r="C2552" s="91" t="s">
        <v>3132</v>
      </c>
      <c r="D2552" s="91">
        <v>71</v>
      </c>
      <c r="E2552" s="91">
        <v>172</v>
      </c>
      <c r="F2552" s="91">
        <v>0</v>
      </c>
      <c r="G2552" s="126">
        <v>1.19739355403528e-6</v>
      </c>
      <c r="H2552" s="126">
        <f t="shared" si="118"/>
        <v>578880.000000002</v>
      </c>
      <c r="I2552" s="126" t="str">
        <f t="shared" si="119"/>
        <v>0y 6d 16h 48m</v>
      </c>
    </row>
    <row r="2553" s="91" customFormat="1" spans="1:9">
      <c r="A2553" s="91" t="str">
        <f t="shared" si="117"/>
        <v>Lu-172m</v>
      </c>
      <c r="B2553" s="91" t="s">
        <v>3172</v>
      </c>
      <c r="C2553" s="91" t="s">
        <v>3132</v>
      </c>
      <c r="D2553" s="91">
        <v>71</v>
      </c>
      <c r="E2553" s="91">
        <v>172</v>
      </c>
      <c r="F2553" s="91">
        <v>1</v>
      </c>
      <c r="G2553" s="126">
        <v>0.00312228459711687</v>
      </c>
      <c r="H2553" s="126">
        <f t="shared" si="118"/>
        <v>222</v>
      </c>
      <c r="I2553" s="126" t="str">
        <f t="shared" si="119"/>
        <v>0y 0d 0h 3m</v>
      </c>
    </row>
    <row r="2554" s="91" customFormat="1" spans="1:9">
      <c r="A2554" s="91" t="str">
        <f t="shared" si="117"/>
        <v>Lu-173</v>
      </c>
      <c r="B2554" s="91" t="s">
        <v>3173</v>
      </c>
      <c r="C2554" s="91" t="s">
        <v>3132</v>
      </c>
      <c r="D2554" s="91">
        <v>71</v>
      </c>
      <c r="E2554" s="91">
        <v>173</v>
      </c>
      <c r="F2554" s="91">
        <v>0</v>
      </c>
      <c r="G2554" s="126">
        <v>1.60324888625605e-8</v>
      </c>
      <c r="H2554" s="126">
        <f t="shared" si="118"/>
        <v>43233910.0000001</v>
      </c>
      <c r="I2554" s="126" t="str">
        <f t="shared" si="119"/>
        <v>1y 135d 9h 25m</v>
      </c>
    </row>
    <row r="2555" s="91" customFormat="1" spans="1:9">
      <c r="A2555" s="91" t="str">
        <f t="shared" si="117"/>
        <v>Lu-174</v>
      </c>
      <c r="B2555" s="91" t="s">
        <v>3174</v>
      </c>
      <c r="C2555" s="91" t="s">
        <v>3132</v>
      </c>
      <c r="D2555" s="91">
        <v>71</v>
      </c>
      <c r="E2555" s="91">
        <v>174</v>
      </c>
      <c r="F2555" s="91">
        <v>0</v>
      </c>
      <c r="G2555" s="126">
        <v>6.63580044516426e-9</v>
      </c>
      <c r="H2555" s="126">
        <f t="shared" si="118"/>
        <v>104455700</v>
      </c>
      <c r="I2555" s="126" t="str">
        <f t="shared" si="119"/>
        <v>3y 113d 23h 28m</v>
      </c>
    </row>
    <row r="2556" s="91" customFormat="1" spans="1:9">
      <c r="A2556" s="91" t="str">
        <f t="shared" si="117"/>
        <v>Lu-174m</v>
      </c>
      <c r="B2556" s="91" t="s">
        <v>3175</v>
      </c>
      <c r="C2556" s="91" t="s">
        <v>3132</v>
      </c>
      <c r="D2556" s="91">
        <v>71</v>
      </c>
      <c r="E2556" s="91">
        <v>174</v>
      </c>
      <c r="F2556" s="91">
        <v>1</v>
      </c>
      <c r="G2556" s="126">
        <v>5.64967381129324e-8</v>
      </c>
      <c r="H2556" s="126">
        <f t="shared" si="118"/>
        <v>12268800</v>
      </c>
      <c r="I2556" s="126" t="str">
        <f t="shared" si="119"/>
        <v>0y 142d 0h 0m</v>
      </c>
    </row>
    <row r="2557" s="91" customFormat="1" spans="1:9">
      <c r="A2557" s="91" t="str">
        <f t="shared" si="117"/>
        <v>Lu-175</v>
      </c>
      <c r="B2557" s="91" t="s">
        <v>3176</v>
      </c>
      <c r="C2557" s="91" t="s">
        <v>3132</v>
      </c>
      <c r="D2557" s="91">
        <v>71</v>
      </c>
      <c r="E2557" s="91">
        <v>175</v>
      </c>
      <c r="F2557" s="91">
        <v>0</v>
      </c>
      <c r="G2557" s="126">
        <v>0</v>
      </c>
      <c r="H2557" s="126">
        <f t="shared" si="118"/>
        <v>0</v>
      </c>
      <c r="I2557" s="126" t="str">
        <f t="shared" si="119"/>
        <v>0y 0d 0h 0m</v>
      </c>
    </row>
    <row r="2558" s="91" customFormat="1" spans="1:9">
      <c r="A2558" s="91" t="str">
        <f t="shared" si="117"/>
        <v>Lu-176</v>
      </c>
      <c r="B2558" s="91" t="s">
        <v>3177</v>
      </c>
      <c r="C2558" s="91" t="s">
        <v>3132</v>
      </c>
      <c r="D2558" s="91">
        <v>71</v>
      </c>
      <c r="E2558" s="91">
        <v>176</v>
      </c>
      <c r="F2558" s="91">
        <v>0</v>
      </c>
      <c r="G2558" s="126">
        <v>5.8416037870496e-19</v>
      </c>
      <c r="H2558" s="126">
        <f t="shared" si="118"/>
        <v>1.18657e+18</v>
      </c>
      <c r="I2558" s="126" t="str">
        <f t="shared" si="119"/>
        <v>37625887874y 64d 2h 12m</v>
      </c>
    </row>
    <row r="2559" s="91" customFormat="1" spans="1:9">
      <c r="A2559" s="91" t="str">
        <f t="shared" si="117"/>
        <v>Lu-176m</v>
      </c>
      <c r="B2559" s="91" t="s">
        <v>3178</v>
      </c>
      <c r="C2559" s="91" t="s">
        <v>3132</v>
      </c>
      <c r="D2559" s="91">
        <v>71</v>
      </c>
      <c r="E2559" s="91">
        <v>176</v>
      </c>
      <c r="F2559" s="91">
        <v>1</v>
      </c>
      <c r="G2559" s="126">
        <v>5.29686061867603e-5</v>
      </c>
      <c r="H2559" s="126">
        <f t="shared" si="118"/>
        <v>13086</v>
      </c>
      <c r="I2559" s="126" t="str">
        <f t="shared" si="119"/>
        <v>0y 0d 3h 38m</v>
      </c>
    </row>
    <row r="2560" s="91" customFormat="1" spans="1:9">
      <c r="A2560" s="91" t="str">
        <f t="shared" si="117"/>
        <v>Lu-177</v>
      </c>
      <c r="B2560" s="91" t="s">
        <v>3179</v>
      </c>
      <c r="C2560" s="91" t="s">
        <v>3132</v>
      </c>
      <c r="D2560" s="91">
        <v>71</v>
      </c>
      <c r="E2560" s="91">
        <v>177</v>
      </c>
      <c r="F2560" s="91">
        <v>0</v>
      </c>
      <c r="G2560" s="126">
        <v>1.20694099774881e-6</v>
      </c>
      <c r="H2560" s="126">
        <f t="shared" si="118"/>
        <v>574300.800000005</v>
      </c>
      <c r="I2560" s="126" t="str">
        <f t="shared" si="119"/>
        <v>0y 6d 15h 31m</v>
      </c>
    </row>
    <row r="2561" s="91" customFormat="1" spans="1:9">
      <c r="A2561" s="91" t="str">
        <f t="shared" si="117"/>
        <v>Lu-177m</v>
      </c>
      <c r="B2561" s="91" t="s">
        <v>3180</v>
      </c>
      <c r="C2561" s="91" t="s">
        <v>3132</v>
      </c>
      <c r="D2561" s="91">
        <v>71</v>
      </c>
      <c r="E2561" s="91">
        <v>177</v>
      </c>
      <c r="F2561" s="91">
        <v>1</v>
      </c>
      <c r="G2561" s="126">
        <v>5.00033314451966e-8</v>
      </c>
      <c r="H2561" s="126">
        <f t="shared" si="118"/>
        <v>13862020</v>
      </c>
      <c r="I2561" s="126" t="str">
        <f t="shared" si="119"/>
        <v>0y 160d 10h 33m</v>
      </c>
    </row>
    <row r="2562" s="91" customFormat="1" spans="1:9">
      <c r="A2562" s="91" t="str">
        <f t="shared" ref="A2562:A2625" si="120">C2562&amp;"-"&amp;E2562&amp;_xlfn.IFS(F2562=0,"",F2562=1,"m",F2562&gt;1,"m"&amp;F2562)</f>
        <v>Lu-177m2</v>
      </c>
      <c r="B2562" s="91" t="s">
        <v>3181</v>
      </c>
      <c r="C2562" s="91" t="s">
        <v>3132</v>
      </c>
      <c r="D2562" s="91">
        <v>71</v>
      </c>
      <c r="E2562" s="91">
        <v>177</v>
      </c>
      <c r="F2562" s="91">
        <v>2</v>
      </c>
      <c r="G2562" s="126">
        <v>0.00177730046297421</v>
      </c>
      <c r="H2562" s="126">
        <f t="shared" ref="H2562:H2625" si="121">IF(G2562&gt;0,LN(2)/G2562,0)</f>
        <v>390.000000000002</v>
      </c>
      <c r="I2562" s="126" t="str">
        <f t="shared" si="119"/>
        <v>0y 0d 0h 6m</v>
      </c>
    </row>
    <row r="2563" s="91" customFormat="1" spans="1:9">
      <c r="A2563" s="91" t="str">
        <f t="shared" si="120"/>
        <v>Lu-178</v>
      </c>
      <c r="B2563" s="91" t="s">
        <v>3182</v>
      </c>
      <c r="C2563" s="91" t="s">
        <v>3132</v>
      </c>
      <c r="D2563" s="91">
        <v>71</v>
      </c>
      <c r="E2563" s="91">
        <v>178</v>
      </c>
      <c r="F2563" s="91">
        <v>0</v>
      </c>
      <c r="G2563" s="126">
        <v>0.000406776514413113</v>
      </c>
      <c r="H2563" s="126">
        <f t="shared" si="121"/>
        <v>1704</v>
      </c>
      <c r="I2563" s="126" t="str">
        <f t="shared" ref="I2563:I2626" si="122">INT(H2563/31536000)&amp;"y "&amp;INT(MOD(H2563,31536000)/86400)&amp;"d "&amp;INT(MOD(MOD(H2563,31536000),86400)/3600)&amp;"h "&amp;INT(MOD(MOD(MOD(H2563,31536000),86400),3600)/60)&amp;"m"</f>
        <v>0y 0d 0h 28m</v>
      </c>
    </row>
    <row r="2564" s="91" customFormat="1" spans="1:9">
      <c r="A2564" s="91" t="str">
        <f t="shared" si="120"/>
        <v>Lu-178m</v>
      </c>
      <c r="B2564" s="91" t="s">
        <v>3183</v>
      </c>
      <c r="C2564" s="91" t="s">
        <v>3132</v>
      </c>
      <c r="D2564" s="91">
        <v>71</v>
      </c>
      <c r="E2564" s="91">
        <v>178</v>
      </c>
      <c r="F2564" s="91">
        <v>1</v>
      </c>
      <c r="G2564" s="126">
        <v>0.000500106190880191</v>
      </c>
      <c r="H2564" s="126">
        <f t="shared" si="121"/>
        <v>1386</v>
      </c>
      <c r="I2564" s="126" t="str">
        <f t="shared" si="122"/>
        <v>0y 0d 0h 23m</v>
      </c>
    </row>
    <row r="2565" s="91" customFormat="1" spans="1:9">
      <c r="A2565" s="91" t="str">
        <f t="shared" si="120"/>
        <v>Lu-179</v>
      </c>
      <c r="B2565" s="91" t="s">
        <v>3184</v>
      </c>
      <c r="C2565" s="91" t="s">
        <v>3132</v>
      </c>
      <c r="D2565" s="91">
        <v>71</v>
      </c>
      <c r="E2565" s="91">
        <v>179</v>
      </c>
      <c r="F2565" s="91">
        <v>0</v>
      </c>
      <c r="G2565" s="126">
        <v>4.19479048995367e-5</v>
      </c>
      <c r="H2565" s="126">
        <f t="shared" si="121"/>
        <v>16524</v>
      </c>
      <c r="I2565" s="126" t="str">
        <f t="shared" si="122"/>
        <v>0y 0d 4h 35m</v>
      </c>
    </row>
    <row r="2566" s="91" customFormat="1" spans="1:9">
      <c r="A2566" s="91" t="str">
        <f t="shared" si="120"/>
        <v>Lu-179m</v>
      </c>
      <c r="B2566" s="91" t="s">
        <v>3185</v>
      </c>
      <c r="C2566" s="91" t="s">
        <v>3132</v>
      </c>
      <c r="D2566" s="91">
        <v>71</v>
      </c>
      <c r="E2566" s="91">
        <v>179</v>
      </c>
      <c r="F2566" s="91">
        <v>1</v>
      </c>
      <c r="G2566" s="126">
        <v>223.595864696756</v>
      </c>
      <c r="H2566" s="126">
        <f t="shared" si="121"/>
        <v>0.00310000000000001</v>
      </c>
      <c r="I2566" s="126" t="str">
        <f t="shared" si="122"/>
        <v>0y 0d 0h 0m</v>
      </c>
    </row>
    <row r="2567" s="91" customFormat="1" spans="1:9">
      <c r="A2567" s="91" t="str">
        <f t="shared" si="120"/>
        <v>Lu-180</v>
      </c>
      <c r="B2567" s="91" t="s">
        <v>3186</v>
      </c>
      <c r="C2567" s="91" t="s">
        <v>3132</v>
      </c>
      <c r="D2567" s="91">
        <v>71</v>
      </c>
      <c r="E2567" s="91">
        <v>180</v>
      </c>
      <c r="F2567" s="91">
        <v>0</v>
      </c>
      <c r="G2567" s="126">
        <v>0.00202674614198814</v>
      </c>
      <c r="H2567" s="126">
        <f t="shared" si="121"/>
        <v>342.000000000001</v>
      </c>
      <c r="I2567" s="126" t="str">
        <f t="shared" si="122"/>
        <v>0y 0d 0h 5m</v>
      </c>
    </row>
    <row r="2568" s="91" customFormat="1" spans="1:9">
      <c r="A2568" s="91" t="str">
        <f t="shared" si="120"/>
        <v>Lu-180m</v>
      </c>
      <c r="B2568" s="91" t="s">
        <v>3187</v>
      </c>
      <c r="C2568" s="91" t="s">
        <v>3132</v>
      </c>
      <c r="D2568" s="91">
        <v>71</v>
      </c>
      <c r="E2568" s="91">
        <v>180</v>
      </c>
      <c r="F2568" s="91">
        <v>1</v>
      </c>
      <c r="G2568" s="126">
        <v>693.147180559945</v>
      </c>
      <c r="H2568" s="126">
        <f t="shared" si="121"/>
        <v>0.001</v>
      </c>
      <c r="I2568" s="126" t="str">
        <f t="shared" si="122"/>
        <v>0y 0d 0h 0m</v>
      </c>
    </row>
    <row r="2569" s="91" customFormat="1" spans="1:9">
      <c r="A2569" s="91" t="str">
        <f t="shared" si="120"/>
        <v>Lu-181</v>
      </c>
      <c r="B2569" s="91" t="s">
        <v>3188</v>
      </c>
      <c r="C2569" s="91" t="s">
        <v>3132</v>
      </c>
      <c r="D2569" s="91">
        <v>71</v>
      </c>
      <c r="E2569" s="91">
        <v>181</v>
      </c>
      <c r="F2569" s="91">
        <v>0</v>
      </c>
      <c r="G2569" s="126">
        <v>0.00330070085980926</v>
      </c>
      <c r="H2569" s="126">
        <f t="shared" si="121"/>
        <v>210</v>
      </c>
      <c r="I2569" s="126" t="str">
        <f t="shared" si="122"/>
        <v>0y 0d 0h 3m</v>
      </c>
    </row>
    <row r="2570" s="91" customFormat="1" spans="1:9">
      <c r="A2570" s="91" t="str">
        <f t="shared" si="120"/>
        <v>Lu-182</v>
      </c>
      <c r="B2570" s="91" t="s">
        <v>3189</v>
      </c>
      <c r="C2570" s="91" t="s">
        <v>3132</v>
      </c>
      <c r="D2570" s="91">
        <v>71</v>
      </c>
      <c r="E2570" s="91">
        <v>182</v>
      </c>
      <c r="F2570" s="91">
        <v>0</v>
      </c>
      <c r="G2570" s="126">
        <v>0.00577622650466621</v>
      </c>
      <c r="H2570" s="126">
        <f t="shared" si="121"/>
        <v>120</v>
      </c>
      <c r="I2570" s="126" t="str">
        <f t="shared" si="122"/>
        <v>0y 0d 0h 2m</v>
      </c>
    </row>
    <row r="2571" s="91" customFormat="1" spans="1:9">
      <c r="A2571" s="91" t="str">
        <f t="shared" si="120"/>
        <v>Lu-183</v>
      </c>
      <c r="B2571" s="91" t="s">
        <v>3190</v>
      </c>
      <c r="C2571" s="91" t="s">
        <v>3132</v>
      </c>
      <c r="D2571" s="91">
        <v>71</v>
      </c>
      <c r="E2571" s="91">
        <v>183</v>
      </c>
      <c r="F2571" s="91">
        <v>0</v>
      </c>
      <c r="G2571" s="126">
        <v>0.01195081345793</v>
      </c>
      <c r="H2571" s="126">
        <f t="shared" si="121"/>
        <v>58.0000000000004</v>
      </c>
      <c r="I2571" s="126" t="str">
        <f t="shared" si="122"/>
        <v>0y 0d 0h 0m</v>
      </c>
    </row>
    <row r="2572" s="91" customFormat="1" spans="1:9">
      <c r="A2572" s="91" t="str">
        <f t="shared" si="120"/>
        <v>Lu-184</v>
      </c>
      <c r="B2572" s="91" t="s">
        <v>3191</v>
      </c>
      <c r="C2572" s="91" t="s">
        <v>3132</v>
      </c>
      <c r="D2572" s="91">
        <v>71</v>
      </c>
      <c r="E2572" s="91">
        <v>184</v>
      </c>
      <c r="F2572" s="91">
        <v>0</v>
      </c>
      <c r="G2572" s="126">
        <v>0.0346573590279972</v>
      </c>
      <c r="H2572" s="126">
        <f t="shared" si="121"/>
        <v>20</v>
      </c>
      <c r="I2572" s="126" t="str">
        <f t="shared" si="122"/>
        <v>0y 0d 0h 0m</v>
      </c>
    </row>
    <row r="2573" s="91" customFormat="1" spans="1:9">
      <c r="A2573" s="91" t="str">
        <f t="shared" si="120"/>
        <v>Hf-153</v>
      </c>
      <c r="B2573" s="91" t="s">
        <v>3192</v>
      </c>
      <c r="C2573" s="91" t="s">
        <v>3193</v>
      </c>
      <c r="D2573" s="91">
        <v>72</v>
      </c>
      <c r="E2573" s="91">
        <v>153</v>
      </c>
      <c r="F2573" s="91">
        <v>0</v>
      </c>
      <c r="G2573" s="126">
        <v>115524.530093324</v>
      </c>
      <c r="H2573" s="126">
        <f t="shared" si="121"/>
        <v>6.00000000000001e-6</v>
      </c>
      <c r="I2573" s="126" t="str">
        <f t="shared" si="122"/>
        <v>0y 0d 0h 0m</v>
      </c>
    </row>
    <row r="2574" s="91" customFormat="1" spans="1:9">
      <c r="A2574" s="91" t="str">
        <f t="shared" si="120"/>
        <v>Hf-154</v>
      </c>
      <c r="B2574" s="91" t="s">
        <v>3194</v>
      </c>
      <c r="C2574" s="91" t="s">
        <v>3193</v>
      </c>
      <c r="D2574" s="91">
        <v>72</v>
      </c>
      <c r="E2574" s="91">
        <v>154</v>
      </c>
      <c r="F2574" s="91">
        <v>0</v>
      </c>
      <c r="G2574" s="126">
        <v>0.346573590279972</v>
      </c>
      <c r="H2574" s="126">
        <f t="shared" si="121"/>
        <v>2</v>
      </c>
      <c r="I2574" s="126" t="str">
        <f t="shared" si="122"/>
        <v>0y 0d 0h 0m</v>
      </c>
    </row>
    <row r="2575" s="91" customFormat="1" spans="1:9">
      <c r="A2575" s="91" t="str">
        <f t="shared" si="120"/>
        <v>Hf-155</v>
      </c>
      <c r="B2575" s="91" t="s">
        <v>3195</v>
      </c>
      <c r="C2575" s="91" t="s">
        <v>3193</v>
      </c>
      <c r="D2575" s="91">
        <v>72</v>
      </c>
      <c r="E2575" s="91">
        <v>155</v>
      </c>
      <c r="F2575" s="91">
        <v>0</v>
      </c>
      <c r="G2575" s="126">
        <v>0.778817056808927</v>
      </c>
      <c r="H2575" s="126">
        <f t="shared" si="121"/>
        <v>0.89</v>
      </c>
      <c r="I2575" s="126" t="str">
        <f t="shared" si="122"/>
        <v>0y 0d 0h 0m</v>
      </c>
    </row>
    <row r="2576" s="91" customFormat="1" spans="1:9">
      <c r="A2576" s="91" t="str">
        <f t="shared" si="120"/>
        <v>Hf-156</v>
      </c>
      <c r="B2576" s="91" t="s">
        <v>3196</v>
      </c>
      <c r="C2576" s="91" t="s">
        <v>3193</v>
      </c>
      <c r="D2576" s="91">
        <v>72</v>
      </c>
      <c r="E2576" s="91">
        <v>156</v>
      </c>
      <c r="F2576" s="91">
        <v>0</v>
      </c>
      <c r="G2576" s="126">
        <v>30.1368339373889</v>
      </c>
      <c r="H2576" s="126">
        <f t="shared" si="121"/>
        <v>0.023</v>
      </c>
      <c r="I2576" s="126" t="str">
        <f t="shared" si="122"/>
        <v>0y 0d 0h 0m</v>
      </c>
    </row>
    <row r="2577" s="91" customFormat="1" spans="1:9">
      <c r="A2577" s="91" t="str">
        <f t="shared" si="120"/>
        <v>Hf-157</v>
      </c>
      <c r="B2577" s="91" t="s">
        <v>3197</v>
      </c>
      <c r="C2577" s="91" t="s">
        <v>3193</v>
      </c>
      <c r="D2577" s="91">
        <v>72</v>
      </c>
      <c r="E2577" s="91">
        <v>157</v>
      </c>
      <c r="F2577" s="91">
        <v>0</v>
      </c>
      <c r="G2577" s="126">
        <v>6.30133800509041</v>
      </c>
      <c r="H2577" s="126">
        <f t="shared" si="121"/>
        <v>0.11</v>
      </c>
      <c r="I2577" s="126" t="str">
        <f t="shared" si="122"/>
        <v>0y 0d 0h 0m</v>
      </c>
    </row>
    <row r="2578" s="91" customFormat="1" spans="1:9">
      <c r="A2578" s="91" t="str">
        <f t="shared" si="120"/>
        <v>Hf-158</v>
      </c>
      <c r="B2578" s="91" t="s">
        <v>3198</v>
      </c>
      <c r="C2578" s="91" t="s">
        <v>3193</v>
      </c>
      <c r="D2578" s="91">
        <v>72</v>
      </c>
      <c r="E2578" s="91">
        <v>158</v>
      </c>
      <c r="F2578" s="91">
        <v>0</v>
      </c>
      <c r="G2578" s="126">
        <v>0.243209537038577</v>
      </c>
      <c r="H2578" s="126">
        <f t="shared" si="121"/>
        <v>2.85</v>
      </c>
      <c r="I2578" s="126" t="str">
        <f t="shared" si="122"/>
        <v>0y 0d 0h 0m</v>
      </c>
    </row>
    <row r="2579" s="91" customFormat="1" spans="1:9">
      <c r="A2579" s="91" t="str">
        <f t="shared" si="120"/>
        <v>Hf-159</v>
      </c>
      <c r="B2579" s="91" t="s">
        <v>3199</v>
      </c>
      <c r="C2579" s="91" t="s">
        <v>3193</v>
      </c>
      <c r="D2579" s="91">
        <v>72</v>
      </c>
      <c r="E2579" s="91">
        <v>159</v>
      </c>
      <c r="F2579" s="91">
        <v>0</v>
      </c>
      <c r="G2579" s="126">
        <v>0.123776282242847</v>
      </c>
      <c r="H2579" s="126">
        <f t="shared" si="121"/>
        <v>5.60000000000002</v>
      </c>
      <c r="I2579" s="126" t="str">
        <f t="shared" si="122"/>
        <v>0y 0d 0h 0m</v>
      </c>
    </row>
    <row r="2580" s="91" customFormat="1" spans="1:9">
      <c r="A2580" s="91" t="str">
        <f t="shared" si="120"/>
        <v>Hf-160</v>
      </c>
      <c r="B2580" s="91" t="s">
        <v>3200</v>
      </c>
      <c r="C2580" s="91" t="s">
        <v>3193</v>
      </c>
      <c r="D2580" s="91">
        <v>72</v>
      </c>
      <c r="E2580" s="91">
        <v>160</v>
      </c>
      <c r="F2580" s="91">
        <v>0</v>
      </c>
      <c r="G2580" s="126">
        <v>0.0509667044529371</v>
      </c>
      <c r="H2580" s="126">
        <f t="shared" si="121"/>
        <v>13.6</v>
      </c>
      <c r="I2580" s="126" t="str">
        <f t="shared" si="122"/>
        <v>0y 0d 0h 0m</v>
      </c>
    </row>
    <row r="2581" s="91" customFormat="1" spans="1:9">
      <c r="A2581" s="91" t="str">
        <f t="shared" si="120"/>
        <v>Hf-161</v>
      </c>
      <c r="B2581" s="91" t="s">
        <v>3201</v>
      </c>
      <c r="C2581" s="91" t="s">
        <v>3193</v>
      </c>
      <c r="D2581" s="91">
        <v>72</v>
      </c>
      <c r="E2581" s="91">
        <v>161</v>
      </c>
      <c r="F2581" s="91">
        <v>0</v>
      </c>
      <c r="G2581" s="126">
        <v>0.0380850099208761</v>
      </c>
      <c r="H2581" s="126">
        <f t="shared" si="121"/>
        <v>18.2</v>
      </c>
      <c r="I2581" s="126" t="str">
        <f t="shared" si="122"/>
        <v>0y 0d 0h 0m</v>
      </c>
    </row>
    <row r="2582" s="91" customFormat="1" spans="1:9">
      <c r="A2582" s="91" t="str">
        <f t="shared" si="120"/>
        <v>Hf-162</v>
      </c>
      <c r="B2582" s="91" t="s">
        <v>3202</v>
      </c>
      <c r="C2582" s="91" t="s">
        <v>3193</v>
      </c>
      <c r="D2582" s="91">
        <v>72</v>
      </c>
      <c r="E2582" s="91">
        <v>162</v>
      </c>
      <c r="F2582" s="91">
        <v>0</v>
      </c>
      <c r="G2582" s="126">
        <v>0.0175925680345163</v>
      </c>
      <c r="H2582" s="126">
        <f t="shared" si="121"/>
        <v>39.4000000000002</v>
      </c>
      <c r="I2582" s="126" t="str">
        <f t="shared" si="122"/>
        <v>0y 0d 0h 0m</v>
      </c>
    </row>
    <row r="2583" s="91" customFormat="1" spans="1:9">
      <c r="A2583" s="91" t="str">
        <f t="shared" si="120"/>
        <v>Hf-163</v>
      </c>
      <c r="B2583" s="91" t="s">
        <v>3203</v>
      </c>
      <c r="C2583" s="91" t="s">
        <v>3193</v>
      </c>
      <c r="D2583" s="91">
        <v>72</v>
      </c>
      <c r="E2583" s="91">
        <v>163</v>
      </c>
      <c r="F2583" s="91">
        <v>0</v>
      </c>
      <c r="G2583" s="126">
        <v>0.0173286795139986</v>
      </c>
      <c r="H2583" s="126">
        <f t="shared" si="121"/>
        <v>40.0000000000001</v>
      </c>
      <c r="I2583" s="126" t="str">
        <f t="shared" si="122"/>
        <v>0y 0d 0h 0m</v>
      </c>
    </row>
    <row r="2584" s="91" customFormat="1" spans="1:9">
      <c r="A2584" s="91" t="str">
        <f t="shared" si="120"/>
        <v>Hf-164</v>
      </c>
      <c r="B2584" s="91" t="s">
        <v>3204</v>
      </c>
      <c r="C2584" s="91" t="s">
        <v>3193</v>
      </c>
      <c r="D2584" s="91">
        <v>72</v>
      </c>
      <c r="E2584" s="91">
        <v>164</v>
      </c>
      <c r="F2584" s="91">
        <v>0</v>
      </c>
      <c r="G2584" s="126">
        <v>0.00624456919423374</v>
      </c>
      <c r="H2584" s="126">
        <f t="shared" si="121"/>
        <v>111</v>
      </c>
      <c r="I2584" s="126" t="str">
        <f t="shared" si="122"/>
        <v>0y 0d 0h 1m</v>
      </c>
    </row>
    <row r="2585" s="91" customFormat="1" spans="1:9">
      <c r="A2585" s="91" t="str">
        <f t="shared" si="120"/>
        <v>Hf-165</v>
      </c>
      <c r="B2585" s="91" t="s">
        <v>3205</v>
      </c>
      <c r="C2585" s="91" t="s">
        <v>3193</v>
      </c>
      <c r="D2585" s="91">
        <v>72</v>
      </c>
      <c r="E2585" s="91">
        <v>165</v>
      </c>
      <c r="F2585" s="91">
        <v>0</v>
      </c>
      <c r="G2585" s="126">
        <v>0.00912035763894664</v>
      </c>
      <c r="H2585" s="126">
        <f t="shared" si="121"/>
        <v>76.0000000000001</v>
      </c>
      <c r="I2585" s="126" t="str">
        <f t="shared" si="122"/>
        <v>0y 0d 0h 1m</v>
      </c>
    </row>
    <row r="2586" s="91" customFormat="1" spans="1:9">
      <c r="A2586" s="91" t="str">
        <f t="shared" si="120"/>
        <v>Hf-166</v>
      </c>
      <c r="B2586" s="91" t="s">
        <v>3206</v>
      </c>
      <c r="C2586" s="91" t="s">
        <v>3193</v>
      </c>
      <c r="D2586" s="91">
        <v>72</v>
      </c>
      <c r="E2586" s="91">
        <v>166</v>
      </c>
      <c r="F2586" s="91">
        <v>0</v>
      </c>
      <c r="G2586" s="126">
        <v>0.00170641846518942</v>
      </c>
      <c r="H2586" s="126">
        <f t="shared" si="121"/>
        <v>406.200000000002</v>
      </c>
      <c r="I2586" s="126" t="str">
        <f t="shared" si="122"/>
        <v>0y 0d 0h 6m</v>
      </c>
    </row>
    <row r="2587" s="91" customFormat="1" spans="1:9">
      <c r="A2587" s="91" t="str">
        <f t="shared" si="120"/>
        <v>Hf-167</v>
      </c>
      <c r="B2587" s="91" t="s">
        <v>3207</v>
      </c>
      <c r="C2587" s="91" t="s">
        <v>3193</v>
      </c>
      <c r="D2587" s="91">
        <v>72</v>
      </c>
      <c r="E2587" s="91">
        <v>167</v>
      </c>
      <c r="F2587" s="91">
        <v>0</v>
      </c>
      <c r="G2587" s="126">
        <v>0.00563534293138166</v>
      </c>
      <c r="H2587" s="126">
        <f t="shared" si="121"/>
        <v>123</v>
      </c>
      <c r="I2587" s="126" t="str">
        <f t="shared" si="122"/>
        <v>0y 0d 0h 2m</v>
      </c>
    </row>
    <row r="2588" s="91" customFormat="1" spans="1:9">
      <c r="A2588" s="91" t="str">
        <f t="shared" si="120"/>
        <v>Hf-168</v>
      </c>
      <c r="B2588" s="91" t="s">
        <v>3208</v>
      </c>
      <c r="C2588" s="91" t="s">
        <v>3193</v>
      </c>
      <c r="D2588" s="91">
        <v>72</v>
      </c>
      <c r="E2588" s="91">
        <v>168</v>
      </c>
      <c r="F2588" s="91">
        <v>0</v>
      </c>
      <c r="G2588" s="126">
        <v>0.000445181233500286</v>
      </c>
      <c r="H2588" s="126">
        <f t="shared" si="121"/>
        <v>1557</v>
      </c>
      <c r="I2588" s="126" t="str">
        <f t="shared" si="122"/>
        <v>0y 0d 0h 25m</v>
      </c>
    </row>
    <row r="2589" s="91" customFormat="1" spans="1:9">
      <c r="A2589" s="91" t="str">
        <f t="shared" si="120"/>
        <v>Hf-169</v>
      </c>
      <c r="B2589" s="91" t="s">
        <v>3209</v>
      </c>
      <c r="C2589" s="91" t="s">
        <v>3193</v>
      </c>
      <c r="D2589" s="91">
        <v>72</v>
      </c>
      <c r="E2589" s="91">
        <v>169</v>
      </c>
      <c r="F2589" s="91">
        <v>0</v>
      </c>
      <c r="G2589" s="126">
        <v>0.00356557191646062</v>
      </c>
      <c r="H2589" s="126">
        <f t="shared" si="121"/>
        <v>194.4</v>
      </c>
      <c r="I2589" s="126" t="str">
        <f t="shared" si="122"/>
        <v>0y 0d 0h 3m</v>
      </c>
    </row>
    <row r="2590" s="91" customFormat="1" spans="1:9">
      <c r="A2590" s="91" t="str">
        <f t="shared" si="120"/>
        <v>Hf-170</v>
      </c>
      <c r="B2590" s="91" t="s">
        <v>3210</v>
      </c>
      <c r="C2590" s="91" t="s">
        <v>3193</v>
      </c>
      <c r="D2590" s="91">
        <v>72</v>
      </c>
      <c r="E2590" s="91">
        <v>170</v>
      </c>
      <c r="F2590" s="91">
        <v>0</v>
      </c>
      <c r="G2590" s="126">
        <v>1.20262887875623e-5</v>
      </c>
      <c r="H2590" s="126">
        <f t="shared" si="121"/>
        <v>57636.0000000004</v>
      </c>
      <c r="I2590" s="126" t="str">
        <f t="shared" si="122"/>
        <v>0y 0d 16h 0m</v>
      </c>
    </row>
    <row r="2591" s="91" customFormat="1" spans="1:9">
      <c r="A2591" s="91" t="str">
        <f t="shared" si="120"/>
        <v>Hf-171</v>
      </c>
      <c r="B2591" s="91" t="s">
        <v>3211</v>
      </c>
      <c r="C2591" s="91" t="s">
        <v>3193</v>
      </c>
      <c r="D2591" s="91">
        <v>72</v>
      </c>
      <c r="E2591" s="91">
        <v>171</v>
      </c>
      <c r="F2591" s="91">
        <v>0</v>
      </c>
      <c r="G2591" s="126">
        <v>1.59124697098242e-5</v>
      </c>
      <c r="H2591" s="126">
        <f t="shared" si="121"/>
        <v>43560.0000000002</v>
      </c>
      <c r="I2591" s="126" t="str">
        <f t="shared" si="122"/>
        <v>0y 0d 12h 6m</v>
      </c>
    </row>
    <row r="2592" s="91" customFormat="1" spans="1:9">
      <c r="A2592" s="91" t="str">
        <f t="shared" si="120"/>
        <v>Hf-171m</v>
      </c>
      <c r="B2592" s="91" t="s">
        <v>3212</v>
      </c>
      <c r="C2592" s="91" t="s">
        <v>3193</v>
      </c>
      <c r="D2592" s="91">
        <v>72</v>
      </c>
      <c r="E2592" s="91">
        <v>171</v>
      </c>
      <c r="F2592" s="91">
        <v>1</v>
      </c>
      <c r="G2592" s="126">
        <v>0.0234965145952523</v>
      </c>
      <c r="H2592" s="126">
        <f t="shared" si="121"/>
        <v>29.5000000000001</v>
      </c>
      <c r="I2592" s="126" t="str">
        <f t="shared" si="122"/>
        <v>0y 0d 0h 0m</v>
      </c>
    </row>
    <row r="2593" s="91" customFormat="1" spans="1:9">
      <c r="A2593" s="91" t="str">
        <f t="shared" si="120"/>
        <v>Hf-172</v>
      </c>
      <c r="B2593" s="91" t="s">
        <v>3213</v>
      </c>
      <c r="C2593" s="91" t="s">
        <v>3193</v>
      </c>
      <c r="D2593" s="91">
        <v>72</v>
      </c>
      <c r="E2593" s="91">
        <v>172</v>
      </c>
      <c r="F2593" s="91">
        <v>0</v>
      </c>
      <c r="G2593" s="126">
        <v>1.17457269893205e-8</v>
      </c>
      <c r="H2593" s="126">
        <f t="shared" si="121"/>
        <v>59012710.0000001</v>
      </c>
      <c r="I2593" s="126" t="str">
        <f t="shared" si="122"/>
        <v>1y 318d 0h 25m</v>
      </c>
    </row>
    <row r="2594" s="91" customFormat="1" spans="1:9">
      <c r="A2594" s="91" t="str">
        <f t="shared" si="120"/>
        <v>Hf-173</v>
      </c>
      <c r="B2594" s="91" t="s">
        <v>3214</v>
      </c>
      <c r="C2594" s="91" t="s">
        <v>3193</v>
      </c>
      <c r="D2594" s="91">
        <v>72</v>
      </c>
      <c r="E2594" s="91">
        <v>173</v>
      </c>
      <c r="F2594" s="91">
        <v>0</v>
      </c>
      <c r="G2594" s="126">
        <v>8.15851201224041e-6</v>
      </c>
      <c r="H2594" s="126">
        <f t="shared" si="121"/>
        <v>84960</v>
      </c>
      <c r="I2594" s="126" t="str">
        <f t="shared" si="122"/>
        <v>0y 0d 23h 36m</v>
      </c>
    </row>
    <row r="2595" s="91" customFormat="1" spans="1:9">
      <c r="A2595" s="91" t="str">
        <f t="shared" si="120"/>
        <v>Hf-174</v>
      </c>
      <c r="B2595" s="91" t="s">
        <v>3215</v>
      </c>
      <c r="C2595" s="91" t="s">
        <v>3193</v>
      </c>
      <c r="D2595" s="91">
        <v>72</v>
      </c>
      <c r="E2595" s="91">
        <v>174</v>
      </c>
      <c r="F2595" s="91">
        <v>0</v>
      </c>
      <c r="G2595" s="126">
        <v>1.0982254362815e-23</v>
      </c>
      <c r="H2595" s="126">
        <f t="shared" si="121"/>
        <v>6.31152000000004e+22</v>
      </c>
      <c r="I2595" s="126" t="str">
        <f t="shared" si="122"/>
        <v>2001369863013710y 0d 0h 0m</v>
      </c>
    </row>
    <row r="2596" s="91" customFormat="1" spans="1:9">
      <c r="A2596" s="91" t="str">
        <f t="shared" si="120"/>
        <v>Hf-175</v>
      </c>
      <c r="B2596" s="91" t="s">
        <v>3216</v>
      </c>
      <c r="C2596" s="91" t="s">
        <v>3193</v>
      </c>
      <c r="D2596" s="91">
        <v>72</v>
      </c>
      <c r="E2596" s="91">
        <v>175</v>
      </c>
      <c r="F2596" s="91">
        <v>0</v>
      </c>
      <c r="G2596" s="126">
        <v>1.14607668743377e-7</v>
      </c>
      <c r="H2596" s="126">
        <f t="shared" si="121"/>
        <v>6048000.00000001</v>
      </c>
      <c r="I2596" s="126" t="str">
        <f t="shared" si="122"/>
        <v>0y 70d 0h 0m</v>
      </c>
    </row>
    <row r="2597" s="91" customFormat="1" spans="1:9">
      <c r="A2597" s="91" t="str">
        <f t="shared" si="120"/>
        <v>Hf-176</v>
      </c>
      <c r="B2597" s="91" t="s">
        <v>3217</v>
      </c>
      <c r="C2597" s="91" t="s">
        <v>3193</v>
      </c>
      <c r="D2597" s="91">
        <v>72</v>
      </c>
      <c r="E2597" s="91">
        <v>176</v>
      </c>
      <c r="F2597" s="91">
        <v>0</v>
      </c>
      <c r="G2597" s="126">
        <v>0</v>
      </c>
      <c r="H2597" s="126">
        <f t="shared" si="121"/>
        <v>0</v>
      </c>
      <c r="I2597" s="126" t="str">
        <f t="shared" si="122"/>
        <v>0y 0d 0h 0m</v>
      </c>
    </row>
    <row r="2598" s="91" customFormat="1" spans="1:9">
      <c r="A2598" s="91" t="str">
        <f t="shared" si="120"/>
        <v>Hf-177</v>
      </c>
      <c r="B2598" s="91" t="s">
        <v>3218</v>
      </c>
      <c r="C2598" s="91" t="s">
        <v>3193</v>
      </c>
      <c r="D2598" s="91">
        <v>72</v>
      </c>
      <c r="E2598" s="91">
        <v>177</v>
      </c>
      <c r="F2598" s="91">
        <v>0</v>
      </c>
      <c r="G2598" s="126">
        <v>0</v>
      </c>
      <c r="H2598" s="126">
        <f t="shared" si="121"/>
        <v>0</v>
      </c>
      <c r="I2598" s="126" t="str">
        <f t="shared" si="122"/>
        <v>0y 0d 0h 0m</v>
      </c>
    </row>
    <row r="2599" s="91" customFormat="1" spans="1:9">
      <c r="A2599" s="91" t="str">
        <f t="shared" si="120"/>
        <v>Hf-177m</v>
      </c>
      <c r="B2599" s="91" t="s">
        <v>3219</v>
      </c>
      <c r="C2599" s="91" t="s">
        <v>3193</v>
      </c>
      <c r="D2599" s="91">
        <v>72</v>
      </c>
      <c r="E2599" s="91">
        <v>177</v>
      </c>
      <c r="F2599" s="91">
        <v>1</v>
      </c>
      <c r="G2599" s="126">
        <v>0.635914844550408</v>
      </c>
      <c r="H2599" s="126">
        <f t="shared" si="121"/>
        <v>1.09</v>
      </c>
      <c r="I2599" s="126" t="str">
        <f t="shared" si="122"/>
        <v>0y 0d 0h 0m</v>
      </c>
    </row>
    <row r="2600" s="91" customFormat="1" spans="1:9">
      <c r="A2600" s="91" t="str">
        <f t="shared" si="120"/>
        <v>Hf-177m2</v>
      </c>
      <c r="B2600" s="91" t="s">
        <v>3220</v>
      </c>
      <c r="C2600" s="91" t="s">
        <v>3193</v>
      </c>
      <c r="D2600" s="91">
        <v>72</v>
      </c>
      <c r="E2600" s="91">
        <v>177</v>
      </c>
      <c r="F2600" s="91">
        <v>2</v>
      </c>
      <c r="G2600" s="126">
        <v>0.000224755895123198</v>
      </c>
      <c r="H2600" s="126">
        <f t="shared" si="121"/>
        <v>3084.00000000001</v>
      </c>
      <c r="I2600" s="126" t="str">
        <f t="shared" si="122"/>
        <v>0y 0d 0h 51m</v>
      </c>
    </row>
    <row r="2601" s="91" customFormat="1" spans="1:9">
      <c r="A2601" s="91" t="str">
        <f t="shared" si="120"/>
        <v>Hf-178</v>
      </c>
      <c r="B2601" s="91" t="s">
        <v>3221</v>
      </c>
      <c r="C2601" s="91" t="s">
        <v>3193</v>
      </c>
      <c r="D2601" s="91">
        <v>72</v>
      </c>
      <c r="E2601" s="91">
        <v>178</v>
      </c>
      <c r="F2601" s="91">
        <v>0</v>
      </c>
      <c r="G2601" s="126">
        <v>0</v>
      </c>
      <c r="H2601" s="126">
        <f t="shared" si="121"/>
        <v>0</v>
      </c>
      <c r="I2601" s="126" t="str">
        <f t="shared" si="122"/>
        <v>0y 0d 0h 0m</v>
      </c>
    </row>
    <row r="2602" s="91" customFormat="1" spans="1:9">
      <c r="A2602" s="91" t="str">
        <f t="shared" si="120"/>
        <v>Hf-178m</v>
      </c>
      <c r="B2602" s="91" t="s">
        <v>3222</v>
      </c>
      <c r="C2602" s="91" t="s">
        <v>3193</v>
      </c>
      <c r="D2602" s="91">
        <v>72</v>
      </c>
      <c r="E2602" s="91">
        <v>178</v>
      </c>
      <c r="F2602" s="91">
        <v>1</v>
      </c>
      <c r="G2602" s="126">
        <v>0.173286795139986</v>
      </c>
      <c r="H2602" s="126">
        <f t="shared" si="121"/>
        <v>4.00000000000001</v>
      </c>
      <c r="I2602" s="126" t="str">
        <f t="shared" si="122"/>
        <v>0y 0d 0h 0m</v>
      </c>
    </row>
    <row r="2603" s="91" customFormat="1" spans="1:9">
      <c r="A2603" s="91" t="str">
        <f t="shared" si="120"/>
        <v>Hf-178m2</v>
      </c>
      <c r="B2603" s="91" t="s">
        <v>3223</v>
      </c>
      <c r="C2603" s="91" t="s">
        <v>3193</v>
      </c>
      <c r="D2603" s="91">
        <v>72</v>
      </c>
      <c r="E2603" s="91">
        <v>178</v>
      </c>
      <c r="F2603" s="91">
        <v>2</v>
      </c>
      <c r="G2603" s="126">
        <v>7.08532539536455e-10</v>
      </c>
      <c r="H2603" s="126">
        <f t="shared" si="121"/>
        <v>978285600.000001</v>
      </c>
      <c r="I2603" s="126" t="str">
        <f t="shared" si="122"/>
        <v>31y 7d 18h 0m</v>
      </c>
    </row>
    <row r="2604" s="91" customFormat="1" spans="1:9">
      <c r="A2604" s="91" t="str">
        <f t="shared" si="120"/>
        <v>Hf-179</v>
      </c>
      <c r="B2604" s="91" t="s">
        <v>3224</v>
      </c>
      <c r="C2604" s="91" t="s">
        <v>3193</v>
      </c>
      <c r="D2604" s="91">
        <v>72</v>
      </c>
      <c r="E2604" s="91">
        <v>179</v>
      </c>
      <c r="F2604" s="91">
        <v>0</v>
      </c>
      <c r="G2604" s="126">
        <v>0</v>
      </c>
      <c r="H2604" s="126">
        <f t="shared" si="121"/>
        <v>0</v>
      </c>
      <c r="I2604" s="126" t="str">
        <f t="shared" si="122"/>
        <v>0y 0d 0h 0m</v>
      </c>
    </row>
    <row r="2605" s="91" customFormat="1" spans="1:9">
      <c r="A2605" s="91" t="str">
        <f t="shared" si="120"/>
        <v>Hf-179m</v>
      </c>
      <c r="B2605" s="91" t="s">
        <v>3225</v>
      </c>
      <c r="C2605" s="91" t="s">
        <v>3193</v>
      </c>
      <c r="D2605" s="91">
        <v>72</v>
      </c>
      <c r="E2605" s="91">
        <v>179</v>
      </c>
      <c r="F2605" s="91">
        <v>1</v>
      </c>
      <c r="G2605" s="126">
        <v>0.0371262549844641</v>
      </c>
      <c r="H2605" s="126">
        <f t="shared" si="121"/>
        <v>18.67</v>
      </c>
      <c r="I2605" s="126" t="str">
        <f t="shared" si="122"/>
        <v>0y 0d 0h 0m</v>
      </c>
    </row>
    <row r="2606" s="91" customFormat="1" spans="1:9">
      <c r="A2606" s="91" t="str">
        <f t="shared" si="120"/>
        <v>Hf-179m2</v>
      </c>
      <c r="B2606" s="91" t="s">
        <v>3226</v>
      </c>
      <c r="C2606" s="91" t="s">
        <v>3193</v>
      </c>
      <c r="D2606" s="91">
        <v>72</v>
      </c>
      <c r="E2606" s="91">
        <v>179</v>
      </c>
      <c r="F2606" s="91">
        <v>2</v>
      </c>
      <c r="G2606" s="126">
        <v>3.20260950580295e-7</v>
      </c>
      <c r="H2606" s="126">
        <f t="shared" si="121"/>
        <v>2164320</v>
      </c>
      <c r="I2606" s="126" t="str">
        <f t="shared" si="122"/>
        <v>0y 25d 1h 12m</v>
      </c>
    </row>
    <row r="2607" s="91" customFormat="1" spans="1:9">
      <c r="A2607" s="91" t="str">
        <f t="shared" si="120"/>
        <v>Hf-180</v>
      </c>
      <c r="B2607" s="91" t="s">
        <v>3227</v>
      </c>
      <c r="C2607" s="91" t="s">
        <v>3193</v>
      </c>
      <c r="D2607" s="91">
        <v>72</v>
      </c>
      <c r="E2607" s="91">
        <v>180</v>
      </c>
      <c r="F2607" s="91">
        <v>0</v>
      </c>
      <c r="G2607" s="126">
        <v>0</v>
      </c>
      <c r="H2607" s="126">
        <f t="shared" si="121"/>
        <v>0</v>
      </c>
      <c r="I2607" s="126" t="str">
        <f t="shared" si="122"/>
        <v>0y 0d 0h 0m</v>
      </c>
    </row>
    <row r="2608" s="91" customFormat="1" spans="1:9">
      <c r="A2608" s="91" t="str">
        <f t="shared" si="120"/>
        <v>Hf-180m</v>
      </c>
      <c r="B2608" s="91" t="s">
        <v>3228</v>
      </c>
      <c r="C2608" s="91" t="s">
        <v>3193</v>
      </c>
      <c r="D2608" s="91">
        <v>72</v>
      </c>
      <c r="E2608" s="91">
        <v>180</v>
      </c>
      <c r="F2608" s="91">
        <v>1</v>
      </c>
      <c r="G2608" s="126">
        <v>3.50074333616134e-5</v>
      </c>
      <c r="H2608" s="126">
        <f t="shared" si="121"/>
        <v>19800</v>
      </c>
      <c r="I2608" s="126" t="str">
        <f t="shared" si="122"/>
        <v>0y 0d 5h 30m</v>
      </c>
    </row>
    <row r="2609" s="91" customFormat="1" spans="1:9">
      <c r="A2609" s="91" t="str">
        <f t="shared" si="120"/>
        <v>Hf-181</v>
      </c>
      <c r="B2609" s="91" t="s">
        <v>3229</v>
      </c>
      <c r="C2609" s="91" t="s">
        <v>3193</v>
      </c>
      <c r="D2609" s="91">
        <v>72</v>
      </c>
      <c r="E2609" s="91">
        <v>181</v>
      </c>
      <c r="F2609" s="91">
        <v>0</v>
      </c>
      <c r="G2609" s="126">
        <v>1.89255409578589e-7</v>
      </c>
      <c r="H2609" s="126">
        <f t="shared" si="121"/>
        <v>3662496.00000001</v>
      </c>
      <c r="I2609" s="126" t="str">
        <f t="shared" si="122"/>
        <v>0y 42d 9h 21m</v>
      </c>
    </row>
    <row r="2610" s="91" customFormat="1" spans="1:9">
      <c r="A2610" s="91" t="str">
        <f t="shared" si="120"/>
        <v>Hf-182</v>
      </c>
      <c r="B2610" s="91" t="s">
        <v>3230</v>
      </c>
      <c r="C2610" s="91" t="s">
        <v>3193</v>
      </c>
      <c r="D2610" s="91">
        <v>72</v>
      </c>
      <c r="E2610" s="91">
        <v>182</v>
      </c>
      <c r="F2610" s="91">
        <v>0</v>
      </c>
      <c r="G2610" s="126">
        <v>2.46791916542921e-15</v>
      </c>
      <c r="H2610" s="126">
        <f t="shared" si="121"/>
        <v>280863000000000</v>
      </c>
      <c r="I2610" s="126" t="str">
        <f t="shared" si="122"/>
        <v>8906107y 111d 16h 0m</v>
      </c>
    </row>
    <row r="2611" s="91" customFormat="1" spans="1:9">
      <c r="A2611" s="91" t="str">
        <f t="shared" si="120"/>
        <v>Hf-182m</v>
      </c>
      <c r="B2611" s="91" t="s">
        <v>3231</v>
      </c>
      <c r="C2611" s="91" t="s">
        <v>3193</v>
      </c>
      <c r="D2611" s="91">
        <v>72</v>
      </c>
      <c r="E2611" s="91">
        <v>182</v>
      </c>
      <c r="F2611" s="91">
        <v>1</v>
      </c>
      <c r="G2611" s="126">
        <v>0.000187844764379388</v>
      </c>
      <c r="H2611" s="126">
        <f t="shared" si="121"/>
        <v>3690.00000000002</v>
      </c>
      <c r="I2611" s="126" t="str">
        <f t="shared" si="122"/>
        <v>0y 0d 1h 1m</v>
      </c>
    </row>
    <row r="2612" s="91" customFormat="1" spans="1:9">
      <c r="A2612" s="91" t="str">
        <f t="shared" si="120"/>
        <v>Hf-183</v>
      </c>
      <c r="B2612" s="91" t="s">
        <v>3232</v>
      </c>
      <c r="C2612" s="91" t="s">
        <v>3193</v>
      </c>
      <c r="D2612" s="91">
        <v>72</v>
      </c>
      <c r="E2612" s="91">
        <v>183</v>
      </c>
      <c r="F2612" s="91">
        <v>0</v>
      </c>
      <c r="G2612" s="126">
        <v>0.000180450687430996</v>
      </c>
      <c r="H2612" s="126">
        <f t="shared" si="121"/>
        <v>3841.20000000002</v>
      </c>
      <c r="I2612" s="126" t="str">
        <f t="shared" si="122"/>
        <v>0y 0d 1h 4m</v>
      </c>
    </row>
    <row r="2613" s="91" customFormat="1" spans="1:9">
      <c r="A2613" s="91" t="str">
        <f t="shared" si="120"/>
        <v>Hf-184</v>
      </c>
      <c r="B2613" s="91" t="s">
        <v>3233</v>
      </c>
      <c r="C2613" s="91" t="s">
        <v>3193</v>
      </c>
      <c r="D2613" s="91">
        <v>72</v>
      </c>
      <c r="E2613" s="91">
        <v>184</v>
      </c>
      <c r="F2613" s="91">
        <v>0</v>
      </c>
      <c r="G2613" s="126">
        <v>4.67332241477848e-5</v>
      </c>
      <c r="H2613" s="126">
        <f t="shared" si="121"/>
        <v>14832</v>
      </c>
      <c r="I2613" s="126" t="str">
        <f t="shared" si="122"/>
        <v>0y 0d 4h 7m</v>
      </c>
    </row>
    <row r="2614" s="91" customFormat="1" spans="1:9">
      <c r="A2614" s="91" t="str">
        <f t="shared" si="120"/>
        <v>Hf-184m</v>
      </c>
      <c r="B2614" s="91" t="s">
        <v>3234</v>
      </c>
      <c r="C2614" s="91" t="s">
        <v>3193</v>
      </c>
      <c r="D2614" s="91">
        <v>72</v>
      </c>
      <c r="E2614" s="91">
        <v>184</v>
      </c>
      <c r="F2614" s="91">
        <v>1</v>
      </c>
      <c r="G2614" s="126">
        <v>0.0144405662616655</v>
      </c>
      <c r="H2614" s="126">
        <f t="shared" si="121"/>
        <v>48.0000000000001</v>
      </c>
      <c r="I2614" s="126" t="str">
        <f t="shared" si="122"/>
        <v>0y 0d 0h 0m</v>
      </c>
    </row>
    <row r="2615" s="91" customFormat="1" spans="1:9">
      <c r="A2615" s="91" t="str">
        <f t="shared" si="120"/>
        <v>Hf-185</v>
      </c>
      <c r="B2615" s="91" t="s">
        <v>3235</v>
      </c>
      <c r="C2615" s="91" t="s">
        <v>3193</v>
      </c>
      <c r="D2615" s="91">
        <v>72</v>
      </c>
      <c r="E2615" s="91">
        <v>185</v>
      </c>
      <c r="F2615" s="91">
        <v>0</v>
      </c>
      <c r="G2615" s="126">
        <v>0.00330070085980926</v>
      </c>
      <c r="H2615" s="126">
        <f t="shared" si="121"/>
        <v>210</v>
      </c>
      <c r="I2615" s="126" t="str">
        <f t="shared" si="122"/>
        <v>0y 0d 0h 3m</v>
      </c>
    </row>
    <row r="2616" s="91" customFormat="1" spans="1:9">
      <c r="A2616" s="91" t="str">
        <f t="shared" si="120"/>
        <v>Hf-186</v>
      </c>
      <c r="B2616" s="91" t="s">
        <v>3236</v>
      </c>
      <c r="C2616" s="91" t="s">
        <v>3193</v>
      </c>
      <c r="D2616" s="91">
        <v>72</v>
      </c>
      <c r="E2616" s="91">
        <v>186</v>
      </c>
      <c r="F2616" s="91">
        <v>0</v>
      </c>
      <c r="G2616" s="126">
        <v>0.00444325115743554</v>
      </c>
      <c r="H2616" s="126">
        <f t="shared" si="121"/>
        <v>156</v>
      </c>
      <c r="I2616" s="126" t="str">
        <f t="shared" si="122"/>
        <v>0y 0d 0h 2m</v>
      </c>
    </row>
    <row r="2617" s="91" customFormat="1" spans="1:9">
      <c r="A2617" s="91" t="str">
        <f t="shared" si="120"/>
        <v>Hf-187</v>
      </c>
      <c r="B2617" s="91" t="s">
        <v>3237</v>
      </c>
      <c r="C2617" s="91" t="s">
        <v>3193</v>
      </c>
      <c r="D2617" s="91">
        <v>72</v>
      </c>
      <c r="E2617" s="91">
        <v>187</v>
      </c>
      <c r="F2617" s="91">
        <v>0</v>
      </c>
      <c r="G2617" s="126">
        <v>0.0231049060186648</v>
      </c>
      <c r="H2617" s="126">
        <f t="shared" si="121"/>
        <v>30.0000000000001</v>
      </c>
      <c r="I2617" s="126" t="str">
        <f t="shared" si="122"/>
        <v>0y 0d 0h 0m</v>
      </c>
    </row>
    <row r="2618" s="91" customFormat="1" spans="1:9">
      <c r="A2618" s="91" t="str">
        <f t="shared" si="120"/>
        <v>Hf-188</v>
      </c>
      <c r="B2618" s="91" t="s">
        <v>3238</v>
      </c>
      <c r="C2618" s="91" t="s">
        <v>3193</v>
      </c>
      <c r="D2618" s="91">
        <v>72</v>
      </c>
      <c r="E2618" s="91">
        <v>188</v>
      </c>
      <c r="F2618" s="91">
        <v>0</v>
      </c>
      <c r="G2618" s="126">
        <v>0.0346573590279972</v>
      </c>
      <c r="H2618" s="126">
        <f t="shared" si="121"/>
        <v>20</v>
      </c>
      <c r="I2618" s="126" t="str">
        <f t="shared" si="122"/>
        <v>0y 0d 0h 0m</v>
      </c>
    </row>
    <row r="2619" s="91" customFormat="1" spans="1:9">
      <c r="A2619" s="91" t="str">
        <f t="shared" si="120"/>
        <v>Ta-155</v>
      </c>
      <c r="B2619" s="91" t="s">
        <v>3239</v>
      </c>
      <c r="C2619" s="91" t="s">
        <v>3240</v>
      </c>
      <c r="D2619" s="91">
        <v>73</v>
      </c>
      <c r="E2619" s="91">
        <v>155</v>
      </c>
      <c r="F2619" s="91">
        <v>0</v>
      </c>
      <c r="G2619" s="126">
        <v>223.595864696756</v>
      </c>
      <c r="H2619" s="126">
        <f t="shared" si="121"/>
        <v>0.00310000000000001</v>
      </c>
      <c r="I2619" s="126" t="str">
        <f t="shared" si="122"/>
        <v>0y 0d 0h 0m</v>
      </c>
    </row>
    <row r="2620" s="91" customFormat="1" spans="1:9">
      <c r="A2620" s="91" t="str">
        <f t="shared" si="120"/>
        <v>Ta-156</v>
      </c>
      <c r="B2620" s="91" t="s">
        <v>3241</v>
      </c>
      <c r="C2620" s="91" t="s">
        <v>3240</v>
      </c>
      <c r="D2620" s="91">
        <v>73</v>
      </c>
      <c r="E2620" s="91">
        <v>156</v>
      </c>
      <c r="F2620" s="91">
        <v>0</v>
      </c>
      <c r="G2620" s="126">
        <v>4.81352208722184</v>
      </c>
      <c r="H2620" s="126">
        <f t="shared" si="121"/>
        <v>0.144</v>
      </c>
      <c r="I2620" s="126" t="str">
        <f t="shared" si="122"/>
        <v>0y 0d 0h 0m</v>
      </c>
    </row>
    <row r="2621" s="91" customFormat="1" spans="1:9">
      <c r="A2621" s="91" t="str">
        <f t="shared" si="120"/>
        <v>Ta-156m</v>
      </c>
      <c r="B2621" s="91" t="s">
        <v>3242</v>
      </c>
      <c r="C2621" s="91" t="s">
        <v>3240</v>
      </c>
      <c r="D2621" s="91">
        <v>73</v>
      </c>
      <c r="E2621" s="91">
        <v>156</v>
      </c>
      <c r="F2621" s="91">
        <v>1</v>
      </c>
      <c r="G2621" s="126">
        <v>1.92540883488873</v>
      </c>
      <c r="H2621" s="126">
        <f t="shared" si="121"/>
        <v>0.360000000000001</v>
      </c>
      <c r="I2621" s="126" t="str">
        <f t="shared" si="122"/>
        <v>0y 0d 0h 0m</v>
      </c>
    </row>
    <row r="2622" s="91" customFormat="1" spans="1:9">
      <c r="A2622" s="91" t="str">
        <f t="shared" si="120"/>
        <v>Ta-157</v>
      </c>
      <c r="B2622" s="91" t="s">
        <v>3243</v>
      </c>
      <c r="C2622" s="91" t="s">
        <v>3240</v>
      </c>
      <c r="D2622" s="91">
        <v>73</v>
      </c>
      <c r="E2622" s="91">
        <v>157</v>
      </c>
      <c r="F2622" s="91">
        <v>0</v>
      </c>
      <c r="G2622" s="126">
        <v>68.6284337188064</v>
      </c>
      <c r="H2622" s="126">
        <f t="shared" si="121"/>
        <v>0.0101</v>
      </c>
      <c r="I2622" s="126" t="str">
        <f t="shared" si="122"/>
        <v>0y 0d 0h 0m</v>
      </c>
    </row>
    <row r="2623" s="91" customFormat="1" spans="1:9">
      <c r="A2623" s="91" t="str">
        <f t="shared" si="120"/>
        <v>Ta-157m</v>
      </c>
      <c r="B2623" s="91" t="s">
        <v>3244</v>
      </c>
      <c r="C2623" s="91" t="s">
        <v>3240</v>
      </c>
      <c r="D2623" s="91">
        <v>73</v>
      </c>
      <c r="E2623" s="91">
        <v>157</v>
      </c>
      <c r="F2623" s="91">
        <v>1</v>
      </c>
      <c r="G2623" s="126">
        <v>161.197018734871</v>
      </c>
      <c r="H2623" s="126">
        <f t="shared" si="121"/>
        <v>0.0043</v>
      </c>
      <c r="I2623" s="126" t="str">
        <f t="shared" si="122"/>
        <v>0y 0d 0h 0m</v>
      </c>
    </row>
    <row r="2624" s="91" customFormat="1" spans="1:9">
      <c r="A2624" s="91" t="str">
        <f t="shared" si="120"/>
        <v>Ta-157m2</v>
      </c>
      <c r="B2624" s="91" t="s">
        <v>3245</v>
      </c>
      <c r="C2624" s="91" t="s">
        <v>3240</v>
      </c>
      <c r="D2624" s="91">
        <v>73</v>
      </c>
      <c r="E2624" s="91">
        <v>157</v>
      </c>
      <c r="F2624" s="91">
        <v>2</v>
      </c>
      <c r="G2624" s="126">
        <v>407.733635623497</v>
      </c>
      <c r="H2624" s="126">
        <f t="shared" si="121"/>
        <v>0.0017</v>
      </c>
      <c r="I2624" s="126" t="str">
        <f t="shared" si="122"/>
        <v>0y 0d 0h 0m</v>
      </c>
    </row>
    <row r="2625" s="91" customFormat="1" spans="1:9">
      <c r="A2625" s="91" t="str">
        <f t="shared" si="120"/>
        <v>Ta-158</v>
      </c>
      <c r="B2625" s="91" t="s">
        <v>3246</v>
      </c>
      <c r="C2625" s="91" t="s">
        <v>3240</v>
      </c>
      <c r="D2625" s="91">
        <v>73</v>
      </c>
      <c r="E2625" s="91">
        <v>158</v>
      </c>
      <c r="F2625" s="91">
        <v>0</v>
      </c>
      <c r="G2625" s="126">
        <v>12.6026760101808</v>
      </c>
      <c r="H2625" s="126">
        <f t="shared" si="121"/>
        <v>0.0550000000000001</v>
      </c>
      <c r="I2625" s="126" t="str">
        <f t="shared" si="122"/>
        <v>0y 0d 0h 0m</v>
      </c>
    </row>
    <row r="2626" s="91" customFormat="1" spans="1:9">
      <c r="A2626" s="91" t="str">
        <f t="shared" ref="A2626:A2689" si="123">C2626&amp;"-"&amp;E2626&amp;_xlfn.IFS(F2626=0,"",F2626=1,"m",F2626&gt;1,"m"&amp;F2626)</f>
        <v>Ta-158m</v>
      </c>
      <c r="B2626" s="91" t="s">
        <v>3247</v>
      </c>
      <c r="C2626" s="91" t="s">
        <v>3240</v>
      </c>
      <c r="D2626" s="91">
        <v>73</v>
      </c>
      <c r="E2626" s="91">
        <v>158</v>
      </c>
      <c r="F2626" s="91">
        <v>1</v>
      </c>
      <c r="G2626" s="126">
        <v>18.8868441569467</v>
      </c>
      <c r="H2626" s="126">
        <f t="shared" ref="H2626:H2689" si="124">IF(G2626&gt;0,LN(2)/G2626,0)</f>
        <v>0.0367000000000001</v>
      </c>
      <c r="I2626" s="126" t="str">
        <f t="shared" si="122"/>
        <v>0y 0d 0h 0m</v>
      </c>
    </row>
    <row r="2627" s="91" customFormat="1" spans="1:9">
      <c r="A2627" s="91" t="str">
        <f t="shared" si="123"/>
        <v>Ta-159</v>
      </c>
      <c r="B2627" s="91" t="s">
        <v>3248</v>
      </c>
      <c r="C2627" s="91" t="s">
        <v>3240</v>
      </c>
      <c r="D2627" s="91">
        <v>73</v>
      </c>
      <c r="E2627" s="91">
        <v>159</v>
      </c>
      <c r="F2627" s="91">
        <v>0</v>
      </c>
      <c r="G2627" s="126">
        <v>0.835117085011982</v>
      </c>
      <c r="H2627" s="126">
        <f t="shared" si="124"/>
        <v>0.83</v>
      </c>
      <c r="I2627" s="126" t="str">
        <f t="shared" ref="I2627:I2690" si="125">INT(H2627/31536000)&amp;"y "&amp;INT(MOD(H2627,31536000)/86400)&amp;"d "&amp;INT(MOD(MOD(H2627,31536000),86400)/3600)&amp;"h "&amp;INT(MOD(MOD(MOD(H2627,31536000),86400),3600)/60)&amp;"m"</f>
        <v>0y 0d 0h 0m</v>
      </c>
    </row>
    <row r="2628" s="91" customFormat="1" spans="1:9">
      <c r="A2628" s="91" t="str">
        <f t="shared" si="123"/>
        <v>Ta-159m</v>
      </c>
      <c r="B2628" s="91" t="s">
        <v>3249</v>
      </c>
      <c r="C2628" s="91" t="s">
        <v>3240</v>
      </c>
      <c r="D2628" s="91">
        <v>73</v>
      </c>
      <c r="E2628" s="91">
        <v>159</v>
      </c>
      <c r="F2628" s="91">
        <v>1</v>
      </c>
      <c r="G2628" s="126">
        <v>1.3459168554562</v>
      </c>
      <c r="H2628" s="126">
        <f t="shared" si="124"/>
        <v>0.515000000000002</v>
      </c>
      <c r="I2628" s="126" t="str">
        <f t="shared" si="125"/>
        <v>0y 0d 0h 0m</v>
      </c>
    </row>
    <row r="2629" s="91" customFormat="1" spans="1:9">
      <c r="A2629" s="91" t="str">
        <f t="shared" si="123"/>
        <v>Ta-160</v>
      </c>
      <c r="B2629" s="91" t="s">
        <v>3250</v>
      </c>
      <c r="C2629" s="91" t="s">
        <v>3240</v>
      </c>
      <c r="D2629" s="91">
        <v>73</v>
      </c>
      <c r="E2629" s="91">
        <v>160</v>
      </c>
      <c r="F2629" s="91">
        <v>0</v>
      </c>
      <c r="G2629" s="126">
        <v>0.447191729393513</v>
      </c>
      <c r="H2629" s="126">
        <f t="shared" si="124"/>
        <v>1.55</v>
      </c>
      <c r="I2629" s="126" t="str">
        <f t="shared" si="125"/>
        <v>0y 0d 0h 0m</v>
      </c>
    </row>
    <row r="2630" s="91" customFormat="1" spans="1:9">
      <c r="A2630" s="91" t="str">
        <f t="shared" si="123"/>
        <v>Ta-160m</v>
      </c>
      <c r="B2630" s="91" t="s">
        <v>3251</v>
      </c>
      <c r="C2630" s="91" t="s">
        <v>3240</v>
      </c>
      <c r="D2630" s="91">
        <v>73</v>
      </c>
      <c r="E2630" s="91">
        <v>160</v>
      </c>
      <c r="F2630" s="91">
        <v>1</v>
      </c>
      <c r="G2630" s="126">
        <v>0.407733635623497</v>
      </c>
      <c r="H2630" s="126">
        <f t="shared" si="124"/>
        <v>1.7</v>
      </c>
      <c r="I2630" s="126" t="str">
        <f t="shared" si="125"/>
        <v>0y 0d 0h 0m</v>
      </c>
    </row>
    <row r="2631" s="91" customFormat="1" spans="1:9">
      <c r="A2631" s="91" t="str">
        <f t="shared" si="123"/>
        <v>Ta-161</v>
      </c>
      <c r="B2631" s="91" t="s">
        <v>3252</v>
      </c>
      <c r="C2631" s="91" t="s">
        <v>3240</v>
      </c>
      <c r="D2631" s="91">
        <v>73</v>
      </c>
      <c r="E2631" s="91">
        <v>161</v>
      </c>
      <c r="F2631" s="91">
        <v>0</v>
      </c>
      <c r="G2631" s="126">
        <v>0.239843315072645</v>
      </c>
      <c r="H2631" s="126">
        <f t="shared" si="124"/>
        <v>2.89</v>
      </c>
      <c r="I2631" s="126" t="str">
        <f t="shared" si="125"/>
        <v>0y 0d 0h 0m</v>
      </c>
    </row>
    <row r="2632" s="91" customFormat="1" spans="1:9">
      <c r="A2632" s="91" t="str">
        <f t="shared" si="123"/>
        <v>Ta-162</v>
      </c>
      <c r="B2632" s="91" t="s">
        <v>3253</v>
      </c>
      <c r="C2632" s="91" t="s">
        <v>3240</v>
      </c>
      <c r="D2632" s="91">
        <v>73</v>
      </c>
      <c r="E2632" s="91">
        <v>162</v>
      </c>
      <c r="F2632" s="91">
        <v>0</v>
      </c>
      <c r="G2632" s="126">
        <v>0.194158874106427</v>
      </c>
      <c r="H2632" s="126">
        <f t="shared" si="124"/>
        <v>3.57</v>
      </c>
      <c r="I2632" s="126" t="str">
        <f t="shared" si="125"/>
        <v>0y 0d 0h 0m</v>
      </c>
    </row>
    <row r="2633" s="91" customFormat="1" spans="1:9">
      <c r="A2633" s="91" t="str">
        <f t="shared" si="123"/>
        <v>Ta-163</v>
      </c>
      <c r="B2633" s="91" t="s">
        <v>3254</v>
      </c>
      <c r="C2633" s="91" t="s">
        <v>3240</v>
      </c>
      <c r="D2633" s="91">
        <v>73</v>
      </c>
      <c r="E2633" s="91">
        <v>163</v>
      </c>
      <c r="F2633" s="91">
        <v>0</v>
      </c>
      <c r="G2633" s="126">
        <v>0.0653912434490514</v>
      </c>
      <c r="H2633" s="126">
        <f t="shared" si="124"/>
        <v>10.6</v>
      </c>
      <c r="I2633" s="126" t="str">
        <f t="shared" si="125"/>
        <v>0y 0d 0h 0m</v>
      </c>
    </row>
    <row r="2634" s="91" customFormat="1" spans="1:9">
      <c r="A2634" s="91" t="str">
        <f t="shared" si="123"/>
        <v>Ta-164</v>
      </c>
      <c r="B2634" s="91" t="s">
        <v>3255</v>
      </c>
      <c r="C2634" s="91" t="s">
        <v>3240</v>
      </c>
      <c r="D2634" s="91">
        <v>73</v>
      </c>
      <c r="E2634" s="91">
        <v>164</v>
      </c>
      <c r="F2634" s="91">
        <v>0</v>
      </c>
      <c r="G2634" s="126">
        <v>0.0488131817295736</v>
      </c>
      <c r="H2634" s="126">
        <f t="shared" si="124"/>
        <v>14.2</v>
      </c>
      <c r="I2634" s="126" t="str">
        <f t="shared" si="125"/>
        <v>0y 0d 0h 0m</v>
      </c>
    </row>
    <row r="2635" s="91" customFormat="1" spans="1:9">
      <c r="A2635" s="91" t="str">
        <f t="shared" si="123"/>
        <v>Ta-165</v>
      </c>
      <c r="B2635" s="91" t="s">
        <v>3256</v>
      </c>
      <c r="C2635" s="91" t="s">
        <v>3240</v>
      </c>
      <c r="D2635" s="91">
        <v>73</v>
      </c>
      <c r="E2635" s="91">
        <v>165</v>
      </c>
      <c r="F2635" s="91">
        <v>0</v>
      </c>
      <c r="G2635" s="126">
        <v>0.0223595864696756</v>
      </c>
      <c r="H2635" s="126">
        <f t="shared" si="124"/>
        <v>31.0000000000001</v>
      </c>
      <c r="I2635" s="126" t="str">
        <f t="shared" si="125"/>
        <v>0y 0d 0h 0m</v>
      </c>
    </row>
    <row r="2636" s="91" customFormat="1" spans="1:9">
      <c r="A2636" s="91" t="str">
        <f t="shared" si="123"/>
        <v>Ta-166</v>
      </c>
      <c r="B2636" s="91" t="s">
        <v>3257</v>
      </c>
      <c r="C2636" s="91" t="s">
        <v>3240</v>
      </c>
      <c r="D2636" s="91">
        <v>73</v>
      </c>
      <c r="E2636" s="91">
        <v>166</v>
      </c>
      <c r="F2636" s="91">
        <v>0</v>
      </c>
      <c r="G2636" s="126">
        <v>0.0201496273418588</v>
      </c>
      <c r="H2636" s="126">
        <f t="shared" si="124"/>
        <v>34.4000000000001</v>
      </c>
      <c r="I2636" s="126" t="str">
        <f t="shared" si="125"/>
        <v>0y 0d 0h 0m</v>
      </c>
    </row>
    <row r="2637" s="91" customFormat="1" spans="1:9">
      <c r="A2637" s="91" t="str">
        <f t="shared" si="123"/>
        <v>Ta-167</v>
      </c>
      <c r="B2637" s="91" t="s">
        <v>3258</v>
      </c>
      <c r="C2637" s="91" t="s">
        <v>3240</v>
      </c>
      <c r="D2637" s="91">
        <v>73</v>
      </c>
      <c r="E2637" s="91">
        <v>167</v>
      </c>
      <c r="F2637" s="91">
        <v>0</v>
      </c>
      <c r="G2637" s="126">
        <v>0.00866433975699931</v>
      </c>
      <c r="H2637" s="126">
        <f t="shared" si="124"/>
        <v>80.0000000000001</v>
      </c>
      <c r="I2637" s="126" t="str">
        <f t="shared" si="125"/>
        <v>0y 0d 0h 1m</v>
      </c>
    </row>
    <row r="2638" s="91" customFormat="1" spans="1:9">
      <c r="A2638" s="91" t="str">
        <f t="shared" si="123"/>
        <v>Ta-168</v>
      </c>
      <c r="B2638" s="91" t="s">
        <v>3259</v>
      </c>
      <c r="C2638" s="91" t="s">
        <v>3240</v>
      </c>
      <c r="D2638" s="91">
        <v>73</v>
      </c>
      <c r="E2638" s="91">
        <v>168</v>
      </c>
      <c r="F2638" s="91">
        <v>0</v>
      </c>
      <c r="G2638" s="126">
        <v>0.00577622650466621</v>
      </c>
      <c r="H2638" s="126">
        <f t="shared" si="124"/>
        <v>120</v>
      </c>
      <c r="I2638" s="126" t="str">
        <f t="shared" si="125"/>
        <v>0y 0d 0h 2m</v>
      </c>
    </row>
    <row r="2639" s="91" customFormat="1" spans="1:9">
      <c r="A2639" s="91" t="str">
        <f t="shared" si="123"/>
        <v>Ta-169</v>
      </c>
      <c r="B2639" s="91" t="s">
        <v>3260</v>
      </c>
      <c r="C2639" s="91" t="s">
        <v>3240</v>
      </c>
      <c r="D2639" s="91">
        <v>73</v>
      </c>
      <c r="E2639" s="91">
        <v>169</v>
      </c>
      <c r="F2639" s="91">
        <v>0</v>
      </c>
      <c r="G2639" s="126">
        <v>0.00235764347129233</v>
      </c>
      <c r="H2639" s="126">
        <f t="shared" si="124"/>
        <v>294</v>
      </c>
      <c r="I2639" s="126" t="str">
        <f t="shared" si="125"/>
        <v>0y 0d 0h 4m</v>
      </c>
    </row>
    <row r="2640" s="91" customFormat="1" spans="1:9">
      <c r="A2640" s="91" t="str">
        <f t="shared" si="123"/>
        <v>Ta-170</v>
      </c>
      <c r="B2640" s="91" t="s">
        <v>3261</v>
      </c>
      <c r="C2640" s="91" t="s">
        <v>3240</v>
      </c>
      <c r="D2640" s="91">
        <v>73</v>
      </c>
      <c r="E2640" s="91">
        <v>170</v>
      </c>
      <c r="F2640" s="91">
        <v>0</v>
      </c>
      <c r="G2640" s="126">
        <v>0.00170894275285982</v>
      </c>
      <c r="H2640" s="126">
        <f t="shared" si="124"/>
        <v>405.600000000001</v>
      </c>
      <c r="I2640" s="126" t="str">
        <f t="shared" si="125"/>
        <v>0y 0d 0h 6m</v>
      </c>
    </row>
    <row r="2641" s="91" customFormat="1" spans="1:9">
      <c r="A2641" s="91" t="str">
        <f t="shared" si="123"/>
        <v>Ta-171</v>
      </c>
      <c r="B2641" s="91" t="s">
        <v>3262</v>
      </c>
      <c r="C2641" s="91" t="s">
        <v>3240</v>
      </c>
      <c r="D2641" s="91">
        <v>73</v>
      </c>
      <c r="E2641" s="91">
        <v>171</v>
      </c>
      <c r="F2641" s="91">
        <v>0</v>
      </c>
      <c r="G2641" s="126">
        <v>0.000495813433876928</v>
      </c>
      <c r="H2641" s="126">
        <f t="shared" si="124"/>
        <v>1398</v>
      </c>
      <c r="I2641" s="126" t="str">
        <f t="shared" si="125"/>
        <v>0y 0d 0h 23m</v>
      </c>
    </row>
    <row r="2642" s="91" customFormat="1" spans="1:9">
      <c r="A2642" s="91" t="str">
        <f t="shared" si="123"/>
        <v>Ta-172</v>
      </c>
      <c r="B2642" s="91" t="s">
        <v>3263</v>
      </c>
      <c r="C2642" s="91" t="s">
        <v>3240</v>
      </c>
      <c r="D2642" s="91">
        <v>73</v>
      </c>
      <c r="E2642" s="91">
        <v>172</v>
      </c>
      <c r="F2642" s="91">
        <v>0</v>
      </c>
      <c r="G2642" s="126">
        <v>0.000313925353514467</v>
      </c>
      <c r="H2642" s="126">
        <f t="shared" si="124"/>
        <v>2208.00000000001</v>
      </c>
      <c r="I2642" s="126" t="str">
        <f t="shared" si="125"/>
        <v>0y 0d 0h 36m</v>
      </c>
    </row>
    <row r="2643" s="91" customFormat="1" spans="1:9">
      <c r="A2643" s="91" t="str">
        <f t="shared" si="123"/>
        <v>Ta-173</v>
      </c>
      <c r="B2643" s="91" t="s">
        <v>3264</v>
      </c>
      <c r="C2643" s="91" t="s">
        <v>3240</v>
      </c>
      <c r="D2643" s="91">
        <v>73</v>
      </c>
      <c r="E2643" s="91">
        <v>173</v>
      </c>
      <c r="F2643" s="91">
        <v>0</v>
      </c>
      <c r="G2643" s="126">
        <v>6.13187527034629e-5</v>
      </c>
      <c r="H2643" s="126">
        <f t="shared" si="124"/>
        <v>11304</v>
      </c>
      <c r="I2643" s="126" t="str">
        <f t="shared" si="125"/>
        <v>0y 0d 3h 8m</v>
      </c>
    </row>
    <row r="2644" s="91" customFormat="1" spans="1:9">
      <c r="A2644" s="91" t="str">
        <f t="shared" si="123"/>
        <v>Ta-174</v>
      </c>
      <c r="B2644" s="91" t="s">
        <v>3265</v>
      </c>
      <c r="C2644" s="91" t="s">
        <v>3240</v>
      </c>
      <c r="D2644" s="91">
        <v>73</v>
      </c>
      <c r="E2644" s="91">
        <v>174</v>
      </c>
      <c r="F2644" s="91">
        <v>0</v>
      </c>
      <c r="G2644" s="126">
        <v>0.000168895511832345</v>
      </c>
      <c r="H2644" s="126">
        <f t="shared" si="124"/>
        <v>4104.00000000001</v>
      </c>
      <c r="I2644" s="126" t="str">
        <f t="shared" si="125"/>
        <v>0y 0d 1h 8m</v>
      </c>
    </row>
    <row r="2645" s="91" customFormat="1" spans="1:9">
      <c r="A2645" s="91" t="str">
        <f t="shared" si="123"/>
        <v>Ta-175</v>
      </c>
      <c r="B2645" s="91" t="s">
        <v>3266</v>
      </c>
      <c r="C2645" s="91" t="s">
        <v>3240</v>
      </c>
      <c r="D2645" s="91">
        <v>73</v>
      </c>
      <c r="E2645" s="91">
        <v>175</v>
      </c>
      <c r="F2645" s="91">
        <v>0</v>
      </c>
      <c r="G2645" s="126">
        <v>1.83372269989403e-5</v>
      </c>
      <c r="H2645" s="126">
        <f t="shared" si="124"/>
        <v>37800.0000000001</v>
      </c>
      <c r="I2645" s="126" t="str">
        <f t="shared" si="125"/>
        <v>0y 0d 10h 30m</v>
      </c>
    </row>
    <row r="2646" s="91" customFormat="1" spans="1:9">
      <c r="A2646" s="91" t="str">
        <f t="shared" si="123"/>
        <v>Ta-176</v>
      </c>
      <c r="B2646" s="91" t="s">
        <v>3267</v>
      </c>
      <c r="C2646" s="91" t="s">
        <v>3240</v>
      </c>
      <c r="D2646" s="91">
        <v>73</v>
      </c>
      <c r="E2646" s="91">
        <v>176</v>
      </c>
      <c r="F2646" s="91">
        <v>0</v>
      </c>
      <c r="G2646" s="126">
        <v>2.37998619887359e-5</v>
      </c>
      <c r="H2646" s="126">
        <f t="shared" si="124"/>
        <v>29124</v>
      </c>
      <c r="I2646" s="126" t="str">
        <f t="shared" si="125"/>
        <v>0y 0d 8h 5m</v>
      </c>
    </row>
    <row r="2647" s="91" customFormat="1" spans="1:9">
      <c r="A2647" s="91" t="str">
        <f t="shared" si="123"/>
        <v>Ta-176m</v>
      </c>
      <c r="B2647" s="91" t="s">
        <v>3268</v>
      </c>
      <c r="C2647" s="91" t="s">
        <v>3240</v>
      </c>
      <c r="D2647" s="91">
        <v>73</v>
      </c>
      <c r="E2647" s="91">
        <v>176</v>
      </c>
      <c r="F2647" s="91">
        <v>1</v>
      </c>
      <c r="G2647" s="126">
        <v>630.133800509041</v>
      </c>
      <c r="H2647" s="126">
        <f t="shared" si="124"/>
        <v>0.0011</v>
      </c>
      <c r="I2647" s="126" t="str">
        <f t="shared" si="125"/>
        <v>0y 0d 0h 0m</v>
      </c>
    </row>
    <row r="2648" s="91" customFormat="1" spans="1:9">
      <c r="A2648" s="91" t="str">
        <f t="shared" si="123"/>
        <v>Ta-176m2</v>
      </c>
      <c r="B2648" s="91" t="s">
        <v>3269</v>
      </c>
      <c r="C2648" s="91" t="s">
        <v>3240</v>
      </c>
      <c r="D2648" s="91">
        <v>73</v>
      </c>
      <c r="E2648" s="91">
        <v>176</v>
      </c>
      <c r="F2648" s="91">
        <v>2</v>
      </c>
      <c r="G2648" s="126">
        <v>714.584722226747</v>
      </c>
      <c r="H2648" s="126">
        <f t="shared" si="124"/>
        <v>0.000970000000000001</v>
      </c>
      <c r="I2648" s="126" t="str">
        <f t="shared" si="125"/>
        <v>0y 0d 0h 0m</v>
      </c>
    </row>
    <row r="2649" s="91" customFormat="1" spans="1:9">
      <c r="A2649" s="91" t="str">
        <f t="shared" si="123"/>
        <v>Ta-177</v>
      </c>
      <c r="B2649" s="91" t="s">
        <v>3270</v>
      </c>
      <c r="C2649" s="91" t="s">
        <v>3240</v>
      </c>
      <c r="D2649" s="91">
        <v>73</v>
      </c>
      <c r="E2649" s="91">
        <v>177</v>
      </c>
      <c r="F2649" s="91">
        <v>0</v>
      </c>
      <c r="G2649" s="126">
        <v>3.40418818049635e-6</v>
      </c>
      <c r="H2649" s="126">
        <f t="shared" si="124"/>
        <v>203616</v>
      </c>
      <c r="I2649" s="126" t="str">
        <f t="shared" si="125"/>
        <v>0y 2d 8h 33m</v>
      </c>
    </row>
    <row r="2650" s="91" customFormat="1" spans="1:9">
      <c r="A2650" s="91" t="str">
        <f t="shared" si="123"/>
        <v>Ta-178</v>
      </c>
      <c r="B2650" s="91" t="s">
        <v>3271</v>
      </c>
      <c r="C2650" s="91" t="s">
        <v>3240</v>
      </c>
      <c r="D2650" s="91">
        <v>73</v>
      </c>
      <c r="E2650" s="91">
        <v>178</v>
      </c>
      <c r="F2650" s="91">
        <v>0</v>
      </c>
      <c r="G2650" s="126">
        <v>0.0012408649848907</v>
      </c>
      <c r="H2650" s="126">
        <f t="shared" si="124"/>
        <v>558.6</v>
      </c>
      <c r="I2650" s="126" t="str">
        <f t="shared" si="125"/>
        <v>0y 0d 0h 9m</v>
      </c>
    </row>
    <row r="2651" s="91" customFormat="1" spans="1:9">
      <c r="A2651" s="91" t="str">
        <f t="shared" si="123"/>
        <v>Ta-178m</v>
      </c>
      <c r="B2651" s="91" t="s">
        <v>3272</v>
      </c>
      <c r="C2651" s="91" t="s">
        <v>3240</v>
      </c>
      <c r="D2651" s="91">
        <v>73</v>
      </c>
      <c r="E2651" s="91">
        <v>178</v>
      </c>
      <c r="F2651" s="91">
        <v>1</v>
      </c>
      <c r="G2651" s="126">
        <v>8.15851201224041e-5</v>
      </c>
      <c r="H2651" s="126">
        <f t="shared" si="124"/>
        <v>8496</v>
      </c>
      <c r="I2651" s="126" t="str">
        <f t="shared" si="125"/>
        <v>0y 0d 2h 21m</v>
      </c>
    </row>
    <row r="2652" s="91" customFormat="1" spans="1:9">
      <c r="A2652" s="91" t="str">
        <f t="shared" si="123"/>
        <v>Ta-178m2</v>
      </c>
      <c r="B2652" s="91" t="s">
        <v>3273</v>
      </c>
      <c r="C2652" s="91" t="s">
        <v>3240</v>
      </c>
      <c r="D2652" s="91">
        <v>73</v>
      </c>
      <c r="E2652" s="91">
        <v>178</v>
      </c>
      <c r="F2652" s="91">
        <v>2</v>
      </c>
      <c r="G2652" s="126">
        <v>11.95081345793</v>
      </c>
      <c r="H2652" s="126">
        <f t="shared" si="124"/>
        <v>0.0580000000000004</v>
      </c>
      <c r="I2652" s="126" t="str">
        <f t="shared" si="125"/>
        <v>0y 0d 0h 0m</v>
      </c>
    </row>
    <row r="2653" s="91" customFormat="1" spans="1:9">
      <c r="A2653" s="91" t="str">
        <f t="shared" si="123"/>
        <v>Ta-179</v>
      </c>
      <c r="B2653" s="91" t="s">
        <v>3274</v>
      </c>
      <c r="C2653" s="91" t="s">
        <v>3240</v>
      </c>
      <c r="D2653" s="91">
        <v>73</v>
      </c>
      <c r="E2653" s="91">
        <v>179</v>
      </c>
      <c r="F2653" s="91">
        <v>0</v>
      </c>
      <c r="G2653" s="126">
        <v>1.20684118079559e-8</v>
      </c>
      <c r="H2653" s="126">
        <f t="shared" si="124"/>
        <v>57434830.0000005</v>
      </c>
      <c r="I2653" s="126" t="str">
        <f t="shared" si="125"/>
        <v>1y 299d 18h 7m</v>
      </c>
    </row>
    <row r="2654" s="91" customFormat="1" spans="1:9">
      <c r="A2654" s="91" t="str">
        <f t="shared" si="123"/>
        <v>Ta-179m</v>
      </c>
      <c r="B2654" s="91" t="s">
        <v>3275</v>
      </c>
      <c r="C2654" s="91" t="s">
        <v>3240</v>
      </c>
      <c r="D2654" s="91">
        <v>73</v>
      </c>
      <c r="E2654" s="91">
        <v>179</v>
      </c>
      <c r="F2654" s="91">
        <v>1</v>
      </c>
      <c r="G2654" s="126">
        <v>77.0163533955494</v>
      </c>
      <c r="H2654" s="126">
        <f t="shared" si="124"/>
        <v>0.00900000000000001</v>
      </c>
      <c r="I2654" s="126" t="str">
        <f t="shared" si="125"/>
        <v>0y 0d 0h 0m</v>
      </c>
    </row>
    <row r="2655" s="91" customFormat="1" spans="1:9">
      <c r="A2655" s="91" t="str">
        <f t="shared" si="123"/>
        <v>Ta-179m2</v>
      </c>
      <c r="B2655" s="91" t="s">
        <v>3276</v>
      </c>
      <c r="C2655" s="91" t="s">
        <v>3240</v>
      </c>
      <c r="D2655" s="91">
        <v>73</v>
      </c>
      <c r="E2655" s="91">
        <v>179</v>
      </c>
      <c r="F2655" s="91">
        <v>2</v>
      </c>
      <c r="G2655" s="126">
        <v>12.8123323578548</v>
      </c>
      <c r="H2655" s="126">
        <f t="shared" si="124"/>
        <v>0.0541000000000001</v>
      </c>
      <c r="I2655" s="126" t="str">
        <f t="shared" si="125"/>
        <v>0y 0d 0h 0m</v>
      </c>
    </row>
    <row r="2656" s="91" customFormat="1" spans="1:9">
      <c r="A2656" s="91" t="str">
        <f t="shared" si="123"/>
        <v>Ta-180</v>
      </c>
      <c r="B2656" s="91" t="s">
        <v>3277</v>
      </c>
      <c r="C2656" s="91" t="s">
        <v>3240</v>
      </c>
      <c r="D2656" s="91">
        <v>73</v>
      </c>
      <c r="E2656" s="91">
        <v>180</v>
      </c>
      <c r="F2656" s="91">
        <v>0</v>
      </c>
      <c r="G2656" s="126">
        <v>2.36130590494081e-5</v>
      </c>
      <c r="H2656" s="126">
        <f t="shared" si="124"/>
        <v>29354.4</v>
      </c>
      <c r="I2656" s="126" t="str">
        <f t="shared" si="125"/>
        <v>0y 0d 8h 9m</v>
      </c>
    </row>
    <row r="2657" s="91" customFormat="1" spans="1:9">
      <c r="A2657" s="91" t="str">
        <f t="shared" si="123"/>
        <v>Ta-180m</v>
      </c>
      <c r="B2657" s="91" t="s">
        <v>3278</v>
      </c>
      <c r="C2657" s="91" t="s">
        <v>3240</v>
      </c>
      <c r="D2657" s="91">
        <v>73</v>
      </c>
      <c r="E2657" s="91">
        <v>180</v>
      </c>
      <c r="F2657" s="91">
        <v>1</v>
      </c>
      <c r="G2657" s="126">
        <v>0</v>
      </c>
      <c r="H2657" s="126">
        <f t="shared" si="124"/>
        <v>0</v>
      </c>
      <c r="I2657" s="126" t="str">
        <f t="shared" si="125"/>
        <v>0y 0d 0h 0m</v>
      </c>
    </row>
    <row r="2658" s="91" customFormat="1" spans="1:9">
      <c r="A2658" s="91" t="str">
        <f t="shared" si="123"/>
        <v>Ta-181</v>
      </c>
      <c r="B2658" s="91" t="s">
        <v>3279</v>
      </c>
      <c r="C2658" s="91" t="s">
        <v>3240</v>
      </c>
      <c r="D2658" s="91">
        <v>73</v>
      </c>
      <c r="E2658" s="91">
        <v>181</v>
      </c>
      <c r="F2658" s="91">
        <v>0</v>
      </c>
      <c r="G2658" s="126">
        <v>0</v>
      </c>
      <c r="H2658" s="126">
        <f t="shared" si="124"/>
        <v>0</v>
      </c>
      <c r="I2658" s="126" t="str">
        <f t="shared" si="125"/>
        <v>0y 0d 0h 0m</v>
      </c>
    </row>
    <row r="2659" s="91" customFormat="1" spans="1:9">
      <c r="A2659" s="91" t="str">
        <f t="shared" si="123"/>
        <v>Ta-182</v>
      </c>
      <c r="B2659" s="91" t="s">
        <v>3280</v>
      </c>
      <c r="C2659" s="91" t="s">
        <v>3240</v>
      </c>
      <c r="D2659" s="91">
        <v>73</v>
      </c>
      <c r="E2659" s="91">
        <v>182</v>
      </c>
      <c r="F2659" s="91">
        <v>0</v>
      </c>
      <c r="G2659" s="126">
        <v>6.9919268014959e-8</v>
      </c>
      <c r="H2659" s="126">
        <f t="shared" si="124"/>
        <v>9913536.00000001</v>
      </c>
      <c r="I2659" s="126" t="str">
        <f t="shared" si="125"/>
        <v>0y 114d 17h 45m</v>
      </c>
    </row>
    <row r="2660" s="91" customFormat="1" spans="1:9">
      <c r="A2660" s="91" t="str">
        <f t="shared" si="123"/>
        <v>Ta-182m</v>
      </c>
      <c r="B2660" s="91" t="s">
        <v>3281</v>
      </c>
      <c r="C2660" s="91" t="s">
        <v>3240</v>
      </c>
      <c r="D2660" s="91">
        <v>73</v>
      </c>
      <c r="E2660" s="91">
        <v>182</v>
      </c>
      <c r="F2660" s="91">
        <v>1</v>
      </c>
      <c r="G2660" s="126">
        <v>2.44928332353337</v>
      </c>
      <c r="H2660" s="126">
        <f t="shared" si="124"/>
        <v>0.283000000000001</v>
      </c>
      <c r="I2660" s="126" t="str">
        <f t="shared" si="125"/>
        <v>0y 0d 0h 0m</v>
      </c>
    </row>
    <row r="2661" s="91" customFormat="1" spans="1:9">
      <c r="A2661" s="91" t="str">
        <f t="shared" si="123"/>
        <v>Ta-182m2</v>
      </c>
      <c r="B2661" s="91" t="s">
        <v>3282</v>
      </c>
      <c r="C2661" s="91" t="s">
        <v>3240</v>
      </c>
      <c r="D2661" s="91">
        <v>73</v>
      </c>
      <c r="E2661" s="91">
        <v>182</v>
      </c>
      <c r="F2661" s="91">
        <v>2</v>
      </c>
      <c r="G2661" s="126">
        <v>0.000729321528366945</v>
      </c>
      <c r="H2661" s="126">
        <f t="shared" si="124"/>
        <v>950.400000000001</v>
      </c>
      <c r="I2661" s="126" t="str">
        <f t="shared" si="125"/>
        <v>0y 0d 0h 15m</v>
      </c>
    </row>
    <row r="2662" s="91" customFormat="1" spans="1:9">
      <c r="A2662" s="91" t="str">
        <f t="shared" si="123"/>
        <v>Ta-183</v>
      </c>
      <c r="B2662" s="91" t="s">
        <v>3283</v>
      </c>
      <c r="C2662" s="91" t="s">
        <v>3240</v>
      </c>
      <c r="D2662" s="91">
        <v>73</v>
      </c>
      <c r="E2662" s="91">
        <v>183</v>
      </c>
      <c r="F2662" s="91">
        <v>0</v>
      </c>
      <c r="G2662" s="126">
        <v>1.57304643373262e-6</v>
      </c>
      <c r="H2662" s="126">
        <f t="shared" si="124"/>
        <v>440640.000000002</v>
      </c>
      <c r="I2662" s="126" t="str">
        <f t="shared" si="125"/>
        <v>0y 5d 2h 24m</v>
      </c>
    </row>
    <row r="2663" s="91" customFormat="1" spans="1:9">
      <c r="A2663" s="91" t="str">
        <f t="shared" si="123"/>
        <v>Ta-184</v>
      </c>
      <c r="B2663" s="91" t="s">
        <v>3284</v>
      </c>
      <c r="C2663" s="91" t="s">
        <v>3240</v>
      </c>
      <c r="D2663" s="91">
        <v>73</v>
      </c>
      <c r="E2663" s="91">
        <v>184</v>
      </c>
      <c r="F2663" s="91">
        <v>0</v>
      </c>
      <c r="G2663" s="126">
        <v>2.21311360332038e-5</v>
      </c>
      <c r="H2663" s="126">
        <f t="shared" si="124"/>
        <v>31320.0000000001</v>
      </c>
      <c r="I2663" s="126" t="str">
        <f t="shared" si="125"/>
        <v>0y 0d 8h 42m</v>
      </c>
    </row>
    <row r="2664" s="91" customFormat="1" spans="1:9">
      <c r="A2664" s="91" t="str">
        <f t="shared" si="123"/>
        <v>Ta-185</v>
      </c>
      <c r="B2664" s="91" t="s">
        <v>3285</v>
      </c>
      <c r="C2664" s="91" t="s">
        <v>3240</v>
      </c>
      <c r="D2664" s="91">
        <v>73</v>
      </c>
      <c r="E2664" s="91">
        <v>185</v>
      </c>
      <c r="F2664" s="91">
        <v>0</v>
      </c>
      <c r="G2664" s="126">
        <v>0.000233855324075555</v>
      </c>
      <c r="H2664" s="126">
        <f t="shared" si="124"/>
        <v>2964</v>
      </c>
      <c r="I2664" s="126" t="str">
        <f t="shared" si="125"/>
        <v>0y 0d 0h 49m</v>
      </c>
    </row>
    <row r="2665" s="91" customFormat="1" spans="1:9">
      <c r="A2665" s="91" t="str">
        <f t="shared" si="123"/>
        <v>Ta-185m</v>
      </c>
      <c r="B2665" s="91" t="s">
        <v>3286</v>
      </c>
      <c r="C2665" s="91" t="s">
        <v>3240</v>
      </c>
      <c r="D2665" s="91">
        <v>73</v>
      </c>
      <c r="E2665" s="91">
        <v>185</v>
      </c>
      <c r="F2665" s="91">
        <v>1</v>
      </c>
      <c r="G2665" s="126">
        <v>346.573590279972</v>
      </c>
      <c r="H2665" s="126">
        <f t="shared" si="124"/>
        <v>0.002</v>
      </c>
      <c r="I2665" s="126" t="str">
        <f t="shared" si="125"/>
        <v>0y 0d 0h 0m</v>
      </c>
    </row>
    <row r="2666" s="91" customFormat="1" spans="1:9">
      <c r="A2666" s="91" t="str">
        <f t="shared" si="123"/>
        <v>Ta-186</v>
      </c>
      <c r="B2666" s="91" t="s">
        <v>3287</v>
      </c>
      <c r="C2666" s="91" t="s">
        <v>3240</v>
      </c>
      <c r="D2666" s="91">
        <v>73</v>
      </c>
      <c r="E2666" s="91">
        <v>186</v>
      </c>
      <c r="F2666" s="91">
        <v>0</v>
      </c>
      <c r="G2666" s="126">
        <v>0.00110023361993642</v>
      </c>
      <c r="H2666" s="126">
        <f t="shared" si="124"/>
        <v>630.000000000001</v>
      </c>
      <c r="I2666" s="126" t="str">
        <f t="shared" si="125"/>
        <v>0y 0d 0h 10m</v>
      </c>
    </row>
    <row r="2667" s="91" customFormat="1" spans="1:9">
      <c r="A2667" s="91" t="str">
        <f t="shared" si="123"/>
        <v>Ta-187</v>
      </c>
      <c r="B2667" s="91" t="s">
        <v>3288</v>
      </c>
      <c r="C2667" s="91" t="s">
        <v>3240</v>
      </c>
      <c r="D2667" s="91">
        <v>73</v>
      </c>
      <c r="E2667" s="91">
        <v>187</v>
      </c>
      <c r="F2667" s="91">
        <v>0</v>
      </c>
      <c r="G2667" s="126">
        <v>0.00577622650466621</v>
      </c>
      <c r="H2667" s="126">
        <f t="shared" si="124"/>
        <v>120</v>
      </c>
      <c r="I2667" s="126" t="str">
        <f t="shared" si="125"/>
        <v>0y 0d 0h 2m</v>
      </c>
    </row>
    <row r="2668" s="91" customFormat="1" spans="1:9">
      <c r="A2668" s="91" t="str">
        <f t="shared" si="123"/>
        <v>Ta-188</v>
      </c>
      <c r="B2668" s="91" t="s">
        <v>3289</v>
      </c>
      <c r="C2668" s="91" t="s">
        <v>3240</v>
      </c>
      <c r="D2668" s="91">
        <v>73</v>
      </c>
      <c r="E2668" s="91">
        <v>188</v>
      </c>
      <c r="F2668" s="91">
        <v>0</v>
      </c>
      <c r="G2668" s="126">
        <v>0.0346573590279972</v>
      </c>
      <c r="H2668" s="126">
        <f t="shared" si="124"/>
        <v>20</v>
      </c>
      <c r="I2668" s="126" t="str">
        <f t="shared" si="125"/>
        <v>0y 0d 0h 0m</v>
      </c>
    </row>
    <row r="2669" s="91" customFormat="1" spans="1:9">
      <c r="A2669" s="91" t="str">
        <f t="shared" si="123"/>
        <v>Ta-189</v>
      </c>
      <c r="B2669" s="91" t="s">
        <v>3290</v>
      </c>
      <c r="C2669" s="91" t="s">
        <v>3240</v>
      </c>
      <c r="D2669" s="91">
        <v>73</v>
      </c>
      <c r="E2669" s="91">
        <v>189</v>
      </c>
      <c r="F2669" s="91">
        <v>0</v>
      </c>
      <c r="G2669" s="126">
        <v>0.231049060186648</v>
      </c>
      <c r="H2669" s="126">
        <f t="shared" si="124"/>
        <v>3.00000000000001</v>
      </c>
      <c r="I2669" s="126" t="str">
        <f t="shared" si="125"/>
        <v>0y 0d 0h 0m</v>
      </c>
    </row>
    <row r="2670" s="91" customFormat="1" spans="1:9">
      <c r="A2670" s="91" t="str">
        <f t="shared" si="123"/>
        <v>Ta-190</v>
      </c>
      <c r="B2670" s="91" t="s">
        <v>3291</v>
      </c>
      <c r="C2670" s="91" t="s">
        <v>3240</v>
      </c>
      <c r="D2670" s="91">
        <v>73</v>
      </c>
      <c r="E2670" s="91">
        <v>190</v>
      </c>
      <c r="F2670" s="91">
        <v>0</v>
      </c>
      <c r="G2670" s="126">
        <v>2.31049060186648</v>
      </c>
      <c r="H2670" s="126">
        <f t="shared" si="124"/>
        <v>0.300000000000001</v>
      </c>
      <c r="I2670" s="126" t="str">
        <f t="shared" si="125"/>
        <v>0y 0d 0h 0m</v>
      </c>
    </row>
    <row r="2671" s="91" customFormat="1" spans="1:9">
      <c r="A2671" s="91" t="str">
        <f t="shared" si="123"/>
        <v>W-158</v>
      </c>
      <c r="B2671" s="91" t="s">
        <v>3292</v>
      </c>
      <c r="C2671" s="91" t="s">
        <v>3293</v>
      </c>
      <c r="D2671" s="91">
        <v>74</v>
      </c>
      <c r="E2671" s="91">
        <v>158</v>
      </c>
      <c r="F2671" s="91">
        <v>0</v>
      </c>
      <c r="G2671" s="126">
        <v>554.517744447956</v>
      </c>
      <c r="H2671" s="126">
        <f t="shared" si="124"/>
        <v>0.00125</v>
      </c>
      <c r="I2671" s="126" t="str">
        <f t="shared" si="125"/>
        <v>0y 0d 0h 0m</v>
      </c>
    </row>
    <row r="2672" s="91" customFormat="1" spans="1:9">
      <c r="A2672" s="91" t="str">
        <f t="shared" si="123"/>
        <v>W-159</v>
      </c>
      <c r="B2672" s="91" t="s">
        <v>3294</v>
      </c>
      <c r="C2672" s="91" t="s">
        <v>3293</v>
      </c>
      <c r="D2672" s="91">
        <v>74</v>
      </c>
      <c r="E2672" s="91">
        <v>159</v>
      </c>
      <c r="F2672" s="91">
        <v>0</v>
      </c>
      <c r="G2672" s="126">
        <v>94.9516685698555</v>
      </c>
      <c r="H2672" s="126">
        <f t="shared" si="124"/>
        <v>0.0073</v>
      </c>
      <c r="I2672" s="126" t="str">
        <f t="shared" si="125"/>
        <v>0y 0d 0h 0m</v>
      </c>
    </row>
    <row r="2673" s="91" customFormat="1" spans="1:9">
      <c r="A2673" s="91" t="str">
        <f t="shared" si="123"/>
        <v>W-160</v>
      </c>
      <c r="B2673" s="91" t="s">
        <v>3295</v>
      </c>
      <c r="C2673" s="91" t="s">
        <v>3293</v>
      </c>
      <c r="D2673" s="91">
        <v>74</v>
      </c>
      <c r="E2673" s="91">
        <v>160</v>
      </c>
      <c r="F2673" s="91">
        <v>0</v>
      </c>
      <c r="G2673" s="126">
        <v>7.61700198417522</v>
      </c>
      <c r="H2673" s="126">
        <f t="shared" si="124"/>
        <v>0.091</v>
      </c>
      <c r="I2673" s="126" t="str">
        <f t="shared" si="125"/>
        <v>0y 0d 0h 0m</v>
      </c>
    </row>
    <row r="2674" s="91" customFormat="1" spans="1:9">
      <c r="A2674" s="91" t="str">
        <f t="shared" si="123"/>
        <v>W-161</v>
      </c>
      <c r="B2674" s="91" t="s">
        <v>3296</v>
      </c>
      <c r="C2674" s="91" t="s">
        <v>3293</v>
      </c>
      <c r="D2674" s="91">
        <v>74</v>
      </c>
      <c r="E2674" s="91">
        <v>161</v>
      </c>
      <c r="F2674" s="91">
        <v>0</v>
      </c>
      <c r="G2674" s="126">
        <v>1.69473638278715</v>
      </c>
      <c r="H2674" s="126">
        <f t="shared" si="124"/>
        <v>0.409000000000001</v>
      </c>
      <c r="I2674" s="126" t="str">
        <f t="shared" si="125"/>
        <v>0y 0d 0h 0m</v>
      </c>
    </row>
    <row r="2675" s="91" customFormat="1" spans="1:9">
      <c r="A2675" s="91" t="str">
        <f t="shared" si="123"/>
        <v>W-162</v>
      </c>
      <c r="B2675" s="91" t="s">
        <v>3297</v>
      </c>
      <c r="C2675" s="91" t="s">
        <v>3293</v>
      </c>
      <c r="D2675" s="91">
        <v>74</v>
      </c>
      <c r="E2675" s="91">
        <v>162</v>
      </c>
      <c r="F2675" s="91">
        <v>0</v>
      </c>
      <c r="G2675" s="126">
        <v>0.509667044529371</v>
      </c>
      <c r="H2675" s="126">
        <f t="shared" si="124"/>
        <v>1.36</v>
      </c>
      <c r="I2675" s="126" t="str">
        <f t="shared" si="125"/>
        <v>0y 0d 0h 0m</v>
      </c>
    </row>
    <row r="2676" s="91" customFormat="1" spans="1:9">
      <c r="A2676" s="91" t="str">
        <f t="shared" si="123"/>
        <v>W-163</v>
      </c>
      <c r="B2676" s="91" t="s">
        <v>3298</v>
      </c>
      <c r="C2676" s="91" t="s">
        <v>3293</v>
      </c>
      <c r="D2676" s="91">
        <v>74</v>
      </c>
      <c r="E2676" s="91">
        <v>163</v>
      </c>
      <c r="F2676" s="91">
        <v>0</v>
      </c>
      <c r="G2676" s="126">
        <v>0.247552564485694</v>
      </c>
      <c r="H2676" s="126">
        <f t="shared" si="124"/>
        <v>2.80000000000001</v>
      </c>
      <c r="I2676" s="126" t="str">
        <f t="shared" si="125"/>
        <v>0y 0d 0h 0m</v>
      </c>
    </row>
    <row r="2677" s="91" customFormat="1" spans="1:9">
      <c r="A2677" s="91" t="str">
        <f t="shared" si="123"/>
        <v>W-164</v>
      </c>
      <c r="B2677" s="91" t="s">
        <v>3299</v>
      </c>
      <c r="C2677" s="91" t="s">
        <v>3293</v>
      </c>
      <c r="D2677" s="91">
        <v>74</v>
      </c>
      <c r="E2677" s="91">
        <v>164</v>
      </c>
      <c r="F2677" s="91">
        <v>0</v>
      </c>
      <c r="G2677" s="126">
        <v>0.110023361993642</v>
      </c>
      <c r="H2677" s="126">
        <f t="shared" si="124"/>
        <v>6.30000000000001</v>
      </c>
      <c r="I2677" s="126" t="str">
        <f t="shared" si="125"/>
        <v>0y 0d 0h 0m</v>
      </c>
    </row>
    <row r="2678" s="91" customFormat="1" spans="1:9">
      <c r="A2678" s="91" t="str">
        <f t="shared" si="123"/>
        <v>W-165</v>
      </c>
      <c r="B2678" s="91" t="s">
        <v>3300</v>
      </c>
      <c r="C2678" s="91" t="s">
        <v>3293</v>
      </c>
      <c r="D2678" s="91">
        <v>74</v>
      </c>
      <c r="E2678" s="91">
        <v>165</v>
      </c>
      <c r="F2678" s="91">
        <v>0</v>
      </c>
      <c r="G2678" s="126">
        <v>0.135911211874499</v>
      </c>
      <c r="H2678" s="126">
        <f t="shared" si="124"/>
        <v>5.1</v>
      </c>
      <c r="I2678" s="126" t="str">
        <f t="shared" si="125"/>
        <v>0y 0d 0h 0m</v>
      </c>
    </row>
    <row r="2679" s="91" customFormat="1" spans="1:9">
      <c r="A2679" s="91" t="str">
        <f t="shared" si="123"/>
        <v>W-166</v>
      </c>
      <c r="B2679" s="91" t="s">
        <v>3301</v>
      </c>
      <c r="C2679" s="91" t="s">
        <v>3293</v>
      </c>
      <c r="D2679" s="91">
        <v>74</v>
      </c>
      <c r="E2679" s="91">
        <v>166</v>
      </c>
      <c r="F2679" s="91">
        <v>0</v>
      </c>
      <c r="G2679" s="126">
        <v>0.0361014156541638</v>
      </c>
      <c r="H2679" s="126">
        <f t="shared" si="124"/>
        <v>19.2</v>
      </c>
      <c r="I2679" s="126" t="str">
        <f t="shared" si="125"/>
        <v>0y 0d 0h 0m</v>
      </c>
    </row>
    <row r="2680" s="91" customFormat="1" spans="1:9">
      <c r="A2680" s="91" t="str">
        <f t="shared" si="123"/>
        <v>W-167</v>
      </c>
      <c r="B2680" s="91" t="s">
        <v>3302</v>
      </c>
      <c r="C2680" s="91" t="s">
        <v>3293</v>
      </c>
      <c r="D2680" s="91">
        <v>74</v>
      </c>
      <c r="E2680" s="91">
        <v>167</v>
      </c>
      <c r="F2680" s="91">
        <v>0</v>
      </c>
      <c r="G2680" s="126">
        <v>0.0348315166110525</v>
      </c>
      <c r="H2680" s="126">
        <f t="shared" si="124"/>
        <v>19.9</v>
      </c>
      <c r="I2680" s="126" t="str">
        <f t="shared" si="125"/>
        <v>0y 0d 0h 0m</v>
      </c>
    </row>
    <row r="2681" s="91" customFormat="1" spans="1:9">
      <c r="A2681" s="91" t="str">
        <f t="shared" si="123"/>
        <v>W-168</v>
      </c>
      <c r="B2681" s="91" t="s">
        <v>3303</v>
      </c>
      <c r="C2681" s="91" t="s">
        <v>3293</v>
      </c>
      <c r="D2681" s="91">
        <v>74</v>
      </c>
      <c r="E2681" s="91">
        <v>168</v>
      </c>
      <c r="F2681" s="91">
        <v>0</v>
      </c>
      <c r="G2681" s="126">
        <v>0.0130782486898102</v>
      </c>
      <c r="H2681" s="126">
        <f t="shared" si="124"/>
        <v>53.0000000000004</v>
      </c>
      <c r="I2681" s="126" t="str">
        <f t="shared" si="125"/>
        <v>0y 0d 0h 0m</v>
      </c>
    </row>
    <row r="2682" s="91" customFormat="1" spans="1:9">
      <c r="A2682" s="91" t="str">
        <f t="shared" si="123"/>
        <v>W-169</v>
      </c>
      <c r="B2682" s="91" t="s">
        <v>3304</v>
      </c>
      <c r="C2682" s="91" t="s">
        <v>3293</v>
      </c>
      <c r="D2682" s="91">
        <v>74</v>
      </c>
      <c r="E2682" s="91">
        <v>169</v>
      </c>
      <c r="F2682" s="91">
        <v>0</v>
      </c>
      <c r="G2682" s="126">
        <v>0.00936685379135061</v>
      </c>
      <c r="H2682" s="126">
        <f t="shared" si="124"/>
        <v>74</v>
      </c>
      <c r="I2682" s="126" t="str">
        <f t="shared" si="125"/>
        <v>0y 0d 0h 1m</v>
      </c>
    </row>
    <row r="2683" s="91" customFormat="1" spans="1:9">
      <c r="A2683" s="91" t="str">
        <f t="shared" si="123"/>
        <v>W-170</v>
      </c>
      <c r="B2683" s="91" t="s">
        <v>3305</v>
      </c>
      <c r="C2683" s="91" t="s">
        <v>3293</v>
      </c>
      <c r="D2683" s="91">
        <v>74</v>
      </c>
      <c r="E2683" s="91">
        <v>170</v>
      </c>
      <c r="F2683" s="91">
        <v>0</v>
      </c>
      <c r="G2683" s="126">
        <v>0.00477374091294728</v>
      </c>
      <c r="H2683" s="126">
        <f t="shared" si="124"/>
        <v>145.2</v>
      </c>
      <c r="I2683" s="126" t="str">
        <f t="shared" si="125"/>
        <v>0y 0d 0h 2m</v>
      </c>
    </row>
    <row r="2684" s="91" customFormat="1" spans="1:9">
      <c r="A2684" s="91" t="str">
        <f t="shared" si="123"/>
        <v>W-171</v>
      </c>
      <c r="B2684" s="91" t="s">
        <v>3306</v>
      </c>
      <c r="C2684" s="91" t="s">
        <v>3293</v>
      </c>
      <c r="D2684" s="91">
        <v>74</v>
      </c>
      <c r="E2684" s="91">
        <v>171</v>
      </c>
      <c r="F2684" s="91">
        <v>0</v>
      </c>
      <c r="G2684" s="126">
        <v>0.00485397185266068</v>
      </c>
      <c r="H2684" s="126">
        <f t="shared" si="124"/>
        <v>142.8</v>
      </c>
      <c r="I2684" s="126" t="str">
        <f t="shared" si="125"/>
        <v>0y 0d 0h 2m</v>
      </c>
    </row>
    <row r="2685" s="91" customFormat="1" spans="1:9">
      <c r="A2685" s="91" t="str">
        <f t="shared" si="123"/>
        <v>W-172</v>
      </c>
      <c r="B2685" s="91" t="s">
        <v>3307</v>
      </c>
      <c r="C2685" s="91" t="s">
        <v>3293</v>
      </c>
      <c r="D2685" s="91">
        <v>74</v>
      </c>
      <c r="E2685" s="91">
        <v>172</v>
      </c>
      <c r="F2685" s="91">
        <v>0</v>
      </c>
      <c r="G2685" s="126">
        <v>0.00175037166808067</v>
      </c>
      <c r="H2685" s="126">
        <f t="shared" si="124"/>
        <v>396</v>
      </c>
      <c r="I2685" s="126" t="str">
        <f t="shared" si="125"/>
        <v>0y 0d 0h 6m</v>
      </c>
    </row>
    <row r="2686" s="91" customFormat="1" spans="1:9">
      <c r="A2686" s="91" t="str">
        <f t="shared" si="123"/>
        <v>W-173</v>
      </c>
      <c r="B2686" s="91" t="s">
        <v>3308</v>
      </c>
      <c r="C2686" s="91" t="s">
        <v>3293</v>
      </c>
      <c r="D2686" s="91">
        <v>74</v>
      </c>
      <c r="E2686" s="91">
        <v>173</v>
      </c>
      <c r="F2686" s="91">
        <v>0</v>
      </c>
      <c r="G2686" s="126">
        <v>0.0015200596064911</v>
      </c>
      <c r="H2686" s="126">
        <f t="shared" si="124"/>
        <v>456.000000000002</v>
      </c>
      <c r="I2686" s="126" t="str">
        <f t="shared" si="125"/>
        <v>0y 0d 0h 7m</v>
      </c>
    </row>
    <row r="2687" s="91" customFormat="1" spans="1:9">
      <c r="A2687" s="91" t="str">
        <f t="shared" si="123"/>
        <v>W-174</v>
      </c>
      <c r="B2687" s="91" t="s">
        <v>3309</v>
      </c>
      <c r="C2687" s="91" t="s">
        <v>3293</v>
      </c>
      <c r="D2687" s="91">
        <v>74</v>
      </c>
      <c r="E2687" s="91">
        <v>174</v>
      </c>
      <c r="F2687" s="91">
        <v>0</v>
      </c>
      <c r="G2687" s="126">
        <v>0.000347965452088325</v>
      </c>
      <c r="H2687" s="126">
        <f t="shared" si="124"/>
        <v>1992.00000000001</v>
      </c>
      <c r="I2687" s="126" t="str">
        <f t="shared" si="125"/>
        <v>0y 0d 0h 33m</v>
      </c>
    </row>
    <row r="2688" s="91" customFormat="1" spans="1:9">
      <c r="A2688" s="91" t="str">
        <f t="shared" si="123"/>
        <v>W-175</v>
      </c>
      <c r="B2688" s="91" t="s">
        <v>3310</v>
      </c>
      <c r="C2688" s="91" t="s">
        <v>3293</v>
      </c>
      <c r="D2688" s="91">
        <v>74</v>
      </c>
      <c r="E2688" s="91">
        <v>175</v>
      </c>
      <c r="F2688" s="91">
        <v>0</v>
      </c>
      <c r="G2688" s="126">
        <v>0.000328194687765125</v>
      </c>
      <c r="H2688" s="126">
        <f t="shared" si="124"/>
        <v>2112</v>
      </c>
      <c r="I2688" s="126" t="str">
        <f t="shared" si="125"/>
        <v>0y 0d 0h 35m</v>
      </c>
    </row>
    <row r="2689" s="91" customFormat="1" spans="1:9">
      <c r="A2689" s="91" t="str">
        <f t="shared" si="123"/>
        <v>W-176</v>
      </c>
      <c r="B2689" s="91" t="s">
        <v>3311</v>
      </c>
      <c r="C2689" s="91" t="s">
        <v>3293</v>
      </c>
      <c r="D2689" s="91">
        <v>74</v>
      </c>
      <c r="E2689" s="91">
        <v>176</v>
      </c>
      <c r="F2689" s="91">
        <v>0</v>
      </c>
      <c r="G2689" s="126">
        <v>7.70163533955494e-5</v>
      </c>
      <c r="H2689" s="126">
        <f t="shared" si="124"/>
        <v>9000.00000000001</v>
      </c>
      <c r="I2689" s="126" t="str">
        <f t="shared" si="125"/>
        <v>0y 0d 2h 30m</v>
      </c>
    </row>
    <row r="2690" s="91" customFormat="1" spans="1:9">
      <c r="A2690" s="91" t="str">
        <f t="shared" ref="A2690:A2753" si="126">C2690&amp;"-"&amp;E2690&amp;_xlfn.IFS(F2690=0,"",F2690=1,"m",F2690&gt;1,"m"&amp;F2690)</f>
        <v>W-177</v>
      </c>
      <c r="B2690" s="91" t="s">
        <v>3312</v>
      </c>
      <c r="C2690" s="91" t="s">
        <v>3293</v>
      </c>
      <c r="D2690" s="91">
        <v>74</v>
      </c>
      <c r="E2690" s="91">
        <v>177</v>
      </c>
      <c r="F2690" s="91">
        <v>0</v>
      </c>
      <c r="G2690" s="126">
        <v>8.75185834040335e-5</v>
      </c>
      <c r="H2690" s="126">
        <f t="shared" ref="H2690:H2753" si="127">IF(G2690&gt;0,LN(2)/G2690,0)</f>
        <v>7920</v>
      </c>
      <c r="I2690" s="126" t="str">
        <f t="shared" si="125"/>
        <v>0y 0d 2h 12m</v>
      </c>
    </row>
    <row r="2691" s="91" customFormat="1" spans="1:9">
      <c r="A2691" s="91" t="str">
        <f t="shared" si="126"/>
        <v>W-178</v>
      </c>
      <c r="B2691" s="91" t="s">
        <v>3313</v>
      </c>
      <c r="C2691" s="91" t="s">
        <v>3293</v>
      </c>
      <c r="D2691" s="91">
        <v>74</v>
      </c>
      <c r="E2691" s="91">
        <v>178</v>
      </c>
      <c r="F2691" s="91">
        <v>0</v>
      </c>
      <c r="G2691" s="126">
        <v>3.71413741297981e-7</v>
      </c>
      <c r="H2691" s="126">
        <f t="shared" si="127"/>
        <v>1866240</v>
      </c>
      <c r="I2691" s="126" t="str">
        <f t="shared" ref="I2691:I2754" si="128">INT(H2691/31536000)&amp;"y "&amp;INT(MOD(H2691,31536000)/86400)&amp;"d "&amp;INT(MOD(MOD(H2691,31536000),86400)/3600)&amp;"h "&amp;INT(MOD(MOD(MOD(H2691,31536000),86400),3600)/60)&amp;"m"</f>
        <v>0y 21d 14h 24m</v>
      </c>
    </row>
    <row r="2692" s="91" customFormat="1" spans="1:9">
      <c r="A2692" s="91" t="str">
        <f t="shared" si="126"/>
        <v>W-179</v>
      </c>
      <c r="B2692" s="91" t="s">
        <v>3314</v>
      </c>
      <c r="C2692" s="91" t="s">
        <v>3293</v>
      </c>
      <c r="D2692" s="91">
        <v>74</v>
      </c>
      <c r="E2692" s="91">
        <v>179</v>
      </c>
      <c r="F2692" s="91">
        <v>0</v>
      </c>
      <c r="G2692" s="126">
        <v>0.000311807098767406</v>
      </c>
      <c r="H2692" s="126">
        <f t="shared" si="127"/>
        <v>2223.00000000001</v>
      </c>
      <c r="I2692" s="126" t="str">
        <f t="shared" si="128"/>
        <v>0y 0d 0h 37m</v>
      </c>
    </row>
    <row r="2693" s="91" customFormat="1" spans="1:9">
      <c r="A2693" s="91" t="str">
        <f t="shared" si="126"/>
        <v>W-179m</v>
      </c>
      <c r="B2693" s="91" t="s">
        <v>3315</v>
      </c>
      <c r="C2693" s="91" t="s">
        <v>3293</v>
      </c>
      <c r="D2693" s="91">
        <v>74</v>
      </c>
      <c r="E2693" s="91">
        <v>179</v>
      </c>
      <c r="F2693" s="91">
        <v>1</v>
      </c>
      <c r="G2693" s="126">
        <v>0.00180507078270819</v>
      </c>
      <c r="H2693" s="126">
        <f t="shared" si="127"/>
        <v>384</v>
      </c>
      <c r="I2693" s="126" t="str">
        <f t="shared" si="128"/>
        <v>0y 0d 0h 6m</v>
      </c>
    </row>
    <row r="2694" s="91" customFormat="1" spans="1:9">
      <c r="A2694" s="91" t="str">
        <f t="shared" si="126"/>
        <v>W-180</v>
      </c>
      <c r="B2694" s="91" t="s">
        <v>3316</v>
      </c>
      <c r="C2694" s="91" t="s">
        <v>3293</v>
      </c>
      <c r="D2694" s="91">
        <v>74</v>
      </c>
      <c r="E2694" s="91">
        <v>180</v>
      </c>
      <c r="F2694" s="91">
        <v>0</v>
      </c>
      <c r="G2694" s="126">
        <v>1.22025005511955e-26</v>
      </c>
      <c r="H2694" s="126">
        <f t="shared" si="127"/>
        <v>5.68037000000001e+25</v>
      </c>
      <c r="I2694" s="126" t="str">
        <f t="shared" si="128"/>
        <v>1801233510908170000y 0d 0h 0m</v>
      </c>
    </row>
    <row r="2695" s="91" customFormat="1" spans="1:9">
      <c r="A2695" s="91" t="str">
        <f t="shared" si="126"/>
        <v>W-180m</v>
      </c>
      <c r="B2695" s="91" t="s">
        <v>3317</v>
      </c>
      <c r="C2695" s="91" t="s">
        <v>3293</v>
      </c>
      <c r="D2695" s="91">
        <v>74</v>
      </c>
      <c r="E2695" s="91">
        <v>180</v>
      </c>
      <c r="F2695" s="91">
        <v>1</v>
      </c>
      <c r="G2695" s="126">
        <v>126.717948914066</v>
      </c>
      <c r="H2695" s="126">
        <f t="shared" si="127"/>
        <v>0.00547000000000003</v>
      </c>
      <c r="I2695" s="126" t="str">
        <f t="shared" si="128"/>
        <v>0y 0d 0h 0m</v>
      </c>
    </row>
    <row r="2696" s="91" customFormat="1" spans="1:9">
      <c r="A2696" s="91" t="str">
        <f t="shared" si="126"/>
        <v>W-181</v>
      </c>
      <c r="B2696" s="91" t="s">
        <v>3318</v>
      </c>
      <c r="C2696" s="91" t="s">
        <v>3293</v>
      </c>
      <c r="D2696" s="91">
        <v>74</v>
      </c>
      <c r="E2696" s="91">
        <v>181</v>
      </c>
      <c r="F2696" s="91">
        <v>0</v>
      </c>
      <c r="G2696" s="126">
        <v>6.61925479540957e-8</v>
      </c>
      <c r="H2696" s="126">
        <f t="shared" si="127"/>
        <v>10471680</v>
      </c>
      <c r="I2696" s="126" t="str">
        <f t="shared" si="128"/>
        <v>0y 121d 4h 48m</v>
      </c>
    </row>
    <row r="2697" s="91" customFormat="1" spans="1:9">
      <c r="A2697" s="91" t="str">
        <f t="shared" si="126"/>
        <v>W-182</v>
      </c>
      <c r="B2697" s="91" t="s">
        <v>3319</v>
      </c>
      <c r="C2697" s="91" t="s">
        <v>3293</v>
      </c>
      <c r="D2697" s="91">
        <v>74</v>
      </c>
      <c r="E2697" s="91">
        <v>182</v>
      </c>
      <c r="F2697" s="91">
        <v>0</v>
      </c>
      <c r="G2697" s="126">
        <v>0</v>
      </c>
      <c r="H2697" s="126">
        <f t="shared" si="127"/>
        <v>0</v>
      </c>
      <c r="I2697" s="126" t="str">
        <f t="shared" si="128"/>
        <v>0y 0d 0h 0m</v>
      </c>
    </row>
    <row r="2698" s="91" customFormat="1" spans="1:9">
      <c r="A2698" s="91" t="str">
        <f t="shared" si="126"/>
        <v>W-183</v>
      </c>
      <c r="B2698" s="91" t="s">
        <v>3320</v>
      </c>
      <c r="C2698" s="91" t="s">
        <v>3293</v>
      </c>
      <c r="D2698" s="91">
        <v>74</v>
      </c>
      <c r="E2698" s="91">
        <v>183</v>
      </c>
      <c r="F2698" s="91">
        <v>0</v>
      </c>
      <c r="G2698" s="126">
        <v>0</v>
      </c>
      <c r="H2698" s="126">
        <f t="shared" si="127"/>
        <v>0</v>
      </c>
      <c r="I2698" s="126" t="str">
        <f t="shared" si="128"/>
        <v>0y 0d 0h 0m</v>
      </c>
    </row>
    <row r="2699" s="91" customFormat="1" spans="1:9">
      <c r="A2699" s="91" t="str">
        <f t="shared" si="126"/>
        <v>W-183m</v>
      </c>
      <c r="B2699" s="91" t="s">
        <v>3321</v>
      </c>
      <c r="C2699" s="91" t="s">
        <v>3293</v>
      </c>
      <c r="D2699" s="91">
        <v>74</v>
      </c>
      <c r="E2699" s="91">
        <v>183</v>
      </c>
      <c r="F2699" s="91">
        <v>1</v>
      </c>
      <c r="G2699" s="126">
        <v>0.133297534723066</v>
      </c>
      <c r="H2699" s="126">
        <f t="shared" si="127"/>
        <v>5.20000000000002</v>
      </c>
      <c r="I2699" s="126" t="str">
        <f t="shared" si="128"/>
        <v>0y 0d 0h 0m</v>
      </c>
    </row>
    <row r="2700" s="91" customFormat="1" spans="1:9">
      <c r="A2700" s="91" t="str">
        <f t="shared" si="126"/>
        <v>W-184</v>
      </c>
      <c r="B2700" s="91" t="s">
        <v>3322</v>
      </c>
      <c r="C2700" s="91" t="s">
        <v>3293</v>
      </c>
      <c r="D2700" s="91">
        <v>74</v>
      </c>
      <c r="E2700" s="91">
        <v>184</v>
      </c>
      <c r="F2700" s="91">
        <v>0</v>
      </c>
      <c r="G2700" s="126">
        <v>0</v>
      </c>
      <c r="H2700" s="126">
        <f t="shared" si="127"/>
        <v>0</v>
      </c>
      <c r="I2700" s="126" t="str">
        <f t="shared" si="128"/>
        <v>0y 0d 0h 0m</v>
      </c>
    </row>
    <row r="2701" s="91" customFormat="1" spans="1:9">
      <c r="A2701" s="91" t="str">
        <f t="shared" si="126"/>
        <v>W-185</v>
      </c>
      <c r="B2701" s="91" t="s">
        <v>3323</v>
      </c>
      <c r="C2701" s="91" t="s">
        <v>3293</v>
      </c>
      <c r="D2701" s="91">
        <v>74</v>
      </c>
      <c r="E2701" s="91">
        <v>185</v>
      </c>
      <c r="F2701" s="91">
        <v>0</v>
      </c>
      <c r="G2701" s="126">
        <v>1.06824724527781e-7</v>
      </c>
      <c r="H2701" s="126">
        <f t="shared" si="127"/>
        <v>6488640.00000004</v>
      </c>
      <c r="I2701" s="126" t="str">
        <f t="shared" si="128"/>
        <v>0y 75d 2h 24m</v>
      </c>
    </row>
    <row r="2702" s="91" customFormat="1" spans="1:9">
      <c r="A2702" s="91" t="str">
        <f t="shared" si="126"/>
        <v>W-185m</v>
      </c>
      <c r="B2702" s="91" t="s">
        <v>3324</v>
      </c>
      <c r="C2702" s="91" t="s">
        <v>3293</v>
      </c>
      <c r="D2702" s="91">
        <v>74</v>
      </c>
      <c r="E2702" s="91">
        <v>185</v>
      </c>
      <c r="F2702" s="91">
        <v>1</v>
      </c>
      <c r="G2702" s="126">
        <v>0.00691763653253438</v>
      </c>
      <c r="H2702" s="126">
        <f t="shared" si="127"/>
        <v>100.2</v>
      </c>
      <c r="I2702" s="126" t="str">
        <f t="shared" si="128"/>
        <v>0y 0d 0h 1m</v>
      </c>
    </row>
    <row r="2703" s="91" customFormat="1" spans="1:9">
      <c r="A2703" s="91" t="str">
        <f t="shared" si="126"/>
        <v>W-186</v>
      </c>
      <c r="B2703" s="91" t="s">
        <v>3325</v>
      </c>
      <c r="C2703" s="91" t="s">
        <v>3293</v>
      </c>
      <c r="D2703" s="91">
        <v>74</v>
      </c>
      <c r="E2703" s="91">
        <v>186</v>
      </c>
      <c r="F2703" s="91">
        <v>0</v>
      </c>
      <c r="G2703" s="126">
        <v>1.2931850383581e-28</v>
      </c>
      <c r="H2703" s="126">
        <f t="shared" si="127"/>
        <v>5.36000000000003e+27</v>
      </c>
      <c r="I2703" s="126" t="str">
        <f t="shared" si="128"/>
        <v>1.69964485032979E+20y 0d 0h 0m</v>
      </c>
    </row>
    <row r="2704" s="91" customFormat="1" spans="1:9">
      <c r="A2704" s="91" t="str">
        <f t="shared" si="126"/>
        <v>W-186m</v>
      </c>
      <c r="B2704" s="91" t="s">
        <v>3326</v>
      </c>
      <c r="C2704" s="91" t="s">
        <v>3293</v>
      </c>
      <c r="D2704" s="91">
        <v>74</v>
      </c>
      <c r="E2704" s="91">
        <v>186</v>
      </c>
      <c r="F2704" s="91">
        <v>1</v>
      </c>
      <c r="G2704" s="126">
        <v>231.049060186648</v>
      </c>
      <c r="H2704" s="126">
        <f t="shared" si="127"/>
        <v>0.00300000000000001</v>
      </c>
      <c r="I2704" s="126" t="str">
        <f t="shared" si="128"/>
        <v>0y 0d 0h 0m</v>
      </c>
    </row>
    <row r="2705" s="91" customFormat="1" spans="1:9">
      <c r="A2705" s="91" t="str">
        <f t="shared" si="126"/>
        <v>W-187</v>
      </c>
      <c r="B2705" s="91" t="s">
        <v>3327</v>
      </c>
      <c r="C2705" s="91" t="s">
        <v>3293</v>
      </c>
      <c r="D2705" s="91">
        <v>74</v>
      </c>
      <c r="E2705" s="91">
        <v>187</v>
      </c>
      <c r="F2705" s="91">
        <v>0</v>
      </c>
      <c r="G2705" s="126">
        <v>8.0225368120364e-6</v>
      </c>
      <c r="H2705" s="126">
        <f t="shared" si="127"/>
        <v>86400</v>
      </c>
      <c r="I2705" s="126" t="str">
        <f t="shared" si="128"/>
        <v>0y 1d 0h 0m</v>
      </c>
    </row>
    <row r="2706" s="91" customFormat="1" spans="1:9">
      <c r="A2706" s="91" t="str">
        <f t="shared" si="126"/>
        <v>W-188</v>
      </c>
      <c r="B2706" s="91" t="s">
        <v>3328</v>
      </c>
      <c r="C2706" s="91" t="s">
        <v>3293</v>
      </c>
      <c r="D2706" s="91">
        <v>74</v>
      </c>
      <c r="E2706" s="91">
        <v>188</v>
      </c>
      <c r="F2706" s="91">
        <v>0</v>
      </c>
      <c r="G2706" s="126">
        <v>1.14968999885875e-7</v>
      </c>
      <c r="H2706" s="126">
        <f t="shared" si="127"/>
        <v>6028992.00000003</v>
      </c>
      <c r="I2706" s="126" t="str">
        <f t="shared" si="128"/>
        <v>0y 69d 18h 43m</v>
      </c>
    </row>
    <row r="2707" s="91" customFormat="1" spans="1:9">
      <c r="A2707" s="91" t="str">
        <f t="shared" si="126"/>
        <v>W-189</v>
      </c>
      <c r="B2707" s="91" t="s">
        <v>3329</v>
      </c>
      <c r="C2707" s="91" t="s">
        <v>3293</v>
      </c>
      <c r="D2707" s="91">
        <v>74</v>
      </c>
      <c r="E2707" s="91">
        <v>189</v>
      </c>
      <c r="F2707" s="91">
        <v>0</v>
      </c>
      <c r="G2707" s="126">
        <v>0.00107966850554508</v>
      </c>
      <c r="H2707" s="126">
        <f t="shared" si="127"/>
        <v>642.000000000004</v>
      </c>
      <c r="I2707" s="126" t="str">
        <f t="shared" si="128"/>
        <v>0y 0d 0h 10m</v>
      </c>
    </row>
    <row r="2708" s="91" customFormat="1" spans="1:9">
      <c r="A2708" s="91" t="str">
        <f t="shared" si="126"/>
        <v>W-190</v>
      </c>
      <c r="B2708" s="91" t="s">
        <v>3330</v>
      </c>
      <c r="C2708" s="91" t="s">
        <v>3293</v>
      </c>
      <c r="D2708" s="91">
        <v>74</v>
      </c>
      <c r="E2708" s="91">
        <v>190</v>
      </c>
      <c r="F2708" s="91">
        <v>0</v>
      </c>
      <c r="G2708" s="126">
        <v>0.000385081766977747</v>
      </c>
      <c r="H2708" s="126">
        <f t="shared" si="127"/>
        <v>1800</v>
      </c>
      <c r="I2708" s="126" t="str">
        <f t="shared" si="128"/>
        <v>0y 0d 0h 30m</v>
      </c>
    </row>
    <row r="2709" s="91" customFormat="1" spans="1:9">
      <c r="A2709" s="91" t="str">
        <f t="shared" si="126"/>
        <v>W-190m</v>
      </c>
      <c r="B2709" s="91" t="s">
        <v>3331</v>
      </c>
      <c r="C2709" s="91" t="s">
        <v>3293</v>
      </c>
      <c r="D2709" s="91">
        <v>74</v>
      </c>
      <c r="E2709" s="91">
        <v>190</v>
      </c>
      <c r="F2709" s="91">
        <v>1</v>
      </c>
      <c r="G2709" s="126">
        <v>223.595864696756</v>
      </c>
      <c r="H2709" s="126">
        <f t="shared" si="127"/>
        <v>0.00310000000000001</v>
      </c>
      <c r="I2709" s="126" t="str">
        <f t="shared" si="128"/>
        <v>0y 0d 0h 0m</v>
      </c>
    </row>
    <row r="2710" s="91" customFormat="1" spans="1:9">
      <c r="A2710" s="91" t="str">
        <f t="shared" si="126"/>
        <v>W-191</v>
      </c>
      <c r="B2710" s="91" t="s">
        <v>3332</v>
      </c>
      <c r="C2710" s="91" t="s">
        <v>3293</v>
      </c>
      <c r="D2710" s="91">
        <v>74</v>
      </c>
      <c r="E2710" s="91">
        <v>191</v>
      </c>
      <c r="F2710" s="91">
        <v>0</v>
      </c>
      <c r="G2710" s="126">
        <v>0.0346573590279972</v>
      </c>
      <c r="H2710" s="126">
        <f t="shared" si="127"/>
        <v>20</v>
      </c>
      <c r="I2710" s="126" t="str">
        <f t="shared" si="128"/>
        <v>0y 0d 0h 0m</v>
      </c>
    </row>
    <row r="2711" s="91" customFormat="1" spans="1:9">
      <c r="A2711" s="91" t="str">
        <f t="shared" si="126"/>
        <v>W-192</v>
      </c>
      <c r="B2711" s="91" t="s">
        <v>3333</v>
      </c>
      <c r="C2711" s="91" t="s">
        <v>3293</v>
      </c>
      <c r="D2711" s="91">
        <v>74</v>
      </c>
      <c r="E2711" s="91">
        <v>192</v>
      </c>
      <c r="F2711" s="91">
        <v>0</v>
      </c>
      <c r="G2711" s="126">
        <v>0.0693147180559945</v>
      </c>
      <c r="H2711" s="126">
        <f t="shared" si="127"/>
        <v>10</v>
      </c>
      <c r="I2711" s="126" t="str">
        <f t="shared" si="128"/>
        <v>0y 0d 0h 0m</v>
      </c>
    </row>
    <row r="2712" s="91" customFormat="1" spans="1:9">
      <c r="A2712" s="91" t="str">
        <f t="shared" si="126"/>
        <v>Re-160</v>
      </c>
      <c r="B2712" s="91" t="s">
        <v>3334</v>
      </c>
      <c r="C2712" s="91" t="s">
        <v>3335</v>
      </c>
      <c r="D2712" s="91">
        <v>75</v>
      </c>
      <c r="E2712" s="91">
        <v>160</v>
      </c>
      <c r="F2712" s="91">
        <v>0</v>
      </c>
      <c r="G2712" s="126">
        <v>815.467271246994</v>
      </c>
      <c r="H2712" s="126">
        <f t="shared" si="127"/>
        <v>0.00085</v>
      </c>
      <c r="I2712" s="126" t="str">
        <f t="shared" si="128"/>
        <v>0y 0d 0h 0m</v>
      </c>
    </row>
    <row r="2713" s="91" customFormat="1" spans="1:9">
      <c r="A2713" s="91" t="str">
        <f t="shared" si="126"/>
        <v>Re-161</v>
      </c>
      <c r="B2713" s="91" t="s">
        <v>3336</v>
      </c>
      <c r="C2713" s="91" t="s">
        <v>3335</v>
      </c>
      <c r="D2713" s="91">
        <v>75</v>
      </c>
      <c r="E2713" s="91">
        <v>161</v>
      </c>
      <c r="F2713" s="91">
        <v>0</v>
      </c>
      <c r="G2713" s="126">
        <v>1873.37075827012</v>
      </c>
      <c r="H2713" s="126">
        <f t="shared" si="127"/>
        <v>0.00037</v>
      </c>
      <c r="I2713" s="126" t="str">
        <f t="shared" si="128"/>
        <v>0y 0d 0h 0m</v>
      </c>
    </row>
    <row r="2714" s="91" customFormat="1" spans="1:9">
      <c r="A2714" s="91" t="str">
        <f t="shared" si="126"/>
        <v>Re-161m</v>
      </c>
      <c r="B2714" s="91" t="s">
        <v>3337</v>
      </c>
      <c r="C2714" s="91" t="s">
        <v>3335</v>
      </c>
      <c r="D2714" s="91">
        <v>75</v>
      </c>
      <c r="E2714" s="91">
        <v>161</v>
      </c>
      <c r="F2714" s="91">
        <v>1</v>
      </c>
      <c r="G2714" s="126">
        <v>44.4325115743554</v>
      </c>
      <c r="H2714" s="126">
        <f t="shared" si="127"/>
        <v>0.0156</v>
      </c>
      <c r="I2714" s="126" t="str">
        <f t="shared" si="128"/>
        <v>0y 0d 0h 0m</v>
      </c>
    </row>
    <row r="2715" s="91" customFormat="1" spans="1:9">
      <c r="A2715" s="91" t="str">
        <f t="shared" si="126"/>
        <v>Re-162</v>
      </c>
      <c r="B2715" s="91" t="s">
        <v>3338</v>
      </c>
      <c r="C2715" s="91" t="s">
        <v>3335</v>
      </c>
      <c r="D2715" s="91">
        <v>75</v>
      </c>
      <c r="E2715" s="91">
        <v>162</v>
      </c>
      <c r="F2715" s="91">
        <v>0</v>
      </c>
      <c r="G2715" s="126">
        <v>6.47801103327051</v>
      </c>
      <c r="H2715" s="126">
        <f t="shared" si="127"/>
        <v>0.107</v>
      </c>
      <c r="I2715" s="126" t="str">
        <f t="shared" si="128"/>
        <v>0y 0d 0h 0m</v>
      </c>
    </row>
    <row r="2716" s="91" customFormat="1" spans="1:9">
      <c r="A2716" s="91" t="str">
        <f t="shared" si="126"/>
        <v>Re-162m</v>
      </c>
      <c r="B2716" s="91" t="s">
        <v>3339</v>
      </c>
      <c r="C2716" s="91" t="s">
        <v>3335</v>
      </c>
      <c r="D2716" s="91">
        <v>75</v>
      </c>
      <c r="E2716" s="91">
        <v>162</v>
      </c>
      <c r="F2716" s="91">
        <v>1</v>
      </c>
      <c r="G2716" s="126">
        <v>9.00191143584344</v>
      </c>
      <c r="H2716" s="126">
        <f t="shared" si="127"/>
        <v>0.0770000000000001</v>
      </c>
      <c r="I2716" s="126" t="str">
        <f t="shared" si="128"/>
        <v>0y 0d 0h 0m</v>
      </c>
    </row>
    <row r="2717" s="91" customFormat="1" spans="1:9">
      <c r="A2717" s="91" t="str">
        <f t="shared" si="126"/>
        <v>Re-163</v>
      </c>
      <c r="B2717" s="91" t="s">
        <v>3340</v>
      </c>
      <c r="C2717" s="91" t="s">
        <v>3335</v>
      </c>
      <c r="D2717" s="91">
        <v>75</v>
      </c>
      <c r="E2717" s="91">
        <v>163</v>
      </c>
      <c r="F2717" s="91">
        <v>0</v>
      </c>
      <c r="G2717" s="126">
        <v>1.77730046297421</v>
      </c>
      <c r="H2717" s="126">
        <f t="shared" si="127"/>
        <v>0.390000000000002</v>
      </c>
      <c r="I2717" s="126" t="str">
        <f t="shared" si="128"/>
        <v>0y 0d 0h 0m</v>
      </c>
    </row>
    <row r="2718" s="91" customFormat="1" spans="1:9">
      <c r="A2718" s="91" t="str">
        <f t="shared" si="126"/>
        <v>Re-163m</v>
      </c>
      <c r="B2718" s="91" t="s">
        <v>3341</v>
      </c>
      <c r="C2718" s="91" t="s">
        <v>3335</v>
      </c>
      <c r="D2718" s="91">
        <v>75</v>
      </c>
      <c r="E2718" s="91">
        <v>163</v>
      </c>
      <c r="F2718" s="91">
        <v>1</v>
      </c>
      <c r="G2718" s="126">
        <v>3.23900551663525</v>
      </c>
      <c r="H2718" s="126">
        <f t="shared" si="127"/>
        <v>0.214000000000001</v>
      </c>
      <c r="I2718" s="126" t="str">
        <f t="shared" si="128"/>
        <v>0y 0d 0h 0m</v>
      </c>
    </row>
    <row r="2719" s="91" customFormat="1" spans="1:9">
      <c r="A2719" s="91" t="str">
        <f t="shared" si="126"/>
        <v>Re-164</v>
      </c>
      <c r="B2719" s="91" t="s">
        <v>3342</v>
      </c>
      <c r="C2719" s="91" t="s">
        <v>3335</v>
      </c>
      <c r="D2719" s="91">
        <v>75</v>
      </c>
      <c r="E2719" s="91">
        <v>164</v>
      </c>
      <c r="F2719" s="91">
        <v>0</v>
      </c>
      <c r="G2719" s="126">
        <v>1.30782486898102</v>
      </c>
      <c r="H2719" s="126">
        <f t="shared" si="127"/>
        <v>0.530000000000004</v>
      </c>
      <c r="I2719" s="126" t="str">
        <f t="shared" si="128"/>
        <v>0y 0d 0h 0m</v>
      </c>
    </row>
    <row r="2720" s="91" customFormat="1" spans="1:9">
      <c r="A2720" s="91" t="str">
        <f t="shared" si="126"/>
        <v>Re-164m</v>
      </c>
      <c r="B2720" s="91" t="s">
        <v>3343</v>
      </c>
      <c r="C2720" s="91" t="s">
        <v>3335</v>
      </c>
      <c r="D2720" s="91">
        <v>75</v>
      </c>
      <c r="E2720" s="91">
        <v>164</v>
      </c>
      <c r="F2720" s="91">
        <v>1</v>
      </c>
      <c r="G2720" s="126">
        <v>0.796720897195339</v>
      </c>
      <c r="H2720" s="126">
        <f t="shared" si="127"/>
        <v>0.87</v>
      </c>
      <c r="I2720" s="126" t="str">
        <f t="shared" si="128"/>
        <v>0y 0d 0h 0m</v>
      </c>
    </row>
    <row r="2721" s="91" customFormat="1" spans="1:9">
      <c r="A2721" s="91" t="str">
        <f t="shared" si="126"/>
        <v>Re-165</v>
      </c>
      <c r="B2721" s="91" t="s">
        <v>3344</v>
      </c>
      <c r="C2721" s="91" t="s">
        <v>3335</v>
      </c>
      <c r="D2721" s="91">
        <v>75</v>
      </c>
      <c r="E2721" s="91">
        <v>165</v>
      </c>
      <c r="F2721" s="91">
        <v>0</v>
      </c>
      <c r="G2721" s="126">
        <v>0.693147180559945</v>
      </c>
      <c r="H2721" s="126">
        <f t="shared" si="127"/>
        <v>1</v>
      </c>
      <c r="I2721" s="126" t="str">
        <f t="shared" si="128"/>
        <v>0y 0d 0h 0m</v>
      </c>
    </row>
    <row r="2722" s="91" customFormat="1" spans="1:9">
      <c r="A2722" s="91" t="str">
        <f t="shared" si="126"/>
        <v>Re-165m</v>
      </c>
      <c r="B2722" s="91" t="s">
        <v>3345</v>
      </c>
      <c r="C2722" s="91" t="s">
        <v>3335</v>
      </c>
      <c r="D2722" s="91">
        <v>75</v>
      </c>
      <c r="E2722" s="91">
        <v>165</v>
      </c>
      <c r="F2722" s="91">
        <v>1</v>
      </c>
      <c r="G2722" s="126">
        <v>0.330070085980926</v>
      </c>
      <c r="H2722" s="126">
        <f t="shared" si="127"/>
        <v>2.1</v>
      </c>
      <c r="I2722" s="126" t="str">
        <f t="shared" si="128"/>
        <v>0y 0d 0h 0m</v>
      </c>
    </row>
    <row r="2723" s="91" customFormat="1" spans="1:9">
      <c r="A2723" s="91" t="str">
        <f t="shared" si="126"/>
        <v>Re-166</v>
      </c>
      <c r="B2723" s="91" t="s">
        <v>3346</v>
      </c>
      <c r="C2723" s="91" t="s">
        <v>3335</v>
      </c>
      <c r="D2723" s="91">
        <v>75</v>
      </c>
      <c r="E2723" s="91">
        <v>166</v>
      </c>
      <c r="F2723" s="91">
        <v>0</v>
      </c>
      <c r="G2723" s="126">
        <v>0.308065413582197</v>
      </c>
      <c r="H2723" s="126">
        <f t="shared" si="127"/>
        <v>2.25000000000001</v>
      </c>
      <c r="I2723" s="126" t="str">
        <f t="shared" si="128"/>
        <v>0y 0d 0h 0m</v>
      </c>
    </row>
    <row r="2724" s="91" customFormat="1" spans="1:9">
      <c r="A2724" s="91" t="str">
        <f t="shared" si="126"/>
        <v>Re-167</v>
      </c>
      <c r="B2724" s="91" t="s">
        <v>3347</v>
      </c>
      <c r="C2724" s="91" t="s">
        <v>3335</v>
      </c>
      <c r="D2724" s="91">
        <v>75</v>
      </c>
      <c r="E2724" s="91">
        <v>167</v>
      </c>
      <c r="F2724" s="91">
        <v>0</v>
      </c>
      <c r="G2724" s="126">
        <v>0.117482572976261</v>
      </c>
      <c r="H2724" s="126">
        <f t="shared" si="127"/>
        <v>5.90000000000005</v>
      </c>
      <c r="I2724" s="126" t="str">
        <f t="shared" si="128"/>
        <v>0y 0d 0h 0m</v>
      </c>
    </row>
    <row r="2725" s="91" customFormat="1" spans="1:9">
      <c r="A2725" s="91" t="str">
        <f t="shared" si="126"/>
        <v>Re-167m</v>
      </c>
      <c r="B2725" s="91" t="s">
        <v>3348</v>
      </c>
      <c r="C2725" s="91" t="s">
        <v>3335</v>
      </c>
      <c r="D2725" s="91">
        <v>75</v>
      </c>
      <c r="E2725" s="91">
        <v>167</v>
      </c>
      <c r="F2725" s="91">
        <v>1</v>
      </c>
      <c r="G2725" s="126">
        <v>0.203866817811748</v>
      </c>
      <c r="H2725" s="126">
        <f t="shared" si="127"/>
        <v>3.40000000000001</v>
      </c>
      <c r="I2725" s="126" t="str">
        <f t="shared" si="128"/>
        <v>0y 0d 0h 0m</v>
      </c>
    </row>
    <row r="2726" s="91" customFormat="1" spans="1:9">
      <c r="A2726" s="91" t="str">
        <f t="shared" si="126"/>
        <v>Re-168</v>
      </c>
      <c r="B2726" s="91" t="s">
        <v>3349</v>
      </c>
      <c r="C2726" s="91" t="s">
        <v>3335</v>
      </c>
      <c r="D2726" s="91">
        <v>75</v>
      </c>
      <c r="E2726" s="91">
        <v>168</v>
      </c>
      <c r="F2726" s="91">
        <v>0</v>
      </c>
      <c r="G2726" s="126">
        <v>0.15753345012726</v>
      </c>
      <c r="H2726" s="126">
        <f t="shared" si="127"/>
        <v>4.40000000000001</v>
      </c>
      <c r="I2726" s="126" t="str">
        <f t="shared" si="128"/>
        <v>0y 0d 0h 0m</v>
      </c>
    </row>
    <row r="2727" s="91" customFormat="1" spans="1:9">
      <c r="A2727" s="91" t="str">
        <f t="shared" si="126"/>
        <v>Re-169</v>
      </c>
      <c r="B2727" s="91" t="s">
        <v>3350</v>
      </c>
      <c r="C2727" s="91" t="s">
        <v>3335</v>
      </c>
      <c r="D2727" s="91">
        <v>75</v>
      </c>
      <c r="E2727" s="91">
        <v>169</v>
      </c>
      <c r="F2727" s="91">
        <v>0</v>
      </c>
      <c r="G2727" s="126">
        <v>0.0855737259950549</v>
      </c>
      <c r="H2727" s="126">
        <f t="shared" si="127"/>
        <v>8.10000000000001</v>
      </c>
      <c r="I2727" s="126" t="str">
        <f t="shared" si="128"/>
        <v>0y 0d 0h 0m</v>
      </c>
    </row>
    <row r="2728" s="91" customFormat="1" spans="1:9">
      <c r="A2728" s="91" t="str">
        <f t="shared" si="126"/>
        <v>Re-169m</v>
      </c>
      <c r="B2728" s="91" t="s">
        <v>3351</v>
      </c>
      <c r="C2728" s="91" t="s">
        <v>3335</v>
      </c>
      <c r="D2728" s="91">
        <v>75</v>
      </c>
      <c r="E2728" s="91">
        <v>169</v>
      </c>
      <c r="F2728" s="91">
        <v>1</v>
      </c>
      <c r="G2728" s="126">
        <v>0.0459037867920493</v>
      </c>
      <c r="H2728" s="126">
        <f t="shared" si="127"/>
        <v>15.1</v>
      </c>
      <c r="I2728" s="126" t="str">
        <f t="shared" si="128"/>
        <v>0y 0d 0h 0m</v>
      </c>
    </row>
    <row r="2729" s="91" customFormat="1" spans="1:9">
      <c r="A2729" s="91" t="str">
        <f t="shared" si="126"/>
        <v>Re-170</v>
      </c>
      <c r="B2729" s="91" t="s">
        <v>3352</v>
      </c>
      <c r="C2729" s="91" t="s">
        <v>3335</v>
      </c>
      <c r="D2729" s="91">
        <v>75</v>
      </c>
      <c r="E2729" s="91">
        <v>170</v>
      </c>
      <c r="F2729" s="91">
        <v>0</v>
      </c>
      <c r="G2729" s="126">
        <v>0.0753420848434723</v>
      </c>
      <c r="H2729" s="126">
        <f t="shared" si="127"/>
        <v>9.2</v>
      </c>
      <c r="I2729" s="126" t="str">
        <f t="shared" si="128"/>
        <v>0y 0d 0h 0m</v>
      </c>
    </row>
    <row r="2730" s="91" customFormat="1" spans="1:9">
      <c r="A2730" s="91" t="str">
        <f t="shared" si="126"/>
        <v>Re-171</v>
      </c>
      <c r="B2730" s="91" t="s">
        <v>3353</v>
      </c>
      <c r="C2730" s="91" t="s">
        <v>3335</v>
      </c>
      <c r="D2730" s="91">
        <v>75</v>
      </c>
      <c r="E2730" s="91">
        <v>171</v>
      </c>
      <c r="F2730" s="91">
        <v>0</v>
      </c>
      <c r="G2730" s="126">
        <v>0.0456017881947332</v>
      </c>
      <c r="H2730" s="126">
        <f t="shared" si="127"/>
        <v>15.2</v>
      </c>
      <c r="I2730" s="126" t="str">
        <f t="shared" si="128"/>
        <v>0y 0d 0h 0m</v>
      </c>
    </row>
    <row r="2731" s="91" customFormat="1" spans="1:9">
      <c r="A2731" s="91" t="str">
        <f t="shared" si="126"/>
        <v>Re-172</v>
      </c>
      <c r="B2731" s="91" t="s">
        <v>3354</v>
      </c>
      <c r="C2731" s="91" t="s">
        <v>3335</v>
      </c>
      <c r="D2731" s="91">
        <v>75</v>
      </c>
      <c r="E2731" s="91">
        <v>172</v>
      </c>
      <c r="F2731" s="91">
        <v>0</v>
      </c>
      <c r="G2731" s="126">
        <v>0.0126026760101808</v>
      </c>
      <c r="H2731" s="126">
        <f t="shared" si="127"/>
        <v>55.0000000000001</v>
      </c>
      <c r="I2731" s="126" t="str">
        <f t="shared" si="128"/>
        <v>0y 0d 0h 0m</v>
      </c>
    </row>
    <row r="2732" s="91" customFormat="1" spans="1:9">
      <c r="A2732" s="91" t="str">
        <f t="shared" si="126"/>
        <v>Re-172m</v>
      </c>
      <c r="B2732" s="91" t="s">
        <v>3355</v>
      </c>
      <c r="C2732" s="91" t="s">
        <v>3335</v>
      </c>
      <c r="D2732" s="91">
        <v>75</v>
      </c>
      <c r="E2732" s="91">
        <v>172</v>
      </c>
      <c r="F2732" s="91">
        <v>1</v>
      </c>
      <c r="G2732" s="126">
        <v>0.0462098120373296</v>
      </c>
      <c r="H2732" s="126">
        <f t="shared" si="127"/>
        <v>15</v>
      </c>
      <c r="I2732" s="126" t="str">
        <f t="shared" si="128"/>
        <v>0y 0d 0h 0m</v>
      </c>
    </row>
    <row r="2733" s="91" customFormat="1" spans="1:9">
      <c r="A2733" s="91" t="str">
        <f t="shared" si="126"/>
        <v>Re-173</v>
      </c>
      <c r="B2733" s="91" t="s">
        <v>3356</v>
      </c>
      <c r="C2733" s="91" t="s">
        <v>3335</v>
      </c>
      <c r="D2733" s="91">
        <v>75</v>
      </c>
      <c r="E2733" s="91">
        <v>173</v>
      </c>
      <c r="F2733" s="91">
        <v>0</v>
      </c>
      <c r="G2733" s="126">
        <v>0.00583457222693556</v>
      </c>
      <c r="H2733" s="126">
        <f t="shared" si="127"/>
        <v>118.8</v>
      </c>
      <c r="I2733" s="126" t="str">
        <f t="shared" si="128"/>
        <v>0y 0d 0h 1m</v>
      </c>
    </row>
    <row r="2734" s="91" customFormat="1" spans="1:9">
      <c r="A2734" s="91" t="str">
        <f t="shared" si="126"/>
        <v>Re-174</v>
      </c>
      <c r="B2734" s="91" t="s">
        <v>3357</v>
      </c>
      <c r="C2734" s="91" t="s">
        <v>3335</v>
      </c>
      <c r="D2734" s="91">
        <v>75</v>
      </c>
      <c r="E2734" s="91">
        <v>174</v>
      </c>
      <c r="F2734" s="91">
        <v>0</v>
      </c>
      <c r="G2734" s="126">
        <v>0.00481352208722184</v>
      </c>
      <c r="H2734" s="126">
        <f t="shared" si="127"/>
        <v>144</v>
      </c>
      <c r="I2734" s="126" t="str">
        <f t="shared" si="128"/>
        <v>0y 0d 0h 2m</v>
      </c>
    </row>
    <row r="2735" s="91" customFormat="1" spans="1:9">
      <c r="A2735" s="91" t="str">
        <f t="shared" si="126"/>
        <v>Re-175</v>
      </c>
      <c r="B2735" s="91" t="s">
        <v>3358</v>
      </c>
      <c r="C2735" s="91" t="s">
        <v>3335</v>
      </c>
      <c r="D2735" s="91">
        <v>75</v>
      </c>
      <c r="E2735" s="91">
        <v>175</v>
      </c>
      <c r="F2735" s="91">
        <v>0</v>
      </c>
      <c r="G2735" s="126">
        <v>0.00196136723418207</v>
      </c>
      <c r="H2735" s="126">
        <f t="shared" si="127"/>
        <v>353.400000000001</v>
      </c>
      <c r="I2735" s="126" t="str">
        <f t="shared" si="128"/>
        <v>0y 0d 0h 5m</v>
      </c>
    </row>
    <row r="2736" s="91" customFormat="1" spans="1:9">
      <c r="A2736" s="91" t="str">
        <f t="shared" si="126"/>
        <v>Re-176</v>
      </c>
      <c r="B2736" s="91" t="s">
        <v>3359</v>
      </c>
      <c r="C2736" s="91" t="s">
        <v>3335</v>
      </c>
      <c r="D2736" s="91">
        <v>75</v>
      </c>
      <c r="E2736" s="91">
        <v>176</v>
      </c>
      <c r="F2736" s="91">
        <v>0</v>
      </c>
      <c r="G2736" s="126">
        <v>0.00217970811496838</v>
      </c>
      <c r="H2736" s="126">
        <f t="shared" si="127"/>
        <v>318</v>
      </c>
      <c r="I2736" s="126" t="str">
        <f t="shared" si="128"/>
        <v>0y 0d 0h 5m</v>
      </c>
    </row>
    <row r="2737" s="91" customFormat="1" spans="1:9">
      <c r="A2737" s="91" t="str">
        <f t="shared" si="126"/>
        <v>Re-177</v>
      </c>
      <c r="B2737" s="91" t="s">
        <v>3360</v>
      </c>
      <c r="C2737" s="91" t="s">
        <v>3335</v>
      </c>
      <c r="D2737" s="91">
        <v>75</v>
      </c>
      <c r="E2737" s="91">
        <v>177</v>
      </c>
      <c r="F2737" s="91">
        <v>0</v>
      </c>
      <c r="G2737" s="126">
        <v>0.000825175214952315</v>
      </c>
      <c r="H2737" s="126">
        <f t="shared" si="127"/>
        <v>840.000000000001</v>
      </c>
      <c r="I2737" s="126" t="str">
        <f t="shared" si="128"/>
        <v>0y 0d 0h 14m</v>
      </c>
    </row>
    <row r="2738" s="91" customFormat="1" spans="1:9">
      <c r="A2738" s="91" t="str">
        <f t="shared" si="126"/>
        <v>Re-178</v>
      </c>
      <c r="B2738" s="91" t="s">
        <v>3361</v>
      </c>
      <c r="C2738" s="91" t="s">
        <v>3335</v>
      </c>
      <c r="D2738" s="91">
        <v>75</v>
      </c>
      <c r="E2738" s="91">
        <v>178</v>
      </c>
      <c r="F2738" s="91">
        <v>0</v>
      </c>
      <c r="G2738" s="126">
        <v>0.000875185834040335</v>
      </c>
      <c r="H2738" s="126">
        <f t="shared" si="127"/>
        <v>792</v>
      </c>
      <c r="I2738" s="126" t="str">
        <f t="shared" si="128"/>
        <v>0y 0d 0h 13m</v>
      </c>
    </row>
    <row r="2739" s="91" customFormat="1" spans="1:9">
      <c r="A2739" s="91" t="str">
        <f t="shared" si="126"/>
        <v>Re-179</v>
      </c>
      <c r="B2739" s="91" t="s">
        <v>3362</v>
      </c>
      <c r="C2739" s="91" t="s">
        <v>3335</v>
      </c>
      <c r="D2739" s="91">
        <v>75</v>
      </c>
      <c r="E2739" s="91">
        <v>179</v>
      </c>
      <c r="F2739" s="91">
        <v>0</v>
      </c>
      <c r="G2739" s="126">
        <v>0.000592433487658072</v>
      </c>
      <c r="H2739" s="126">
        <f t="shared" si="127"/>
        <v>1170</v>
      </c>
      <c r="I2739" s="126" t="str">
        <f t="shared" si="128"/>
        <v>0y 0d 0h 19m</v>
      </c>
    </row>
    <row r="2740" s="91" customFormat="1" spans="1:9">
      <c r="A2740" s="91" t="str">
        <f t="shared" si="126"/>
        <v>Re-180</v>
      </c>
      <c r="B2740" s="91" t="s">
        <v>3363</v>
      </c>
      <c r="C2740" s="91" t="s">
        <v>3335</v>
      </c>
      <c r="D2740" s="91">
        <v>75</v>
      </c>
      <c r="E2740" s="91">
        <v>180</v>
      </c>
      <c r="F2740" s="91">
        <v>0</v>
      </c>
      <c r="G2740" s="126">
        <v>0.00473461188907066</v>
      </c>
      <c r="H2740" s="126">
        <f t="shared" si="127"/>
        <v>146.4</v>
      </c>
      <c r="I2740" s="126" t="str">
        <f t="shared" si="128"/>
        <v>0y 0d 0h 2m</v>
      </c>
    </row>
    <row r="2741" s="91" customFormat="1" spans="1:9">
      <c r="A2741" s="91" t="str">
        <f t="shared" si="126"/>
        <v>Re-181</v>
      </c>
      <c r="B2741" s="91" t="s">
        <v>3364</v>
      </c>
      <c r="C2741" s="91" t="s">
        <v>3335</v>
      </c>
      <c r="D2741" s="91">
        <v>75</v>
      </c>
      <c r="E2741" s="91">
        <v>181</v>
      </c>
      <c r="F2741" s="91">
        <v>0</v>
      </c>
      <c r="G2741" s="126">
        <v>9.67542128084792e-6</v>
      </c>
      <c r="H2741" s="126">
        <f t="shared" si="127"/>
        <v>71640</v>
      </c>
      <c r="I2741" s="126" t="str">
        <f t="shared" si="128"/>
        <v>0y 0d 19h 54m</v>
      </c>
    </row>
    <row r="2742" s="91" customFormat="1" spans="1:9">
      <c r="A2742" s="91" t="str">
        <f t="shared" si="126"/>
        <v>Re-182</v>
      </c>
      <c r="B2742" s="91" t="s">
        <v>3365</v>
      </c>
      <c r="C2742" s="91" t="s">
        <v>3335</v>
      </c>
      <c r="D2742" s="91">
        <v>75</v>
      </c>
      <c r="E2742" s="91">
        <v>182</v>
      </c>
      <c r="F2742" s="91">
        <v>0</v>
      </c>
      <c r="G2742" s="126">
        <v>3.00845130451365e-6</v>
      </c>
      <c r="H2742" s="126">
        <f t="shared" si="127"/>
        <v>230400</v>
      </c>
      <c r="I2742" s="126" t="str">
        <f t="shared" si="128"/>
        <v>0y 2d 16h 0m</v>
      </c>
    </row>
    <row r="2743" s="91" customFormat="1" spans="1:9">
      <c r="A2743" s="91" t="str">
        <f t="shared" si="126"/>
        <v>Re-182m</v>
      </c>
      <c r="B2743" s="91" t="s">
        <v>3366</v>
      </c>
      <c r="C2743" s="91" t="s">
        <v>3335</v>
      </c>
      <c r="D2743" s="91">
        <v>75</v>
      </c>
      <c r="E2743" s="91">
        <v>182</v>
      </c>
      <c r="F2743" s="91">
        <v>1</v>
      </c>
      <c r="G2743" s="126">
        <v>1.51606994873128e-5</v>
      </c>
      <c r="H2743" s="126">
        <f t="shared" si="127"/>
        <v>45720.0000000003</v>
      </c>
      <c r="I2743" s="126" t="str">
        <f t="shared" si="128"/>
        <v>0y 0d 12h 42m</v>
      </c>
    </row>
    <row r="2744" s="91" customFormat="1" spans="1:9">
      <c r="A2744" s="91" t="str">
        <f t="shared" si="126"/>
        <v>Re-183</v>
      </c>
      <c r="B2744" s="91" t="s">
        <v>3367</v>
      </c>
      <c r="C2744" s="91" t="s">
        <v>3335</v>
      </c>
      <c r="D2744" s="91">
        <v>75</v>
      </c>
      <c r="E2744" s="91">
        <v>183</v>
      </c>
      <c r="F2744" s="91">
        <v>0</v>
      </c>
      <c r="G2744" s="126">
        <v>1.14607668743377e-7</v>
      </c>
      <c r="H2744" s="126">
        <f t="shared" si="127"/>
        <v>6048000.00000001</v>
      </c>
      <c r="I2744" s="126" t="str">
        <f t="shared" si="128"/>
        <v>0y 70d 0h 0m</v>
      </c>
    </row>
    <row r="2745" s="91" customFormat="1" spans="1:9">
      <c r="A2745" s="91" t="str">
        <f t="shared" si="126"/>
        <v>Re-183m</v>
      </c>
      <c r="B2745" s="91" t="s">
        <v>3368</v>
      </c>
      <c r="C2745" s="91" t="s">
        <v>3335</v>
      </c>
      <c r="D2745" s="91">
        <v>75</v>
      </c>
      <c r="E2745" s="91">
        <v>183</v>
      </c>
      <c r="F2745" s="91">
        <v>1</v>
      </c>
      <c r="G2745" s="126">
        <v>666.487673615332</v>
      </c>
      <c r="H2745" s="126">
        <f t="shared" si="127"/>
        <v>0.00104</v>
      </c>
      <c r="I2745" s="126" t="str">
        <f t="shared" si="128"/>
        <v>0y 0d 0h 0m</v>
      </c>
    </row>
    <row r="2746" s="91" customFormat="1" spans="1:9">
      <c r="A2746" s="91" t="str">
        <f t="shared" si="126"/>
        <v>Re-184</v>
      </c>
      <c r="B2746" s="91" t="s">
        <v>3369</v>
      </c>
      <c r="C2746" s="91" t="s">
        <v>3335</v>
      </c>
      <c r="D2746" s="91">
        <v>75</v>
      </c>
      <c r="E2746" s="91">
        <v>184</v>
      </c>
      <c r="F2746" s="91">
        <v>0</v>
      </c>
      <c r="G2746" s="126">
        <v>2.26625333673344e-7</v>
      </c>
      <c r="H2746" s="126">
        <f t="shared" si="127"/>
        <v>3058560.00000001</v>
      </c>
      <c r="I2746" s="126" t="str">
        <f t="shared" si="128"/>
        <v>0y 35d 9h 36m</v>
      </c>
    </row>
    <row r="2747" s="91" customFormat="1" spans="1:9">
      <c r="A2747" s="91" t="str">
        <f t="shared" si="126"/>
        <v>Re-184m</v>
      </c>
      <c r="B2747" s="91" t="s">
        <v>3370</v>
      </c>
      <c r="C2747" s="91" t="s">
        <v>3335</v>
      </c>
      <c r="D2747" s="91">
        <v>75</v>
      </c>
      <c r="E2747" s="91">
        <v>184</v>
      </c>
      <c r="F2747" s="91">
        <v>1</v>
      </c>
      <c r="G2747" s="126">
        <v>4.7470632023884e-8</v>
      </c>
      <c r="H2747" s="126">
        <f t="shared" si="127"/>
        <v>14601600</v>
      </c>
      <c r="I2747" s="126" t="str">
        <f t="shared" si="128"/>
        <v>0y 169d 0h 0m</v>
      </c>
    </row>
    <row r="2748" s="91" customFormat="1" spans="1:9">
      <c r="A2748" s="91" t="str">
        <f t="shared" si="126"/>
        <v>Re-185</v>
      </c>
      <c r="B2748" s="91" t="s">
        <v>3371</v>
      </c>
      <c r="C2748" s="91" t="s">
        <v>3335</v>
      </c>
      <c r="D2748" s="91">
        <v>75</v>
      </c>
      <c r="E2748" s="91">
        <v>185</v>
      </c>
      <c r="F2748" s="91">
        <v>0</v>
      </c>
      <c r="G2748" s="126">
        <v>0</v>
      </c>
      <c r="H2748" s="126">
        <f t="shared" si="127"/>
        <v>0</v>
      </c>
      <c r="I2748" s="126" t="str">
        <f t="shared" si="128"/>
        <v>0y 0d 0h 0m</v>
      </c>
    </row>
    <row r="2749" s="91" customFormat="1" spans="1:9">
      <c r="A2749" s="91" t="str">
        <f t="shared" si="126"/>
        <v>Re-186</v>
      </c>
      <c r="B2749" s="91" t="s">
        <v>3372</v>
      </c>
      <c r="C2749" s="91" t="s">
        <v>3335</v>
      </c>
      <c r="D2749" s="91">
        <v>75</v>
      </c>
      <c r="E2749" s="91">
        <v>186</v>
      </c>
      <c r="F2749" s="91">
        <v>0</v>
      </c>
      <c r="G2749" s="126">
        <v>2.15758204326619e-6</v>
      </c>
      <c r="H2749" s="126">
        <f t="shared" si="127"/>
        <v>321261.100000001</v>
      </c>
      <c r="I2749" s="126" t="str">
        <f t="shared" si="128"/>
        <v>0y 3d 17h 14m</v>
      </c>
    </row>
    <row r="2750" s="91" customFormat="1" spans="1:9">
      <c r="A2750" s="91" t="str">
        <f t="shared" si="126"/>
        <v>Re-186m</v>
      </c>
      <c r="B2750" s="91" t="s">
        <v>3373</v>
      </c>
      <c r="C2750" s="91" t="s">
        <v>3335</v>
      </c>
      <c r="D2750" s="91">
        <v>75</v>
      </c>
      <c r="E2750" s="91">
        <v>186</v>
      </c>
      <c r="F2750" s="91">
        <v>1</v>
      </c>
      <c r="G2750" s="126">
        <v>1.0982254362815e-13</v>
      </c>
      <c r="H2750" s="126">
        <f t="shared" si="127"/>
        <v>6311520000000.04</v>
      </c>
      <c r="I2750" s="126" t="str">
        <f t="shared" si="128"/>
        <v>200136y 360d 0h 0m</v>
      </c>
    </row>
    <row r="2751" s="91" customFormat="1" spans="1:9">
      <c r="A2751" s="91" t="str">
        <f t="shared" si="126"/>
        <v>Re-187</v>
      </c>
      <c r="B2751" s="91" t="s">
        <v>3374</v>
      </c>
      <c r="C2751" s="91" t="s">
        <v>3335</v>
      </c>
      <c r="D2751" s="91">
        <v>75</v>
      </c>
      <c r="E2751" s="91">
        <v>187</v>
      </c>
      <c r="F2751" s="91">
        <v>0</v>
      </c>
      <c r="G2751" s="126">
        <v>5.07264995579714e-19</v>
      </c>
      <c r="H2751" s="126">
        <f t="shared" si="127"/>
        <v>1.36644e+18</v>
      </c>
      <c r="I2751" s="126" t="str">
        <f t="shared" si="128"/>
        <v>43329528158y 107d 19h 9m</v>
      </c>
    </row>
    <row r="2752" s="91" customFormat="1" spans="1:9">
      <c r="A2752" s="91" t="str">
        <f t="shared" si="126"/>
        <v>Re-188</v>
      </c>
      <c r="B2752" s="91" t="s">
        <v>3375</v>
      </c>
      <c r="C2752" s="91" t="s">
        <v>3335</v>
      </c>
      <c r="D2752" s="91">
        <v>75</v>
      </c>
      <c r="E2752" s="91">
        <v>188</v>
      </c>
      <c r="F2752" s="91">
        <v>0</v>
      </c>
      <c r="G2752" s="126">
        <v>1.13232700240457e-5</v>
      </c>
      <c r="H2752" s="126">
        <f t="shared" si="127"/>
        <v>61214.4000000002</v>
      </c>
      <c r="I2752" s="126" t="str">
        <f t="shared" si="128"/>
        <v>0y 0d 17h 0m</v>
      </c>
    </row>
    <row r="2753" s="91" customFormat="1" spans="1:9">
      <c r="A2753" s="91" t="str">
        <f t="shared" si="126"/>
        <v>Re-188m</v>
      </c>
      <c r="B2753" s="91" t="s">
        <v>3376</v>
      </c>
      <c r="C2753" s="91" t="s">
        <v>3335</v>
      </c>
      <c r="D2753" s="91">
        <v>75</v>
      </c>
      <c r="E2753" s="91">
        <v>188</v>
      </c>
      <c r="F2753" s="91">
        <v>1</v>
      </c>
      <c r="G2753" s="126">
        <v>0.000621433728312663</v>
      </c>
      <c r="H2753" s="126">
        <f t="shared" si="127"/>
        <v>1115.4</v>
      </c>
      <c r="I2753" s="126" t="str">
        <f t="shared" si="128"/>
        <v>0y 0d 0h 18m</v>
      </c>
    </row>
    <row r="2754" s="91" customFormat="1" spans="1:9">
      <c r="A2754" s="91" t="str">
        <f t="shared" ref="A2754:A2817" si="129">C2754&amp;"-"&amp;E2754&amp;_xlfn.IFS(F2754=0,"",F2754=1,"m",F2754&gt;1,"m"&amp;F2754)</f>
        <v>Re-189</v>
      </c>
      <c r="B2754" s="91" t="s">
        <v>3377</v>
      </c>
      <c r="C2754" s="91" t="s">
        <v>3335</v>
      </c>
      <c r="D2754" s="91">
        <v>75</v>
      </c>
      <c r="E2754" s="91">
        <v>189</v>
      </c>
      <c r="F2754" s="91">
        <v>0</v>
      </c>
      <c r="G2754" s="126">
        <v>7.92349314769027e-6</v>
      </c>
      <c r="H2754" s="126">
        <f t="shared" ref="H2754:H2817" si="130">IF(G2754&gt;0,LN(2)/G2754,0)</f>
        <v>87480.0000000001</v>
      </c>
      <c r="I2754" s="126" t="str">
        <f t="shared" si="128"/>
        <v>0y 1d 0h 18m</v>
      </c>
    </row>
    <row r="2755" s="91" customFormat="1" spans="1:9">
      <c r="A2755" s="91" t="str">
        <f t="shared" si="129"/>
        <v>Re-190</v>
      </c>
      <c r="B2755" s="91" t="s">
        <v>3378</v>
      </c>
      <c r="C2755" s="91" t="s">
        <v>3335</v>
      </c>
      <c r="D2755" s="91">
        <v>75</v>
      </c>
      <c r="E2755" s="91">
        <v>190</v>
      </c>
      <c r="F2755" s="91">
        <v>0</v>
      </c>
      <c r="G2755" s="126">
        <v>0.00372659774494594</v>
      </c>
      <c r="H2755" s="126">
        <f t="shared" si="130"/>
        <v>186</v>
      </c>
      <c r="I2755" s="126" t="str">
        <f t="shared" ref="I2755:I2818" si="131">INT(H2755/31536000)&amp;"y "&amp;INT(MOD(H2755,31536000)/86400)&amp;"d "&amp;INT(MOD(MOD(H2755,31536000),86400)/3600)&amp;"h "&amp;INT(MOD(MOD(MOD(H2755,31536000),86400),3600)/60)&amp;"m"</f>
        <v>0y 0d 0h 3m</v>
      </c>
    </row>
    <row r="2756" s="91" customFormat="1" spans="1:9">
      <c r="A2756" s="91" t="str">
        <f t="shared" si="129"/>
        <v>Re-190m</v>
      </c>
      <c r="B2756" s="91" t="s">
        <v>3379</v>
      </c>
      <c r="C2756" s="91" t="s">
        <v>3335</v>
      </c>
      <c r="D2756" s="91">
        <v>75</v>
      </c>
      <c r="E2756" s="91">
        <v>190</v>
      </c>
      <c r="F2756" s="91">
        <v>1</v>
      </c>
      <c r="G2756" s="126">
        <v>6.0169026090273e-5</v>
      </c>
      <c r="H2756" s="126">
        <f t="shared" si="130"/>
        <v>11520</v>
      </c>
      <c r="I2756" s="126" t="str">
        <f t="shared" si="131"/>
        <v>0y 0d 3h 12m</v>
      </c>
    </row>
    <row r="2757" s="91" customFormat="1" spans="1:9">
      <c r="A2757" s="91" t="str">
        <f t="shared" si="129"/>
        <v>Re-191</v>
      </c>
      <c r="B2757" s="91" t="s">
        <v>3380</v>
      </c>
      <c r="C2757" s="91" t="s">
        <v>3335</v>
      </c>
      <c r="D2757" s="91">
        <v>75</v>
      </c>
      <c r="E2757" s="91">
        <v>191</v>
      </c>
      <c r="F2757" s="91">
        <v>0</v>
      </c>
      <c r="G2757" s="126">
        <v>0.00117882173564616</v>
      </c>
      <c r="H2757" s="126">
        <f t="shared" si="130"/>
        <v>588.000000000003</v>
      </c>
      <c r="I2757" s="126" t="str">
        <f t="shared" si="131"/>
        <v>0y 0d 0h 9m</v>
      </c>
    </row>
    <row r="2758" s="91" customFormat="1" spans="1:9">
      <c r="A2758" s="91" t="str">
        <f t="shared" si="129"/>
        <v>Re-192</v>
      </c>
      <c r="B2758" s="91" t="s">
        <v>3381</v>
      </c>
      <c r="C2758" s="91" t="s">
        <v>3335</v>
      </c>
      <c r="D2758" s="91">
        <v>75</v>
      </c>
      <c r="E2758" s="91">
        <v>192</v>
      </c>
      <c r="F2758" s="91">
        <v>0</v>
      </c>
      <c r="G2758" s="126">
        <v>0.0433216987849965</v>
      </c>
      <c r="H2758" s="126">
        <f t="shared" si="130"/>
        <v>16</v>
      </c>
      <c r="I2758" s="126" t="str">
        <f t="shared" si="131"/>
        <v>0y 0d 0h 0m</v>
      </c>
    </row>
    <row r="2759" s="91" customFormat="1" spans="1:9">
      <c r="A2759" s="91" t="str">
        <f t="shared" si="129"/>
        <v>Re-193</v>
      </c>
      <c r="B2759" s="91" t="s">
        <v>3382</v>
      </c>
      <c r="C2759" s="91" t="s">
        <v>3335</v>
      </c>
      <c r="D2759" s="91">
        <v>75</v>
      </c>
      <c r="E2759" s="91">
        <v>193</v>
      </c>
      <c r="F2759" s="91">
        <v>0</v>
      </c>
      <c r="G2759" s="126">
        <v>0.0133554370050085</v>
      </c>
      <c r="H2759" s="126">
        <f t="shared" si="130"/>
        <v>51.9000000000003</v>
      </c>
      <c r="I2759" s="126" t="str">
        <f t="shared" si="131"/>
        <v>0y 0d 0h 0m</v>
      </c>
    </row>
    <row r="2760" s="91" customFormat="1" spans="1:9">
      <c r="A2760" s="91" t="str">
        <f t="shared" si="129"/>
        <v>Re-194</v>
      </c>
      <c r="B2760" s="91" t="s">
        <v>3383</v>
      </c>
      <c r="C2760" s="91" t="s">
        <v>3335</v>
      </c>
      <c r="D2760" s="91">
        <v>75</v>
      </c>
      <c r="E2760" s="91">
        <v>194</v>
      </c>
      <c r="F2760" s="91">
        <v>0</v>
      </c>
      <c r="G2760" s="126">
        <v>0.693147180559945</v>
      </c>
      <c r="H2760" s="126">
        <f t="shared" si="130"/>
        <v>1</v>
      </c>
      <c r="I2760" s="126" t="str">
        <f t="shared" si="131"/>
        <v>0y 0d 0h 0m</v>
      </c>
    </row>
    <row r="2761" s="91" customFormat="1" spans="1:9">
      <c r="A2761" s="91" t="str">
        <f t="shared" si="129"/>
        <v>Os-162</v>
      </c>
      <c r="B2761" s="91" t="s">
        <v>3384</v>
      </c>
      <c r="C2761" s="91" t="s">
        <v>3385</v>
      </c>
      <c r="D2761" s="91">
        <v>76</v>
      </c>
      <c r="E2761" s="91">
        <v>162</v>
      </c>
      <c r="F2761" s="91">
        <v>0</v>
      </c>
      <c r="G2761" s="126">
        <v>338.1205758829</v>
      </c>
      <c r="H2761" s="126">
        <f t="shared" si="130"/>
        <v>0.00205</v>
      </c>
      <c r="I2761" s="126" t="str">
        <f t="shared" si="131"/>
        <v>0y 0d 0h 0m</v>
      </c>
    </row>
    <row r="2762" s="91" customFormat="1" spans="1:9">
      <c r="A2762" s="91" t="str">
        <f t="shared" si="129"/>
        <v>Os-163</v>
      </c>
      <c r="B2762" s="91" t="s">
        <v>3386</v>
      </c>
      <c r="C2762" s="91" t="s">
        <v>3385</v>
      </c>
      <c r="D2762" s="91">
        <v>76</v>
      </c>
      <c r="E2762" s="91">
        <v>163</v>
      </c>
      <c r="F2762" s="91">
        <v>0</v>
      </c>
      <c r="G2762" s="126">
        <v>126.026760101808</v>
      </c>
      <c r="H2762" s="126">
        <f t="shared" si="130"/>
        <v>0.00550000000000001</v>
      </c>
      <c r="I2762" s="126" t="str">
        <f t="shared" si="131"/>
        <v>0y 0d 0h 0m</v>
      </c>
    </row>
    <row r="2763" s="91" customFormat="1" spans="1:9">
      <c r="A2763" s="91" t="str">
        <f t="shared" si="129"/>
        <v>Os-164</v>
      </c>
      <c r="B2763" s="91" t="s">
        <v>3387</v>
      </c>
      <c r="C2763" s="91" t="s">
        <v>3385</v>
      </c>
      <c r="D2763" s="91">
        <v>76</v>
      </c>
      <c r="E2763" s="91">
        <v>164</v>
      </c>
      <c r="F2763" s="91">
        <v>0</v>
      </c>
      <c r="G2763" s="126">
        <v>33.0070085980926</v>
      </c>
      <c r="H2763" s="126">
        <f t="shared" si="130"/>
        <v>0.021</v>
      </c>
      <c r="I2763" s="126" t="str">
        <f t="shared" si="131"/>
        <v>0y 0d 0h 0m</v>
      </c>
    </row>
    <row r="2764" s="91" customFormat="1" spans="1:9">
      <c r="A2764" s="91" t="str">
        <f t="shared" si="129"/>
        <v>Os-165</v>
      </c>
      <c r="B2764" s="91" t="s">
        <v>3388</v>
      </c>
      <c r="C2764" s="91" t="s">
        <v>3385</v>
      </c>
      <c r="D2764" s="91">
        <v>76</v>
      </c>
      <c r="E2764" s="91">
        <v>165</v>
      </c>
      <c r="F2764" s="91">
        <v>0</v>
      </c>
      <c r="G2764" s="126">
        <v>9.76263634591472</v>
      </c>
      <c r="H2764" s="126">
        <f t="shared" si="130"/>
        <v>0.071</v>
      </c>
      <c r="I2764" s="126" t="str">
        <f t="shared" si="131"/>
        <v>0y 0d 0h 0m</v>
      </c>
    </row>
    <row r="2765" s="91" customFormat="1" spans="1:9">
      <c r="A2765" s="91" t="str">
        <f t="shared" si="129"/>
        <v>Os-166</v>
      </c>
      <c r="B2765" s="91" t="s">
        <v>3389</v>
      </c>
      <c r="C2765" s="91" t="s">
        <v>3385</v>
      </c>
      <c r="D2765" s="91">
        <v>76</v>
      </c>
      <c r="E2765" s="91">
        <v>166</v>
      </c>
      <c r="F2765" s="91">
        <v>0</v>
      </c>
      <c r="G2765" s="126">
        <v>3.48315166110525</v>
      </c>
      <c r="H2765" s="126">
        <f t="shared" si="130"/>
        <v>0.199</v>
      </c>
      <c r="I2765" s="126" t="str">
        <f t="shared" si="131"/>
        <v>0y 0d 0h 0m</v>
      </c>
    </row>
    <row r="2766" s="91" customFormat="1" spans="1:9">
      <c r="A2766" s="91" t="str">
        <f t="shared" si="129"/>
        <v>Os-167</v>
      </c>
      <c r="B2766" s="91" t="s">
        <v>3390</v>
      </c>
      <c r="C2766" s="91" t="s">
        <v>3385</v>
      </c>
      <c r="D2766" s="91">
        <v>76</v>
      </c>
      <c r="E2766" s="91">
        <v>167</v>
      </c>
      <c r="F2766" s="91">
        <v>0</v>
      </c>
      <c r="G2766" s="126">
        <v>0.855737259950549</v>
      </c>
      <c r="H2766" s="126">
        <f t="shared" si="130"/>
        <v>0.810000000000001</v>
      </c>
      <c r="I2766" s="126" t="str">
        <f t="shared" si="131"/>
        <v>0y 0d 0h 0m</v>
      </c>
    </row>
    <row r="2767" s="91" customFormat="1" spans="1:9">
      <c r="A2767" s="91" t="str">
        <f t="shared" si="129"/>
        <v>Os-168</v>
      </c>
      <c r="B2767" s="91" t="s">
        <v>3391</v>
      </c>
      <c r="C2767" s="91" t="s">
        <v>3385</v>
      </c>
      <c r="D2767" s="91">
        <v>76</v>
      </c>
      <c r="E2767" s="91">
        <v>168</v>
      </c>
      <c r="F2767" s="91">
        <v>0</v>
      </c>
      <c r="G2767" s="126">
        <v>0.330070085980926</v>
      </c>
      <c r="H2767" s="126">
        <f t="shared" si="130"/>
        <v>2.1</v>
      </c>
      <c r="I2767" s="126" t="str">
        <f t="shared" si="131"/>
        <v>0y 0d 0h 0m</v>
      </c>
    </row>
    <row r="2768" s="91" customFormat="1" spans="1:9">
      <c r="A2768" s="91" t="str">
        <f t="shared" si="129"/>
        <v>Os-169</v>
      </c>
      <c r="B2768" s="91" t="s">
        <v>3392</v>
      </c>
      <c r="C2768" s="91" t="s">
        <v>3385</v>
      </c>
      <c r="D2768" s="91">
        <v>76</v>
      </c>
      <c r="E2768" s="91">
        <v>169</v>
      </c>
      <c r="F2768" s="91">
        <v>0</v>
      </c>
      <c r="G2768" s="126">
        <v>0.202083726110771</v>
      </c>
      <c r="H2768" s="126">
        <f t="shared" si="130"/>
        <v>3.43</v>
      </c>
      <c r="I2768" s="126" t="str">
        <f t="shared" si="131"/>
        <v>0y 0d 0h 0m</v>
      </c>
    </row>
    <row r="2769" s="91" customFormat="1" spans="1:9">
      <c r="A2769" s="91" t="str">
        <f t="shared" si="129"/>
        <v>Os-170</v>
      </c>
      <c r="B2769" s="91" t="s">
        <v>3393</v>
      </c>
      <c r="C2769" s="91" t="s">
        <v>3385</v>
      </c>
      <c r="D2769" s="91">
        <v>76</v>
      </c>
      <c r="E2769" s="91">
        <v>170</v>
      </c>
      <c r="F2769" s="91">
        <v>0</v>
      </c>
      <c r="G2769" s="126">
        <v>0.0940498209714986</v>
      </c>
      <c r="H2769" s="126">
        <f t="shared" si="130"/>
        <v>7.37000000000001</v>
      </c>
      <c r="I2769" s="126" t="str">
        <f t="shared" si="131"/>
        <v>0y 0d 0h 0m</v>
      </c>
    </row>
    <row r="2770" s="91" customFormat="1" spans="1:9">
      <c r="A2770" s="91" t="str">
        <f t="shared" si="129"/>
        <v>Os-171</v>
      </c>
      <c r="B2770" s="91" t="s">
        <v>3394</v>
      </c>
      <c r="C2770" s="91" t="s">
        <v>3385</v>
      </c>
      <c r="D2770" s="91">
        <v>76</v>
      </c>
      <c r="E2770" s="91">
        <v>171</v>
      </c>
      <c r="F2770" s="91">
        <v>0</v>
      </c>
      <c r="G2770" s="126">
        <v>0.0835117085011982</v>
      </c>
      <c r="H2770" s="126">
        <f t="shared" si="130"/>
        <v>8.3</v>
      </c>
      <c r="I2770" s="126" t="str">
        <f t="shared" si="131"/>
        <v>0y 0d 0h 0m</v>
      </c>
    </row>
    <row r="2771" s="91" customFormat="1" spans="1:9">
      <c r="A2771" s="91" t="str">
        <f t="shared" si="129"/>
        <v>Os-172</v>
      </c>
      <c r="B2771" s="91" t="s">
        <v>3395</v>
      </c>
      <c r="C2771" s="91" t="s">
        <v>3385</v>
      </c>
      <c r="D2771" s="91">
        <v>76</v>
      </c>
      <c r="E2771" s="91">
        <v>172</v>
      </c>
      <c r="F2771" s="91">
        <v>0</v>
      </c>
      <c r="G2771" s="126">
        <v>0.0361014156541638</v>
      </c>
      <c r="H2771" s="126">
        <f t="shared" si="130"/>
        <v>19.2</v>
      </c>
      <c r="I2771" s="126" t="str">
        <f t="shared" si="131"/>
        <v>0y 0d 0h 0m</v>
      </c>
    </row>
    <row r="2772" s="91" customFormat="1" spans="1:9">
      <c r="A2772" s="91" t="str">
        <f t="shared" si="129"/>
        <v>Os-173</v>
      </c>
      <c r="B2772" s="91" t="s">
        <v>3396</v>
      </c>
      <c r="C2772" s="91" t="s">
        <v>3385</v>
      </c>
      <c r="D2772" s="91">
        <v>76</v>
      </c>
      <c r="E2772" s="91">
        <v>173</v>
      </c>
      <c r="F2772" s="91">
        <v>0</v>
      </c>
      <c r="G2772" s="126">
        <v>0.0309440705607118</v>
      </c>
      <c r="H2772" s="126">
        <f t="shared" si="130"/>
        <v>22.4</v>
      </c>
      <c r="I2772" s="126" t="str">
        <f t="shared" si="131"/>
        <v>0y 0d 0h 0m</v>
      </c>
    </row>
    <row r="2773" s="91" customFormat="1" spans="1:9">
      <c r="A2773" s="91" t="str">
        <f t="shared" si="129"/>
        <v>Os-174</v>
      </c>
      <c r="B2773" s="91" t="s">
        <v>3397</v>
      </c>
      <c r="C2773" s="91" t="s">
        <v>3385</v>
      </c>
      <c r="D2773" s="91">
        <v>76</v>
      </c>
      <c r="E2773" s="91">
        <v>174</v>
      </c>
      <c r="F2773" s="91">
        <v>0</v>
      </c>
      <c r="G2773" s="126">
        <v>0.015753345012726</v>
      </c>
      <c r="H2773" s="126">
        <f t="shared" si="130"/>
        <v>44.0000000000001</v>
      </c>
      <c r="I2773" s="126" t="str">
        <f t="shared" si="131"/>
        <v>0y 0d 0h 0m</v>
      </c>
    </row>
    <row r="2774" s="91" customFormat="1" spans="1:9">
      <c r="A2774" s="91" t="str">
        <f t="shared" si="129"/>
        <v>Os-175</v>
      </c>
      <c r="B2774" s="91" t="s">
        <v>3398</v>
      </c>
      <c r="C2774" s="91" t="s">
        <v>3385</v>
      </c>
      <c r="D2774" s="91">
        <v>76</v>
      </c>
      <c r="E2774" s="91">
        <v>175</v>
      </c>
      <c r="F2774" s="91">
        <v>0</v>
      </c>
      <c r="G2774" s="126">
        <v>0.00825175214952315</v>
      </c>
      <c r="H2774" s="126">
        <f t="shared" si="130"/>
        <v>84.0000000000001</v>
      </c>
      <c r="I2774" s="126" t="str">
        <f t="shared" si="131"/>
        <v>0y 0d 0h 1m</v>
      </c>
    </row>
    <row r="2775" s="91" customFormat="1" spans="1:9">
      <c r="A2775" s="91" t="str">
        <f t="shared" si="129"/>
        <v>Os-176</v>
      </c>
      <c r="B2775" s="91" t="s">
        <v>3399</v>
      </c>
      <c r="C2775" s="91" t="s">
        <v>3385</v>
      </c>
      <c r="D2775" s="91">
        <v>76</v>
      </c>
      <c r="E2775" s="91">
        <v>176</v>
      </c>
      <c r="F2775" s="91">
        <v>0</v>
      </c>
      <c r="G2775" s="126">
        <v>0.00320901472481456</v>
      </c>
      <c r="H2775" s="126">
        <f t="shared" si="130"/>
        <v>216</v>
      </c>
      <c r="I2775" s="126" t="str">
        <f t="shared" si="131"/>
        <v>0y 0d 0h 3m</v>
      </c>
    </row>
    <row r="2776" s="91" customFormat="1" spans="1:9">
      <c r="A2776" s="91" t="str">
        <f t="shared" si="129"/>
        <v>Os-177</v>
      </c>
      <c r="B2776" s="91" t="s">
        <v>3400</v>
      </c>
      <c r="C2776" s="91" t="s">
        <v>3385</v>
      </c>
      <c r="D2776" s="91">
        <v>76</v>
      </c>
      <c r="E2776" s="91">
        <v>177</v>
      </c>
      <c r="F2776" s="91">
        <v>0</v>
      </c>
      <c r="G2776" s="126">
        <v>0.00385081766977747</v>
      </c>
      <c r="H2776" s="126">
        <f t="shared" si="130"/>
        <v>180</v>
      </c>
      <c r="I2776" s="126" t="str">
        <f t="shared" si="131"/>
        <v>0y 0d 0h 3m</v>
      </c>
    </row>
    <row r="2777" s="91" customFormat="1" spans="1:9">
      <c r="A2777" s="91" t="str">
        <f t="shared" si="129"/>
        <v>Os-178</v>
      </c>
      <c r="B2777" s="91" t="s">
        <v>3401</v>
      </c>
      <c r="C2777" s="91" t="s">
        <v>3385</v>
      </c>
      <c r="D2777" s="91">
        <v>76</v>
      </c>
      <c r="E2777" s="91">
        <v>178</v>
      </c>
      <c r="F2777" s="91">
        <v>0</v>
      </c>
      <c r="G2777" s="126">
        <v>0.00231049060186648</v>
      </c>
      <c r="H2777" s="126">
        <f t="shared" si="130"/>
        <v>300.000000000001</v>
      </c>
      <c r="I2777" s="126" t="str">
        <f t="shared" si="131"/>
        <v>0y 0d 0h 5m</v>
      </c>
    </row>
    <row r="2778" s="91" customFormat="1" spans="1:9">
      <c r="A2778" s="91" t="str">
        <f t="shared" si="129"/>
        <v>Os-179</v>
      </c>
      <c r="B2778" s="91" t="s">
        <v>3402</v>
      </c>
      <c r="C2778" s="91" t="s">
        <v>3385</v>
      </c>
      <c r="D2778" s="91">
        <v>76</v>
      </c>
      <c r="E2778" s="91">
        <v>179</v>
      </c>
      <c r="F2778" s="91">
        <v>0</v>
      </c>
      <c r="G2778" s="126">
        <v>0.00177730046297421</v>
      </c>
      <c r="H2778" s="126">
        <f t="shared" si="130"/>
        <v>390.000000000002</v>
      </c>
      <c r="I2778" s="126" t="str">
        <f t="shared" si="131"/>
        <v>0y 0d 0h 6m</v>
      </c>
    </row>
    <row r="2779" s="91" customFormat="1" spans="1:9">
      <c r="A2779" s="91" t="str">
        <f t="shared" si="129"/>
        <v>Os-180</v>
      </c>
      <c r="B2779" s="91" t="s">
        <v>3403</v>
      </c>
      <c r="C2779" s="91" t="s">
        <v>3385</v>
      </c>
      <c r="D2779" s="91">
        <v>76</v>
      </c>
      <c r="E2779" s="91">
        <v>180</v>
      </c>
      <c r="F2779" s="91">
        <v>0</v>
      </c>
      <c r="G2779" s="126">
        <v>0.000537323395782903</v>
      </c>
      <c r="H2779" s="126">
        <f t="shared" si="130"/>
        <v>1290</v>
      </c>
      <c r="I2779" s="126" t="str">
        <f t="shared" si="131"/>
        <v>0y 0d 0h 21m</v>
      </c>
    </row>
    <row r="2780" s="91" customFormat="1" spans="1:9">
      <c r="A2780" s="91" t="str">
        <f t="shared" si="129"/>
        <v>Os-181</v>
      </c>
      <c r="B2780" s="91" t="s">
        <v>3404</v>
      </c>
      <c r="C2780" s="91" t="s">
        <v>3385</v>
      </c>
      <c r="D2780" s="91">
        <v>76</v>
      </c>
      <c r="E2780" s="91">
        <v>181</v>
      </c>
      <c r="F2780" s="91">
        <v>0</v>
      </c>
      <c r="G2780" s="126">
        <v>0.000110023361993642</v>
      </c>
      <c r="H2780" s="126">
        <f t="shared" si="130"/>
        <v>6300.00000000001</v>
      </c>
      <c r="I2780" s="126" t="str">
        <f t="shared" si="131"/>
        <v>0y 0d 1h 45m</v>
      </c>
    </row>
    <row r="2781" s="91" customFormat="1" spans="1:9">
      <c r="A2781" s="91" t="str">
        <f t="shared" si="129"/>
        <v>Os-181m</v>
      </c>
      <c r="B2781" s="91" t="s">
        <v>3405</v>
      </c>
      <c r="C2781" s="91" t="s">
        <v>3385</v>
      </c>
      <c r="D2781" s="91">
        <v>76</v>
      </c>
      <c r="E2781" s="91">
        <v>181</v>
      </c>
      <c r="F2781" s="91">
        <v>1</v>
      </c>
      <c r="G2781" s="126">
        <v>0.00427868629975274</v>
      </c>
      <c r="H2781" s="126">
        <f t="shared" si="130"/>
        <v>162</v>
      </c>
      <c r="I2781" s="126" t="str">
        <f t="shared" si="131"/>
        <v>0y 0d 0h 2m</v>
      </c>
    </row>
    <row r="2782" s="91" customFormat="1" spans="1:9">
      <c r="A2782" s="91" t="str">
        <f t="shared" si="129"/>
        <v>Os-182</v>
      </c>
      <c r="B2782" s="91" t="s">
        <v>3406</v>
      </c>
      <c r="C2782" s="91" t="s">
        <v>3385</v>
      </c>
      <c r="D2782" s="91">
        <v>76</v>
      </c>
      <c r="E2782" s="91">
        <v>182</v>
      </c>
      <c r="F2782" s="91">
        <v>0</v>
      </c>
      <c r="G2782" s="126">
        <v>8.81597451872132e-6</v>
      </c>
      <c r="H2782" s="126">
        <f t="shared" si="130"/>
        <v>78624</v>
      </c>
      <c r="I2782" s="126" t="str">
        <f t="shared" si="131"/>
        <v>0y 0d 21h 50m</v>
      </c>
    </row>
    <row r="2783" s="91" customFormat="1" spans="1:9">
      <c r="A2783" s="91" t="str">
        <f t="shared" si="129"/>
        <v>Os-183</v>
      </c>
      <c r="B2783" s="91" t="s">
        <v>3407</v>
      </c>
      <c r="C2783" s="91" t="s">
        <v>3385</v>
      </c>
      <c r="D2783" s="91">
        <v>76</v>
      </c>
      <c r="E2783" s="91">
        <v>183</v>
      </c>
      <c r="F2783" s="91">
        <v>0</v>
      </c>
      <c r="G2783" s="126">
        <v>1.48108371914518e-5</v>
      </c>
      <c r="H2783" s="126">
        <f t="shared" si="130"/>
        <v>46800.0000000001</v>
      </c>
      <c r="I2783" s="126" t="str">
        <f t="shared" si="131"/>
        <v>0y 0d 13h 0m</v>
      </c>
    </row>
    <row r="2784" s="91" customFormat="1" spans="1:9">
      <c r="A2784" s="91" t="str">
        <f t="shared" si="129"/>
        <v>Os-183m</v>
      </c>
      <c r="B2784" s="91" t="s">
        <v>3408</v>
      </c>
      <c r="C2784" s="91" t="s">
        <v>3385</v>
      </c>
      <c r="D2784" s="91">
        <v>76</v>
      </c>
      <c r="E2784" s="91">
        <v>183</v>
      </c>
      <c r="F2784" s="91">
        <v>1</v>
      </c>
      <c r="G2784" s="126">
        <v>1.94485740897852e-5</v>
      </c>
      <c r="H2784" s="126">
        <f t="shared" si="130"/>
        <v>35640</v>
      </c>
      <c r="I2784" s="126" t="str">
        <f t="shared" si="131"/>
        <v>0y 0d 9h 54m</v>
      </c>
    </row>
    <row r="2785" s="91" customFormat="1" spans="1:9">
      <c r="A2785" s="91" t="str">
        <f t="shared" si="129"/>
        <v>Os-184</v>
      </c>
      <c r="B2785" s="91" t="s">
        <v>3409</v>
      </c>
      <c r="C2785" s="91" t="s">
        <v>3385</v>
      </c>
      <c r="D2785" s="91">
        <v>76</v>
      </c>
      <c r="E2785" s="91">
        <v>184</v>
      </c>
      <c r="F2785" s="91">
        <v>0</v>
      </c>
      <c r="G2785" s="126">
        <v>0</v>
      </c>
      <c r="H2785" s="126">
        <f t="shared" si="130"/>
        <v>0</v>
      </c>
      <c r="I2785" s="126" t="str">
        <f t="shared" si="131"/>
        <v>0y 0d 0h 0m</v>
      </c>
    </row>
    <row r="2786" s="91" customFormat="1" spans="1:9">
      <c r="A2786" s="91" t="str">
        <f t="shared" si="129"/>
        <v>Os-185</v>
      </c>
      <c r="B2786" s="91" t="s">
        <v>3410</v>
      </c>
      <c r="C2786" s="91" t="s">
        <v>3385</v>
      </c>
      <c r="D2786" s="91">
        <v>76</v>
      </c>
      <c r="E2786" s="91">
        <v>185</v>
      </c>
      <c r="F2786" s="91">
        <v>0</v>
      </c>
      <c r="G2786" s="126">
        <v>8.57108633764573e-8</v>
      </c>
      <c r="H2786" s="126">
        <f t="shared" si="130"/>
        <v>8087040</v>
      </c>
      <c r="I2786" s="126" t="str">
        <f t="shared" si="131"/>
        <v>0y 93d 14h 24m</v>
      </c>
    </row>
    <row r="2787" s="91" customFormat="1" spans="1:9">
      <c r="A2787" s="91" t="str">
        <f t="shared" si="129"/>
        <v>Os-186</v>
      </c>
      <c r="B2787" s="91" t="s">
        <v>3411</v>
      </c>
      <c r="C2787" s="91" t="s">
        <v>3385</v>
      </c>
      <c r="D2787" s="91">
        <v>76</v>
      </c>
      <c r="E2787" s="91">
        <v>186</v>
      </c>
      <c r="F2787" s="91">
        <v>0</v>
      </c>
      <c r="G2787" s="126">
        <v>1.0982254362815e-23</v>
      </c>
      <c r="H2787" s="126">
        <f t="shared" si="130"/>
        <v>6.31152000000004e+22</v>
      </c>
      <c r="I2787" s="126" t="str">
        <f t="shared" si="131"/>
        <v>2001369863013710y 0d 0h 0m</v>
      </c>
    </row>
    <row r="2788" s="91" customFormat="1" spans="1:9">
      <c r="A2788" s="91" t="str">
        <f t="shared" si="129"/>
        <v>Os-187</v>
      </c>
      <c r="B2788" s="91" t="s">
        <v>3412</v>
      </c>
      <c r="C2788" s="91" t="s">
        <v>3385</v>
      </c>
      <c r="D2788" s="91">
        <v>76</v>
      </c>
      <c r="E2788" s="91">
        <v>187</v>
      </c>
      <c r="F2788" s="91">
        <v>0</v>
      </c>
      <c r="G2788" s="126">
        <v>0</v>
      </c>
      <c r="H2788" s="126">
        <f t="shared" si="130"/>
        <v>0</v>
      </c>
      <c r="I2788" s="126" t="str">
        <f t="shared" si="131"/>
        <v>0y 0d 0h 0m</v>
      </c>
    </row>
    <row r="2789" s="91" customFormat="1" spans="1:9">
      <c r="A2789" s="91" t="str">
        <f t="shared" si="129"/>
        <v>Os-188</v>
      </c>
      <c r="B2789" s="91" t="s">
        <v>3413</v>
      </c>
      <c r="C2789" s="91" t="s">
        <v>3385</v>
      </c>
      <c r="D2789" s="91">
        <v>76</v>
      </c>
      <c r="E2789" s="91">
        <v>188</v>
      </c>
      <c r="F2789" s="91">
        <v>0</v>
      </c>
      <c r="G2789" s="126">
        <v>0</v>
      </c>
      <c r="H2789" s="126">
        <f t="shared" si="130"/>
        <v>0</v>
      </c>
      <c r="I2789" s="126" t="str">
        <f t="shared" si="131"/>
        <v>0y 0d 0h 0m</v>
      </c>
    </row>
    <row r="2790" s="91" customFormat="1" spans="1:9">
      <c r="A2790" s="91" t="str">
        <f t="shared" si="129"/>
        <v>Os-189</v>
      </c>
      <c r="B2790" s="91" t="s">
        <v>3414</v>
      </c>
      <c r="C2790" s="91" t="s">
        <v>3385</v>
      </c>
      <c r="D2790" s="91">
        <v>76</v>
      </c>
      <c r="E2790" s="91">
        <v>189</v>
      </c>
      <c r="F2790" s="91">
        <v>0</v>
      </c>
      <c r="G2790" s="126">
        <v>0</v>
      </c>
      <c r="H2790" s="126">
        <f t="shared" si="130"/>
        <v>0</v>
      </c>
      <c r="I2790" s="126" t="str">
        <f t="shared" si="131"/>
        <v>0y 0d 0h 0m</v>
      </c>
    </row>
    <row r="2791" s="91" customFormat="1" spans="1:9">
      <c r="A2791" s="91" t="str">
        <f t="shared" si="129"/>
        <v>Os-189m</v>
      </c>
      <c r="B2791" s="91" t="s">
        <v>3415</v>
      </c>
      <c r="C2791" s="91" t="s">
        <v>3385</v>
      </c>
      <c r="D2791" s="91">
        <v>76</v>
      </c>
      <c r="E2791" s="91">
        <v>189</v>
      </c>
      <c r="F2791" s="91">
        <v>1</v>
      </c>
      <c r="G2791" s="126">
        <v>3.31395668655548e-5</v>
      </c>
      <c r="H2791" s="126">
        <f t="shared" si="130"/>
        <v>20916</v>
      </c>
      <c r="I2791" s="126" t="str">
        <f t="shared" si="131"/>
        <v>0y 0d 5h 48m</v>
      </c>
    </row>
    <row r="2792" s="91" customFormat="1" spans="1:9">
      <c r="A2792" s="91" t="str">
        <f t="shared" si="129"/>
        <v>Os-190</v>
      </c>
      <c r="B2792" s="91" t="s">
        <v>3416</v>
      </c>
      <c r="C2792" s="91" t="s">
        <v>3385</v>
      </c>
      <c r="D2792" s="91">
        <v>76</v>
      </c>
      <c r="E2792" s="91">
        <v>190</v>
      </c>
      <c r="F2792" s="91">
        <v>0</v>
      </c>
      <c r="G2792" s="126">
        <v>0</v>
      </c>
      <c r="H2792" s="126">
        <f t="shared" si="130"/>
        <v>0</v>
      </c>
      <c r="I2792" s="126" t="str">
        <f t="shared" si="131"/>
        <v>0y 0d 0h 0m</v>
      </c>
    </row>
    <row r="2793" s="91" customFormat="1" spans="1:9">
      <c r="A2793" s="91" t="str">
        <f t="shared" si="129"/>
        <v>Os-190m</v>
      </c>
      <c r="B2793" s="91" t="s">
        <v>3417</v>
      </c>
      <c r="C2793" s="91" t="s">
        <v>3385</v>
      </c>
      <c r="D2793" s="91">
        <v>76</v>
      </c>
      <c r="E2793" s="91">
        <v>190</v>
      </c>
      <c r="F2793" s="91">
        <v>1</v>
      </c>
      <c r="G2793" s="126">
        <v>0.00116691444538711</v>
      </c>
      <c r="H2793" s="126">
        <f t="shared" si="130"/>
        <v>594.000000000002</v>
      </c>
      <c r="I2793" s="126" t="str">
        <f t="shared" si="131"/>
        <v>0y 0d 0h 9m</v>
      </c>
    </row>
    <row r="2794" s="91" customFormat="1" spans="1:9">
      <c r="A2794" s="91" t="str">
        <f t="shared" si="129"/>
        <v>Os-191</v>
      </c>
      <c r="B2794" s="91" t="s">
        <v>3418</v>
      </c>
      <c r="C2794" s="91" t="s">
        <v>3385</v>
      </c>
      <c r="D2794" s="91">
        <v>76</v>
      </c>
      <c r="E2794" s="91">
        <v>191</v>
      </c>
      <c r="F2794" s="91">
        <v>0</v>
      </c>
      <c r="G2794" s="126">
        <v>5.20943948833532e-7</v>
      </c>
      <c r="H2794" s="126">
        <f t="shared" si="130"/>
        <v>1330560</v>
      </c>
      <c r="I2794" s="126" t="str">
        <f t="shared" si="131"/>
        <v>0y 15d 9h 36m</v>
      </c>
    </row>
    <row r="2795" s="91" customFormat="1" spans="1:9">
      <c r="A2795" s="91" t="str">
        <f t="shared" si="129"/>
        <v>Os-191m</v>
      </c>
      <c r="B2795" s="91" t="s">
        <v>3419</v>
      </c>
      <c r="C2795" s="91" t="s">
        <v>3385</v>
      </c>
      <c r="D2795" s="91">
        <v>76</v>
      </c>
      <c r="E2795" s="91">
        <v>191</v>
      </c>
      <c r="F2795" s="91">
        <v>1</v>
      </c>
      <c r="G2795" s="126">
        <v>1.46977773655628e-5</v>
      </c>
      <c r="H2795" s="126">
        <f t="shared" si="130"/>
        <v>47160.0000000002</v>
      </c>
      <c r="I2795" s="126" t="str">
        <f t="shared" si="131"/>
        <v>0y 0d 13h 6m</v>
      </c>
    </row>
    <row r="2796" s="91" customFormat="1" spans="1:9">
      <c r="A2796" s="91" t="str">
        <f t="shared" si="129"/>
        <v>Os-192</v>
      </c>
      <c r="B2796" s="91" t="s">
        <v>3420</v>
      </c>
      <c r="C2796" s="91" t="s">
        <v>3385</v>
      </c>
      <c r="D2796" s="91">
        <v>76</v>
      </c>
      <c r="E2796" s="91">
        <v>192</v>
      </c>
      <c r="F2796" s="91">
        <v>0</v>
      </c>
      <c r="G2796" s="126">
        <v>0</v>
      </c>
      <c r="H2796" s="126">
        <f t="shared" si="130"/>
        <v>0</v>
      </c>
      <c r="I2796" s="126" t="str">
        <f t="shared" si="131"/>
        <v>0y 0d 0h 0m</v>
      </c>
    </row>
    <row r="2797" s="91" customFormat="1" spans="1:9">
      <c r="A2797" s="91" t="str">
        <f t="shared" si="129"/>
        <v>Os-192m</v>
      </c>
      <c r="B2797" s="91" t="s">
        <v>3421</v>
      </c>
      <c r="C2797" s="91" t="s">
        <v>3385</v>
      </c>
      <c r="D2797" s="91">
        <v>76</v>
      </c>
      <c r="E2797" s="91">
        <v>192</v>
      </c>
      <c r="F2797" s="91">
        <v>1</v>
      </c>
      <c r="G2797" s="126">
        <v>0.117482572976261</v>
      </c>
      <c r="H2797" s="126">
        <f t="shared" si="130"/>
        <v>5.90000000000005</v>
      </c>
      <c r="I2797" s="126" t="str">
        <f t="shared" si="131"/>
        <v>0y 0d 0h 0m</v>
      </c>
    </row>
    <row r="2798" s="91" customFormat="1" spans="1:9">
      <c r="A2798" s="91" t="str">
        <f t="shared" si="129"/>
        <v>Os-193</v>
      </c>
      <c r="B2798" s="91" t="s">
        <v>3422</v>
      </c>
      <c r="C2798" s="91" t="s">
        <v>3385</v>
      </c>
      <c r="D2798" s="91">
        <v>76</v>
      </c>
      <c r="E2798" s="91">
        <v>193</v>
      </c>
      <c r="F2798" s="91">
        <v>0</v>
      </c>
      <c r="G2798" s="126">
        <v>6.39458264659162e-6</v>
      </c>
      <c r="H2798" s="126">
        <f t="shared" si="130"/>
        <v>108396</v>
      </c>
      <c r="I2798" s="126" t="str">
        <f t="shared" si="131"/>
        <v>0y 1d 6h 6m</v>
      </c>
    </row>
    <row r="2799" s="91" customFormat="1" spans="1:9">
      <c r="A2799" s="91" t="str">
        <f t="shared" si="129"/>
        <v>Os-194</v>
      </c>
      <c r="B2799" s="91" t="s">
        <v>3423</v>
      </c>
      <c r="C2799" s="91" t="s">
        <v>3385</v>
      </c>
      <c r="D2799" s="91">
        <v>76</v>
      </c>
      <c r="E2799" s="91">
        <v>194</v>
      </c>
      <c r="F2799" s="91">
        <v>0</v>
      </c>
      <c r="G2799" s="126">
        <v>3.66075145427168e-9</v>
      </c>
      <c r="H2799" s="126">
        <f t="shared" si="130"/>
        <v>189345600</v>
      </c>
      <c r="I2799" s="126" t="str">
        <f t="shared" si="131"/>
        <v>6y 1d 12h 0m</v>
      </c>
    </row>
    <row r="2800" s="91" customFormat="1" spans="1:9">
      <c r="A2800" s="91" t="str">
        <f t="shared" si="129"/>
        <v>Os-195</v>
      </c>
      <c r="B2800" s="91" t="s">
        <v>3424</v>
      </c>
      <c r="C2800" s="91" t="s">
        <v>3385</v>
      </c>
      <c r="D2800" s="91">
        <v>76</v>
      </c>
      <c r="E2800" s="91">
        <v>195</v>
      </c>
      <c r="F2800" s="91">
        <v>0</v>
      </c>
      <c r="G2800" s="126">
        <v>0.00128360588992582</v>
      </c>
      <c r="H2800" s="126">
        <f t="shared" si="130"/>
        <v>540.000000000002</v>
      </c>
      <c r="I2800" s="126" t="str">
        <f t="shared" si="131"/>
        <v>0y 0d 0h 9m</v>
      </c>
    </row>
    <row r="2801" s="91" customFormat="1" spans="1:9">
      <c r="A2801" s="91" t="str">
        <f t="shared" si="129"/>
        <v>Os-196</v>
      </c>
      <c r="B2801" s="91" t="s">
        <v>3425</v>
      </c>
      <c r="C2801" s="91" t="s">
        <v>3385</v>
      </c>
      <c r="D2801" s="91">
        <v>76</v>
      </c>
      <c r="E2801" s="91">
        <v>196</v>
      </c>
      <c r="F2801" s="91">
        <v>0</v>
      </c>
      <c r="G2801" s="126">
        <v>0.00033101584553961</v>
      </c>
      <c r="H2801" s="126">
        <f t="shared" si="130"/>
        <v>2094.00000000001</v>
      </c>
      <c r="I2801" s="126" t="str">
        <f t="shared" si="131"/>
        <v>0y 0d 0h 34m</v>
      </c>
    </row>
    <row r="2802" s="91" customFormat="1" spans="1:9">
      <c r="A2802" s="91" t="str">
        <f t="shared" si="129"/>
        <v>Ir-164</v>
      </c>
      <c r="B2802" s="91" t="s">
        <v>3426</v>
      </c>
      <c r="C2802" s="91" t="s">
        <v>3427</v>
      </c>
      <c r="D2802" s="91">
        <v>77</v>
      </c>
      <c r="E2802" s="91">
        <v>164</v>
      </c>
      <c r="F2802" s="91">
        <v>0</v>
      </c>
      <c r="G2802" s="126">
        <v>4.95105128971389</v>
      </c>
      <c r="H2802" s="126">
        <f t="shared" si="130"/>
        <v>0.14</v>
      </c>
      <c r="I2802" s="126" t="str">
        <f t="shared" si="131"/>
        <v>0y 0d 0h 0m</v>
      </c>
    </row>
    <row r="2803" s="91" customFormat="1" spans="1:9">
      <c r="A2803" s="91" t="str">
        <f t="shared" si="129"/>
        <v>Ir-164m</v>
      </c>
      <c r="B2803" s="91" t="s">
        <v>3428</v>
      </c>
      <c r="C2803" s="91" t="s">
        <v>3427</v>
      </c>
      <c r="D2803" s="91">
        <v>77</v>
      </c>
      <c r="E2803" s="91">
        <v>164</v>
      </c>
      <c r="F2803" s="91">
        <v>1</v>
      </c>
      <c r="G2803" s="126">
        <v>7296.28611115731</v>
      </c>
      <c r="H2803" s="126">
        <f t="shared" si="130"/>
        <v>9.50000000000001e-5</v>
      </c>
      <c r="I2803" s="126" t="str">
        <f t="shared" si="131"/>
        <v>0y 0d 0h 0m</v>
      </c>
    </row>
    <row r="2804" s="91" customFormat="1" spans="1:9">
      <c r="A2804" s="91" t="str">
        <f t="shared" si="129"/>
        <v>Ir-165</v>
      </c>
      <c r="B2804" s="91" t="s">
        <v>3429</v>
      </c>
      <c r="C2804" s="91" t="s">
        <v>3427</v>
      </c>
      <c r="D2804" s="91">
        <v>77</v>
      </c>
      <c r="E2804" s="91">
        <v>165</v>
      </c>
      <c r="F2804" s="91">
        <v>0</v>
      </c>
      <c r="G2804" s="126">
        <v>693147.180559945</v>
      </c>
      <c r="H2804" s="126">
        <f t="shared" si="130"/>
        <v>1e-6</v>
      </c>
      <c r="I2804" s="126" t="str">
        <f t="shared" si="131"/>
        <v>0y 0d 0h 0m</v>
      </c>
    </row>
    <row r="2805" s="91" customFormat="1" spans="1:9">
      <c r="A2805" s="91" t="str">
        <f t="shared" si="129"/>
        <v>Ir-166</v>
      </c>
      <c r="B2805" s="91" t="s">
        <v>3430</v>
      </c>
      <c r="C2805" s="91" t="s">
        <v>3427</v>
      </c>
      <c r="D2805" s="91">
        <v>77</v>
      </c>
      <c r="E2805" s="91">
        <v>166</v>
      </c>
      <c r="F2805" s="91">
        <v>0</v>
      </c>
      <c r="G2805" s="126">
        <v>66.0140171961852</v>
      </c>
      <c r="H2805" s="126">
        <f t="shared" si="130"/>
        <v>0.0105</v>
      </c>
      <c r="I2805" s="126" t="str">
        <f t="shared" si="131"/>
        <v>0y 0d 0h 0m</v>
      </c>
    </row>
    <row r="2806" s="91" customFormat="1" spans="1:9">
      <c r="A2806" s="91" t="str">
        <f t="shared" si="129"/>
        <v>Ir-166m</v>
      </c>
      <c r="B2806" s="91" t="s">
        <v>3431</v>
      </c>
      <c r="C2806" s="91" t="s">
        <v>3427</v>
      </c>
      <c r="D2806" s="91">
        <v>77</v>
      </c>
      <c r="E2806" s="91">
        <v>166</v>
      </c>
      <c r="F2806" s="91">
        <v>1</v>
      </c>
      <c r="G2806" s="126">
        <v>45.9037867920493</v>
      </c>
      <c r="H2806" s="126">
        <f t="shared" si="130"/>
        <v>0.0151</v>
      </c>
      <c r="I2806" s="126" t="str">
        <f t="shared" si="131"/>
        <v>0y 0d 0h 0m</v>
      </c>
    </row>
    <row r="2807" s="91" customFormat="1" spans="1:9">
      <c r="A2807" s="91" t="str">
        <f t="shared" si="129"/>
        <v>Ir-167</v>
      </c>
      <c r="B2807" s="91" t="s">
        <v>3432</v>
      </c>
      <c r="C2807" s="91" t="s">
        <v>3427</v>
      </c>
      <c r="D2807" s="91">
        <v>77</v>
      </c>
      <c r="E2807" s="91">
        <v>167</v>
      </c>
      <c r="F2807" s="91">
        <v>0</v>
      </c>
      <c r="G2807" s="126">
        <v>19.6916812659075</v>
      </c>
      <c r="H2807" s="126">
        <f t="shared" si="130"/>
        <v>0.0352000000000001</v>
      </c>
      <c r="I2807" s="126" t="str">
        <f t="shared" si="131"/>
        <v>0y 0d 0h 0m</v>
      </c>
    </row>
    <row r="2808" s="91" customFormat="1" spans="1:9">
      <c r="A2808" s="91" t="str">
        <f t="shared" si="129"/>
        <v>Ir-167m</v>
      </c>
      <c r="B2808" s="91" t="s">
        <v>3433</v>
      </c>
      <c r="C2808" s="91" t="s">
        <v>3427</v>
      </c>
      <c r="D2808" s="91">
        <v>77</v>
      </c>
      <c r="E2808" s="91">
        <v>167</v>
      </c>
      <c r="F2808" s="91">
        <v>1</v>
      </c>
      <c r="G2808" s="126">
        <v>26.9707074147838</v>
      </c>
      <c r="H2808" s="126">
        <f t="shared" si="130"/>
        <v>0.0257000000000001</v>
      </c>
      <c r="I2808" s="126" t="str">
        <f t="shared" si="131"/>
        <v>0y 0d 0h 0m</v>
      </c>
    </row>
    <row r="2809" s="91" customFormat="1" spans="1:9">
      <c r="A2809" s="91" t="str">
        <f t="shared" si="129"/>
        <v>Ir-168</v>
      </c>
      <c r="B2809" s="91" t="s">
        <v>3434</v>
      </c>
      <c r="C2809" s="91" t="s">
        <v>3427</v>
      </c>
      <c r="D2809" s="91">
        <v>77</v>
      </c>
      <c r="E2809" s="91">
        <v>168</v>
      </c>
      <c r="F2809" s="91">
        <v>0</v>
      </c>
      <c r="G2809" s="126">
        <v>2.98770336448252</v>
      </c>
      <c r="H2809" s="126">
        <f t="shared" si="130"/>
        <v>0.232</v>
      </c>
      <c r="I2809" s="126" t="str">
        <f t="shared" si="131"/>
        <v>0y 0d 0h 0m</v>
      </c>
    </row>
    <row r="2810" s="91" customFormat="1" spans="1:9">
      <c r="A2810" s="91" t="str">
        <f t="shared" si="129"/>
        <v>Ir-168m</v>
      </c>
      <c r="B2810" s="91" t="s">
        <v>3435</v>
      </c>
      <c r="C2810" s="91" t="s">
        <v>3427</v>
      </c>
      <c r="D2810" s="91">
        <v>77</v>
      </c>
      <c r="E2810" s="91">
        <v>168</v>
      </c>
      <c r="F2810" s="91">
        <v>1</v>
      </c>
      <c r="G2810" s="126">
        <v>4.33216987849965</v>
      </c>
      <c r="H2810" s="126">
        <f t="shared" si="130"/>
        <v>0.16</v>
      </c>
      <c r="I2810" s="126" t="str">
        <f t="shared" si="131"/>
        <v>0y 0d 0h 0m</v>
      </c>
    </row>
    <row r="2811" s="91" customFormat="1" spans="1:9">
      <c r="A2811" s="91" t="str">
        <f t="shared" si="129"/>
        <v>Ir-169</v>
      </c>
      <c r="B2811" s="91" t="s">
        <v>3436</v>
      </c>
      <c r="C2811" s="91" t="s">
        <v>3427</v>
      </c>
      <c r="D2811" s="91">
        <v>77</v>
      </c>
      <c r="E2811" s="91">
        <v>169</v>
      </c>
      <c r="F2811" s="91">
        <v>0</v>
      </c>
      <c r="G2811" s="126">
        <v>1.08304246962491</v>
      </c>
      <c r="H2811" s="126">
        <f t="shared" si="130"/>
        <v>0.640000000000003</v>
      </c>
      <c r="I2811" s="126" t="str">
        <f t="shared" si="131"/>
        <v>0y 0d 0h 0m</v>
      </c>
    </row>
    <row r="2812" s="91" customFormat="1" spans="1:9">
      <c r="A2812" s="91" t="str">
        <f t="shared" si="129"/>
        <v>Ir-169m</v>
      </c>
      <c r="B2812" s="91" t="s">
        <v>3437</v>
      </c>
      <c r="C2812" s="91" t="s">
        <v>3427</v>
      </c>
      <c r="D2812" s="91">
        <v>77</v>
      </c>
      <c r="E2812" s="91">
        <v>169</v>
      </c>
      <c r="F2812" s="91">
        <v>1</v>
      </c>
      <c r="G2812" s="126">
        <v>2.46671594505318</v>
      </c>
      <c r="H2812" s="126">
        <f t="shared" si="130"/>
        <v>0.281000000000001</v>
      </c>
      <c r="I2812" s="126" t="str">
        <f t="shared" si="131"/>
        <v>0y 0d 0h 0m</v>
      </c>
    </row>
    <row r="2813" s="91" customFormat="1" spans="1:9">
      <c r="A2813" s="91" t="str">
        <f t="shared" si="129"/>
        <v>Ir-170</v>
      </c>
      <c r="B2813" s="91" t="s">
        <v>3438</v>
      </c>
      <c r="C2813" s="91" t="s">
        <v>3427</v>
      </c>
      <c r="D2813" s="91">
        <v>77</v>
      </c>
      <c r="E2813" s="91">
        <v>170</v>
      </c>
      <c r="F2813" s="91">
        <v>0</v>
      </c>
      <c r="G2813" s="126">
        <v>0.770163533955494</v>
      </c>
      <c r="H2813" s="126">
        <f t="shared" si="130"/>
        <v>0.900000000000001</v>
      </c>
      <c r="I2813" s="126" t="str">
        <f t="shared" si="131"/>
        <v>0y 0d 0h 0m</v>
      </c>
    </row>
    <row r="2814" s="91" customFormat="1" spans="1:9">
      <c r="A2814" s="91" t="str">
        <f t="shared" si="129"/>
        <v>Ir-170m</v>
      </c>
      <c r="B2814" s="91" t="s">
        <v>3439</v>
      </c>
      <c r="C2814" s="91" t="s">
        <v>3427</v>
      </c>
      <c r="D2814" s="91">
        <v>77</v>
      </c>
      <c r="E2814" s="91">
        <v>170</v>
      </c>
      <c r="F2814" s="91">
        <v>1</v>
      </c>
      <c r="G2814" s="126">
        <v>0.854682096867996</v>
      </c>
      <c r="H2814" s="126">
        <f t="shared" si="130"/>
        <v>0.811000000000001</v>
      </c>
      <c r="I2814" s="126" t="str">
        <f t="shared" si="131"/>
        <v>0y 0d 0h 0m</v>
      </c>
    </row>
    <row r="2815" s="91" customFormat="1" spans="1:9">
      <c r="A2815" s="91" t="str">
        <f t="shared" si="129"/>
        <v>Ir-171</v>
      </c>
      <c r="B2815" s="91" t="s">
        <v>3440</v>
      </c>
      <c r="C2815" s="91" t="s">
        <v>3427</v>
      </c>
      <c r="D2815" s="91">
        <v>77</v>
      </c>
      <c r="E2815" s="91">
        <v>171</v>
      </c>
      <c r="F2815" s="91">
        <v>0</v>
      </c>
      <c r="G2815" s="126">
        <v>0.198042051588555</v>
      </c>
      <c r="H2815" s="126">
        <f t="shared" si="130"/>
        <v>3.50000000000001</v>
      </c>
      <c r="I2815" s="126" t="str">
        <f t="shared" si="131"/>
        <v>0y 0d 0h 0m</v>
      </c>
    </row>
    <row r="2816" s="91" customFormat="1" spans="1:9">
      <c r="A2816" s="91" t="str">
        <f t="shared" si="129"/>
        <v>Ir-171m</v>
      </c>
      <c r="B2816" s="91" t="s">
        <v>3441</v>
      </c>
      <c r="C2816" s="91" t="s">
        <v>3427</v>
      </c>
      <c r="D2816" s="91">
        <v>77</v>
      </c>
      <c r="E2816" s="91">
        <v>171</v>
      </c>
      <c r="F2816" s="91">
        <v>1</v>
      </c>
      <c r="G2816" s="126">
        <v>0.495105128971389</v>
      </c>
      <c r="H2816" s="126">
        <f t="shared" si="130"/>
        <v>1.4</v>
      </c>
      <c r="I2816" s="126" t="str">
        <f t="shared" si="131"/>
        <v>0y 0d 0h 0m</v>
      </c>
    </row>
    <row r="2817" s="91" customFormat="1" spans="1:9">
      <c r="A2817" s="91" t="str">
        <f t="shared" si="129"/>
        <v>Ir-172</v>
      </c>
      <c r="B2817" s="91" t="s">
        <v>3442</v>
      </c>
      <c r="C2817" s="91" t="s">
        <v>3427</v>
      </c>
      <c r="D2817" s="91">
        <v>77</v>
      </c>
      <c r="E2817" s="91">
        <v>172</v>
      </c>
      <c r="F2817" s="91">
        <v>0</v>
      </c>
      <c r="G2817" s="126">
        <v>0.15753345012726</v>
      </c>
      <c r="H2817" s="126">
        <f t="shared" si="130"/>
        <v>4.40000000000001</v>
      </c>
      <c r="I2817" s="126" t="str">
        <f t="shared" si="131"/>
        <v>0y 0d 0h 0m</v>
      </c>
    </row>
    <row r="2818" s="91" customFormat="1" spans="1:9">
      <c r="A2818" s="91" t="str">
        <f t="shared" ref="A2818:A2881" si="132">C2818&amp;"-"&amp;E2818&amp;_xlfn.IFS(F2818=0,"",F2818=1,"m",F2818&gt;1,"m"&amp;F2818)</f>
        <v>Ir-172m</v>
      </c>
      <c r="B2818" s="91" t="s">
        <v>3443</v>
      </c>
      <c r="C2818" s="91" t="s">
        <v>3427</v>
      </c>
      <c r="D2818" s="91">
        <v>77</v>
      </c>
      <c r="E2818" s="91">
        <v>172</v>
      </c>
      <c r="F2818" s="91">
        <v>1</v>
      </c>
      <c r="G2818" s="126">
        <v>0.346573590279972</v>
      </c>
      <c r="H2818" s="126">
        <f t="shared" ref="H2818:H2881" si="133">IF(G2818&gt;0,LN(2)/G2818,0)</f>
        <v>2</v>
      </c>
      <c r="I2818" s="126" t="str">
        <f t="shared" si="131"/>
        <v>0y 0d 0h 0m</v>
      </c>
    </row>
    <row r="2819" s="91" customFormat="1" spans="1:9">
      <c r="A2819" s="91" t="str">
        <f t="shared" si="132"/>
        <v>Ir-173</v>
      </c>
      <c r="B2819" s="91" t="s">
        <v>3444</v>
      </c>
      <c r="C2819" s="91" t="s">
        <v>3427</v>
      </c>
      <c r="D2819" s="91">
        <v>77</v>
      </c>
      <c r="E2819" s="91">
        <v>173</v>
      </c>
      <c r="F2819" s="91">
        <v>0</v>
      </c>
      <c r="G2819" s="126">
        <v>0.0770163533955494</v>
      </c>
      <c r="H2819" s="126">
        <f t="shared" si="133"/>
        <v>9.00000000000001</v>
      </c>
      <c r="I2819" s="126" t="str">
        <f t="shared" ref="I2819:I2882" si="134">INT(H2819/31536000)&amp;"y "&amp;INT(MOD(H2819,31536000)/86400)&amp;"d "&amp;INT(MOD(MOD(H2819,31536000),86400)/3600)&amp;"h "&amp;INT(MOD(MOD(MOD(H2819,31536000),86400),3600)/60)&amp;"m"</f>
        <v>0y 0d 0h 0m</v>
      </c>
    </row>
    <row r="2820" s="91" customFormat="1" spans="1:9">
      <c r="A2820" s="91" t="str">
        <f t="shared" si="132"/>
        <v>Ir-173m</v>
      </c>
      <c r="B2820" s="91" t="s">
        <v>3445</v>
      </c>
      <c r="C2820" s="91" t="s">
        <v>3427</v>
      </c>
      <c r="D2820" s="91">
        <v>77</v>
      </c>
      <c r="E2820" s="91">
        <v>173</v>
      </c>
      <c r="F2820" s="91">
        <v>1</v>
      </c>
      <c r="G2820" s="126">
        <v>0.31506690025452</v>
      </c>
      <c r="H2820" s="126">
        <f t="shared" si="133"/>
        <v>2.2</v>
      </c>
      <c r="I2820" s="126" t="str">
        <f t="shared" si="134"/>
        <v>0y 0d 0h 0m</v>
      </c>
    </row>
    <row r="2821" s="91" customFormat="1" spans="1:9">
      <c r="A2821" s="91" t="str">
        <f t="shared" si="132"/>
        <v>Ir-174</v>
      </c>
      <c r="B2821" s="91" t="s">
        <v>3446</v>
      </c>
      <c r="C2821" s="91" t="s">
        <v>3427</v>
      </c>
      <c r="D2821" s="91">
        <v>77</v>
      </c>
      <c r="E2821" s="91">
        <v>174</v>
      </c>
      <c r="F2821" s="91">
        <v>0</v>
      </c>
      <c r="G2821" s="126">
        <v>0.0877401494379677</v>
      </c>
      <c r="H2821" s="126">
        <f t="shared" si="133"/>
        <v>7.90000000000001</v>
      </c>
      <c r="I2821" s="126" t="str">
        <f t="shared" si="134"/>
        <v>0y 0d 0h 0m</v>
      </c>
    </row>
    <row r="2822" s="91" customFormat="1" spans="1:9">
      <c r="A2822" s="91" t="str">
        <f t="shared" si="132"/>
        <v>Ir-174m</v>
      </c>
      <c r="B2822" s="91" t="s">
        <v>3447</v>
      </c>
      <c r="C2822" s="91" t="s">
        <v>3427</v>
      </c>
      <c r="D2822" s="91">
        <v>77</v>
      </c>
      <c r="E2822" s="91">
        <v>174</v>
      </c>
      <c r="F2822" s="91">
        <v>1</v>
      </c>
      <c r="G2822" s="126">
        <v>0.141458608277539</v>
      </c>
      <c r="H2822" s="126">
        <f t="shared" si="133"/>
        <v>4.90000000000003</v>
      </c>
      <c r="I2822" s="126" t="str">
        <f t="shared" si="134"/>
        <v>0y 0d 0h 0m</v>
      </c>
    </row>
    <row r="2823" s="91" customFormat="1" spans="1:9">
      <c r="A2823" s="91" t="str">
        <f t="shared" si="132"/>
        <v>Ir-175</v>
      </c>
      <c r="B2823" s="91" t="s">
        <v>3448</v>
      </c>
      <c r="C2823" s="91" t="s">
        <v>3427</v>
      </c>
      <c r="D2823" s="91">
        <v>77</v>
      </c>
      <c r="E2823" s="91">
        <v>175</v>
      </c>
      <c r="F2823" s="91">
        <v>0</v>
      </c>
      <c r="G2823" s="126">
        <v>0.0770163533955494</v>
      </c>
      <c r="H2823" s="126">
        <f t="shared" si="133"/>
        <v>9.00000000000001</v>
      </c>
      <c r="I2823" s="126" t="str">
        <f t="shared" si="134"/>
        <v>0y 0d 0h 0m</v>
      </c>
    </row>
    <row r="2824" s="91" customFormat="1" spans="1:9">
      <c r="A2824" s="91" t="str">
        <f t="shared" si="132"/>
        <v>Ir-176</v>
      </c>
      <c r="B2824" s="91" t="s">
        <v>3449</v>
      </c>
      <c r="C2824" s="91" t="s">
        <v>3427</v>
      </c>
      <c r="D2824" s="91">
        <v>77</v>
      </c>
      <c r="E2824" s="91">
        <v>176</v>
      </c>
      <c r="F2824" s="91">
        <v>0</v>
      </c>
      <c r="G2824" s="126">
        <v>0.0796720897195339</v>
      </c>
      <c r="H2824" s="126">
        <f t="shared" si="133"/>
        <v>8.7</v>
      </c>
      <c r="I2824" s="126" t="str">
        <f t="shared" si="134"/>
        <v>0y 0d 0h 0m</v>
      </c>
    </row>
    <row r="2825" s="91" customFormat="1" spans="1:9">
      <c r="A2825" s="91" t="str">
        <f t="shared" si="132"/>
        <v>Ir-177</v>
      </c>
      <c r="B2825" s="91" t="s">
        <v>3450</v>
      </c>
      <c r="C2825" s="91" t="s">
        <v>3427</v>
      </c>
      <c r="D2825" s="91">
        <v>77</v>
      </c>
      <c r="E2825" s="91">
        <v>177</v>
      </c>
      <c r="F2825" s="91">
        <v>0</v>
      </c>
      <c r="G2825" s="126">
        <v>0.0231049060186648</v>
      </c>
      <c r="H2825" s="126">
        <f t="shared" si="133"/>
        <v>30.0000000000001</v>
      </c>
      <c r="I2825" s="126" t="str">
        <f t="shared" si="134"/>
        <v>0y 0d 0h 0m</v>
      </c>
    </row>
    <row r="2826" s="91" customFormat="1" spans="1:9">
      <c r="A2826" s="91" t="str">
        <f t="shared" si="132"/>
        <v>Ir-178</v>
      </c>
      <c r="B2826" s="91" t="s">
        <v>3451</v>
      </c>
      <c r="C2826" s="91" t="s">
        <v>3427</v>
      </c>
      <c r="D2826" s="91">
        <v>77</v>
      </c>
      <c r="E2826" s="91">
        <v>178</v>
      </c>
      <c r="F2826" s="91">
        <v>0</v>
      </c>
      <c r="G2826" s="126">
        <v>0.0577622650466621</v>
      </c>
      <c r="H2826" s="126">
        <f t="shared" si="133"/>
        <v>12</v>
      </c>
      <c r="I2826" s="126" t="str">
        <f t="shared" si="134"/>
        <v>0y 0d 0h 0m</v>
      </c>
    </row>
    <row r="2827" s="91" customFormat="1" spans="1:9">
      <c r="A2827" s="91" t="str">
        <f t="shared" si="132"/>
        <v>Ir-179</v>
      </c>
      <c r="B2827" s="91" t="s">
        <v>3452</v>
      </c>
      <c r="C2827" s="91" t="s">
        <v>3427</v>
      </c>
      <c r="D2827" s="91">
        <v>77</v>
      </c>
      <c r="E2827" s="91">
        <v>179</v>
      </c>
      <c r="F2827" s="91">
        <v>0</v>
      </c>
      <c r="G2827" s="126">
        <v>0.00877401494379677</v>
      </c>
      <c r="H2827" s="126">
        <f t="shared" si="133"/>
        <v>79.0000000000001</v>
      </c>
      <c r="I2827" s="126" t="str">
        <f t="shared" si="134"/>
        <v>0y 0d 0h 1m</v>
      </c>
    </row>
    <row r="2828" s="91" customFormat="1" spans="1:9">
      <c r="A2828" s="91" t="str">
        <f t="shared" si="132"/>
        <v>Ir-180</v>
      </c>
      <c r="B2828" s="91" t="s">
        <v>3453</v>
      </c>
      <c r="C2828" s="91" t="s">
        <v>3427</v>
      </c>
      <c r="D2828" s="91">
        <v>77</v>
      </c>
      <c r="E2828" s="91">
        <v>180</v>
      </c>
      <c r="F2828" s="91">
        <v>0</v>
      </c>
      <c r="G2828" s="126">
        <v>0.00770163533955494</v>
      </c>
      <c r="H2828" s="126">
        <f t="shared" si="133"/>
        <v>90.0000000000001</v>
      </c>
      <c r="I2828" s="126" t="str">
        <f t="shared" si="134"/>
        <v>0y 0d 0h 1m</v>
      </c>
    </row>
    <row r="2829" s="91" customFormat="1" spans="1:9">
      <c r="A2829" s="91" t="str">
        <f t="shared" si="132"/>
        <v>Ir-181</v>
      </c>
      <c r="B2829" s="91" t="s">
        <v>3454</v>
      </c>
      <c r="C2829" s="91" t="s">
        <v>3427</v>
      </c>
      <c r="D2829" s="91">
        <v>77</v>
      </c>
      <c r="E2829" s="91">
        <v>181</v>
      </c>
      <c r="F2829" s="91">
        <v>0</v>
      </c>
      <c r="G2829" s="126">
        <v>0.00235764347129233</v>
      </c>
      <c r="H2829" s="126">
        <f t="shared" si="133"/>
        <v>294</v>
      </c>
      <c r="I2829" s="126" t="str">
        <f t="shared" si="134"/>
        <v>0y 0d 0h 4m</v>
      </c>
    </row>
    <row r="2830" s="91" customFormat="1" spans="1:9">
      <c r="A2830" s="91" t="str">
        <f t="shared" si="132"/>
        <v>Ir-182</v>
      </c>
      <c r="B2830" s="91" t="s">
        <v>3455</v>
      </c>
      <c r="C2830" s="91" t="s">
        <v>3427</v>
      </c>
      <c r="D2830" s="91">
        <v>77</v>
      </c>
      <c r="E2830" s="91">
        <v>182</v>
      </c>
      <c r="F2830" s="91">
        <v>0</v>
      </c>
      <c r="G2830" s="126">
        <v>0.000770163533955494</v>
      </c>
      <c r="H2830" s="126">
        <f t="shared" si="133"/>
        <v>900.000000000001</v>
      </c>
      <c r="I2830" s="126" t="str">
        <f t="shared" si="134"/>
        <v>0y 0d 0h 15m</v>
      </c>
    </row>
    <row r="2831" s="91" customFormat="1" spans="1:9">
      <c r="A2831" s="91" t="str">
        <f t="shared" si="132"/>
        <v>Ir-183</v>
      </c>
      <c r="B2831" s="91" t="s">
        <v>3456</v>
      </c>
      <c r="C2831" s="91" t="s">
        <v>3427</v>
      </c>
      <c r="D2831" s="91">
        <v>77</v>
      </c>
      <c r="E2831" s="91">
        <v>183</v>
      </c>
      <c r="F2831" s="91">
        <v>0</v>
      </c>
      <c r="G2831" s="126">
        <v>0.000199180224298834</v>
      </c>
      <c r="H2831" s="126">
        <f t="shared" si="133"/>
        <v>3480.00000000001</v>
      </c>
      <c r="I2831" s="126" t="str">
        <f t="shared" si="134"/>
        <v>0y 0d 0h 58m</v>
      </c>
    </row>
    <row r="2832" s="91" customFormat="1" spans="1:9">
      <c r="A2832" s="91" t="str">
        <f t="shared" si="132"/>
        <v>Ir-184</v>
      </c>
      <c r="B2832" s="91" t="s">
        <v>3457</v>
      </c>
      <c r="C2832" s="91" t="s">
        <v>3427</v>
      </c>
      <c r="D2832" s="91">
        <v>77</v>
      </c>
      <c r="E2832" s="91">
        <v>184</v>
      </c>
      <c r="F2832" s="91">
        <v>0</v>
      </c>
      <c r="G2832" s="126">
        <v>6.23109655303798e-5</v>
      </c>
      <c r="H2832" s="126">
        <f t="shared" si="133"/>
        <v>11124</v>
      </c>
      <c r="I2832" s="126" t="str">
        <f t="shared" si="134"/>
        <v>0y 0d 3h 5m</v>
      </c>
    </row>
    <row r="2833" s="91" customFormat="1" spans="1:9">
      <c r="A2833" s="91" t="str">
        <f t="shared" si="132"/>
        <v>Ir-185</v>
      </c>
      <c r="B2833" s="91" t="s">
        <v>3458</v>
      </c>
      <c r="C2833" s="91" t="s">
        <v>3427</v>
      </c>
      <c r="D2833" s="91">
        <v>77</v>
      </c>
      <c r="E2833" s="91">
        <v>185</v>
      </c>
      <c r="F2833" s="91">
        <v>0</v>
      </c>
      <c r="G2833" s="126">
        <v>1.33708946867273e-5</v>
      </c>
      <c r="H2833" s="126">
        <f t="shared" si="133"/>
        <v>51840.0000000002</v>
      </c>
      <c r="I2833" s="126" t="str">
        <f t="shared" si="134"/>
        <v>0y 0d 14h 24m</v>
      </c>
    </row>
    <row r="2834" s="91" customFormat="1" spans="1:9">
      <c r="A2834" s="91" t="str">
        <f t="shared" si="132"/>
        <v>Ir-186</v>
      </c>
      <c r="B2834" s="91" t="s">
        <v>3459</v>
      </c>
      <c r="C2834" s="91" t="s">
        <v>3427</v>
      </c>
      <c r="D2834" s="91">
        <v>77</v>
      </c>
      <c r="E2834" s="91">
        <v>186</v>
      </c>
      <c r="F2834" s="91">
        <v>0</v>
      </c>
      <c r="G2834" s="126">
        <v>1.15709665558217e-5</v>
      </c>
      <c r="H2834" s="126">
        <f t="shared" si="133"/>
        <v>59904.0000000002</v>
      </c>
      <c r="I2834" s="126" t="str">
        <f t="shared" si="134"/>
        <v>0y 0d 16h 38m</v>
      </c>
    </row>
    <row r="2835" s="91" customFormat="1" spans="1:9">
      <c r="A2835" s="91" t="str">
        <f t="shared" si="132"/>
        <v>Ir-186m</v>
      </c>
      <c r="B2835" s="91" t="s">
        <v>3460</v>
      </c>
      <c r="C2835" s="91" t="s">
        <v>3427</v>
      </c>
      <c r="D2835" s="91">
        <v>77</v>
      </c>
      <c r="E2835" s="91">
        <v>186</v>
      </c>
      <c r="F2835" s="91">
        <v>1</v>
      </c>
      <c r="G2835" s="126">
        <v>0.000101337307099407</v>
      </c>
      <c r="H2835" s="126">
        <f t="shared" si="133"/>
        <v>6840.00000000001</v>
      </c>
      <c r="I2835" s="126" t="str">
        <f t="shared" si="134"/>
        <v>0y 0d 1h 54m</v>
      </c>
    </row>
    <row r="2836" s="91" customFormat="1" spans="1:9">
      <c r="A2836" s="91" t="str">
        <f t="shared" si="132"/>
        <v>Ir-187</v>
      </c>
      <c r="B2836" s="91" t="s">
        <v>3461</v>
      </c>
      <c r="C2836" s="91" t="s">
        <v>3427</v>
      </c>
      <c r="D2836" s="91">
        <v>77</v>
      </c>
      <c r="E2836" s="91">
        <v>187</v>
      </c>
      <c r="F2836" s="91">
        <v>0</v>
      </c>
      <c r="G2836" s="126">
        <v>1.83372269989403e-5</v>
      </c>
      <c r="H2836" s="126">
        <f t="shared" si="133"/>
        <v>37800.0000000001</v>
      </c>
      <c r="I2836" s="126" t="str">
        <f t="shared" si="134"/>
        <v>0y 0d 10h 30m</v>
      </c>
    </row>
    <row r="2837" s="91" customFormat="1" spans="1:9">
      <c r="A2837" s="91" t="str">
        <f t="shared" si="132"/>
        <v>Ir-187m</v>
      </c>
      <c r="B2837" s="91" t="s">
        <v>3462</v>
      </c>
      <c r="C2837" s="91" t="s">
        <v>3427</v>
      </c>
      <c r="D2837" s="91">
        <v>77</v>
      </c>
      <c r="E2837" s="91">
        <v>187</v>
      </c>
      <c r="F2837" s="91">
        <v>1</v>
      </c>
      <c r="G2837" s="126">
        <v>22.8761445729354</v>
      </c>
      <c r="H2837" s="126">
        <f t="shared" si="133"/>
        <v>0.0303000000000001</v>
      </c>
      <c r="I2837" s="126" t="str">
        <f t="shared" si="134"/>
        <v>0y 0d 0h 0m</v>
      </c>
    </row>
    <row r="2838" s="91" customFormat="1" spans="1:9">
      <c r="A2838" s="91" t="str">
        <f t="shared" si="132"/>
        <v>Ir-188</v>
      </c>
      <c r="B2838" s="91" t="s">
        <v>3463</v>
      </c>
      <c r="C2838" s="91" t="s">
        <v>3427</v>
      </c>
      <c r="D2838" s="91">
        <v>77</v>
      </c>
      <c r="E2838" s="91">
        <v>188</v>
      </c>
      <c r="F2838" s="91">
        <v>0</v>
      </c>
      <c r="G2838" s="126">
        <v>4.63953936117767e-6</v>
      </c>
      <c r="H2838" s="126">
        <f t="shared" si="133"/>
        <v>149400</v>
      </c>
      <c r="I2838" s="126" t="str">
        <f t="shared" si="134"/>
        <v>0y 1d 17h 30m</v>
      </c>
    </row>
    <row r="2839" s="91" customFormat="1" spans="1:9">
      <c r="A2839" s="91" t="str">
        <f t="shared" si="132"/>
        <v>Ir-188m</v>
      </c>
      <c r="B2839" s="91" t="s">
        <v>3464</v>
      </c>
      <c r="C2839" s="91" t="s">
        <v>3427</v>
      </c>
      <c r="D2839" s="91">
        <v>77</v>
      </c>
      <c r="E2839" s="91">
        <v>188</v>
      </c>
      <c r="F2839" s="91">
        <v>1</v>
      </c>
      <c r="G2839" s="126">
        <v>165.035042990463</v>
      </c>
      <c r="H2839" s="126">
        <f t="shared" si="133"/>
        <v>0.0042</v>
      </c>
      <c r="I2839" s="126" t="str">
        <f t="shared" si="134"/>
        <v>0y 0d 0h 0m</v>
      </c>
    </row>
    <row r="2840" s="91" customFormat="1" spans="1:9">
      <c r="A2840" s="91" t="str">
        <f t="shared" si="132"/>
        <v>Ir-189</v>
      </c>
      <c r="B2840" s="91" t="s">
        <v>3465</v>
      </c>
      <c r="C2840" s="91" t="s">
        <v>3427</v>
      </c>
      <c r="D2840" s="91">
        <v>77</v>
      </c>
      <c r="E2840" s="91">
        <v>189</v>
      </c>
      <c r="F2840" s="91">
        <v>0</v>
      </c>
      <c r="G2840" s="126">
        <v>6.07767940305788e-7</v>
      </c>
      <c r="H2840" s="126">
        <f t="shared" si="133"/>
        <v>1140480</v>
      </c>
      <c r="I2840" s="126" t="str">
        <f t="shared" si="134"/>
        <v>0y 13d 4h 48m</v>
      </c>
    </row>
    <row r="2841" s="91" customFormat="1" spans="1:9">
      <c r="A2841" s="91" t="str">
        <f t="shared" si="132"/>
        <v>Ir-189m</v>
      </c>
      <c r="B2841" s="91" t="s">
        <v>3466</v>
      </c>
      <c r="C2841" s="91" t="s">
        <v>3427</v>
      </c>
      <c r="D2841" s="91">
        <v>77</v>
      </c>
      <c r="E2841" s="91">
        <v>189</v>
      </c>
      <c r="F2841" s="91">
        <v>1</v>
      </c>
      <c r="G2841" s="126">
        <v>52.1163293654094</v>
      </c>
      <c r="H2841" s="126">
        <f t="shared" si="133"/>
        <v>0.0133</v>
      </c>
      <c r="I2841" s="126" t="str">
        <f t="shared" si="134"/>
        <v>0y 0d 0h 0m</v>
      </c>
    </row>
    <row r="2842" s="91" customFormat="1" spans="1:9">
      <c r="A2842" s="91" t="str">
        <f t="shared" si="132"/>
        <v>Ir-189m2</v>
      </c>
      <c r="B2842" s="91" t="s">
        <v>3467</v>
      </c>
      <c r="C2842" s="91" t="s">
        <v>3427</v>
      </c>
      <c r="D2842" s="91">
        <v>77</v>
      </c>
      <c r="E2842" s="91">
        <v>189</v>
      </c>
      <c r="F2842" s="91">
        <v>2</v>
      </c>
      <c r="G2842" s="126">
        <v>187.337075827012</v>
      </c>
      <c r="H2842" s="126">
        <f t="shared" si="133"/>
        <v>0.0037</v>
      </c>
      <c r="I2842" s="126" t="str">
        <f t="shared" si="134"/>
        <v>0y 0d 0h 0m</v>
      </c>
    </row>
    <row r="2843" s="91" customFormat="1" spans="1:9">
      <c r="A2843" s="91" t="str">
        <f t="shared" si="132"/>
        <v>Ir-190</v>
      </c>
      <c r="B2843" s="91" t="s">
        <v>3468</v>
      </c>
      <c r="C2843" s="91" t="s">
        <v>3427</v>
      </c>
      <c r="D2843" s="91">
        <v>77</v>
      </c>
      <c r="E2843" s="91">
        <v>190</v>
      </c>
      <c r="F2843" s="91">
        <v>0</v>
      </c>
      <c r="G2843" s="126">
        <v>6.81030289646553e-7</v>
      </c>
      <c r="H2843" s="126">
        <f t="shared" si="133"/>
        <v>1017792</v>
      </c>
      <c r="I2843" s="126" t="str">
        <f t="shared" si="134"/>
        <v>0y 11d 18h 43m</v>
      </c>
    </row>
    <row r="2844" s="91" customFormat="1" spans="1:9">
      <c r="A2844" s="91" t="str">
        <f t="shared" si="132"/>
        <v>Ir-190m</v>
      </c>
      <c r="B2844" s="91" t="s">
        <v>3469</v>
      </c>
      <c r="C2844" s="91" t="s">
        <v>3427</v>
      </c>
      <c r="D2844" s="91">
        <v>77</v>
      </c>
      <c r="E2844" s="91">
        <v>190</v>
      </c>
      <c r="F2844" s="91">
        <v>1</v>
      </c>
      <c r="G2844" s="126">
        <v>0.000171911503115065</v>
      </c>
      <c r="H2844" s="126">
        <f t="shared" si="133"/>
        <v>4032.00000000002</v>
      </c>
      <c r="I2844" s="126" t="str">
        <f t="shared" si="134"/>
        <v>0y 0d 1h 7m</v>
      </c>
    </row>
    <row r="2845" s="91" customFormat="1" spans="1:9">
      <c r="A2845" s="91" t="str">
        <f t="shared" si="132"/>
        <v>Ir-190m2</v>
      </c>
      <c r="B2845" s="91" t="s">
        <v>3470</v>
      </c>
      <c r="C2845" s="91" t="s">
        <v>3427</v>
      </c>
      <c r="D2845" s="91">
        <v>77</v>
      </c>
      <c r="E2845" s="91">
        <v>190</v>
      </c>
      <c r="F2845" s="91">
        <v>2</v>
      </c>
      <c r="G2845" s="126">
        <v>6.2371520404559e-5</v>
      </c>
      <c r="H2845" s="126">
        <f t="shared" si="133"/>
        <v>11113.2</v>
      </c>
      <c r="I2845" s="126" t="str">
        <f t="shared" si="134"/>
        <v>0y 0d 3h 5m</v>
      </c>
    </row>
    <row r="2846" s="91" customFormat="1" spans="1:9">
      <c r="A2846" s="91" t="str">
        <f t="shared" si="132"/>
        <v>Ir-191</v>
      </c>
      <c r="B2846" s="91" t="s">
        <v>3471</v>
      </c>
      <c r="C2846" s="91" t="s">
        <v>3427</v>
      </c>
      <c r="D2846" s="91">
        <v>77</v>
      </c>
      <c r="E2846" s="91">
        <v>191</v>
      </c>
      <c r="F2846" s="91">
        <v>0</v>
      </c>
      <c r="G2846" s="126">
        <v>0</v>
      </c>
      <c r="H2846" s="126">
        <f t="shared" si="133"/>
        <v>0</v>
      </c>
      <c r="I2846" s="126" t="str">
        <f t="shared" si="134"/>
        <v>0y 0d 0h 0m</v>
      </c>
    </row>
    <row r="2847" s="91" customFormat="1" spans="1:9">
      <c r="A2847" s="91" t="str">
        <f t="shared" si="132"/>
        <v>Ir-191m</v>
      </c>
      <c r="B2847" s="91" t="s">
        <v>3472</v>
      </c>
      <c r="C2847" s="91" t="s">
        <v>3427</v>
      </c>
      <c r="D2847" s="91">
        <v>77</v>
      </c>
      <c r="E2847" s="91">
        <v>191</v>
      </c>
      <c r="F2847" s="91">
        <v>1</v>
      </c>
      <c r="G2847" s="126">
        <v>0.141487483274126</v>
      </c>
      <c r="H2847" s="126">
        <f t="shared" si="133"/>
        <v>4.89900000000001</v>
      </c>
      <c r="I2847" s="126" t="str">
        <f t="shared" si="134"/>
        <v>0y 0d 0h 0m</v>
      </c>
    </row>
    <row r="2848" s="91" customFormat="1" spans="1:9">
      <c r="A2848" s="91" t="str">
        <f t="shared" si="132"/>
        <v>Ir-191m2</v>
      </c>
      <c r="B2848" s="91" t="s">
        <v>3473</v>
      </c>
      <c r="C2848" s="91" t="s">
        <v>3427</v>
      </c>
      <c r="D2848" s="91">
        <v>77</v>
      </c>
      <c r="E2848" s="91">
        <v>191</v>
      </c>
      <c r="F2848" s="91">
        <v>2</v>
      </c>
      <c r="G2848" s="126">
        <v>0.126026760101808</v>
      </c>
      <c r="H2848" s="126">
        <f t="shared" si="133"/>
        <v>5.50000000000001</v>
      </c>
      <c r="I2848" s="126" t="str">
        <f t="shared" si="134"/>
        <v>0y 0d 0h 0m</v>
      </c>
    </row>
    <row r="2849" s="91" customFormat="1" spans="1:9">
      <c r="A2849" s="91" t="str">
        <f t="shared" si="132"/>
        <v>Ir-192</v>
      </c>
      <c r="B2849" s="91" t="s">
        <v>3474</v>
      </c>
      <c r="C2849" s="91" t="s">
        <v>3427</v>
      </c>
      <c r="D2849" s="91">
        <v>77</v>
      </c>
      <c r="E2849" s="91">
        <v>192</v>
      </c>
      <c r="F2849" s="91">
        <v>0</v>
      </c>
      <c r="G2849" s="126">
        <v>1.08666701349006e-7</v>
      </c>
      <c r="H2849" s="126">
        <f t="shared" si="133"/>
        <v>6378653.00000004</v>
      </c>
      <c r="I2849" s="126" t="str">
        <f t="shared" si="134"/>
        <v>0y 73d 19h 50m</v>
      </c>
    </row>
    <row r="2850" s="91" customFormat="1" spans="1:9">
      <c r="A2850" s="91" t="str">
        <f t="shared" si="132"/>
        <v>Ir-192m</v>
      </c>
      <c r="B2850" s="91" t="s">
        <v>3475</v>
      </c>
      <c r="C2850" s="91" t="s">
        <v>3427</v>
      </c>
      <c r="D2850" s="91">
        <v>77</v>
      </c>
      <c r="E2850" s="91">
        <v>192</v>
      </c>
      <c r="F2850" s="91">
        <v>1</v>
      </c>
      <c r="G2850" s="126">
        <v>0.00796720897195339</v>
      </c>
      <c r="H2850" s="126">
        <f t="shared" si="133"/>
        <v>87.0000000000001</v>
      </c>
      <c r="I2850" s="126" t="str">
        <f t="shared" si="134"/>
        <v>0y 0d 0h 1m</v>
      </c>
    </row>
    <row r="2851" s="91" customFormat="1" spans="1:9">
      <c r="A2851" s="91" t="str">
        <f t="shared" si="132"/>
        <v>Ir-192m2</v>
      </c>
      <c r="B2851" s="91" t="s">
        <v>3476</v>
      </c>
      <c r="C2851" s="91" t="s">
        <v>3427</v>
      </c>
      <c r="D2851" s="91">
        <v>77</v>
      </c>
      <c r="E2851" s="91">
        <v>192</v>
      </c>
      <c r="F2851" s="91">
        <v>2</v>
      </c>
      <c r="G2851" s="126">
        <v>9.11390355619146e-11</v>
      </c>
      <c r="H2851" s="126">
        <f t="shared" si="133"/>
        <v>7605382000</v>
      </c>
      <c r="I2851" s="126" t="str">
        <f t="shared" si="134"/>
        <v>241y 60d 6h 6m</v>
      </c>
    </row>
    <row r="2852" s="91" customFormat="1" spans="1:9">
      <c r="A2852" s="91" t="str">
        <f t="shared" si="132"/>
        <v>Ir-193</v>
      </c>
      <c r="B2852" s="91" t="s">
        <v>3477</v>
      </c>
      <c r="C2852" s="91" t="s">
        <v>3427</v>
      </c>
      <c r="D2852" s="91">
        <v>77</v>
      </c>
      <c r="E2852" s="91">
        <v>193</v>
      </c>
      <c r="F2852" s="91">
        <v>0</v>
      </c>
      <c r="G2852" s="126">
        <v>0</v>
      </c>
      <c r="H2852" s="126">
        <f t="shared" si="133"/>
        <v>0</v>
      </c>
      <c r="I2852" s="126" t="str">
        <f t="shared" si="134"/>
        <v>0y 0d 0h 0m</v>
      </c>
    </row>
    <row r="2853" s="91" customFormat="1" spans="1:9">
      <c r="A2853" s="91" t="str">
        <f t="shared" si="132"/>
        <v>Ir-193m</v>
      </c>
      <c r="B2853" s="91" t="s">
        <v>3478</v>
      </c>
      <c r="C2853" s="91" t="s">
        <v>3427</v>
      </c>
      <c r="D2853" s="91">
        <v>77</v>
      </c>
      <c r="E2853" s="91">
        <v>193</v>
      </c>
      <c r="F2853" s="91">
        <v>1</v>
      </c>
      <c r="G2853" s="126">
        <v>7.61874341124065e-7</v>
      </c>
      <c r="H2853" s="126">
        <f t="shared" si="133"/>
        <v>909792</v>
      </c>
      <c r="I2853" s="126" t="str">
        <f t="shared" si="134"/>
        <v>0y 10d 12h 43m</v>
      </c>
    </row>
    <row r="2854" s="91" customFormat="1" spans="1:9">
      <c r="A2854" s="91" t="str">
        <f t="shared" si="132"/>
        <v>Ir-194</v>
      </c>
      <c r="B2854" s="91" t="s">
        <v>3479</v>
      </c>
      <c r="C2854" s="91" t="s">
        <v>3427</v>
      </c>
      <c r="D2854" s="91">
        <v>77</v>
      </c>
      <c r="E2854" s="91">
        <v>194</v>
      </c>
      <c r="F2854" s="91">
        <v>0</v>
      </c>
      <c r="G2854" s="126">
        <v>9.98656034693328e-6</v>
      </c>
      <c r="H2854" s="126">
        <f t="shared" si="133"/>
        <v>69408</v>
      </c>
      <c r="I2854" s="126" t="str">
        <f t="shared" si="134"/>
        <v>0y 0d 19h 16m</v>
      </c>
    </row>
    <row r="2855" s="91" customFormat="1" spans="1:9">
      <c r="A2855" s="91" t="str">
        <f t="shared" si="132"/>
        <v>Ir-194m</v>
      </c>
      <c r="B2855" s="91" t="s">
        <v>3480</v>
      </c>
      <c r="C2855" s="91" t="s">
        <v>3427</v>
      </c>
      <c r="D2855" s="91">
        <v>77</v>
      </c>
      <c r="E2855" s="91">
        <v>194</v>
      </c>
      <c r="F2855" s="91">
        <v>1</v>
      </c>
      <c r="G2855" s="126">
        <v>21.7628628119292</v>
      </c>
      <c r="H2855" s="126">
        <f t="shared" si="133"/>
        <v>0.03185</v>
      </c>
      <c r="I2855" s="126" t="str">
        <f t="shared" si="134"/>
        <v>0y 0d 0h 0m</v>
      </c>
    </row>
    <row r="2856" s="91" customFormat="1" spans="1:9">
      <c r="A2856" s="91" t="str">
        <f t="shared" si="132"/>
        <v>Ir-194m2</v>
      </c>
      <c r="B2856" s="91" t="s">
        <v>3481</v>
      </c>
      <c r="C2856" s="91" t="s">
        <v>3427</v>
      </c>
      <c r="D2856" s="91">
        <v>77</v>
      </c>
      <c r="E2856" s="91">
        <v>194</v>
      </c>
      <c r="F2856" s="91">
        <v>2</v>
      </c>
      <c r="G2856" s="126">
        <v>4.69154199534292e-8</v>
      </c>
      <c r="H2856" s="126">
        <f t="shared" si="133"/>
        <v>14774400</v>
      </c>
      <c r="I2856" s="126" t="str">
        <f t="shared" si="134"/>
        <v>0y 171d 0h 0m</v>
      </c>
    </row>
    <row r="2857" s="91" customFormat="1" spans="1:9">
      <c r="A2857" s="91" t="str">
        <f t="shared" si="132"/>
        <v>Ir-195</v>
      </c>
      <c r="B2857" s="91" t="s">
        <v>3482</v>
      </c>
      <c r="C2857" s="91" t="s">
        <v>3427</v>
      </c>
      <c r="D2857" s="91">
        <v>77</v>
      </c>
      <c r="E2857" s="91">
        <v>195</v>
      </c>
      <c r="F2857" s="91">
        <v>0</v>
      </c>
      <c r="G2857" s="126">
        <v>7.70163533955494e-5</v>
      </c>
      <c r="H2857" s="126">
        <f t="shared" si="133"/>
        <v>9000.00000000001</v>
      </c>
      <c r="I2857" s="126" t="str">
        <f t="shared" si="134"/>
        <v>0y 0d 2h 30m</v>
      </c>
    </row>
    <row r="2858" s="91" customFormat="1" spans="1:9">
      <c r="A2858" s="91" t="str">
        <f t="shared" si="132"/>
        <v>Ir-195m</v>
      </c>
      <c r="B2858" s="91" t="s">
        <v>3483</v>
      </c>
      <c r="C2858" s="91" t="s">
        <v>3427</v>
      </c>
      <c r="D2858" s="91">
        <v>77</v>
      </c>
      <c r="E2858" s="91">
        <v>195</v>
      </c>
      <c r="F2858" s="91">
        <v>1</v>
      </c>
      <c r="G2858" s="126">
        <v>5.06686535497036e-5</v>
      </c>
      <c r="H2858" s="126">
        <f t="shared" si="133"/>
        <v>13680</v>
      </c>
      <c r="I2858" s="126" t="str">
        <f t="shared" si="134"/>
        <v>0y 0d 3h 48m</v>
      </c>
    </row>
    <row r="2859" s="91" customFormat="1" spans="1:9">
      <c r="A2859" s="91" t="str">
        <f t="shared" si="132"/>
        <v>Ir-196</v>
      </c>
      <c r="B2859" s="91" t="s">
        <v>3484</v>
      </c>
      <c r="C2859" s="91" t="s">
        <v>3427</v>
      </c>
      <c r="D2859" s="91">
        <v>77</v>
      </c>
      <c r="E2859" s="91">
        <v>196</v>
      </c>
      <c r="F2859" s="91">
        <v>0</v>
      </c>
      <c r="G2859" s="126">
        <v>0.0133297534723066</v>
      </c>
      <c r="H2859" s="126">
        <f t="shared" si="133"/>
        <v>52.0000000000002</v>
      </c>
      <c r="I2859" s="126" t="str">
        <f t="shared" si="134"/>
        <v>0y 0d 0h 0m</v>
      </c>
    </row>
    <row r="2860" s="91" customFormat="1" spans="1:9">
      <c r="A2860" s="91" t="str">
        <f t="shared" si="132"/>
        <v>Ir-196m</v>
      </c>
      <c r="B2860" s="91" t="s">
        <v>3485</v>
      </c>
      <c r="C2860" s="91" t="s">
        <v>3427</v>
      </c>
      <c r="D2860" s="91">
        <v>77</v>
      </c>
      <c r="E2860" s="91">
        <v>196</v>
      </c>
      <c r="F2860" s="91">
        <v>1</v>
      </c>
      <c r="G2860" s="126">
        <v>0.000137529202492052</v>
      </c>
      <c r="H2860" s="126">
        <f t="shared" si="133"/>
        <v>5040.00000000002</v>
      </c>
      <c r="I2860" s="126" t="str">
        <f t="shared" si="134"/>
        <v>0y 0d 1h 24m</v>
      </c>
    </row>
    <row r="2861" s="91" customFormat="1" spans="1:9">
      <c r="A2861" s="91" t="str">
        <f t="shared" si="132"/>
        <v>Ir-197</v>
      </c>
      <c r="B2861" s="91" t="s">
        <v>3486</v>
      </c>
      <c r="C2861" s="91" t="s">
        <v>3427</v>
      </c>
      <c r="D2861" s="91">
        <v>77</v>
      </c>
      <c r="E2861" s="91">
        <v>197</v>
      </c>
      <c r="F2861" s="91">
        <v>0</v>
      </c>
      <c r="G2861" s="126">
        <v>0.00199180224298834</v>
      </c>
      <c r="H2861" s="126">
        <f t="shared" si="133"/>
        <v>348.000000000001</v>
      </c>
      <c r="I2861" s="126" t="str">
        <f t="shared" si="134"/>
        <v>0y 0d 0h 5m</v>
      </c>
    </row>
    <row r="2862" s="91" customFormat="1" spans="1:9">
      <c r="A2862" s="91" t="str">
        <f t="shared" si="132"/>
        <v>Ir-197m</v>
      </c>
      <c r="B2862" s="91" t="s">
        <v>3487</v>
      </c>
      <c r="C2862" s="91" t="s">
        <v>3427</v>
      </c>
      <c r="D2862" s="91">
        <v>77</v>
      </c>
      <c r="E2862" s="91">
        <v>197</v>
      </c>
      <c r="F2862" s="91">
        <v>1</v>
      </c>
      <c r="G2862" s="126">
        <v>0.00129802842801487</v>
      </c>
      <c r="H2862" s="126">
        <f t="shared" si="133"/>
        <v>534.000000000004</v>
      </c>
      <c r="I2862" s="126" t="str">
        <f t="shared" si="134"/>
        <v>0y 0d 0h 8m</v>
      </c>
    </row>
    <row r="2863" s="91" customFormat="1" spans="1:9">
      <c r="A2863" s="91" t="str">
        <f t="shared" si="132"/>
        <v>Ir-198</v>
      </c>
      <c r="B2863" s="91" t="s">
        <v>3488</v>
      </c>
      <c r="C2863" s="91" t="s">
        <v>3427</v>
      </c>
      <c r="D2863" s="91">
        <v>77</v>
      </c>
      <c r="E2863" s="91">
        <v>198</v>
      </c>
      <c r="F2863" s="91">
        <v>0</v>
      </c>
      <c r="G2863" s="126">
        <v>0.0866433975699931</v>
      </c>
      <c r="H2863" s="126">
        <f t="shared" si="133"/>
        <v>8.00000000000001</v>
      </c>
      <c r="I2863" s="126" t="str">
        <f t="shared" si="134"/>
        <v>0y 0d 0h 0m</v>
      </c>
    </row>
    <row r="2864" s="91" customFormat="1" spans="1:9">
      <c r="A2864" s="91" t="str">
        <f t="shared" si="132"/>
        <v>Ir-199</v>
      </c>
      <c r="B2864" s="91" t="s">
        <v>3489</v>
      </c>
      <c r="C2864" s="91" t="s">
        <v>3427</v>
      </c>
      <c r="D2864" s="91">
        <v>77</v>
      </c>
      <c r="E2864" s="91">
        <v>199</v>
      </c>
      <c r="F2864" s="91">
        <v>0</v>
      </c>
      <c r="G2864" s="126">
        <v>0.106638027778453</v>
      </c>
      <c r="H2864" s="126">
        <f t="shared" si="133"/>
        <v>6.50000000000001</v>
      </c>
      <c r="I2864" s="126" t="str">
        <f t="shared" si="134"/>
        <v>0y 0d 0h 0m</v>
      </c>
    </row>
    <row r="2865" s="91" customFormat="1" spans="1:9">
      <c r="A2865" s="91" t="str">
        <f t="shared" si="132"/>
        <v>Pt-166</v>
      </c>
      <c r="B2865" s="91" t="s">
        <v>3490</v>
      </c>
      <c r="C2865" s="91" t="s">
        <v>3491</v>
      </c>
      <c r="D2865" s="91">
        <v>78</v>
      </c>
      <c r="E2865" s="91">
        <v>166</v>
      </c>
      <c r="F2865" s="91">
        <v>0</v>
      </c>
      <c r="G2865" s="126">
        <v>2310.49060186648</v>
      </c>
      <c r="H2865" s="126">
        <f t="shared" si="133"/>
        <v>0.000300000000000001</v>
      </c>
      <c r="I2865" s="126" t="str">
        <f t="shared" si="134"/>
        <v>0y 0d 0h 0m</v>
      </c>
    </row>
    <row r="2866" s="91" customFormat="1" spans="1:9">
      <c r="A2866" s="91" t="str">
        <f t="shared" si="132"/>
        <v>Pt-167</v>
      </c>
      <c r="B2866" s="91" t="s">
        <v>3492</v>
      </c>
      <c r="C2866" s="91" t="s">
        <v>3491</v>
      </c>
      <c r="D2866" s="91">
        <v>78</v>
      </c>
      <c r="E2866" s="91">
        <v>167</v>
      </c>
      <c r="F2866" s="91">
        <v>0</v>
      </c>
      <c r="G2866" s="126">
        <v>888.650231487109</v>
      </c>
      <c r="H2866" s="126">
        <f t="shared" si="133"/>
        <v>0.00078</v>
      </c>
      <c r="I2866" s="126" t="str">
        <f t="shared" si="134"/>
        <v>0y 0d 0h 0m</v>
      </c>
    </row>
    <row r="2867" s="91" customFormat="1" spans="1:9">
      <c r="A2867" s="91" t="str">
        <f t="shared" si="132"/>
        <v>Pt-168</v>
      </c>
      <c r="B2867" s="91" t="s">
        <v>3493</v>
      </c>
      <c r="C2867" s="91" t="s">
        <v>3491</v>
      </c>
      <c r="D2867" s="91">
        <v>78</v>
      </c>
      <c r="E2867" s="91">
        <v>168</v>
      </c>
      <c r="F2867" s="91">
        <v>0</v>
      </c>
      <c r="G2867" s="126">
        <v>346.573590279972</v>
      </c>
      <c r="H2867" s="126">
        <f t="shared" si="133"/>
        <v>0.002</v>
      </c>
      <c r="I2867" s="126" t="str">
        <f t="shared" si="134"/>
        <v>0y 0d 0h 0m</v>
      </c>
    </row>
    <row r="2868" s="91" customFormat="1" spans="1:9">
      <c r="A2868" s="91" t="str">
        <f t="shared" si="132"/>
        <v>Pt-169</v>
      </c>
      <c r="B2868" s="91" t="s">
        <v>3494</v>
      </c>
      <c r="C2868" s="91" t="s">
        <v>3491</v>
      </c>
      <c r="D2868" s="91">
        <v>78</v>
      </c>
      <c r="E2868" s="91">
        <v>169</v>
      </c>
      <c r="F2868" s="91">
        <v>0</v>
      </c>
      <c r="G2868" s="126">
        <v>99.0210257942778</v>
      </c>
      <c r="H2868" s="126">
        <f t="shared" si="133"/>
        <v>0.00700000000000001</v>
      </c>
      <c r="I2868" s="126" t="str">
        <f t="shared" si="134"/>
        <v>0y 0d 0h 0m</v>
      </c>
    </row>
    <row r="2869" s="91" customFormat="1" spans="1:9">
      <c r="A2869" s="91" t="str">
        <f t="shared" si="132"/>
        <v>Pt-170</v>
      </c>
      <c r="B2869" s="91" t="s">
        <v>3495</v>
      </c>
      <c r="C2869" s="91" t="s">
        <v>3491</v>
      </c>
      <c r="D2869" s="91">
        <v>78</v>
      </c>
      <c r="E2869" s="91">
        <v>170</v>
      </c>
      <c r="F2869" s="91">
        <v>0</v>
      </c>
      <c r="G2869" s="126">
        <v>49.5105128971389</v>
      </c>
      <c r="H2869" s="126">
        <f t="shared" si="133"/>
        <v>0.014</v>
      </c>
      <c r="I2869" s="126" t="str">
        <f t="shared" si="134"/>
        <v>0y 0d 0h 0m</v>
      </c>
    </row>
    <row r="2870" s="91" customFormat="1" spans="1:9">
      <c r="A2870" s="91" t="str">
        <f t="shared" si="132"/>
        <v>Pt-171</v>
      </c>
      <c r="B2870" s="91" t="s">
        <v>3496</v>
      </c>
      <c r="C2870" s="91" t="s">
        <v>3491</v>
      </c>
      <c r="D2870" s="91">
        <v>78</v>
      </c>
      <c r="E2870" s="91">
        <v>171</v>
      </c>
      <c r="F2870" s="91">
        <v>0</v>
      </c>
      <c r="G2870" s="126">
        <v>13.5911211874499</v>
      </c>
      <c r="H2870" s="126">
        <f t="shared" si="133"/>
        <v>0.051</v>
      </c>
      <c r="I2870" s="126" t="str">
        <f t="shared" si="134"/>
        <v>0y 0d 0h 0m</v>
      </c>
    </row>
    <row r="2871" s="91" customFormat="1" spans="1:9">
      <c r="A2871" s="91" t="str">
        <f t="shared" si="132"/>
        <v>Pt-172</v>
      </c>
      <c r="B2871" s="91" t="s">
        <v>3497</v>
      </c>
      <c r="C2871" s="91" t="s">
        <v>3491</v>
      </c>
      <c r="D2871" s="91">
        <v>78</v>
      </c>
      <c r="E2871" s="91">
        <v>172</v>
      </c>
      <c r="F2871" s="91">
        <v>0</v>
      </c>
      <c r="G2871" s="126">
        <v>7.22028313083276</v>
      </c>
      <c r="H2871" s="126">
        <f t="shared" si="133"/>
        <v>0.096</v>
      </c>
      <c r="I2871" s="126" t="str">
        <f t="shared" si="134"/>
        <v>0y 0d 0h 0m</v>
      </c>
    </row>
    <row r="2872" s="91" customFormat="1" spans="1:9">
      <c r="A2872" s="91" t="str">
        <f t="shared" si="132"/>
        <v>Pt-173</v>
      </c>
      <c r="B2872" s="91" t="s">
        <v>3498</v>
      </c>
      <c r="C2872" s="91" t="s">
        <v>3491</v>
      </c>
      <c r="D2872" s="91">
        <v>78</v>
      </c>
      <c r="E2872" s="91">
        <v>173</v>
      </c>
      <c r="F2872" s="91">
        <v>0</v>
      </c>
      <c r="G2872" s="126">
        <v>1.81452141507839</v>
      </c>
      <c r="H2872" s="126">
        <f t="shared" si="133"/>
        <v>0.382</v>
      </c>
      <c r="I2872" s="126" t="str">
        <f t="shared" si="134"/>
        <v>0y 0d 0h 0m</v>
      </c>
    </row>
    <row r="2873" s="91" customFormat="1" spans="1:9">
      <c r="A2873" s="91" t="str">
        <f t="shared" si="132"/>
        <v>Pt-174</v>
      </c>
      <c r="B2873" s="91" t="s">
        <v>3499</v>
      </c>
      <c r="C2873" s="91" t="s">
        <v>3491</v>
      </c>
      <c r="D2873" s="91">
        <v>78</v>
      </c>
      <c r="E2873" s="91">
        <v>174</v>
      </c>
      <c r="F2873" s="91">
        <v>0</v>
      </c>
      <c r="G2873" s="126">
        <v>0.779693116490377</v>
      </c>
      <c r="H2873" s="126">
        <f t="shared" si="133"/>
        <v>0.889</v>
      </c>
      <c r="I2873" s="126" t="str">
        <f t="shared" si="134"/>
        <v>0y 0d 0h 0m</v>
      </c>
    </row>
    <row r="2874" s="91" customFormat="1" spans="1:9">
      <c r="A2874" s="91" t="str">
        <f t="shared" si="132"/>
        <v>Pt-175</v>
      </c>
      <c r="B2874" s="91" t="s">
        <v>3500</v>
      </c>
      <c r="C2874" s="91" t="s">
        <v>3491</v>
      </c>
      <c r="D2874" s="91">
        <v>78</v>
      </c>
      <c r="E2874" s="91">
        <v>175</v>
      </c>
      <c r="F2874" s="91">
        <v>0</v>
      </c>
      <c r="G2874" s="126">
        <v>0.273971217612626</v>
      </c>
      <c r="H2874" s="126">
        <f t="shared" si="133"/>
        <v>2.53000000000001</v>
      </c>
      <c r="I2874" s="126" t="str">
        <f t="shared" si="134"/>
        <v>0y 0d 0h 0m</v>
      </c>
    </row>
    <row r="2875" s="91" customFormat="1" spans="1:9">
      <c r="A2875" s="91" t="str">
        <f t="shared" si="132"/>
        <v>Pt-176</v>
      </c>
      <c r="B2875" s="91" t="s">
        <v>3501</v>
      </c>
      <c r="C2875" s="91" t="s">
        <v>3491</v>
      </c>
      <c r="D2875" s="91">
        <v>78</v>
      </c>
      <c r="E2875" s="91">
        <v>176</v>
      </c>
      <c r="F2875" s="91">
        <v>0</v>
      </c>
      <c r="G2875" s="126">
        <v>0.109501924259075</v>
      </c>
      <c r="H2875" s="126">
        <f t="shared" si="133"/>
        <v>6.33000000000001</v>
      </c>
      <c r="I2875" s="126" t="str">
        <f t="shared" si="134"/>
        <v>0y 0d 0h 0m</v>
      </c>
    </row>
    <row r="2876" s="91" customFormat="1" spans="1:9">
      <c r="A2876" s="91" t="str">
        <f t="shared" si="132"/>
        <v>Pt-177</v>
      </c>
      <c r="B2876" s="91" t="s">
        <v>3502</v>
      </c>
      <c r="C2876" s="91" t="s">
        <v>3491</v>
      </c>
      <c r="D2876" s="91">
        <v>78</v>
      </c>
      <c r="E2876" s="91">
        <v>177</v>
      </c>
      <c r="F2876" s="91">
        <v>0</v>
      </c>
      <c r="G2876" s="126">
        <v>0.0653912434490514</v>
      </c>
      <c r="H2876" s="126">
        <f t="shared" si="133"/>
        <v>10.6</v>
      </c>
      <c r="I2876" s="126" t="str">
        <f t="shared" si="134"/>
        <v>0y 0d 0h 0m</v>
      </c>
    </row>
    <row r="2877" s="91" customFormat="1" spans="1:9">
      <c r="A2877" s="91" t="str">
        <f t="shared" si="132"/>
        <v>Pt-178</v>
      </c>
      <c r="B2877" s="91" t="s">
        <v>3503</v>
      </c>
      <c r="C2877" s="91" t="s">
        <v>3491</v>
      </c>
      <c r="D2877" s="91">
        <v>78</v>
      </c>
      <c r="E2877" s="91">
        <v>178</v>
      </c>
      <c r="F2877" s="91">
        <v>0</v>
      </c>
      <c r="G2877" s="126">
        <v>0.0328505772777225</v>
      </c>
      <c r="H2877" s="126">
        <f t="shared" si="133"/>
        <v>21.1</v>
      </c>
      <c r="I2877" s="126" t="str">
        <f t="shared" si="134"/>
        <v>0y 0d 0h 0m</v>
      </c>
    </row>
    <row r="2878" s="91" customFormat="1" spans="1:9">
      <c r="A2878" s="91" t="str">
        <f t="shared" si="132"/>
        <v>Pt-179</v>
      </c>
      <c r="B2878" s="91" t="s">
        <v>3504</v>
      </c>
      <c r="C2878" s="91" t="s">
        <v>3491</v>
      </c>
      <c r="D2878" s="91">
        <v>78</v>
      </c>
      <c r="E2878" s="91">
        <v>179</v>
      </c>
      <c r="F2878" s="91">
        <v>0</v>
      </c>
      <c r="G2878" s="126">
        <v>0.0326956217245257</v>
      </c>
      <c r="H2878" s="126">
        <f t="shared" si="133"/>
        <v>21.2</v>
      </c>
      <c r="I2878" s="126" t="str">
        <f t="shared" si="134"/>
        <v>0y 0d 0h 0m</v>
      </c>
    </row>
    <row r="2879" s="91" customFormat="1" spans="1:9">
      <c r="A2879" s="91" t="str">
        <f t="shared" si="132"/>
        <v>Pt-180</v>
      </c>
      <c r="B2879" s="91" t="s">
        <v>3505</v>
      </c>
      <c r="C2879" s="91" t="s">
        <v>3491</v>
      </c>
      <c r="D2879" s="91">
        <v>78</v>
      </c>
      <c r="E2879" s="91">
        <v>180</v>
      </c>
      <c r="F2879" s="91">
        <v>0</v>
      </c>
      <c r="G2879" s="126">
        <v>0.0123776282242847</v>
      </c>
      <c r="H2879" s="126">
        <f t="shared" si="133"/>
        <v>56.0000000000002</v>
      </c>
      <c r="I2879" s="126" t="str">
        <f t="shared" si="134"/>
        <v>0y 0d 0h 0m</v>
      </c>
    </row>
    <row r="2880" s="91" customFormat="1" spans="1:9">
      <c r="A2880" s="91" t="str">
        <f t="shared" si="132"/>
        <v>Pt-181</v>
      </c>
      <c r="B2880" s="91" t="s">
        <v>3506</v>
      </c>
      <c r="C2880" s="91" t="s">
        <v>3491</v>
      </c>
      <c r="D2880" s="91">
        <v>78</v>
      </c>
      <c r="E2880" s="91">
        <v>181</v>
      </c>
      <c r="F2880" s="91">
        <v>0</v>
      </c>
      <c r="G2880" s="126">
        <v>0.0133297534723066</v>
      </c>
      <c r="H2880" s="126">
        <f t="shared" si="133"/>
        <v>52.0000000000002</v>
      </c>
      <c r="I2880" s="126" t="str">
        <f t="shared" si="134"/>
        <v>0y 0d 0h 0m</v>
      </c>
    </row>
    <row r="2881" s="91" customFormat="1" spans="1:9">
      <c r="A2881" s="91" t="str">
        <f t="shared" si="132"/>
        <v>Pt-182</v>
      </c>
      <c r="B2881" s="91" t="s">
        <v>3507</v>
      </c>
      <c r="C2881" s="91" t="s">
        <v>3491</v>
      </c>
      <c r="D2881" s="91">
        <v>78</v>
      </c>
      <c r="E2881" s="91">
        <v>182</v>
      </c>
      <c r="F2881" s="91">
        <v>0</v>
      </c>
      <c r="G2881" s="126">
        <v>0.00385081766977747</v>
      </c>
      <c r="H2881" s="126">
        <f t="shared" si="133"/>
        <v>180</v>
      </c>
      <c r="I2881" s="126" t="str">
        <f t="shared" si="134"/>
        <v>0y 0d 0h 3m</v>
      </c>
    </row>
    <row r="2882" s="91" customFormat="1" spans="1:9">
      <c r="A2882" s="91" t="str">
        <f t="shared" ref="A2882:A2945" si="135">C2882&amp;"-"&amp;E2882&amp;_xlfn.IFS(F2882=0,"",F2882=1,"m",F2882&gt;1,"m"&amp;F2882)</f>
        <v>Pt-183</v>
      </c>
      <c r="B2882" s="91" t="s">
        <v>3508</v>
      </c>
      <c r="C2882" s="91" t="s">
        <v>3491</v>
      </c>
      <c r="D2882" s="91">
        <v>78</v>
      </c>
      <c r="E2882" s="91">
        <v>183</v>
      </c>
      <c r="F2882" s="91">
        <v>0</v>
      </c>
      <c r="G2882" s="126">
        <v>0.00177730046297421</v>
      </c>
      <c r="H2882" s="126">
        <f t="shared" ref="H2882:H2945" si="136">IF(G2882&gt;0,LN(2)/G2882,0)</f>
        <v>390.000000000002</v>
      </c>
      <c r="I2882" s="126" t="str">
        <f t="shared" si="134"/>
        <v>0y 0d 0h 6m</v>
      </c>
    </row>
    <row r="2883" s="91" customFormat="1" spans="1:9">
      <c r="A2883" s="91" t="str">
        <f t="shared" si="135"/>
        <v>Pt-183m</v>
      </c>
      <c r="B2883" s="91" t="s">
        <v>3509</v>
      </c>
      <c r="C2883" s="91" t="s">
        <v>3491</v>
      </c>
      <c r="D2883" s="91">
        <v>78</v>
      </c>
      <c r="E2883" s="91">
        <v>183</v>
      </c>
      <c r="F2883" s="91">
        <v>1</v>
      </c>
      <c r="G2883" s="126">
        <v>0.0161197018734871</v>
      </c>
      <c r="H2883" s="126">
        <f t="shared" si="136"/>
        <v>43</v>
      </c>
      <c r="I2883" s="126" t="str">
        <f t="shared" ref="I2883:I2946" si="137">INT(H2883/31536000)&amp;"y "&amp;INT(MOD(H2883,31536000)/86400)&amp;"d "&amp;INT(MOD(MOD(H2883,31536000),86400)/3600)&amp;"h "&amp;INT(MOD(MOD(MOD(H2883,31536000),86400),3600)/60)&amp;"m"</f>
        <v>0y 0d 0h 0m</v>
      </c>
    </row>
    <row r="2884" s="91" customFormat="1" spans="1:9">
      <c r="A2884" s="91" t="str">
        <f t="shared" si="135"/>
        <v>Pt-184</v>
      </c>
      <c r="B2884" s="91" t="s">
        <v>3510</v>
      </c>
      <c r="C2884" s="91" t="s">
        <v>3491</v>
      </c>
      <c r="D2884" s="91">
        <v>78</v>
      </c>
      <c r="E2884" s="91">
        <v>184</v>
      </c>
      <c r="F2884" s="91">
        <v>0</v>
      </c>
      <c r="G2884" s="126">
        <v>0.000667771850250429</v>
      </c>
      <c r="H2884" s="126">
        <f t="shared" si="136"/>
        <v>1038</v>
      </c>
      <c r="I2884" s="126" t="str">
        <f t="shared" si="137"/>
        <v>0y 0d 0h 17m</v>
      </c>
    </row>
    <row r="2885" s="91" customFormat="1" spans="1:9">
      <c r="A2885" s="91" t="str">
        <f t="shared" si="135"/>
        <v>Pt-184m</v>
      </c>
      <c r="B2885" s="91" t="s">
        <v>3511</v>
      </c>
      <c r="C2885" s="91" t="s">
        <v>3491</v>
      </c>
      <c r="D2885" s="91">
        <v>78</v>
      </c>
      <c r="E2885" s="91">
        <v>184</v>
      </c>
      <c r="F2885" s="91">
        <v>1</v>
      </c>
      <c r="G2885" s="126">
        <v>686.284337188064</v>
      </c>
      <c r="H2885" s="126">
        <f t="shared" si="136"/>
        <v>0.00101</v>
      </c>
      <c r="I2885" s="126" t="str">
        <f t="shared" si="137"/>
        <v>0y 0d 0h 0m</v>
      </c>
    </row>
    <row r="2886" s="91" customFormat="1" spans="1:9">
      <c r="A2886" s="91" t="str">
        <f t="shared" si="135"/>
        <v>Pt-185</v>
      </c>
      <c r="B2886" s="91" t="s">
        <v>3512</v>
      </c>
      <c r="C2886" s="91" t="s">
        <v>3491</v>
      </c>
      <c r="D2886" s="91">
        <v>78</v>
      </c>
      <c r="E2886" s="91">
        <v>185</v>
      </c>
      <c r="F2886" s="91">
        <v>0</v>
      </c>
      <c r="G2886" s="126">
        <v>0.000162940098862234</v>
      </c>
      <c r="H2886" s="126">
        <f t="shared" si="136"/>
        <v>4254.00000000001</v>
      </c>
      <c r="I2886" s="126" t="str">
        <f t="shared" si="137"/>
        <v>0y 0d 1h 10m</v>
      </c>
    </row>
    <row r="2887" s="91" customFormat="1" spans="1:9">
      <c r="A2887" s="91" t="str">
        <f t="shared" si="135"/>
        <v>Pt-185m</v>
      </c>
      <c r="B2887" s="91" t="s">
        <v>3513</v>
      </c>
      <c r="C2887" s="91" t="s">
        <v>3491</v>
      </c>
      <c r="D2887" s="91">
        <v>78</v>
      </c>
      <c r="E2887" s="91">
        <v>185</v>
      </c>
      <c r="F2887" s="91">
        <v>1</v>
      </c>
      <c r="G2887" s="126">
        <v>0.000350074333616134</v>
      </c>
      <c r="H2887" s="126">
        <f t="shared" si="136"/>
        <v>1980</v>
      </c>
      <c r="I2887" s="126" t="str">
        <f t="shared" si="137"/>
        <v>0y 0d 0h 33m</v>
      </c>
    </row>
    <row r="2888" s="91" customFormat="1" spans="1:9">
      <c r="A2888" s="91" t="str">
        <f t="shared" si="135"/>
        <v>Pt-186</v>
      </c>
      <c r="B2888" s="91" t="s">
        <v>3514</v>
      </c>
      <c r="C2888" s="91" t="s">
        <v>3491</v>
      </c>
      <c r="D2888" s="91">
        <v>78</v>
      </c>
      <c r="E2888" s="91">
        <v>186</v>
      </c>
      <c r="F2888" s="91">
        <v>0</v>
      </c>
      <c r="G2888" s="126">
        <v>9.25677324465738e-5</v>
      </c>
      <c r="H2888" s="126">
        <f t="shared" si="136"/>
        <v>7488.00000000001</v>
      </c>
      <c r="I2888" s="126" t="str">
        <f t="shared" si="137"/>
        <v>0y 0d 2h 4m</v>
      </c>
    </row>
    <row r="2889" s="91" customFormat="1" spans="1:9">
      <c r="A2889" s="91" t="str">
        <f t="shared" si="135"/>
        <v>Pt-187</v>
      </c>
      <c r="B2889" s="91" t="s">
        <v>3515</v>
      </c>
      <c r="C2889" s="91" t="s">
        <v>3491</v>
      </c>
      <c r="D2889" s="91">
        <v>78</v>
      </c>
      <c r="E2889" s="91">
        <v>187</v>
      </c>
      <c r="F2889" s="91">
        <v>0</v>
      </c>
      <c r="G2889" s="126">
        <v>8.19322908463292e-5</v>
      </c>
      <c r="H2889" s="126">
        <f t="shared" si="136"/>
        <v>8460</v>
      </c>
      <c r="I2889" s="126" t="str">
        <f t="shared" si="137"/>
        <v>0y 0d 2h 21m</v>
      </c>
    </row>
    <row r="2890" s="91" customFormat="1" spans="1:9">
      <c r="A2890" s="91" t="str">
        <f t="shared" si="135"/>
        <v>Pt-188</v>
      </c>
      <c r="B2890" s="91" t="s">
        <v>3516</v>
      </c>
      <c r="C2890" s="91" t="s">
        <v>3491</v>
      </c>
      <c r="D2890" s="91">
        <v>78</v>
      </c>
      <c r="E2890" s="91">
        <v>188</v>
      </c>
      <c r="F2890" s="91">
        <v>0</v>
      </c>
      <c r="G2890" s="126">
        <v>7.86523216866314e-7</v>
      </c>
      <c r="H2890" s="126">
        <f t="shared" si="136"/>
        <v>881280</v>
      </c>
      <c r="I2890" s="126" t="str">
        <f t="shared" si="137"/>
        <v>0y 10d 4h 48m</v>
      </c>
    </row>
    <row r="2891" s="91" customFormat="1" spans="1:9">
      <c r="A2891" s="91" t="str">
        <f t="shared" si="135"/>
        <v>Pt-189</v>
      </c>
      <c r="B2891" s="91" t="s">
        <v>3517</v>
      </c>
      <c r="C2891" s="91" t="s">
        <v>3491</v>
      </c>
      <c r="D2891" s="91">
        <v>78</v>
      </c>
      <c r="E2891" s="91">
        <v>189</v>
      </c>
      <c r="F2891" s="91">
        <v>0</v>
      </c>
      <c r="G2891" s="126">
        <v>1.7713052758866e-5</v>
      </c>
      <c r="H2891" s="126">
        <f t="shared" si="136"/>
        <v>39132.0000000001</v>
      </c>
      <c r="I2891" s="126" t="str">
        <f t="shared" si="137"/>
        <v>0y 0d 10h 52m</v>
      </c>
    </row>
    <row r="2892" s="91" customFormat="1" spans="1:9">
      <c r="A2892" s="91" t="str">
        <f t="shared" si="135"/>
        <v>Pt-190</v>
      </c>
      <c r="B2892" s="91" t="s">
        <v>3518</v>
      </c>
      <c r="C2892" s="91" t="s">
        <v>3491</v>
      </c>
      <c r="D2892" s="91">
        <v>78</v>
      </c>
      <c r="E2892" s="91">
        <v>190</v>
      </c>
      <c r="F2892" s="91">
        <v>0</v>
      </c>
      <c r="G2892" s="126">
        <v>3.37916177804618e-20</v>
      </c>
      <c r="H2892" s="126">
        <f t="shared" si="136"/>
        <v>2.05124e+19</v>
      </c>
      <c r="I2892" s="126" t="str">
        <f t="shared" si="137"/>
        <v>650443937087y 282d 6h 19m</v>
      </c>
    </row>
    <row r="2893" s="91" customFormat="1" spans="1:9">
      <c r="A2893" s="91" t="str">
        <f t="shared" si="135"/>
        <v>Pt-191</v>
      </c>
      <c r="B2893" s="91" t="s">
        <v>3519</v>
      </c>
      <c r="C2893" s="91" t="s">
        <v>3491</v>
      </c>
      <c r="D2893" s="91">
        <v>78</v>
      </c>
      <c r="E2893" s="91">
        <v>191</v>
      </c>
      <c r="F2893" s="91">
        <v>0</v>
      </c>
      <c r="G2893" s="126">
        <v>2.86314661386024e-6</v>
      </c>
      <c r="H2893" s="126">
        <f t="shared" si="136"/>
        <v>242092.8</v>
      </c>
      <c r="I2893" s="126" t="str">
        <f t="shared" si="137"/>
        <v>0y 2d 19h 14m</v>
      </c>
    </row>
    <row r="2894" s="91" customFormat="1" spans="1:9">
      <c r="A2894" s="91" t="str">
        <f t="shared" si="135"/>
        <v>Pt-192</v>
      </c>
      <c r="B2894" s="91" t="s">
        <v>3520</v>
      </c>
      <c r="C2894" s="91" t="s">
        <v>3491</v>
      </c>
      <c r="D2894" s="91">
        <v>78</v>
      </c>
      <c r="E2894" s="91">
        <v>192</v>
      </c>
      <c r="F2894" s="91">
        <v>0</v>
      </c>
      <c r="G2894" s="126">
        <v>0</v>
      </c>
      <c r="H2894" s="126">
        <f t="shared" si="136"/>
        <v>0</v>
      </c>
      <c r="I2894" s="126" t="str">
        <f t="shared" si="137"/>
        <v>0y 0d 0h 0m</v>
      </c>
    </row>
    <row r="2895" s="91" customFormat="1" spans="1:9">
      <c r="A2895" s="91" t="str">
        <f t="shared" si="135"/>
        <v>Pt-193</v>
      </c>
      <c r="B2895" s="91" t="s">
        <v>3521</v>
      </c>
      <c r="C2895" s="91" t="s">
        <v>3491</v>
      </c>
      <c r="D2895" s="91">
        <v>78</v>
      </c>
      <c r="E2895" s="91">
        <v>193</v>
      </c>
      <c r="F2895" s="91">
        <v>0</v>
      </c>
      <c r="G2895" s="126">
        <v>4.39290174512602e-10</v>
      </c>
      <c r="H2895" s="126">
        <f t="shared" si="136"/>
        <v>1577880000</v>
      </c>
      <c r="I2895" s="126" t="str">
        <f t="shared" si="137"/>
        <v>50y 12d 12h 0m</v>
      </c>
    </row>
    <row r="2896" s="91" customFormat="1" spans="1:9">
      <c r="A2896" s="91" t="str">
        <f t="shared" si="135"/>
        <v>Pt-193m</v>
      </c>
      <c r="B2896" s="91" t="s">
        <v>3522</v>
      </c>
      <c r="C2896" s="91" t="s">
        <v>3491</v>
      </c>
      <c r="D2896" s="91">
        <v>78</v>
      </c>
      <c r="E2896" s="91">
        <v>193</v>
      </c>
      <c r="F2896" s="91">
        <v>1</v>
      </c>
      <c r="G2896" s="126">
        <v>1.85277986421164e-6</v>
      </c>
      <c r="H2896" s="126">
        <f t="shared" si="136"/>
        <v>374112</v>
      </c>
      <c r="I2896" s="126" t="str">
        <f t="shared" si="137"/>
        <v>0y 4d 7h 55m</v>
      </c>
    </row>
    <row r="2897" s="91" customFormat="1" spans="1:9">
      <c r="A2897" s="91" t="str">
        <f t="shared" si="135"/>
        <v>Pt-194</v>
      </c>
      <c r="B2897" s="91" t="s">
        <v>3523</v>
      </c>
      <c r="C2897" s="91" t="s">
        <v>3491</v>
      </c>
      <c r="D2897" s="91">
        <v>78</v>
      </c>
      <c r="E2897" s="91">
        <v>194</v>
      </c>
      <c r="F2897" s="91">
        <v>0</v>
      </c>
      <c r="G2897" s="126">
        <v>0</v>
      </c>
      <c r="H2897" s="126">
        <f t="shared" si="136"/>
        <v>0</v>
      </c>
      <c r="I2897" s="126" t="str">
        <f t="shared" si="137"/>
        <v>0y 0d 0h 0m</v>
      </c>
    </row>
    <row r="2898" s="91" customFormat="1" spans="1:9">
      <c r="A2898" s="91" t="str">
        <f t="shared" si="135"/>
        <v>Pt-195</v>
      </c>
      <c r="B2898" s="91" t="s">
        <v>3524</v>
      </c>
      <c r="C2898" s="91" t="s">
        <v>3491</v>
      </c>
      <c r="D2898" s="91">
        <v>78</v>
      </c>
      <c r="E2898" s="91">
        <v>195</v>
      </c>
      <c r="F2898" s="91">
        <v>0</v>
      </c>
      <c r="G2898" s="126">
        <v>0</v>
      </c>
      <c r="H2898" s="126">
        <f t="shared" si="136"/>
        <v>0</v>
      </c>
      <c r="I2898" s="126" t="str">
        <f t="shared" si="137"/>
        <v>0y 0d 0h 0m</v>
      </c>
    </row>
    <row r="2899" s="91" customFormat="1" spans="1:9">
      <c r="A2899" s="91" t="str">
        <f t="shared" si="135"/>
        <v>Pt-195m</v>
      </c>
      <c r="B2899" s="91" t="s">
        <v>3525</v>
      </c>
      <c r="C2899" s="91" t="s">
        <v>3491</v>
      </c>
      <c r="D2899" s="91">
        <v>78</v>
      </c>
      <c r="E2899" s="91">
        <v>195</v>
      </c>
      <c r="F2899" s="91">
        <v>1</v>
      </c>
      <c r="G2899" s="126">
        <v>2.00063262145546e-6</v>
      </c>
      <c r="H2899" s="126">
        <f t="shared" si="136"/>
        <v>346464</v>
      </c>
      <c r="I2899" s="126" t="str">
        <f t="shared" si="137"/>
        <v>0y 4d 0h 14m</v>
      </c>
    </row>
    <row r="2900" s="91" customFormat="1" spans="1:9">
      <c r="A2900" s="91" t="str">
        <f t="shared" si="135"/>
        <v>Pt-196</v>
      </c>
      <c r="B2900" s="91" t="s">
        <v>3526</v>
      </c>
      <c r="C2900" s="91" t="s">
        <v>3491</v>
      </c>
      <c r="D2900" s="91">
        <v>78</v>
      </c>
      <c r="E2900" s="91">
        <v>196</v>
      </c>
      <c r="F2900" s="91">
        <v>0</v>
      </c>
      <c r="G2900" s="126">
        <v>0</v>
      </c>
      <c r="H2900" s="126">
        <f t="shared" si="136"/>
        <v>0</v>
      </c>
      <c r="I2900" s="126" t="str">
        <f t="shared" si="137"/>
        <v>0y 0d 0h 0m</v>
      </c>
    </row>
    <row r="2901" s="91" customFormat="1" spans="1:9">
      <c r="A2901" s="91" t="str">
        <f t="shared" si="135"/>
        <v>Pt-197</v>
      </c>
      <c r="B2901" s="91" t="s">
        <v>3527</v>
      </c>
      <c r="C2901" s="91" t="s">
        <v>3491</v>
      </c>
      <c r="D2901" s="91">
        <v>78</v>
      </c>
      <c r="E2901" s="91">
        <v>197</v>
      </c>
      <c r="F2901" s="91">
        <v>0</v>
      </c>
      <c r="G2901" s="126">
        <v>9.67955576446591e-6</v>
      </c>
      <c r="H2901" s="126">
        <f t="shared" si="136"/>
        <v>71609.4</v>
      </c>
      <c r="I2901" s="126" t="str">
        <f t="shared" si="137"/>
        <v>0y 0d 19h 53m</v>
      </c>
    </row>
    <row r="2902" s="91" customFormat="1" spans="1:9">
      <c r="A2902" s="91" t="str">
        <f t="shared" si="135"/>
        <v>Pt-197m</v>
      </c>
      <c r="B2902" s="91" t="s">
        <v>3528</v>
      </c>
      <c r="C2902" s="91" t="s">
        <v>3491</v>
      </c>
      <c r="D2902" s="91">
        <v>78</v>
      </c>
      <c r="E2902" s="91">
        <v>197</v>
      </c>
      <c r="F2902" s="91">
        <v>1</v>
      </c>
      <c r="G2902" s="126">
        <v>0.000121082203221176</v>
      </c>
      <c r="H2902" s="126">
        <f t="shared" si="136"/>
        <v>5724.60000000001</v>
      </c>
      <c r="I2902" s="126" t="str">
        <f t="shared" si="137"/>
        <v>0y 0d 1h 35m</v>
      </c>
    </row>
    <row r="2903" s="91" customFormat="1" spans="1:9">
      <c r="A2903" s="91" t="str">
        <f t="shared" si="135"/>
        <v>Pt-198</v>
      </c>
      <c r="B2903" s="91" t="s">
        <v>3529</v>
      </c>
      <c r="C2903" s="91" t="s">
        <v>3491</v>
      </c>
      <c r="D2903" s="91">
        <v>78</v>
      </c>
      <c r="E2903" s="91">
        <v>198</v>
      </c>
      <c r="F2903" s="91">
        <v>0</v>
      </c>
      <c r="G2903" s="126">
        <v>0</v>
      </c>
      <c r="H2903" s="126">
        <f t="shared" si="136"/>
        <v>0</v>
      </c>
      <c r="I2903" s="126" t="str">
        <f t="shared" si="137"/>
        <v>0y 0d 0h 0m</v>
      </c>
    </row>
    <row r="2904" s="91" customFormat="1" spans="1:9">
      <c r="A2904" s="91" t="str">
        <f t="shared" si="135"/>
        <v>Pt-199</v>
      </c>
      <c r="B2904" s="91" t="s">
        <v>3530</v>
      </c>
      <c r="C2904" s="91" t="s">
        <v>3491</v>
      </c>
      <c r="D2904" s="91">
        <v>78</v>
      </c>
      <c r="E2904" s="91">
        <v>199</v>
      </c>
      <c r="F2904" s="91">
        <v>0</v>
      </c>
      <c r="G2904" s="126">
        <v>0.000375079643160143</v>
      </c>
      <c r="H2904" s="126">
        <f t="shared" si="136"/>
        <v>1848</v>
      </c>
      <c r="I2904" s="126" t="str">
        <f t="shared" si="137"/>
        <v>0y 0d 0h 30m</v>
      </c>
    </row>
    <row r="2905" s="91" customFormat="1" spans="1:9">
      <c r="A2905" s="91" t="str">
        <f t="shared" si="135"/>
        <v>Pt-199m</v>
      </c>
      <c r="B2905" s="91" t="s">
        <v>3531</v>
      </c>
      <c r="C2905" s="91" t="s">
        <v>3491</v>
      </c>
      <c r="D2905" s="91">
        <v>78</v>
      </c>
      <c r="E2905" s="91">
        <v>199</v>
      </c>
      <c r="F2905" s="91">
        <v>1</v>
      </c>
      <c r="G2905" s="126">
        <v>0.0509667044529371</v>
      </c>
      <c r="H2905" s="126">
        <f t="shared" si="136"/>
        <v>13.6</v>
      </c>
      <c r="I2905" s="126" t="str">
        <f t="shared" si="137"/>
        <v>0y 0d 0h 0m</v>
      </c>
    </row>
    <row r="2906" s="91" customFormat="1" spans="1:9">
      <c r="A2906" s="91" t="str">
        <f t="shared" si="135"/>
        <v>Pt-200</v>
      </c>
      <c r="B2906" s="91" t="s">
        <v>3532</v>
      </c>
      <c r="C2906" s="91" t="s">
        <v>3491</v>
      </c>
      <c r="D2906" s="91">
        <v>78</v>
      </c>
      <c r="E2906" s="91">
        <v>200</v>
      </c>
      <c r="F2906" s="91">
        <v>0</v>
      </c>
      <c r="G2906" s="126">
        <v>1.52810224991169e-5</v>
      </c>
      <c r="H2906" s="126">
        <f t="shared" si="136"/>
        <v>45360.0000000002</v>
      </c>
      <c r="I2906" s="126" t="str">
        <f t="shared" si="137"/>
        <v>0y 0d 12h 36m</v>
      </c>
    </row>
    <row r="2907" s="91" customFormat="1" spans="1:9">
      <c r="A2907" s="91" t="str">
        <f t="shared" si="135"/>
        <v>Pt-201</v>
      </c>
      <c r="B2907" s="91" t="s">
        <v>3533</v>
      </c>
      <c r="C2907" s="91" t="s">
        <v>3491</v>
      </c>
      <c r="D2907" s="91">
        <v>78</v>
      </c>
      <c r="E2907" s="91">
        <v>201</v>
      </c>
      <c r="F2907" s="91">
        <v>0</v>
      </c>
      <c r="G2907" s="126">
        <v>0.00462098120373296</v>
      </c>
      <c r="H2907" s="126">
        <f t="shared" si="136"/>
        <v>150</v>
      </c>
      <c r="I2907" s="126" t="str">
        <f t="shared" si="137"/>
        <v>0y 0d 0h 2m</v>
      </c>
    </row>
    <row r="2908" s="91" customFormat="1" spans="1:9">
      <c r="A2908" s="91" t="str">
        <f t="shared" si="135"/>
        <v>Pt-202</v>
      </c>
      <c r="B2908" s="91" t="s">
        <v>3534</v>
      </c>
      <c r="C2908" s="91" t="s">
        <v>3491</v>
      </c>
      <c r="D2908" s="91">
        <v>78</v>
      </c>
      <c r="E2908" s="91">
        <v>202</v>
      </c>
      <c r="F2908" s="91">
        <v>0</v>
      </c>
      <c r="G2908" s="126">
        <v>4.37592917020167e-6</v>
      </c>
      <c r="H2908" s="126">
        <f t="shared" si="136"/>
        <v>158400</v>
      </c>
      <c r="I2908" s="126" t="str">
        <f t="shared" si="137"/>
        <v>0y 1d 20h 0m</v>
      </c>
    </row>
    <row r="2909" s="91" customFormat="1" spans="1:9">
      <c r="A2909" s="91" t="str">
        <f t="shared" si="135"/>
        <v>Au-169</v>
      </c>
      <c r="B2909" s="91" t="s">
        <v>3535</v>
      </c>
      <c r="C2909" s="91" t="s">
        <v>3536</v>
      </c>
      <c r="D2909" s="91">
        <v>79</v>
      </c>
      <c r="E2909" s="91">
        <v>169</v>
      </c>
      <c r="F2909" s="91">
        <v>0</v>
      </c>
      <c r="G2909" s="126">
        <v>4620.98120373296</v>
      </c>
      <c r="H2909" s="126">
        <f t="shared" si="136"/>
        <v>0.00015</v>
      </c>
      <c r="I2909" s="126" t="str">
        <f t="shared" si="137"/>
        <v>0y 0d 0h 0m</v>
      </c>
    </row>
    <row r="2910" s="91" customFormat="1" spans="1:9">
      <c r="A2910" s="91" t="str">
        <f t="shared" si="135"/>
        <v>Au-170</v>
      </c>
      <c r="B2910" s="91" t="s">
        <v>3537</v>
      </c>
      <c r="C2910" s="91" t="s">
        <v>3536</v>
      </c>
      <c r="D2910" s="91">
        <v>79</v>
      </c>
      <c r="E2910" s="91">
        <v>170</v>
      </c>
      <c r="F2910" s="91">
        <v>0</v>
      </c>
      <c r="G2910" s="126">
        <v>2381.94907408915</v>
      </c>
      <c r="H2910" s="126">
        <f t="shared" si="136"/>
        <v>0.000291000000000001</v>
      </c>
      <c r="I2910" s="126" t="str">
        <f t="shared" si="137"/>
        <v>0y 0d 0h 0m</v>
      </c>
    </row>
    <row r="2911" s="91" customFormat="1" spans="1:9">
      <c r="A2911" s="91" t="str">
        <f t="shared" si="135"/>
        <v>Au-170m</v>
      </c>
      <c r="B2911" s="91" t="s">
        <v>3538</v>
      </c>
      <c r="C2911" s="91" t="s">
        <v>3536</v>
      </c>
      <c r="D2911" s="91">
        <v>79</v>
      </c>
      <c r="E2911" s="91">
        <v>170</v>
      </c>
      <c r="F2911" s="91">
        <v>1</v>
      </c>
      <c r="G2911" s="126">
        <v>1117.97932348378</v>
      </c>
      <c r="H2911" s="126">
        <f t="shared" si="136"/>
        <v>0.000620000000000002</v>
      </c>
      <c r="I2911" s="126" t="str">
        <f t="shared" si="137"/>
        <v>0y 0d 0h 0m</v>
      </c>
    </row>
    <row r="2912" s="91" customFormat="1" spans="1:9">
      <c r="A2912" s="91" t="str">
        <f t="shared" si="135"/>
        <v>Au-171</v>
      </c>
      <c r="B2912" s="91" t="s">
        <v>3539</v>
      </c>
      <c r="C2912" s="91" t="s">
        <v>3536</v>
      </c>
      <c r="D2912" s="91">
        <v>79</v>
      </c>
      <c r="E2912" s="91">
        <v>171</v>
      </c>
      <c r="F2912" s="91">
        <v>0</v>
      </c>
      <c r="G2912" s="126">
        <v>36481.4305557865</v>
      </c>
      <c r="H2912" s="126">
        <f t="shared" si="136"/>
        <v>1.9e-5</v>
      </c>
      <c r="I2912" s="126" t="str">
        <f t="shared" si="137"/>
        <v>0y 0d 0h 0m</v>
      </c>
    </row>
    <row r="2913" s="91" customFormat="1" spans="1:9">
      <c r="A2913" s="91" t="str">
        <f t="shared" si="135"/>
        <v>Au-171m</v>
      </c>
      <c r="B2913" s="91" t="s">
        <v>3540</v>
      </c>
      <c r="C2913" s="91" t="s">
        <v>3536</v>
      </c>
      <c r="D2913" s="91">
        <v>79</v>
      </c>
      <c r="E2913" s="91">
        <v>171</v>
      </c>
      <c r="F2913" s="91">
        <v>1</v>
      </c>
      <c r="G2913" s="126">
        <v>679.556059372495</v>
      </c>
      <c r="H2913" s="126">
        <f t="shared" si="136"/>
        <v>0.00102</v>
      </c>
      <c r="I2913" s="126" t="str">
        <f t="shared" si="137"/>
        <v>0y 0d 0h 0m</v>
      </c>
    </row>
    <row r="2914" s="91" customFormat="1" spans="1:9">
      <c r="A2914" s="91" t="str">
        <f t="shared" si="135"/>
        <v>Au-172</v>
      </c>
      <c r="B2914" s="91" t="s">
        <v>3541</v>
      </c>
      <c r="C2914" s="91" t="s">
        <v>3536</v>
      </c>
      <c r="D2914" s="91">
        <v>79</v>
      </c>
      <c r="E2914" s="91">
        <v>172</v>
      </c>
      <c r="F2914" s="91">
        <v>0</v>
      </c>
      <c r="G2914" s="126">
        <v>147.478123523392</v>
      </c>
      <c r="H2914" s="126">
        <f t="shared" si="136"/>
        <v>0.00470000000000002</v>
      </c>
      <c r="I2914" s="126" t="str">
        <f t="shared" si="137"/>
        <v>0y 0d 0h 0m</v>
      </c>
    </row>
    <row r="2915" s="91" customFormat="1" spans="1:9">
      <c r="A2915" s="91" t="str">
        <f t="shared" si="135"/>
        <v>Au-173</v>
      </c>
      <c r="B2915" s="91" t="s">
        <v>3542</v>
      </c>
      <c r="C2915" s="91" t="s">
        <v>3536</v>
      </c>
      <c r="D2915" s="91">
        <v>79</v>
      </c>
      <c r="E2915" s="91">
        <v>173</v>
      </c>
      <c r="F2915" s="91">
        <v>0</v>
      </c>
      <c r="G2915" s="126">
        <v>27.7258872223978</v>
      </c>
      <c r="H2915" s="126">
        <f t="shared" si="136"/>
        <v>0.025</v>
      </c>
      <c r="I2915" s="126" t="str">
        <f t="shared" si="137"/>
        <v>0y 0d 0h 0m</v>
      </c>
    </row>
    <row r="2916" s="91" customFormat="1" spans="1:9">
      <c r="A2916" s="91" t="str">
        <f t="shared" si="135"/>
        <v>Au-173m</v>
      </c>
      <c r="B2916" s="91" t="s">
        <v>3543</v>
      </c>
      <c r="C2916" s="91" t="s">
        <v>3536</v>
      </c>
      <c r="D2916" s="91">
        <v>79</v>
      </c>
      <c r="E2916" s="91">
        <v>173</v>
      </c>
      <c r="F2916" s="91">
        <v>1</v>
      </c>
      <c r="G2916" s="126">
        <v>49.5105128971389</v>
      </c>
      <c r="H2916" s="126">
        <f t="shared" si="136"/>
        <v>0.014</v>
      </c>
      <c r="I2916" s="126" t="str">
        <f t="shared" si="137"/>
        <v>0y 0d 0h 0m</v>
      </c>
    </row>
    <row r="2917" s="91" customFormat="1" spans="1:9">
      <c r="A2917" s="91" t="str">
        <f t="shared" si="135"/>
        <v>Au-174</v>
      </c>
      <c r="B2917" s="91" t="s">
        <v>3544</v>
      </c>
      <c r="C2917" s="91" t="s">
        <v>3536</v>
      </c>
      <c r="D2917" s="91">
        <v>79</v>
      </c>
      <c r="E2917" s="91">
        <v>174</v>
      </c>
      <c r="F2917" s="91">
        <v>0</v>
      </c>
      <c r="G2917" s="126">
        <v>4.98667036374061</v>
      </c>
      <c r="H2917" s="126">
        <f t="shared" si="136"/>
        <v>0.139</v>
      </c>
      <c r="I2917" s="126" t="str">
        <f t="shared" si="137"/>
        <v>0y 0d 0h 0m</v>
      </c>
    </row>
    <row r="2918" s="91" customFormat="1" spans="1:9">
      <c r="A2918" s="91" t="str">
        <f t="shared" si="135"/>
        <v>Au-174m</v>
      </c>
      <c r="B2918" s="91" t="s">
        <v>3545</v>
      </c>
      <c r="C2918" s="91" t="s">
        <v>3536</v>
      </c>
      <c r="D2918" s="91">
        <v>79</v>
      </c>
      <c r="E2918" s="91">
        <v>174</v>
      </c>
      <c r="F2918" s="91">
        <v>1</v>
      </c>
      <c r="G2918" s="126">
        <v>4.25504714892538</v>
      </c>
      <c r="H2918" s="126">
        <f t="shared" si="136"/>
        <v>0.1629</v>
      </c>
      <c r="I2918" s="126" t="str">
        <f t="shared" si="137"/>
        <v>0y 0d 0h 0m</v>
      </c>
    </row>
    <row r="2919" s="91" customFormat="1" spans="1:9">
      <c r="A2919" s="91" t="str">
        <f t="shared" si="135"/>
        <v>Au-175</v>
      </c>
      <c r="B2919" s="91" t="s">
        <v>3546</v>
      </c>
      <c r="C2919" s="91" t="s">
        <v>3536</v>
      </c>
      <c r="D2919" s="91">
        <v>79</v>
      </c>
      <c r="E2919" s="91">
        <v>175</v>
      </c>
      <c r="F2919" s="91">
        <v>0</v>
      </c>
      <c r="G2919" s="126">
        <v>6.93147180559945</v>
      </c>
      <c r="H2919" s="126">
        <f t="shared" si="136"/>
        <v>0.1</v>
      </c>
      <c r="I2919" s="126" t="str">
        <f t="shared" si="137"/>
        <v>0y 0d 0h 0m</v>
      </c>
    </row>
    <row r="2920" s="91" customFormat="1" spans="1:9">
      <c r="A2920" s="91" t="str">
        <f t="shared" si="135"/>
        <v>Au-175m</v>
      </c>
      <c r="B2920" s="91" t="s">
        <v>3547</v>
      </c>
      <c r="C2920" s="91" t="s">
        <v>3536</v>
      </c>
      <c r="D2920" s="91">
        <v>79</v>
      </c>
      <c r="E2920" s="91">
        <v>175</v>
      </c>
      <c r="F2920" s="91">
        <v>1</v>
      </c>
      <c r="G2920" s="126">
        <v>4.44325115743554</v>
      </c>
      <c r="H2920" s="126">
        <f t="shared" si="136"/>
        <v>0.156</v>
      </c>
      <c r="I2920" s="126" t="str">
        <f t="shared" si="137"/>
        <v>0y 0d 0h 0m</v>
      </c>
    </row>
    <row r="2921" s="91" customFormat="1" spans="1:9">
      <c r="A2921" s="91" t="str">
        <f t="shared" si="135"/>
        <v>Au-176</v>
      </c>
      <c r="B2921" s="91" t="s">
        <v>3548</v>
      </c>
      <c r="C2921" s="91" t="s">
        <v>3536</v>
      </c>
      <c r="D2921" s="91">
        <v>79</v>
      </c>
      <c r="E2921" s="91">
        <v>176</v>
      </c>
      <c r="F2921" s="91">
        <v>0</v>
      </c>
      <c r="G2921" s="126">
        <v>0.660140171961852</v>
      </c>
      <c r="H2921" s="126">
        <f t="shared" si="136"/>
        <v>1.05</v>
      </c>
      <c r="I2921" s="126" t="str">
        <f t="shared" si="137"/>
        <v>0y 0d 0h 0m</v>
      </c>
    </row>
    <row r="2922" s="91" customFormat="1" spans="1:9">
      <c r="A2922" s="91" t="str">
        <f t="shared" si="135"/>
        <v>Au-176m</v>
      </c>
      <c r="B2922" s="91" t="s">
        <v>3549</v>
      </c>
      <c r="C2922" s="91" t="s">
        <v>3536</v>
      </c>
      <c r="D2922" s="91">
        <v>79</v>
      </c>
      <c r="E2922" s="91">
        <v>176</v>
      </c>
      <c r="F2922" s="91">
        <v>1</v>
      </c>
      <c r="G2922" s="126">
        <v>0.509667044529371</v>
      </c>
      <c r="H2922" s="126">
        <f t="shared" si="136"/>
        <v>1.36</v>
      </c>
      <c r="I2922" s="126" t="str">
        <f t="shared" si="137"/>
        <v>0y 0d 0h 0m</v>
      </c>
    </row>
    <row r="2923" s="91" customFormat="1" spans="1:9">
      <c r="A2923" s="91" t="str">
        <f t="shared" si="135"/>
        <v>Au-177</v>
      </c>
      <c r="B2923" s="91" t="s">
        <v>3550</v>
      </c>
      <c r="C2923" s="91" t="s">
        <v>3536</v>
      </c>
      <c r="D2923" s="91">
        <v>79</v>
      </c>
      <c r="E2923" s="91">
        <v>177</v>
      </c>
      <c r="F2923" s="91">
        <v>0</v>
      </c>
      <c r="G2923" s="126">
        <v>0.474108878631973</v>
      </c>
      <c r="H2923" s="126">
        <f t="shared" si="136"/>
        <v>1.462</v>
      </c>
      <c r="I2923" s="126" t="str">
        <f t="shared" si="137"/>
        <v>0y 0d 0h 0m</v>
      </c>
    </row>
    <row r="2924" s="91" customFormat="1" spans="1:9">
      <c r="A2924" s="91" t="str">
        <f t="shared" si="135"/>
        <v>Au-177m</v>
      </c>
      <c r="B2924" s="91" t="s">
        <v>3551</v>
      </c>
      <c r="C2924" s="91" t="s">
        <v>3536</v>
      </c>
      <c r="D2924" s="91">
        <v>79</v>
      </c>
      <c r="E2924" s="91">
        <v>177</v>
      </c>
      <c r="F2924" s="91">
        <v>1</v>
      </c>
      <c r="G2924" s="126">
        <v>0.587412864881309</v>
      </c>
      <c r="H2924" s="126">
        <f t="shared" si="136"/>
        <v>1.18</v>
      </c>
      <c r="I2924" s="126" t="str">
        <f t="shared" si="137"/>
        <v>0y 0d 0h 0m</v>
      </c>
    </row>
    <row r="2925" s="91" customFormat="1" spans="1:9">
      <c r="A2925" s="91" t="str">
        <f t="shared" si="135"/>
        <v>Au-178</v>
      </c>
      <c r="B2925" s="91" t="s">
        <v>3552</v>
      </c>
      <c r="C2925" s="91" t="s">
        <v>3536</v>
      </c>
      <c r="D2925" s="91">
        <v>79</v>
      </c>
      <c r="E2925" s="91">
        <v>178</v>
      </c>
      <c r="F2925" s="91">
        <v>0</v>
      </c>
      <c r="G2925" s="126">
        <v>0.266595069446132</v>
      </c>
      <c r="H2925" s="126">
        <f t="shared" si="136"/>
        <v>2.60000000000001</v>
      </c>
      <c r="I2925" s="126" t="str">
        <f t="shared" si="137"/>
        <v>0y 0d 0h 0m</v>
      </c>
    </row>
    <row r="2926" s="91" customFormat="1" spans="1:9">
      <c r="A2926" s="91" t="str">
        <f t="shared" si="135"/>
        <v>Au-179</v>
      </c>
      <c r="B2926" s="91" t="s">
        <v>3553</v>
      </c>
      <c r="C2926" s="91" t="s">
        <v>3536</v>
      </c>
      <c r="D2926" s="91">
        <v>79</v>
      </c>
      <c r="E2926" s="91">
        <v>179</v>
      </c>
      <c r="F2926" s="91">
        <v>0</v>
      </c>
      <c r="G2926" s="126">
        <v>0.21004460016968</v>
      </c>
      <c r="H2926" s="126">
        <f t="shared" si="136"/>
        <v>3.30000000000001</v>
      </c>
      <c r="I2926" s="126" t="str">
        <f t="shared" si="137"/>
        <v>0y 0d 0h 0m</v>
      </c>
    </row>
    <row r="2927" s="91" customFormat="1" spans="1:9">
      <c r="A2927" s="91" t="str">
        <f t="shared" si="135"/>
        <v>Au-180</v>
      </c>
      <c r="B2927" s="91" t="s">
        <v>3554</v>
      </c>
      <c r="C2927" s="91" t="s">
        <v>3536</v>
      </c>
      <c r="D2927" s="91">
        <v>79</v>
      </c>
      <c r="E2927" s="91">
        <v>180</v>
      </c>
      <c r="F2927" s="91">
        <v>0</v>
      </c>
      <c r="G2927" s="126">
        <v>0.0855737259950549</v>
      </c>
      <c r="H2927" s="126">
        <f t="shared" si="136"/>
        <v>8.10000000000001</v>
      </c>
      <c r="I2927" s="126" t="str">
        <f t="shared" si="137"/>
        <v>0y 0d 0h 0m</v>
      </c>
    </row>
    <row r="2928" s="91" customFormat="1" spans="1:9">
      <c r="A2928" s="91" t="str">
        <f t="shared" si="135"/>
        <v>Au-181</v>
      </c>
      <c r="B2928" s="91" t="s">
        <v>3555</v>
      </c>
      <c r="C2928" s="91" t="s">
        <v>3536</v>
      </c>
      <c r="D2928" s="91">
        <v>79</v>
      </c>
      <c r="E2928" s="91">
        <v>181</v>
      </c>
      <c r="F2928" s="91">
        <v>0</v>
      </c>
      <c r="G2928" s="126">
        <v>0.0505946847124047</v>
      </c>
      <c r="H2928" s="126">
        <f t="shared" si="136"/>
        <v>13.7</v>
      </c>
      <c r="I2928" s="126" t="str">
        <f t="shared" si="137"/>
        <v>0y 0d 0h 0m</v>
      </c>
    </row>
    <row r="2929" s="91" customFormat="1" spans="1:9">
      <c r="A2929" s="91" t="str">
        <f t="shared" si="135"/>
        <v>Au-182</v>
      </c>
      <c r="B2929" s="91" t="s">
        <v>3556</v>
      </c>
      <c r="C2929" s="91" t="s">
        <v>3536</v>
      </c>
      <c r="D2929" s="91">
        <v>79</v>
      </c>
      <c r="E2929" s="91">
        <v>182</v>
      </c>
      <c r="F2929" s="91">
        <v>0</v>
      </c>
      <c r="G2929" s="126">
        <v>0.0444325115743554</v>
      </c>
      <c r="H2929" s="126">
        <f t="shared" si="136"/>
        <v>15.6</v>
      </c>
      <c r="I2929" s="126" t="str">
        <f t="shared" si="137"/>
        <v>0y 0d 0h 0m</v>
      </c>
    </row>
    <row r="2930" s="91" customFormat="1" spans="1:9">
      <c r="A2930" s="91" t="str">
        <f t="shared" si="135"/>
        <v>Au-183</v>
      </c>
      <c r="B2930" s="91" t="s">
        <v>3557</v>
      </c>
      <c r="C2930" s="91" t="s">
        <v>3536</v>
      </c>
      <c r="D2930" s="91">
        <v>79</v>
      </c>
      <c r="E2930" s="91">
        <v>183</v>
      </c>
      <c r="F2930" s="91">
        <v>0</v>
      </c>
      <c r="G2930" s="126">
        <v>0.0161950275831762</v>
      </c>
      <c r="H2930" s="126">
        <f t="shared" si="136"/>
        <v>42.8000000000002</v>
      </c>
      <c r="I2930" s="126" t="str">
        <f t="shared" si="137"/>
        <v>0y 0d 0h 0m</v>
      </c>
    </row>
    <row r="2931" s="91" customFormat="1" spans="1:9">
      <c r="A2931" s="91" t="str">
        <f t="shared" si="135"/>
        <v>Au-184</v>
      </c>
      <c r="B2931" s="91" t="s">
        <v>3558</v>
      </c>
      <c r="C2931" s="91" t="s">
        <v>3536</v>
      </c>
      <c r="D2931" s="91">
        <v>79</v>
      </c>
      <c r="E2931" s="91">
        <v>184</v>
      </c>
      <c r="F2931" s="91">
        <v>0</v>
      </c>
      <c r="G2931" s="126">
        <v>0.0336479213864051</v>
      </c>
      <c r="H2931" s="126">
        <f t="shared" si="136"/>
        <v>20.6</v>
      </c>
      <c r="I2931" s="126" t="str">
        <f t="shared" si="137"/>
        <v>0y 0d 0h 0m</v>
      </c>
    </row>
    <row r="2932" s="91" customFormat="1" spans="1:9">
      <c r="A2932" s="91" t="str">
        <f t="shared" si="135"/>
        <v>Au-184m</v>
      </c>
      <c r="B2932" s="91" t="s">
        <v>3559</v>
      </c>
      <c r="C2932" s="91" t="s">
        <v>3536</v>
      </c>
      <c r="D2932" s="91">
        <v>79</v>
      </c>
      <c r="E2932" s="91">
        <v>184</v>
      </c>
      <c r="F2932" s="91">
        <v>1</v>
      </c>
      <c r="G2932" s="126">
        <v>0.014561915557982</v>
      </c>
      <c r="H2932" s="126">
        <f t="shared" si="136"/>
        <v>47.6000000000001</v>
      </c>
      <c r="I2932" s="126" t="str">
        <f t="shared" si="137"/>
        <v>0y 0d 0h 0m</v>
      </c>
    </row>
    <row r="2933" s="91" customFormat="1" spans="1:9">
      <c r="A2933" s="91" t="str">
        <f t="shared" si="135"/>
        <v>Au-185</v>
      </c>
      <c r="B2933" s="91" t="s">
        <v>3560</v>
      </c>
      <c r="C2933" s="91" t="s">
        <v>3536</v>
      </c>
      <c r="D2933" s="91">
        <v>79</v>
      </c>
      <c r="E2933" s="91">
        <v>185</v>
      </c>
      <c r="F2933" s="91">
        <v>0</v>
      </c>
      <c r="G2933" s="126">
        <v>0.00271822423748998</v>
      </c>
      <c r="H2933" s="126">
        <f t="shared" si="136"/>
        <v>255</v>
      </c>
      <c r="I2933" s="126" t="str">
        <f t="shared" si="137"/>
        <v>0y 0d 0h 4m</v>
      </c>
    </row>
    <row r="2934" s="91" customFormat="1" spans="1:9">
      <c r="A2934" s="91" t="str">
        <f t="shared" si="135"/>
        <v>Au-186</v>
      </c>
      <c r="B2934" s="91" t="s">
        <v>3561</v>
      </c>
      <c r="C2934" s="91" t="s">
        <v>3536</v>
      </c>
      <c r="D2934" s="91">
        <v>79</v>
      </c>
      <c r="E2934" s="91">
        <v>186</v>
      </c>
      <c r="F2934" s="91">
        <v>0</v>
      </c>
      <c r="G2934" s="126">
        <v>0.00107966850554508</v>
      </c>
      <c r="H2934" s="126">
        <f t="shared" si="136"/>
        <v>642.000000000004</v>
      </c>
      <c r="I2934" s="126" t="str">
        <f t="shared" si="137"/>
        <v>0y 0d 0h 10m</v>
      </c>
    </row>
    <row r="2935" s="91" customFormat="1" spans="1:9">
      <c r="A2935" s="91" t="str">
        <f t="shared" si="135"/>
        <v>Au-187</v>
      </c>
      <c r="B2935" s="91" t="s">
        <v>3562</v>
      </c>
      <c r="C2935" s="91" t="s">
        <v>3536</v>
      </c>
      <c r="D2935" s="91">
        <v>79</v>
      </c>
      <c r="E2935" s="91">
        <v>187</v>
      </c>
      <c r="F2935" s="91">
        <v>0</v>
      </c>
      <c r="G2935" s="126">
        <v>0.00137529202492052</v>
      </c>
      <c r="H2935" s="126">
        <f t="shared" si="136"/>
        <v>504.000000000002</v>
      </c>
      <c r="I2935" s="126" t="str">
        <f t="shared" si="137"/>
        <v>0y 0d 0h 8m</v>
      </c>
    </row>
    <row r="2936" s="91" customFormat="1" spans="1:9">
      <c r="A2936" s="91" t="str">
        <f t="shared" si="135"/>
        <v>Au-187m</v>
      </c>
      <c r="B2936" s="91" t="s">
        <v>3563</v>
      </c>
      <c r="C2936" s="91" t="s">
        <v>3536</v>
      </c>
      <c r="D2936" s="91">
        <v>79</v>
      </c>
      <c r="E2936" s="91">
        <v>187</v>
      </c>
      <c r="F2936" s="91">
        <v>1</v>
      </c>
      <c r="G2936" s="126">
        <v>0.301368339373889</v>
      </c>
      <c r="H2936" s="126">
        <f t="shared" si="136"/>
        <v>2.3</v>
      </c>
      <c r="I2936" s="126" t="str">
        <f t="shared" si="137"/>
        <v>0y 0d 0h 0m</v>
      </c>
    </row>
    <row r="2937" s="91" customFormat="1" spans="1:9">
      <c r="A2937" s="91" t="str">
        <f t="shared" si="135"/>
        <v>Au-188</v>
      </c>
      <c r="B2937" s="91" t="s">
        <v>3564</v>
      </c>
      <c r="C2937" s="91" t="s">
        <v>3536</v>
      </c>
      <c r="D2937" s="91">
        <v>79</v>
      </c>
      <c r="E2937" s="91">
        <v>188</v>
      </c>
      <c r="F2937" s="91">
        <v>0</v>
      </c>
      <c r="G2937" s="126">
        <v>0.00130683857571633</v>
      </c>
      <c r="H2937" s="126">
        <f t="shared" si="136"/>
        <v>530.400000000003</v>
      </c>
      <c r="I2937" s="126" t="str">
        <f t="shared" si="137"/>
        <v>0y 0d 0h 8m</v>
      </c>
    </row>
    <row r="2938" s="91" customFormat="1" spans="1:9">
      <c r="A2938" s="91" t="str">
        <f t="shared" si="135"/>
        <v>Au-189</v>
      </c>
      <c r="B2938" s="91" t="s">
        <v>3565</v>
      </c>
      <c r="C2938" s="91" t="s">
        <v>3536</v>
      </c>
      <c r="D2938" s="91">
        <v>79</v>
      </c>
      <c r="E2938" s="91">
        <v>189</v>
      </c>
      <c r="F2938" s="91">
        <v>0</v>
      </c>
      <c r="G2938" s="126">
        <v>0.00040252449509869</v>
      </c>
      <c r="H2938" s="126">
        <f t="shared" si="136"/>
        <v>1722</v>
      </c>
      <c r="I2938" s="126" t="str">
        <f t="shared" si="137"/>
        <v>0y 0d 0h 28m</v>
      </c>
    </row>
    <row r="2939" s="91" customFormat="1" spans="1:9">
      <c r="A2939" s="91" t="str">
        <f t="shared" si="135"/>
        <v>Au-189m</v>
      </c>
      <c r="B2939" s="91" t="s">
        <v>3566</v>
      </c>
      <c r="C2939" s="91" t="s">
        <v>3536</v>
      </c>
      <c r="D2939" s="91">
        <v>79</v>
      </c>
      <c r="E2939" s="91">
        <v>189</v>
      </c>
      <c r="F2939" s="91">
        <v>1</v>
      </c>
      <c r="G2939" s="126">
        <v>0.0025168742939722</v>
      </c>
      <c r="H2939" s="126">
        <f t="shared" si="136"/>
        <v>275.400000000001</v>
      </c>
      <c r="I2939" s="126" t="str">
        <f t="shared" si="137"/>
        <v>0y 0d 0h 4m</v>
      </c>
    </row>
    <row r="2940" s="91" customFormat="1" spans="1:9">
      <c r="A2940" s="91" t="str">
        <f t="shared" si="135"/>
        <v>Au-190</v>
      </c>
      <c r="B2940" s="91" t="s">
        <v>3567</v>
      </c>
      <c r="C2940" s="91" t="s">
        <v>3536</v>
      </c>
      <c r="D2940" s="91">
        <v>79</v>
      </c>
      <c r="E2940" s="91">
        <v>190</v>
      </c>
      <c r="F2940" s="91">
        <v>0</v>
      </c>
      <c r="G2940" s="126">
        <v>0.000269917126386271</v>
      </c>
      <c r="H2940" s="126">
        <f t="shared" si="136"/>
        <v>2568.00000000001</v>
      </c>
      <c r="I2940" s="126" t="str">
        <f t="shared" si="137"/>
        <v>0y 0d 0h 42m</v>
      </c>
    </row>
    <row r="2941" s="91" customFormat="1" spans="1:9">
      <c r="A2941" s="91" t="str">
        <f t="shared" si="135"/>
        <v>Au-190m</v>
      </c>
      <c r="B2941" s="91" t="s">
        <v>3568</v>
      </c>
      <c r="C2941" s="91" t="s">
        <v>3536</v>
      </c>
      <c r="D2941" s="91">
        <v>79</v>
      </c>
      <c r="E2941" s="91">
        <v>190</v>
      </c>
      <c r="F2941" s="91">
        <v>1</v>
      </c>
      <c r="G2941" s="126">
        <v>5.54517744447956</v>
      </c>
      <c r="H2941" s="126">
        <f t="shared" si="136"/>
        <v>0.125</v>
      </c>
      <c r="I2941" s="126" t="str">
        <f t="shared" si="137"/>
        <v>0y 0d 0h 0m</v>
      </c>
    </row>
    <row r="2942" s="91" customFormat="1" spans="1:9">
      <c r="A2942" s="91" t="str">
        <f t="shared" si="135"/>
        <v>Au-191</v>
      </c>
      <c r="B2942" s="91" t="s">
        <v>3569</v>
      </c>
      <c r="C2942" s="91" t="s">
        <v>3536</v>
      </c>
      <c r="D2942" s="91">
        <v>79</v>
      </c>
      <c r="E2942" s="91">
        <v>191</v>
      </c>
      <c r="F2942" s="91">
        <v>0</v>
      </c>
      <c r="G2942" s="126">
        <v>6.05474476380106e-5</v>
      </c>
      <c r="H2942" s="126">
        <f t="shared" si="136"/>
        <v>11448</v>
      </c>
      <c r="I2942" s="126" t="str">
        <f t="shared" si="137"/>
        <v>0y 0d 3h 10m</v>
      </c>
    </row>
    <row r="2943" s="91" customFormat="1" spans="1:9">
      <c r="A2943" s="91" t="str">
        <f t="shared" si="135"/>
        <v>Au-191m</v>
      </c>
      <c r="B2943" s="91" t="s">
        <v>3570</v>
      </c>
      <c r="C2943" s="91" t="s">
        <v>3536</v>
      </c>
      <c r="D2943" s="91">
        <v>79</v>
      </c>
      <c r="E2943" s="91">
        <v>191</v>
      </c>
      <c r="F2943" s="91">
        <v>1</v>
      </c>
      <c r="G2943" s="126">
        <v>0.753420848434723</v>
      </c>
      <c r="H2943" s="126">
        <f t="shared" si="136"/>
        <v>0.92</v>
      </c>
      <c r="I2943" s="126" t="str">
        <f t="shared" si="137"/>
        <v>0y 0d 0h 0m</v>
      </c>
    </row>
    <row r="2944" s="91" customFormat="1" spans="1:9">
      <c r="A2944" s="91" t="str">
        <f t="shared" si="135"/>
        <v>Au-192</v>
      </c>
      <c r="B2944" s="91" t="s">
        <v>3571</v>
      </c>
      <c r="C2944" s="91" t="s">
        <v>3536</v>
      </c>
      <c r="D2944" s="91">
        <v>79</v>
      </c>
      <c r="E2944" s="91">
        <v>192</v>
      </c>
      <c r="F2944" s="91">
        <v>0</v>
      </c>
      <c r="G2944" s="126">
        <v>3.89758873459258e-5</v>
      </c>
      <c r="H2944" s="126">
        <f t="shared" si="136"/>
        <v>17784</v>
      </c>
      <c r="I2944" s="126" t="str">
        <f t="shared" si="137"/>
        <v>0y 0d 4h 56m</v>
      </c>
    </row>
    <row r="2945" s="91" customFormat="1" spans="1:9">
      <c r="A2945" s="91" t="str">
        <f t="shared" si="135"/>
        <v>Au-192m</v>
      </c>
      <c r="B2945" s="91" t="s">
        <v>3572</v>
      </c>
      <c r="C2945" s="91" t="s">
        <v>3536</v>
      </c>
      <c r="D2945" s="91">
        <v>79</v>
      </c>
      <c r="E2945" s="91">
        <v>192</v>
      </c>
      <c r="F2945" s="91">
        <v>1</v>
      </c>
      <c r="G2945" s="126">
        <v>23.9016269158601</v>
      </c>
      <c r="H2945" s="126">
        <f t="shared" si="136"/>
        <v>0.0290000000000001</v>
      </c>
      <c r="I2945" s="126" t="str">
        <f t="shared" si="137"/>
        <v>0y 0d 0h 0m</v>
      </c>
    </row>
    <row r="2946" s="91" customFormat="1" spans="1:9">
      <c r="A2946" s="91" t="str">
        <f t="shared" ref="A2946:A3009" si="138">C2946&amp;"-"&amp;E2946&amp;_xlfn.IFS(F2946=0,"",F2946=1,"m",F2946&gt;1,"m"&amp;F2946)</f>
        <v>Au-192m2</v>
      </c>
      <c r="B2946" s="91" t="s">
        <v>3573</v>
      </c>
      <c r="C2946" s="91" t="s">
        <v>3536</v>
      </c>
      <c r="D2946" s="91">
        <v>79</v>
      </c>
      <c r="E2946" s="91">
        <v>192</v>
      </c>
      <c r="F2946" s="91">
        <v>2</v>
      </c>
      <c r="G2946" s="126">
        <v>4.33216987849965</v>
      </c>
      <c r="H2946" s="126">
        <f t="shared" ref="H2946:H3009" si="139">IF(G2946&gt;0,LN(2)/G2946,0)</f>
        <v>0.16</v>
      </c>
      <c r="I2946" s="126" t="str">
        <f t="shared" si="137"/>
        <v>0y 0d 0h 0m</v>
      </c>
    </row>
    <row r="2947" s="91" customFormat="1" spans="1:9">
      <c r="A2947" s="91" t="str">
        <f t="shared" si="138"/>
        <v>Au-193</v>
      </c>
      <c r="B2947" s="91" t="s">
        <v>3574</v>
      </c>
      <c r="C2947" s="91" t="s">
        <v>3536</v>
      </c>
      <c r="D2947" s="91">
        <v>79</v>
      </c>
      <c r="E2947" s="91">
        <v>193</v>
      </c>
      <c r="F2947" s="91">
        <v>0</v>
      </c>
      <c r="G2947" s="126">
        <v>1.09088319257152e-5</v>
      </c>
      <c r="H2947" s="126">
        <f t="shared" si="139"/>
        <v>63540.0000000001</v>
      </c>
      <c r="I2947" s="126" t="str">
        <f t="shared" ref="I2947:I3010" si="140">INT(H2947/31536000)&amp;"y "&amp;INT(MOD(H2947,31536000)/86400)&amp;"d "&amp;INT(MOD(MOD(H2947,31536000),86400)/3600)&amp;"h "&amp;INT(MOD(MOD(MOD(H2947,31536000),86400),3600)/60)&amp;"m"</f>
        <v>0y 0d 17h 39m</v>
      </c>
    </row>
    <row r="2948" s="91" customFormat="1" spans="1:9">
      <c r="A2948" s="91" t="str">
        <f t="shared" si="138"/>
        <v>Au-193m</v>
      </c>
      <c r="B2948" s="91" t="s">
        <v>3575</v>
      </c>
      <c r="C2948" s="91" t="s">
        <v>3536</v>
      </c>
      <c r="D2948" s="91">
        <v>79</v>
      </c>
      <c r="E2948" s="91">
        <v>193</v>
      </c>
      <c r="F2948" s="91">
        <v>1</v>
      </c>
      <c r="G2948" s="126">
        <v>0.177730046297421</v>
      </c>
      <c r="H2948" s="126">
        <f t="shared" si="139"/>
        <v>3.90000000000002</v>
      </c>
      <c r="I2948" s="126" t="str">
        <f t="shared" si="140"/>
        <v>0y 0d 0h 0m</v>
      </c>
    </row>
    <row r="2949" s="91" customFormat="1" spans="1:9">
      <c r="A2949" s="91" t="str">
        <f t="shared" si="138"/>
        <v>Au-194</v>
      </c>
      <c r="B2949" s="91" t="s">
        <v>3576</v>
      </c>
      <c r="C2949" s="91" t="s">
        <v>3536</v>
      </c>
      <c r="D2949" s="91">
        <v>79</v>
      </c>
      <c r="E2949" s="91">
        <v>194</v>
      </c>
      <c r="F2949" s="91">
        <v>0</v>
      </c>
      <c r="G2949" s="126">
        <v>5.06419998655638e-6</v>
      </c>
      <c r="H2949" s="126">
        <f t="shared" si="139"/>
        <v>136872</v>
      </c>
      <c r="I2949" s="126" t="str">
        <f t="shared" si="140"/>
        <v>0y 1d 14h 1m</v>
      </c>
    </row>
    <row r="2950" s="91" customFormat="1" spans="1:9">
      <c r="A2950" s="91" t="str">
        <f t="shared" si="138"/>
        <v>Au-194m</v>
      </c>
      <c r="B2950" s="91" t="s">
        <v>3577</v>
      </c>
      <c r="C2950" s="91" t="s">
        <v>3536</v>
      </c>
      <c r="D2950" s="91">
        <v>79</v>
      </c>
      <c r="E2950" s="91">
        <v>194</v>
      </c>
      <c r="F2950" s="91">
        <v>1</v>
      </c>
      <c r="G2950" s="126">
        <v>1.15524530093324</v>
      </c>
      <c r="H2950" s="126">
        <f t="shared" si="139"/>
        <v>0.600000000000001</v>
      </c>
      <c r="I2950" s="126" t="str">
        <f t="shared" si="140"/>
        <v>0y 0d 0h 0m</v>
      </c>
    </row>
    <row r="2951" s="91" customFormat="1" spans="1:9">
      <c r="A2951" s="91" t="str">
        <f t="shared" si="138"/>
        <v>Au-194m2</v>
      </c>
      <c r="B2951" s="91" t="s">
        <v>3578</v>
      </c>
      <c r="C2951" s="91" t="s">
        <v>3536</v>
      </c>
      <c r="D2951" s="91">
        <v>79</v>
      </c>
      <c r="E2951" s="91">
        <v>194</v>
      </c>
      <c r="F2951" s="91">
        <v>2</v>
      </c>
      <c r="G2951" s="126">
        <v>1.65035042990463</v>
      </c>
      <c r="H2951" s="126">
        <f t="shared" si="139"/>
        <v>0.42</v>
      </c>
      <c r="I2951" s="126" t="str">
        <f t="shared" si="140"/>
        <v>0y 0d 0h 0m</v>
      </c>
    </row>
    <row r="2952" s="91" customFormat="1" spans="1:9">
      <c r="A2952" s="91" t="str">
        <f t="shared" si="138"/>
        <v>Au-195</v>
      </c>
      <c r="B2952" s="91" t="s">
        <v>3579</v>
      </c>
      <c r="C2952" s="91" t="s">
        <v>3536</v>
      </c>
      <c r="D2952" s="91">
        <v>79</v>
      </c>
      <c r="E2952" s="91">
        <v>195</v>
      </c>
      <c r="F2952" s="91">
        <v>0</v>
      </c>
      <c r="G2952" s="126">
        <v>4.31091973851362e-8</v>
      </c>
      <c r="H2952" s="126">
        <f t="shared" si="139"/>
        <v>16078870</v>
      </c>
      <c r="I2952" s="126" t="str">
        <f t="shared" si="140"/>
        <v>0y 186d 2h 21m</v>
      </c>
    </row>
    <row r="2953" s="91" customFormat="1" spans="1:9">
      <c r="A2953" s="91" t="str">
        <f t="shared" si="138"/>
        <v>Au-195m</v>
      </c>
      <c r="B2953" s="91" t="s">
        <v>3580</v>
      </c>
      <c r="C2953" s="91" t="s">
        <v>3536</v>
      </c>
      <c r="D2953" s="91">
        <v>79</v>
      </c>
      <c r="E2953" s="91">
        <v>195</v>
      </c>
      <c r="F2953" s="91">
        <v>1</v>
      </c>
      <c r="G2953" s="126">
        <v>0.0227261370675391</v>
      </c>
      <c r="H2953" s="126">
        <f t="shared" si="139"/>
        <v>30.5000000000001</v>
      </c>
      <c r="I2953" s="126" t="str">
        <f t="shared" si="140"/>
        <v>0y 0d 0h 0m</v>
      </c>
    </row>
    <row r="2954" s="91" customFormat="1" spans="1:9">
      <c r="A2954" s="91" t="str">
        <f t="shared" si="138"/>
        <v>Au-196</v>
      </c>
      <c r="B2954" s="91" t="s">
        <v>3581</v>
      </c>
      <c r="C2954" s="91" t="s">
        <v>3536</v>
      </c>
      <c r="D2954" s="91">
        <v>79</v>
      </c>
      <c r="E2954" s="91">
        <v>196</v>
      </c>
      <c r="F2954" s="91">
        <v>0</v>
      </c>
      <c r="G2954" s="126">
        <v>1.30090259445859e-6</v>
      </c>
      <c r="H2954" s="126">
        <f t="shared" si="139"/>
        <v>532820.2</v>
      </c>
      <c r="I2954" s="126" t="str">
        <f t="shared" si="140"/>
        <v>0y 6d 4h 0m</v>
      </c>
    </row>
    <row r="2955" s="91" customFormat="1" spans="1:9">
      <c r="A2955" s="91" t="str">
        <f t="shared" si="138"/>
        <v>Au-196m</v>
      </c>
      <c r="B2955" s="91" t="s">
        <v>3582</v>
      </c>
      <c r="C2955" s="91" t="s">
        <v>3536</v>
      </c>
      <c r="D2955" s="91">
        <v>79</v>
      </c>
      <c r="E2955" s="91">
        <v>196</v>
      </c>
      <c r="F2955" s="91">
        <v>1</v>
      </c>
      <c r="G2955" s="126">
        <v>0.0855737259950549</v>
      </c>
      <c r="H2955" s="126">
        <f t="shared" si="139"/>
        <v>8.10000000000001</v>
      </c>
      <c r="I2955" s="126" t="str">
        <f t="shared" si="140"/>
        <v>0y 0d 0h 0m</v>
      </c>
    </row>
    <row r="2956" s="91" customFormat="1" spans="1:9">
      <c r="A2956" s="91" t="str">
        <f t="shared" si="138"/>
        <v>Au-196m2</v>
      </c>
      <c r="B2956" s="91" t="s">
        <v>3583</v>
      </c>
      <c r="C2956" s="91" t="s">
        <v>3536</v>
      </c>
      <c r="D2956" s="91">
        <v>79</v>
      </c>
      <c r="E2956" s="91">
        <v>196</v>
      </c>
      <c r="F2956" s="91">
        <v>2</v>
      </c>
      <c r="G2956" s="126">
        <v>2.0056342030091e-5</v>
      </c>
      <c r="H2956" s="126">
        <f t="shared" si="139"/>
        <v>34560</v>
      </c>
      <c r="I2956" s="126" t="str">
        <f t="shared" si="140"/>
        <v>0y 0d 9h 36m</v>
      </c>
    </row>
    <row r="2957" s="91" customFormat="1" spans="1:9">
      <c r="A2957" s="91" t="str">
        <f t="shared" si="138"/>
        <v>Au-197</v>
      </c>
      <c r="B2957" s="91" t="s">
        <v>3584</v>
      </c>
      <c r="C2957" s="91" t="s">
        <v>3536</v>
      </c>
      <c r="D2957" s="91">
        <v>79</v>
      </c>
      <c r="E2957" s="91">
        <v>197</v>
      </c>
      <c r="F2957" s="91">
        <v>0</v>
      </c>
      <c r="G2957" s="126">
        <v>0</v>
      </c>
      <c r="H2957" s="126">
        <f t="shared" si="139"/>
        <v>0</v>
      </c>
      <c r="I2957" s="126" t="str">
        <f t="shared" si="140"/>
        <v>0y 0d 0h 0m</v>
      </c>
    </row>
    <row r="2958" s="91" customFormat="1" spans="1:9">
      <c r="A2958" s="91" t="str">
        <f t="shared" si="138"/>
        <v>Au-197m</v>
      </c>
      <c r="B2958" s="91" t="s">
        <v>3585</v>
      </c>
      <c r="C2958" s="91" t="s">
        <v>3536</v>
      </c>
      <c r="D2958" s="91">
        <v>79</v>
      </c>
      <c r="E2958" s="91">
        <v>197</v>
      </c>
      <c r="F2958" s="91">
        <v>1</v>
      </c>
      <c r="G2958" s="126">
        <v>0.0896697516895142</v>
      </c>
      <c r="H2958" s="126">
        <f t="shared" si="139"/>
        <v>7.73000000000001</v>
      </c>
      <c r="I2958" s="126" t="str">
        <f t="shared" si="140"/>
        <v>0y 0d 0h 0m</v>
      </c>
    </row>
    <row r="2959" s="91" customFormat="1" spans="1:9">
      <c r="A2959" s="91" t="str">
        <f t="shared" si="138"/>
        <v>Au-198</v>
      </c>
      <c r="B2959" s="91" t="s">
        <v>3586</v>
      </c>
      <c r="C2959" s="91" t="s">
        <v>3536</v>
      </c>
      <c r="D2959" s="91">
        <v>79</v>
      </c>
      <c r="E2959" s="91">
        <v>198</v>
      </c>
      <c r="F2959" s="91">
        <v>0</v>
      </c>
      <c r="G2959" s="126">
        <v>2.97715371762365e-6</v>
      </c>
      <c r="H2959" s="126">
        <f t="shared" si="139"/>
        <v>232822.1</v>
      </c>
      <c r="I2959" s="126" t="str">
        <f t="shared" si="140"/>
        <v>0y 2d 16h 40m</v>
      </c>
    </row>
    <row r="2960" s="91" customFormat="1" spans="1:9">
      <c r="A2960" s="91" t="str">
        <f t="shared" si="138"/>
        <v>Au-198m</v>
      </c>
      <c r="B2960" s="91" t="s">
        <v>3587</v>
      </c>
      <c r="C2960" s="91" t="s">
        <v>3536</v>
      </c>
      <c r="D2960" s="91">
        <v>79</v>
      </c>
      <c r="E2960" s="91">
        <v>198</v>
      </c>
      <c r="F2960" s="91">
        <v>1</v>
      </c>
      <c r="G2960" s="126">
        <v>3.53104613205827e-6</v>
      </c>
      <c r="H2960" s="126">
        <f t="shared" si="139"/>
        <v>196300.8</v>
      </c>
      <c r="I2960" s="126" t="str">
        <f t="shared" si="140"/>
        <v>0y 2d 6h 31m</v>
      </c>
    </row>
    <row r="2961" s="91" customFormat="1" spans="1:9">
      <c r="A2961" s="91" t="str">
        <f t="shared" si="138"/>
        <v>Au-199</v>
      </c>
      <c r="B2961" s="91" t="s">
        <v>3588</v>
      </c>
      <c r="C2961" s="91" t="s">
        <v>3536</v>
      </c>
      <c r="D2961" s="91">
        <v>79</v>
      </c>
      <c r="E2961" s="91">
        <v>199</v>
      </c>
      <c r="F2961" s="91">
        <v>0</v>
      </c>
      <c r="G2961" s="126">
        <v>2.55576196624288e-6</v>
      </c>
      <c r="H2961" s="126">
        <f t="shared" si="139"/>
        <v>271209.6</v>
      </c>
      <c r="I2961" s="126" t="str">
        <f t="shared" si="140"/>
        <v>0y 3d 3h 20m</v>
      </c>
    </row>
    <row r="2962" s="91" customFormat="1" spans="1:9">
      <c r="A2962" s="91" t="str">
        <f t="shared" si="138"/>
        <v>Au-200</v>
      </c>
      <c r="B2962" s="91" t="s">
        <v>3589</v>
      </c>
      <c r="C2962" s="91" t="s">
        <v>3536</v>
      </c>
      <c r="D2962" s="91">
        <v>79</v>
      </c>
      <c r="E2962" s="91">
        <v>200</v>
      </c>
      <c r="F2962" s="91">
        <v>0</v>
      </c>
      <c r="G2962" s="126">
        <v>0.000238687045647364</v>
      </c>
      <c r="H2962" s="126">
        <f t="shared" si="139"/>
        <v>2904</v>
      </c>
      <c r="I2962" s="126" t="str">
        <f t="shared" si="140"/>
        <v>0y 0d 0h 48m</v>
      </c>
    </row>
    <row r="2963" s="91" customFormat="1" spans="1:9">
      <c r="A2963" s="91" t="str">
        <f t="shared" si="138"/>
        <v>Au-200m</v>
      </c>
      <c r="B2963" s="91" t="s">
        <v>3590</v>
      </c>
      <c r="C2963" s="91" t="s">
        <v>3536</v>
      </c>
      <c r="D2963" s="91">
        <v>79</v>
      </c>
      <c r="E2963" s="91">
        <v>200</v>
      </c>
      <c r="F2963" s="91">
        <v>1</v>
      </c>
      <c r="G2963" s="126">
        <v>1.02963039298862e-5</v>
      </c>
      <c r="H2963" s="126">
        <f t="shared" si="139"/>
        <v>67320.0000000006</v>
      </c>
      <c r="I2963" s="126" t="str">
        <f t="shared" si="140"/>
        <v>0y 0d 18h 42m</v>
      </c>
    </row>
    <row r="2964" s="91" customFormat="1" spans="1:9">
      <c r="A2964" s="91" t="str">
        <f t="shared" si="138"/>
        <v>Au-201</v>
      </c>
      <c r="B2964" s="91" t="s">
        <v>3591</v>
      </c>
      <c r="C2964" s="91" t="s">
        <v>3536</v>
      </c>
      <c r="D2964" s="91">
        <v>79</v>
      </c>
      <c r="E2964" s="91">
        <v>201</v>
      </c>
      <c r="F2964" s="91">
        <v>0</v>
      </c>
      <c r="G2964" s="126">
        <v>0.000444325115743554</v>
      </c>
      <c r="H2964" s="126">
        <f t="shared" si="139"/>
        <v>1560</v>
      </c>
      <c r="I2964" s="126" t="str">
        <f t="shared" si="140"/>
        <v>0y 0d 0h 26m</v>
      </c>
    </row>
    <row r="2965" s="91" customFormat="1" spans="1:9">
      <c r="A2965" s="91" t="str">
        <f t="shared" si="138"/>
        <v>Au-202</v>
      </c>
      <c r="B2965" s="91" t="s">
        <v>3592</v>
      </c>
      <c r="C2965" s="91" t="s">
        <v>3536</v>
      </c>
      <c r="D2965" s="91">
        <v>79</v>
      </c>
      <c r="E2965" s="91">
        <v>202</v>
      </c>
      <c r="F2965" s="91">
        <v>0</v>
      </c>
      <c r="G2965" s="126">
        <v>0.0244065908647868</v>
      </c>
      <c r="H2965" s="126">
        <f t="shared" si="139"/>
        <v>28.4</v>
      </c>
      <c r="I2965" s="126" t="str">
        <f t="shared" si="140"/>
        <v>0y 0d 0h 0m</v>
      </c>
    </row>
    <row r="2966" s="91" customFormat="1" spans="1:9">
      <c r="A2966" s="91" t="str">
        <f t="shared" si="138"/>
        <v>Au-203</v>
      </c>
      <c r="B2966" s="91" t="s">
        <v>3593</v>
      </c>
      <c r="C2966" s="91" t="s">
        <v>3536</v>
      </c>
      <c r="D2966" s="91">
        <v>79</v>
      </c>
      <c r="E2966" s="91">
        <v>203</v>
      </c>
      <c r="F2966" s="91">
        <v>0</v>
      </c>
      <c r="G2966" s="126">
        <v>0.0115524530093324</v>
      </c>
      <c r="H2966" s="126">
        <f t="shared" si="139"/>
        <v>60.0000000000001</v>
      </c>
      <c r="I2966" s="126" t="str">
        <f t="shared" si="140"/>
        <v>0y 0d 0h 1m</v>
      </c>
    </row>
    <row r="2967" s="91" customFormat="1" spans="1:9">
      <c r="A2967" s="91" t="str">
        <f t="shared" si="138"/>
        <v>Au-204</v>
      </c>
      <c r="B2967" s="91" t="s">
        <v>3594</v>
      </c>
      <c r="C2967" s="91" t="s">
        <v>3536</v>
      </c>
      <c r="D2967" s="91">
        <v>79</v>
      </c>
      <c r="E2967" s="91">
        <v>204</v>
      </c>
      <c r="F2967" s="91">
        <v>0</v>
      </c>
      <c r="G2967" s="126">
        <v>0.0174157583055262</v>
      </c>
      <c r="H2967" s="126">
        <f t="shared" si="139"/>
        <v>39.8000000000001</v>
      </c>
      <c r="I2967" s="126" t="str">
        <f t="shared" si="140"/>
        <v>0y 0d 0h 0m</v>
      </c>
    </row>
    <row r="2968" s="91" customFormat="1" spans="1:9">
      <c r="A2968" s="91" t="str">
        <f t="shared" si="138"/>
        <v>Au-205</v>
      </c>
      <c r="B2968" s="91" t="s">
        <v>3595</v>
      </c>
      <c r="C2968" s="91" t="s">
        <v>3536</v>
      </c>
      <c r="D2968" s="91">
        <v>79</v>
      </c>
      <c r="E2968" s="91">
        <v>205</v>
      </c>
      <c r="F2968" s="91">
        <v>0</v>
      </c>
      <c r="G2968" s="126">
        <v>0.0223595864696756</v>
      </c>
      <c r="H2968" s="126">
        <f t="shared" si="139"/>
        <v>31.0000000000001</v>
      </c>
      <c r="I2968" s="126" t="str">
        <f t="shared" si="140"/>
        <v>0y 0d 0h 0m</v>
      </c>
    </row>
    <row r="2969" s="91" customFormat="1" spans="1:9">
      <c r="A2969" s="91" t="str">
        <f t="shared" si="138"/>
        <v>Hg-171</v>
      </c>
      <c r="B2969" s="91" t="s">
        <v>3596</v>
      </c>
      <c r="C2969" s="91" t="s">
        <v>3597</v>
      </c>
      <c r="D2969" s="91">
        <v>80</v>
      </c>
      <c r="E2969" s="91">
        <v>171</v>
      </c>
      <c r="F2969" s="91">
        <v>0</v>
      </c>
      <c r="G2969" s="126">
        <v>10045.6113124629</v>
      </c>
      <c r="H2969" s="126">
        <f t="shared" si="139"/>
        <v>6.90000000000005e-5</v>
      </c>
      <c r="I2969" s="126" t="str">
        <f t="shared" si="140"/>
        <v>0y 0d 0h 0m</v>
      </c>
    </row>
    <row r="2970" s="91" customFormat="1" spans="1:9">
      <c r="A2970" s="91" t="str">
        <f t="shared" si="138"/>
        <v>Hg-172</v>
      </c>
      <c r="B2970" s="91" t="s">
        <v>3598</v>
      </c>
      <c r="C2970" s="91" t="s">
        <v>3597</v>
      </c>
      <c r="D2970" s="91">
        <v>80</v>
      </c>
      <c r="E2970" s="91">
        <v>172</v>
      </c>
      <c r="F2970" s="91">
        <v>0</v>
      </c>
      <c r="G2970" s="126">
        <v>1899.03337139711</v>
      </c>
      <c r="H2970" s="126">
        <f t="shared" si="139"/>
        <v>0.000365</v>
      </c>
      <c r="I2970" s="126" t="str">
        <f t="shared" si="140"/>
        <v>0y 0d 0h 0m</v>
      </c>
    </row>
    <row r="2971" s="91" customFormat="1" spans="1:9">
      <c r="A2971" s="91" t="str">
        <f t="shared" si="138"/>
        <v>Hg-173</v>
      </c>
      <c r="B2971" s="91" t="s">
        <v>3599</v>
      </c>
      <c r="C2971" s="91" t="s">
        <v>3597</v>
      </c>
      <c r="D2971" s="91">
        <v>80</v>
      </c>
      <c r="E2971" s="91">
        <v>173</v>
      </c>
      <c r="F2971" s="91">
        <v>0</v>
      </c>
      <c r="G2971" s="126">
        <v>990.210257942779</v>
      </c>
      <c r="H2971" s="126">
        <f t="shared" si="139"/>
        <v>0.0007</v>
      </c>
      <c r="I2971" s="126" t="str">
        <f t="shared" si="140"/>
        <v>0y 0d 0h 0m</v>
      </c>
    </row>
    <row r="2972" s="91" customFormat="1" spans="1:9">
      <c r="A2972" s="91" t="str">
        <f t="shared" si="138"/>
        <v>Hg-174</v>
      </c>
      <c r="B2972" s="91" t="s">
        <v>3600</v>
      </c>
      <c r="C2972" s="91" t="s">
        <v>3597</v>
      </c>
      <c r="D2972" s="91">
        <v>80</v>
      </c>
      <c r="E2972" s="91">
        <v>174</v>
      </c>
      <c r="F2972" s="91">
        <v>0</v>
      </c>
      <c r="G2972" s="126">
        <v>364.814305557865</v>
      </c>
      <c r="H2972" s="126">
        <f t="shared" si="139"/>
        <v>0.0019</v>
      </c>
      <c r="I2972" s="126" t="str">
        <f t="shared" si="140"/>
        <v>0y 0d 0h 0m</v>
      </c>
    </row>
    <row r="2973" s="91" customFormat="1" spans="1:9">
      <c r="A2973" s="91" t="str">
        <f t="shared" si="138"/>
        <v>Hg-175</v>
      </c>
      <c r="B2973" s="91" t="s">
        <v>3601</v>
      </c>
      <c r="C2973" s="91" t="s">
        <v>3597</v>
      </c>
      <c r="D2973" s="91">
        <v>80</v>
      </c>
      <c r="E2973" s="91">
        <v>175</v>
      </c>
      <c r="F2973" s="91">
        <v>0</v>
      </c>
      <c r="G2973" s="126">
        <v>64.7801103327051</v>
      </c>
      <c r="H2973" s="126">
        <f t="shared" si="139"/>
        <v>0.0107</v>
      </c>
      <c r="I2973" s="126" t="str">
        <f t="shared" si="140"/>
        <v>0y 0d 0h 0m</v>
      </c>
    </row>
    <row r="2974" s="91" customFormat="1" spans="1:9">
      <c r="A2974" s="91" t="str">
        <f t="shared" si="138"/>
        <v>Hg-176</v>
      </c>
      <c r="B2974" s="91" t="s">
        <v>3602</v>
      </c>
      <c r="C2974" s="91" t="s">
        <v>3597</v>
      </c>
      <c r="D2974" s="91">
        <v>80</v>
      </c>
      <c r="E2974" s="91">
        <v>176</v>
      </c>
      <c r="F2974" s="91">
        <v>0</v>
      </c>
      <c r="G2974" s="126">
        <v>34.1451813083716</v>
      </c>
      <c r="H2974" s="126">
        <f t="shared" si="139"/>
        <v>0.0203000000000001</v>
      </c>
      <c r="I2974" s="126" t="str">
        <f t="shared" si="140"/>
        <v>0y 0d 0h 0m</v>
      </c>
    </row>
    <row r="2975" s="91" customFormat="1" spans="1:9">
      <c r="A2975" s="91" t="str">
        <f t="shared" si="138"/>
        <v>Hg-177</v>
      </c>
      <c r="B2975" s="91" t="s">
        <v>3603</v>
      </c>
      <c r="C2975" s="91" t="s">
        <v>3597</v>
      </c>
      <c r="D2975" s="91">
        <v>80</v>
      </c>
      <c r="E2975" s="91">
        <v>177</v>
      </c>
      <c r="F2975" s="91">
        <v>0</v>
      </c>
      <c r="G2975" s="126">
        <v>5.44498963519202</v>
      </c>
      <c r="H2975" s="126">
        <f t="shared" si="139"/>
        <v>0.1273</v>
      </c>
      <c r="I2975" s="126" t="str">
        <f t="shared" si="140"/>
        <v>0y 0d 0h 0m</v>
      </c>
    </row>
    <row r="2976" s="91" customFormat="1" spans="1:9">
      <c r="A2976" s="91" t="str">
        <f t="shared" si="138"/>
        <v>Hg-178</v>
      </c>
      <c r="B2976" s="91" t="s">
        <v>3604</v>
      </c>
      <c r="C2976" s="91" t="s">
        <v>3597</v>
      </c>
      <c r="D2976" s="91">
        <v>80</v>
      </c>
      <c r="E2976" s="91">
        <v>178</v>
      </c>
      <c r="F2976" s="91">
        <v>0</v>
      </c>
      <c r="G2976" s="126">
        <v>2.57675531806671</v>
      </c>
      <c r="H2976" s="126">
        <f t="shared" si="139"/>
        <v>0.269</v>
      </c>
      <c r="I2976" s="126" t="str">
        <f t="shared" si="140"/>
        <v>0y 0d 0h 0m</v>
      </c>
    </row>
    <row r="2977" s="91" customFormat="1" spans="1:9">
      <c r="A2977" s="91" t="str">
        <f t="shared" si="138"/>
        <v>Hg-179</v>
      </c>
      <c r="B2977" s="91" t="s">
        <v>3605</v>
      </c>
      <c r="C2977" s="91" t="s">
        <v>3597</v>
      </c>
      <c r="D2977" s="91">
        <v>80</v>
      </c>
      <c r="E2977" s="91">
        <v>179</v>
      </c>
      <c r="F2977" s="91">
        <v>0</v>
      </c>
      <c r="G2977" s="126">
        <v>0.641802944962912</v>
      </c>
      <c r="H2977" s="126">
        <f t="shared" si="139"/>
        <v>1.08</v>
      </c>
      <c r="I2977" s="126" t="str">
        <f t="shared" si="140"/>
        <v>0y 0d 0h 0m</v>
      </c>
    </row>
    <row r="2978" s="91" customFormat="1" spans="1:9">
      <c r="A2978" s="91" t="str">
        <f t="shared" si="138"/>
        <v>Hg-180</v>
      </c>
      <c r="B2978" s="91" t="s">
        <v>3606</v>
      </c>
      <c r="C2978" s="91" t="s">
        <v>3597</v>
      </c>
      <c r="D2978" s="91">
        <v>80</v>
      </c>
      <c r="E2978" s="91">
        <v>180</v>
      </c>
      <c r="F2978" s="91">
        <v>0</v>
      </c>
      <c r="G2978" s="126">
        <v>0.268661697891451</v>
      </c>
      <c r="H2978" s="126">
        <f t="shared" si="139"/>
        <v>2.58000000000001</v>
      </c>
      <c r="I2978" s="126" t="str">
        <f t="shared" si="140"/>
        <v>0y 0d 0h 0m</v>
      </c>
    </row>
    <row r="2979" s="91" customFormat="1" spans="1:9">
      <c r="A2979" s="91" t="str">
        <f t="shared" si="138"/>
        <v>Hg-181</v>
      </c>
      <c r="B2979" s="91" t="s">
        <v>3607</v>
      </c>
      <c r="C2979" s="91" t="s">
        <v>3597</v>
      </c>
      <c r="D2979" s="91">
        <v>80</v>
      </c>
      <c r="E2979" s="91">
        <v>181</v>
      </c>
      <c r="F2979" s="91">
        <v>0</v>
      </c>
      <c r="G2979" s="126">
        <v>0.192540883488873</v>
      </c>
      <c r="H2979" s="126">
        <f t="shared" si="139"/>
        <v>3.60000000000001</v>
      </c>
      <c r="I2979" s="126" t="str">
        <f t="shared" si="140"/>
        <v>0y 0d 0h 0m</v>
      </c>
    </row>
    <row r="2980" s="91" customFormat="1" spans="1:9">
      <c r="A2980" s="91" t="str">
        <f t="shared" si="138"/>
        <v>Hg-182</v>
      </c>
      <c r="B2980" s="91" t="s">
        <v>3608</v>
      </c>
      <c r="C2980" s="91" t="s">
        <v>3597</v>
      </c>
      <c r="D2980" s="91">
        <v>80</v>
      </c>
      <c r="E2980" s="91">
        <v>182</v>
      </c>
      <c r="F2980" s="91">
        <v>0</v>
      </c>
      <c r="G2980" s="126">
        <v>0.064002509746994</v>
      </c>
      <c r="H2980" s="126">
        <f t="shared" si="139"/>
        <v>10.83</v>
      </c>
      <c r="I2980" s="126" t="str">
        <f t="shared" si="140"/>
        <v>0y 0d 0h 0m</v>
      </c>
    </row>
    <row r="2981" s="91" customFormat="1" spans="1:9">
      <c r="A2981" s="91" t="str">
        <f t="shared" si="138"/>
        <v>Hg-183</v>
      </c>
      <c r="B2981" s="91" t="s">
        <v>3609</v>
      </c>
      <c r="C2981" s="91" t="s">
        <v>3597</v>
      </c>
      <c r="D2981" s="91">
        <v>80</v>
      </c>
      <c r="E2981" s="91">
        <v>183</v>
      </c>
      <c r="F2981" s="91">
        <v>0</v>
      </c>
      <c r="G2981" s="126">
        <v>0.0737390617616963</v>
      </c>
      <c r="H2981" s="126">
        <f t="shared" si="139"/>
        <v>9.4</v>
      </c>
      <c r="I2981" s="126" t="str">
        <f t="shared" si="140"/>
        <v>0y 0d 0h 0m</v>
      </c>
    </row>
    <row r="2982" s="91" customFormat="1" spans="1:9">
      <c r="A2982" s="91" t="str">
        <f t="shared" si="138"/>
        <v>Hg-184</v>
      </c>
      <c r="B2982" s="91" t="s">
        <v>3610</v>
      </c>
      <c r="C2982" s="91" t="s">
        <v>3597</v>
      </c>
      <c r="D2982" s="91">
        <v>80</v>
      </c>
      <c r="E2982" s="91">
        <v>184</v>
      </c>
      <c r="F2982" s="91">
        <v>0</v>
      </c>
      <c r="G2982" s="126">
        <v>0.0224319475909367</v>
      </c>
      <c r="H2982" s="126">
        <f t="shared" si="139"/>
        <v>30.9000000000001</v>
      </c>
      <c r="I2982" s="126" t="str">
        <f t="shared" si="140"/>
        <v>0y 0d 0h 0m</v>
      </c>
    </row>
    <row r="2983" s="91" customFormat="1" spans="1:9">
      <c r="A2983" s="91" t="str">
        <f t="shared" si="138"/>
        <v>Hg-185</v>
      </c>
      <c r="B2983" s="91" t="s">
        <v>3611</v>
      </c>
      <c r="C2983" s="91" t="s">
        <v>3597</v>
      </c>
      <c r="D2983" s="91">
        <v>80</v>
      </c>
      <c r="E2983" s="91">
        <v>185</v>
      </c>
      <c r="F2983" s="91">
        <v>0</v>
      </c>
      <c r="G2983" s="126">
        <v>0.0141170505205691</v>
      </c>
      <c r="H2983" s="126">
        <f t="shared" si="139"/>
        <v>49.1000000000002</v>
      </c>
      <c r="I2983" s="126" t="str">
        <f t="shared" si="140"/>
        <v>0y 0d 0h 0m</v>
      </c>
    </row>
    <row r="2984" s="91" customFormat="1" spans="1:9">
      <c r="A2984" s="91" t="str">
        <f t="shared" si="138"/>
        <v>Hg-185m</v>
      </c>
      <c r="B2984" s="91" t="s">
        <v>3612</v>
      </c>
      <c r="C2984" s="91" t="s">
        <v>3597</v>
      </c>
      <c r="D2984" s="91">
        <v>80</v>
      </c>
      <c r="E2984" s="91">
        <v>185</v>
      </c>
      <c r="F2984" s="91">
        <v>1</v>
      </c>
      <c r="G2984" s="126">
        <v>0.0320901472481456</v>
      </c>
      <c r="H2984" s="126">
        <f t="shared" si="139"/>
        <v>21.6</v>
      </c>
      <c r="I2984" s="126" t="str">
        <f t="shared" si="140"/>
        <v>0y 0d 0h 0m</v>
      </c>
    </row>
    <row r="2985" s="91" customFormat="1" spans="1:9">
      <c r="A2985" s="91" t="str">
        <f t="shared" si="138"/>
        <v>Hg-186</v>
      </c>
      <c r="B2985" s="91" t="s">
        <v>3613</v>
      </c>
      <c r="C2985" s="91" t="s">
        <v>3597</v>
      </c>
      <c r="D2985" s="91">
        <v>80</v>
      </c>
      <c r="E2985" s="91">
        <v>186</v>
      </c>
      <c r="F2985" s="91">
        <v>0</v>
      </c>
      <c r="G2985" s="126">
        <v>0.00837134276038581</v>
      </c>
      <c r="H2985" s="126">
        <f t="shared" si="139"/>
        <v>82.8</v>
      </c>
      <c r="I2985" s="126" t="str">
        <f t="shared" si="140"/>
        <v>0y 0d 0h 1m</v>
      </c>
    </row>
    <row r="2986" s="91" customFormat="1" spans="1:9">
      <c r="A2986" s="91" t="str">
        <f t="shared" si="138"/>
        <v>Hg-187</v>
      </c>
      <c r="B2986" s="91" t="s">
        <v>3614</v>
      </c>
      <c r="C2986" s="91" t="s">
        <v>3597</v>
      </c>
      <c r="D2986" s="91">
        <v>80</v>
      </c>
      <c r="E2986" s="91">
        <v>187</v>
      </c>
      <c r="F2986" s="91">
        <v>0</v>
      </c>
      <c r="G2986" s="126">
        <v>0.00481352208722184</v>
      </c>
      <c r="H2986" s="126">
        <f t="shared" si="139"/>
        <v>144</v>
      </c>
      <c r="I2986" s="126" t="str">
        <f t="shared" si="140"/>
        <v>0y 0d 0h 2m</v>
      </c>
    </row>
    <row r="2987" s="91" customFormat="1" spans="1:9">
      <c r="A2987" s="91" t="str">
        <f t="shared" si="138"/>
        <v>Hg-187m</v>
      </c>
      <c r="B2987" s="91" t="s">
        <v>3615</v>
      </c>
      <c r="C2987" s="91" t="s">
        <v>3597</v>
      </c>
      <c r="D2987" s="91">
        <v>80</v>
      </c>
      <c r="E2987" s="91">
        <v>187</v>
      </c>
      <c r="F2987" s="91">
        <v>1</v>
      </c>
      <c r="G2987" s="126">
        <v>0.00608023842596443</v>
      </c>
      <c r="H2987" s="126">
        <f t="shared" si="139"/>
        <v>114</v>
      </c>
      <c r="I2987" s="126" t="str">
        <f t="shared" si="140"/>
        <v>0y 0d 0h 1m</v>
      </c>
    </row>
    <row r="2988" s="91" customFormat="1" spans="1:9">
      <c r="A2988" s="91" t="str">
        <f t="shared" si="138"/>
        <v>Hg-188</v>
      </c>
      <c r="B2988" s="91" t="s">
        <v>3616</v>
      </c>
      <c r="C2988" s="91" t="s">
        <v>3597</v>
      </c>
      <c r="D2988" s="91">
        <v>80</v>
      </c>
      <c r="E2988" s="91">
        <v>188</v>
      </c>
      <c r="F2988" s="91">
        <v>0</v>
      </c>
      <c r="G2988" s="126">
        <v>0.00355460092594843</v>
      </c>
      <c r="H2988" s="126">
        <f t="shared" si="139"/>
        <v>195</v>
      </c>
      <c r="I2988" s="126" t="str">
        <f t="shared" si="140"/>
        <v>0y 0d 0h 3m</v>
      </c>
    </row>
    <row r="2989" s="91" customFormat="1" spans="1:9">
      <c r="A2989" s="91" t="str">
        <f t="shared" si="138"/>
        <v>Hg-189</v>
      </c>
      <c r="B2989" s="91" t="s">
        <v>3617</v>
      </c>
      <c r="C2989" s="91" t="s">
        <v>3597</v>
      </c>
      <c r="D2989" s="91">
        <v>80</v>
      </c>
      <c r="E2989" s="91">
        <v>189</v>
      </c>
      <c r="F2989" s="91">
        <v>0</v>
      </c>
      <c r="G2989" s="126">
        <v>0.0015200596064911</v>
      </c>
      <c r="H2989" s="126">
        <f t="shared" si="139"/>
        <v>456.000000000002</v>
      </c>
      <c r="I2989" s="126" t="str">
        <f t="shared" si="140"/>
        <v>0y 0d 0h 7m</v>
      </c>
    </row>
    <row r="2990" s="91" customFormat="1" spans="1:9">
      <c r="A2990" s="91" t="str">
        <f t="shared" si="138"/>
        <v>Hg-189m</v>
      </c>
      <c r="B2990" s="91" t="s">
        <v>3618</v>
      </c>
      <c r="C2990" s="91" t="s">
        <v>3597</v>
      </c>
      <c r="D2990" s="91">
        <v>80</v>
      </c>
      <c r="E2990" s="91">
        <v>189</v>
      </c>
      <c r="F2990" s="91">
        <v>1</v>
      </c>
      <c r="G2990" s="126">
        <v>0.00134330848945725</v>
      </c>
      <c r="H2990" s="126">
        <f t="shared" si="139"/>
        <v>516.000000000003</v>
      </c>
      <c r="I2990" s="126" t="str">
        <f t="shared" si="140"/>
        <v>0y 0d 0h 8m</v>
      </c>
    </row>
    <row r="2991" s="91" customFormat="1" spans="1:9">
      <c r="A2991" s="91" t="str">
        <f t="shared" si="138"/>
        <v>Hg-190</v>
      </c>
      <c r="B2991" s="91" t="s">
        <v>3619</v>
      </c>
      <c r="C2991" s="91" t="s">
        <v>3597</v>
      </c>
      <c r="D2991" s="91">
        <v>80</v>
      </c>
      <c r="E2991" s="91">
        <v>190</v>
      </c>
      <c r="F2991" s="91">
        <v>0</v>
      </c>
      <c r="G2991" s="126">
        <v>0.000577622650466621</v>
      </c>
      <c r="H2991" s="126">
        <f t="shared" si="139"/>
        <v>1200</v>
      </c>
      <c r="I2991" s="126" t="str">
        <f t="shared" si="140"/>
        <v>0y 0d 0h 20m</v>
      </c>
    </row>
    <row r="2992" s="91" customFormat="1" spans="1:9">
      <c r="A2992" s="91" t="str">
        <f t="shared" si="138"/>
        <v>Hg-191</v>
      </c>
      <c r="B2992" s="91" t="s">
        <v>3620</v>
      </c>
      <c r="C2992" s="91" t="s">
        <v>3597</v>
      </c>
      <c r="D2992" s="91">
        <v>80</v>
      </c>
      <c r="E2992" s="91">
        <v>191</v>
      </c>
      <c r="F2992" s="91">
        <v>0</v>
      </c>
      <c r="G2992" s="126">
        <v>0.000235764347129233</v>
      </c>
      <c r="H2992" s="126">
        <f t="shared" si="139"/>
        <v>2940</v>
      </c>
      <c r="I2992" s="126" t="str">
        <f t="shared" si="140"/>
        <v>0y 0d 0h 49m</v>
      </c>
    </row>
    <row r="2993" s="91" customFormat="1" spans="1:9">
      <c r="A2993" s="91" t="str">
        <f t="shared" si="138"/>
        <v>Hg-191m</v>
      </c>
      <c r="B2993" s="91" t="s">
        <v>3621</v>
      </c>
      <c r="C2993" s="91" t="s">
        <v>3597</v>
      </c>
      <c r="D2993" s="91">
        <v>80</v>
      </c>
      <c r="E2993" s="91">
        <v>191</v>
      </c>
      <c r="F2993" s="91">
        <v>1</v>
      </c>
      <c r="G2993" s="126">
        <v>0.000227410492309693</v>
      </c>
      <c r="H2993" s="126">
        <f t="shared" si="139"/>
        <v>3048</v>
      </c>
      <c r="I2993" s="126" t="str">
        <f t="shared" si="140"/>
        <v>0y 0d 0h 50m</v>
      </c>
    </row>
    <row r="2994" s="91" customFormat="1" spans="1:9">
      <c r="A2994" s="91" t="str">
        <f t="shared" si="138"/>
        <v>Hg-192</v>
      </c>
      <c r="B2994" s="91" t="s">
        <v>3622</v>
      </c>
      <c r="C2994" s="91" t="s">
        <v>3597</v>
      </c>
      <c r="D2994" s="91">
        <v>80</v>
      </c>
      <c r="E2994" s="91">
        <v>192</v>
      </c>
      <c r="F2994" s="91">
        <v>0</v>
      </c>
      <c r="G2994" s="126">
        <v>3.96991512348193e-5</v>
      </c>
      <c r="H2994" s="126">
        <f t="shared" si="139"/>
        <v>17460</v>
      </c>
      <c r="I2994" s="126" t="str">
        <f t="shared" si="140"/>
        <v>0y 0d 4h 51m</v>
      </c>
    </row>
    <row r="2995" s="91" customFormat="1" spans="1:9">
      <c r="A2995" s="91" t="str">
        <f t="shared" si="138"/>
        <v>Hg-193</v>
      </c>
      <c r="B2995" s="91" t="s">
        <v>3623</v>
      </c>
      <c r="C2995" s="91" t="s">
        <v>3597</v>
      </c>
      <c r="D2995" s="91">
        <v>80</v>
      </c>
      <c r="E2995" s="91">
        <v>193</v>
      </c>
      <c r="F2995" s="91">
        <v>0</v>
      </c>
      <c r="G2995" s="126">
        <v>5.06686535497036e-5</v>
      </c>
      <c r="H2995" s="126">
        <f t="shared" si="139"/>
        <v>13680</v>
      </c>
      <c r="I2995" s="126" t="str">
        <f t="shared" si="140"/>
        <v>0y 0d 3h 48m</v>
      </c>
    </row>
    <row r="2996" s="91" customFormat="1" spans="1:9">
      <c r="A2996" s="91" t="str">
        <f t="shared" si="138"/>
        <v>Hg-193m</v>
      </c>
      <c r="B2996" s="91" t="s">
        <v>3624</v>
      </c>
      <c r="C2996" s="91" t="s">
        <v>3597</v>
      </c>
      <c r="D2996" s="91">
        <v>80</v>
      </c>
      <c r="E2996" s="91">
        <v>193</v>
      </c>
      <c r="F2996" s="91">
        <v>1</v>
      </c>
      <c r="G2996" s="126">
        <v>1.63170240244808e-5</v>
      </c>
      <c r="H2996" s="126">
        <f t="shared" si="139"/>
        <v>42480.0000000001</v>
      </c>
      <c r="I2996" s="126" t="str">
        <f t="shared" si="140"/>
        <v>0y 0d 11h 48m</v>
      </c>
    </row>
    <row r="2997" s="91" customFormat="1" spans="1:9">
      <c r="A2997" s="91" t="str">
        <f t="shared" si="138"/>
        <v>Hg-194</v>
      </c>
      <c r="B2997" s="91" t="s">
        <v>3625</v>
      </c>
      <c r="C2997" s="91" t="s">
        <v>3597</v>
      </c>
      <c r="D2997" s="91">
        <v>80</v>
      </c>
      <c r="E2997" s="91">
        <v>194</v>
      </c>
      <c r="F2997" s="91">
        <v>0</v>
      </c>
      <c r="G2997" s="126">
        <v>4.94695238630809e-11</v>
      </c>
      <c r="H2997" s="126">
        <f t="shared" si="139"/>
        <v>14011600000</v>
      </c>
      <c r="I2997" s="126" t="str">
        <f t="shared" si="140"/>
        <v>444y 111d 7h 6m</v>
      </c>
    </row>
    <row r="2998" s="91" customFormat="1" spans="1:9">
      <c r="A2998" s="91" t="str">
        <f t="shared" si="138"/>
        <v>Hg-195</v>
      </c>
      <c r="B2998" s="91" t="s">
        <v>3626</v>
      </c>
      <c r="C2998" s="91" t="s">
        <v>3597</v>
      </c>
      <c r="D2998" s="91">
        <v>80</v>
      </c>
      <c r="E2998" s="91">
        <v>195</v>
      </c>
      <c r="F2998" s="91">
        <v>0</v>
      </c>
      <c r="G2998" s="126">
        <v>1.82849841869775e-5</v>
      </c>
      <c r="H2998" s="126">
        <f t="shared" si="139"/>
        <v>37908.0000000001</v>
      </c>
      <c r="I2998" s="126" t="str">
        <f t="shared" si="140"/>
        <v>0y 0d 10h 31m</v>
      </c>
    </row>
    <row r="2999" s="91" customFormat="1" spans="1:9">
      <c r="A2999" s="91" t="str">
        <f t="shared" si="138"/>
        <v>Hg-195m</v>
      </c>
      <c r="B2999" s="91" t="s">
        <v>3627</v>
      </c>
      <c r="C2999" s="91" t="s">
        <v>3597</v>
      </c>
      <c r="D2999" s="91">
        <v>80</v>
      </c>
      <c r="E2999" s="91">
        <v>195</v>
      </c>
      <c r="F2999" s="91">
        <v>1</v>
      </c>
      <c r="G2999" s="126">
        <v>4.62838662232869e-6</v>
      </c>
      <c r="H2999" s="126">
        <f t="shared" si="139"/>
        <v>149760</v>
      </c>
      <c r="I2999" s="126" t="str">
        <f t="shared" si="140"/>
        <v>0y 1d 17h 36m</v>
      </c>
    </row>
    <row r="3000" s="91" customFormat="1" spans="1:9">
      <c r="A3000" s="91" t="str">
        <f t="shared" si="138"/>
        <v>Hg-196</v>
      </c>
      <c r="B3000" s="91" t="s">
        <v>3628</v>
      </c>
      <c r="C3000" s="91" t="s">
        <v>3597</v>
      </c>
      <c r="D3000" s="91">
        <v>80</v>
      </c>
      <c r="E3000" s="91">
        <v>196</v>
      </c>
      <c r="F3000" s="91">
        <v>0</v>
      </c>
      <c r="G3000" s="126">
        <v>0</v>
      </c>
      <c r="H3000" s="126">
        <f t="shared" si="139"/>
        <v>0</v>
      </c>
      <c r="I3000" s="126" t="str">
        <f t="shared" si="140"/>
        <v>0y 0d 0h 0m</v>
      </c>
    </row>
    <row r="3001" s="91" customFormat="1" spans="1:9">
      <c r="A3001" s="91" t="str">
        <f t="shared" si="138"/>
        <v>Hg-197</v>
      </c>
      <c r="B3001" s="91" t="s">
        <v>3629</v>
      </c>
      <c r="C3001" s="91" t="s">
        <v>3597</v>
      </c>
      <c r="D3001" s="91">
        <v>80</v>
      </c>
      <c r="E3001" s="91">
        <v>197</v>
      </c>
      <c r="F3001" s="91">
        <v>0</v>
      </c>
      <c r="G3001" s="126">
        <v>3.00188468177227e-6</v>
      </c>
      <c r="H3001" s="126">
        <f t="shared" si="139"/>
        <v>230904</v>
      </c>
      <c r="I3001" s="126" t="str">
        <f t="shared" si="140"/>
        <v>0y 2d 16h 8m</v>
      </c>
    </row>
    <row r="3002" s="91" customFormat="1" spans="1:9">
      <c r="A3002" s="91" t="str">
        <f t="shared" si="138"/>
        <v>Hg-197m</v>
      </c>
      <c r="B3002" s="91" t="s">
        <v>3630</v>
      </c>
      <c r="C3002" s="91" t="s">
        <v>3597</v>
      </c>
      <c r="D3002" s="91">
        <v>80</v>
      </c>
      <c r="E3002" s="91">
        <v>197</v>
      </c>
      <c r="F3002" s="91">
        <v>1</v>
      </c>
      <c r="G3002" s="126">
        <v>8.0899530877678e-6</v>
      </c>
      <c r="H3002" s="126">
        <f t="shared" si="139"/>
        <v>85680</v>
      </c>
      <c r="I3002" s="126" t="str">
        <f t="shared" si="140"/>
        <v>0y 0d 23h 48m</v>
      </c>
    </row>
    <row r="3003" s="91" customFormat="1" spans="1:9">
      <c r="A3003" s="91" t="str">
        <f t="shared" si="138"/>
        <v>Hg-198</v>
      </c>
      <c r="B3003" s="91" t="s">
        <v>3631</v>
      </c>
      <c r="C3003" s="91" t="s">
        <v>3597</v>
      </c>
      <c r="D3003" s="91">
        <v>80</v>
      </c>
      <c r="E3003" s="91">
        <v>198</v>
      </c>
      <c r="F3003" s="91">
        <v>0</v>
      </c>
      <c r="G3003" s="126">
        <v>0</v>
      </c>
      <c r="H3003" s="126">
        <f t="shared" si="139"/>
        <v>0</v>
      </c>
      <c r="I3003" s="126" t="str">
        <f t="shared" si="140"/>
        <v>0y 0d 0h 0m</v>
      </c>
    </row>
    <row r="3004" s="91" customFormat="1" spans="1:9">
      <c r="A3004" s="91" t="str">
        <f t="shared" si="138"/>
        <v>Hg-199</v>
      </c>
      <c r="B3004" s="91" t="s">
        <v>3632</v>
      </c>
      <c r="C3004" s="91" t="s">
        <v>3597</v>
      </c>
      <c r="D3004" s="91">
        <v>80</v>
      </c>
      <c r="E3004" s="91">
        <v>199</v>
      </c>
      <c r="F3004" s="91">
        <v>0</v>
      </c>
      <c r="G3004" s="126">
        <v>0</v>
      </c>
      <c r="H3004" s="126">
        <f t="shared" si="139"/>
        <v>0</v>
      </c>
      <c r="I3004" s="126" t="str">
        <f t="shared" si="140"/>
        <v>0y 0d 0h 0m</v>
      </c>
    </row>
    <row r="3005" s="91" customFormat="1" spans="1:9">
      <c r="A3005" s="91" t="str">
        <f t="shared" si="138"/>
        <v>Hg-199m</v>
      </c>
      <c r="B3005" s="91" t="s">
        <v>3633</v>
      </c>
      <c r="C3005" s="91" t="s">
        <v>3597</v>
      </c>
      <c r="D3005" s="91">
        <v>80</v>
      </c>
      <c r="E3005" s="91">
        <v>199</v>
      </c>
      <c r="F3005" s="91">
        <v>1</v>
      </c>
      <c r="G3005" s="126">
        <v>0.000270739465885456</v>
      </c>
      <c r="H3005" s="126">
        <f t="shared" si="139"/>
        <v>2560.2</v>
      </c>
      <c r="I3005" s="126" t="str">
        <f t="shared" si="140"/>
        <v>0y 0d 0h 42m</v>
      </c>
    </row>
    <row r="3006" s="91" customFormat="1" spans="1:9">
      <c r="A3006" s="91" t="str">
        <f t="shared" si="138"/>
        <v>Hg-200</v>
      </c>
      <c r="B3006" s="91" t="s">
        <v>3634</v>
      </c>
      <c r="C3006" s="91" t="s">
        <v>3597</v>
      </c>
      <c r="D3006" s="91">
        <v>80</v>
      </c>
      <c r="E3006" s="91">
        <v>200</v>
      </c>
      <c r="F3006" s="91">
        <v>0</v>
      </c>
      <c r="G3006" s="126">
        <v>0</v>
      </c>
      <c r="H3006" s="126">
        <f t="shared" si="139"/>
        <v>0</v>
      </c>
      <c r="I3006" s="126" t="str">
        <f t="shared" si="140"/>
        <v>0y 0d 0h 0m</v>
      </c>
    </row>
    <row r="3007" s="91" customFormat="1" spans="1:9">
      <c r="A3007" s="91" t="str">
        <f t="shared" si="138"/>
        <v>Hg-201</v>
      </c>
      <c r="B3007" s="91" t="s">
        <v>3635</v>
      </c>
      <c r="C3007" s="91" t="s">
        <v>3597</v>
      </c>
      <c r="D3007" s="91">
        <v>80</v>
      </c>
      <c r="E3007" s="91">
        <v>201</v>
      </c>
      <c r="F3007" s="91">
        <v>0</v>
      </c>
      <c r="G3007" s="126">
        <v>0</v>
      </c>
      <c r="H3007" s="126">
        <f t="shared" si="139"/>
        <v>0</v>
      </c>
      <c r="I3007" s="126" t="str">
        <f t="shared" si="140"/>
        <v>0y 0d 0h 0m</v>
      </c>
    </row>
    <row r="3008" s="91" customFormat="1" spans="1:9">
      <c r="A3008" s="91" t="str">
        <f t="shared" si="138"/>
        <v>Hg-202</v>
      </c>
      <c r="B3008" s="91" t="s">
        <v>3636</v>
      </c>
      <c r="C3008" s="91" t="s">
        <v>3597</v>
      </c>
      <c r="D3008" s="91">
        <v>80</v>
      </c>
      <c r="E3008" s="91">
        <v>202</v>
      </c>
      <c r="F3008" s="91">
        <v>0</v>
      </c>
      <c r="G3008" s="126">
        <v>0</v>
      </c>
      <c r="H3008" s="126">
        <f t="shared" si="139"/>
        <v>0</v>
      </c>
      <c r="I3008" s="126" t="str">
        <f t="shared" si="140"/>
        <v>0y 0d 0h 0m</v>
      </c>
    </row>
    <row r="3009" s="91" customFormat="1" spans="1:9">
      <c r="A3009" s="91" t="str">
        <f t="shared" si="138"/>
        <v>Hg-203</v>
      </c>
      <c r="B3009" s="91" t="s">
        <v>3637</v>
      </c>
      <c r="C3009" s="91" t="s">
        <v>3597</v>
      </c>
      <c r="D3009" s="91">
        <v>80</v>
      </c>
      <c r="E3009" s="91">
        <v>203</v>
      </c>
      <c r="F3009" s="91">
        <v>0</v>
      </c>
      <c r="G3009" s="126">
        <v>1.72179594259103e-7</v>
      </c>
      <c r="H3009" s="126">
        <f t="shared" si="139"/>
        <v>4025722</v>
      </c>
      <c r="I3009" s="126" t="str">
        <f t="shared" si="140"/>
        <v>0y 46d 14h 15m</v>
      </c>
    </row>
    <row r="3010" s="91" customFormat="1" spans="1:9">
      <c r="A3010" s="91" t="str">
        <f t="shared" ref="A3010:A3073" si="141">C3010&amp;"-"&amp;E3010&amp;_xlfn.IFS(F3010=0,"",F3010=1,"m",F3010&gt;1,"m"&amp;F3010)</f>
        <v>Hg-204</v>
      </c>
      <c r="B3010" s="91" t="s">
        <v>3638</v>
      </c>
      <c r="C3010" s="91" t="s">
        <v>3597</v>
      </c>
      <c r="D3010" s="91">
        <v>80</v>
      </c>
      <c r="E3010" s="91">
        <v>204</v>
      </c>
      <c r="F3010" s="91">
        <v>0</v>
      </c>
      <c r="G3010" s="126">
        <v>0</v>
      </c>
      <c r="H3010" s="126">
        <f t="shared" ref="H3010:H3073" si="142">IF(G3010&gt;0,LN(2)/G3010,0)</f>
        <v>0</v>
      </c>
      <c r="I3010" s="126" t="str">
        <f t="shared" si="140"/>
        <v>0y 0d 0h 0m</v>
      </c>
    </row>
    <row r="3011" s="91" customFormat="1" spans="1:9">
      <c r="A3011" s="91" t="str">
        <f t="shared" si="141"/>
        <v>Hg-205</v>
      </c>
      <c r="B3011" s="91" t="s">
        <v>3639</v>
      </c>
      <c r="C3011" s="91" t="s">
        <v>3597</v>
      </c>
      <c r="D3011" s="91">
        <v>80</v>
      </c>
      <c r="E3011" s="91">
        <v>205</v>
      </c>
      <c r="F3011" s="91">
        <v>0</v>
      </c>
      <c r="G3011" s="126">
        <v>0.00224755895123198</v>
      </c>
      <c r="H3011" s="126">
        <f t="shared" si="142"/>
        <v>308.400000000001</v>
      </c>
      <c r="I3011" s="126" t="str">
        <f t="shared" ref="I3011:I3074" si="143">INT(H3011/31536000)&amp;"y "&amp;INT(MOD(H3011,31536000)/86400)&amp;"d "&amp;INT(MOD(MOD(H3011,31536000),86400)/3600)&amp;"h "&amp;INT(MOD(MOD(MOD(H3011,31536000),86400),3600)/60)&amp;"m"</f>
        <v>0y 0d 0h 5m</v>
      </c>
    </row>
    <row r="3012" s="91" customFormat="1" spans="1:9">
      <c r="A3012" s="91" t="str">
        <f t="shared" si="141"/>
        <v>Hg-205m</v>
      </c>
      <c r="B3012" s="91" t="s">
        <v>3640</v>
      </c>
      <c r="C3012" s="91" t="s">
        <v>3597</v>
      </c>
      <c r="D3012" s="91">
        <v>80</v>
      </c>
      <c r="E3012" s="91">
        <v>205</v>
      </c>
      <c r="F3012" s="91">
        <v>1</v>
      </c>
      <c r="G3012" s="126">
        <v>635.914844550408</v>
      </c>
      <c r="H3012" s="126">
        <f t="shared" si="142"/>
        <v>0.00109</v>
      </c>
      <c r="I3012" s="126" t="str">
        <f t="shared" si="143"/>
        <v>0y 0d 0h 0m</v>
      </c>
    </row>
    <row r="3013" s="91" customFormat="1" spans="1:9">
      <c r="A3013" s="91" t="str">
        <f t="shared" si="141"/>
        <v>Hg-206</v>
      </c>
      <c r="B3013" s="91" t="s">
        <v>3641</v>
      </c>
      <c r="C3013" s="91" t="s">
        <v>3597</v>
      </c>
      <c r="D3013" s="91">
        <v>80</v>
      </c>
      <c r="E3013" s="91">
        <v>206</v>
      </c>
      <c r="F3013" s="91">
        <v>0</v>
      </c>
      <c r="G3013" s="126">
        <v>0.0013885159866986</v>
      </c>
      <c r="H3013" s="126">
        <f t="shared" si="142"/>
        <v>499.200000000003</v>
      </c>
      <c r="I3013" s="126" t="str">
        <f t="shared" si="143"/>
        <v>0y 0d 0h 8m</v>
      </c>
    </row>
    <row r="3014" s="91" customFormat="1" spans="1:9">
      <c r="A3014" s="91" t="str">
        <f t="shared" si="141"/>
        <v>Hg-207</v>
      </c>
      <c r="B3014" s="91" t="s">
        <v>3642</v>
      </c>
      <c r="C3014" s="91" t="s">
        <v>3597</v>
      </c>
      <c r="D3014" s="91">
        <v>80</v>
      </c>
      <c r="E3014" s="91">
        <v>207</v>
      </c>
      <c r="F3014" s="91">
        <v>0</v>
      </c>
      <c r="G3014" s="126">
        <v>0.00398360448597669</v>
      </c>
      <c r="H3014" s="126">
        <f t="shared" si="142"/>
        <v>174</v>
      </c>
      <c r="I3014" s="126" t="str">
        <f t="shared" si="143"/>
        <v>0y 0d 0h 2m</v>
      </c>
    </row>
    <row r="3015" s="91" customFormat="1" spans="1:9">
      <c r="A3015" s="91" t="str">
        <f t="shared" si="141"/>
        <v>Hg-208</v>
      </c>
      <c r="B3015" s="91" t="s">
        <v>3643</v>
      </c>
      <c r="C3015" s="91" t="s">
        <v>3597</v>
      </c>
      <c r="D3015" s="91">
        <v>80</v>
      </c>
      <c r="E3015" s="91">
        <v>208</v>
      </c>
      <c r="F3015" s="91">
        <v>0</v>
      </c>
      <c r="G3015" s="126">
        <v>0.00027837236167066</v>
      </c>
      <c r="H3015" s="126">
        <f t="shared" si="142"/>
        <v>2490.00000000001</v>
      </c>
      <c r="I3015" s="126" t="str">
        <f t="shared" si="143"/>
        <v>0y 0d 0h 41m</v>
      </c>
    </row>
    <row r="3016" s="91" customFormat="1" spans="1:9">
      <c r="A3016" s="91" t="str">
        <f t="shared" si="141"/>
        <v>Hg-209</v>
      </c>
      <c r="B3016" s="91" t="s">
        <v>3644</v>
      </c>
      <c r="C3016" s="91" t="s">
        <v>3597</v>
      </c>
      <c r="D3016" s="91">
        <v>80</v>
      </c>
      <c r="E3016" s="91">
        <v>209</v>
      </c>
      <c r="F3016" s="91">
        <v>0</v>
      </c>
      <c r="G3016" s="126">
        <v>0.0189903337139711</v>
      </c>
      <c r="H3016" s="126">
        <f t="shared" si="142"/>
        <v>36.5</v>
      </c>
      <c r="I3016" s="126" t="str">
        <f t="shared" si="143"/>
        <v>0y 0d 0h 0m</v>
      </c>
    </row>
    <row r="3017" s="91" customFormat="1" spans="1:9">
      <c r="A3017" s="91" t="str">
        <f t="shared" si="141"/>
        <v>Hg-210</v>
      </c>
      <c r="B3017" s="91" t="s">
        <v>3645</v>
      </c>
      <c r="C3017" s="91" t="s">
        <v>3597</v>
      </c>
      <c r="D3017" s="91">
        <v>80</v>
      </c>
      <c r="E3017" s="91">
        <v>210</v>
      </c>
      <c r="F3017" s="91">
        <v>0</v>
      </c>
      <c r="G3017" s="126">
        <v>0.00474758342849277</v>
      </c>
      <c r="H3017" s="126">
        <f t="shared" si="142"/>
        <v>146</v>
      </c>
      <c r="I3017" s="126" t="str">
        <f t="shared" si="143"/>
        <v>0y 0d 0h 2m</v>
      </c>
    </row>
    <row r="3018" s="91" customFormat="1" spans="1:9">
      <c r="A3018" s="91" t="str">
        <f t="shared" si="141"/>
        <v>Tl-176</v>
      </c>
      <c r="B3018" s="91" t="s">
        <v>3646</v>
      </c>
      <c r="C3018" s="91" t="s">
        <v>3647</v>
      </c>
      <c r="D3018" s="91">
        <v>81</v>
      </c>
      <c r="E3018" s="91">
        <v>176</v>
      </c>
      <c r="F3018" s="91">
        <v>0</v>
      </c>
      <c r="G3018" s="126">
        <v>115.524530093324</v>
      </c>
      <c r="H3018" s="126">
        <f t="shared" si="142"/>
        <v>0.00600000000000001</v>
      </c>
      <c r="I3018" s="126" t="str">
        <f t="shared" si="143"/>
        <v>0y 0d 0h 0m</v>
      </c>
    </row>
    <row r="3019" s="91" customFormat="1" spans="1:9">
      <c r="A3019" s="91" t="str">
        <f t="shared" si="141"/>
        <v>Tl-177</v>
      </c>
      <c r="B3019" s="91" t="s">
        <v>3648</v>
      </c>
      <c r="C3019" s="91" t="s">
        <v>3647</v>
      </c>
      <c r="D3019" s="91">
        <v>81</v>
      </c>
      <c r="E3019" s="91">
        <v>177</v>
      </c>
      <c r="F3019" s="91">
        <v>0</v>
      </c>
      <c r="G3019" s="126">
        <v>38.5081766977747</v>
      </c>
      <c r="H3019" s="126">
        <f t="shared" si="142"/>
        <v>0.018</v>
      </c>
      <c r="I3019" s="126" t="str">
        <f t="shared" si="143"/>
        <v>0y 0d 0h 0m</v>
      </c>
    </row>
    <row r="3020" s="91" customFormat="1" spans="1:9">
      <c r="A3020" s="91" t="str">
        <f t="shared" si="141"/>
        <v>Tl-178</v>
      </c>
      <c r="B3020" s="91" t="s">
        <v>3649</v>
      </c>
      <c r="C3020" s="91" t="s">
        <v>3647</v>
      </c>
      <c r="D3020" s="91">
        <v>81</v>
      </c>
      <c r="E3020" s="91">
        <v>178</v>
      </c>
      <c r="F3020" s="91">
        <v>0</v>
      </c>
      <c r="G3020" s="126">
        <v>11.5524530093324</v>
      </c>
      <c r="H3020" s="126">
        <f t="shared" si="142"/>
        <v>0.0600000000000001</v>
      </c>
      <c r="I3020" s="126" t="str">
        <f t="shared" si="143"/>
        <v>0y 0d 0h 0m</v>
      </c>
    </row>
    <row r="3021" s="91" customFormat="1" spans="1:9">
      <c r="A3021" s="91" t="str">
        <f t="shared" si="141"/>
        <v>Tl-179</v>
      </c>
      <c r="B3021" s="91" t="s">
        <v>3650</v>
      </c>
      <c r="C3021" s="91" t="s">
        <v>3647</v>
      </c>
      <c r="D3021" s="91">
        <v>81</v>
      </c>
      <c r="E3021" s="91">
        <v>179</v>
      </c>
      <c r="F3021" s="91">
        <v>0</v>
      </c>
      <c r="G3021" s="126">
        <v>3.01368339373889</v>
      </c>
      <c r="H3021" s="126">
        <f t="shared" si="142"/>
        <v>0.23</v>
      </c>
      <c r="I3021" s="126" t="str">
        <f t="shared" si="143"/>
        <v>0y 0d 0h 0m</v>
      </c>
    </row>
    <row r="3022" s="91" customFormat="1" spans="1:9">
      <c r="A3022" s="91" t="str">
        <f t="shared" si="141"/>
        <v>Tl-179m</v>
      </c>
      <c r="B3022" s="91" t="s">
        <v>3651</v>
      </c>
      <c r="C3022" s="91" t="s">
        <v>3647</v>
      </c>
      <c r="D3022" s="91">
        <v>81</v>
      </c>
      <c r="E3022" s="91">
        <v>179</v>
      </c>
      <c r="F3022" s="91">
        <v>1</v>
      </c>
      <c r="G3022" s="126">
        <v>407.733635623497</v>
      </c>
      <c r="H3022" s="126">
        <f t="shared" si="142"/>
        <v>0.0017</v>
      </c>
      <c r="I3022" s="126" t="str">
        <f t="shared" si="143"/>
        <v>0y 0d 0h 0m</v>
      </c>
    </row>
    <row r="3023" s="91" customFormat="1" spans="1:9">
      <c r="A3023" s="91" t="str">
        <f t="shared" si="141"/>
        <v>Tl-180</v>
      </c>
      <c r="B3023" s="91" t="s">
        <v>3652</v>
      </c>
      <c r="C3023" s="91" t="s">
        <v>3647</v>
      </c>
      <c r="D3023" s="91">
        <v>81</v>
      </c>
      <c r="E3023" s="91">
        <v>180</v>
      </c>
      <c r="F3023" s="91">
        <v>0</v>
      </c>
      <c r="G3023" s="126">
        <v>0.635914844550408</v>
      </c>
      <c r="H3023" s="126">
        <f t="shared" si="142"/>
        <v>1.09</v>
      </c>
      <c r="I3023" s="126" t="str">
        <f t="shared" si="143"/>
        <v>0y 0d 0h 0m</v>
      </c>
    </row>
    <row r="3024" s="91" customFormat="1" spans="1:9">
      <c r="A3024" s="91" t="str">
        <f t="shared" si="141"/>
        <v>Tl-181</v>
      </c>
      <c r="B3024" s="91" t="s">
        <v>3653</v>
      </c>
      <c r="C3024" s="91" t="s">
        <v>3647</v>
      </c>
      <c r="D3024" s="91">
        <v>81</v>
      </c>
      <c r="E3024" s="91">
        <v>181</v>
      </c>
      <c r="F3024" s="91">
        <v>0</v>
      </c>
      <c r="G3024" s="126">
        <v>0.216608493924982</v>
      </c>
      <c r="H3024" s="126">
        <f t="shared" si="142"/>
        <v>3.20000000000001</v>
      </c>
      <c r="I3024" s="126" t="str">
        <f t="shared" si="143"/>
        <v>0y 0d 0h 0m</v>
      </c>
    </row>
    <row r="3025" s="91" customFormat="1" spans="1:9">
      <c r="A3025" s="91" t="str">
        <f t="shared" si="141"/>
        <v>Tl-181m</v>
      </c>
      <c r="B3025" s="91" t="s">
        <v>3654</v>
      </c>
      <c r="C3025" s="91" t="s">
        <v>3647</v>
      </c>
      <c r="D3025" s="91">
        <v>81</v>
      </c>
      <c r="E3025" s="91">
        <v>181</v>
      </c>
      <c r="F3025" s="91">
        <v>1</v>
      </c>
      <c r="G3025" s="126">
        <v>495.105128971389</v>
      </c>
      <c r="H3025" s="126">
        <f t="shared" si="142"/>
        <v>0.0014</v>
      </c>
      <c r="I3025" s="126" t="str">
        <f t="shared" si="143"/>
        <v>0y 0d 0h 0m</v>
      </c>
    </row>
    <row r="3026" s="91" customFormat="1" spans="1:9">
      <c r="A3026" s="91" t="str">
        <f t="shared" si="141"/>
        <v>Tl-182</v>
      </c>
      <c r="B3026" s="91" t="s">
        <v>3655</v>
      </c>
      <c r="C3026" s="91" t="s">
        <v>3647</v>
      </c>
      <c r="D3026" s="91">
        <v>81</v>
      </c>
      <c r="E3026" s="91">
        <v>182</v>
      </c>
      <c r="F3026" s="91">
        <v>0</v>
      </c>
      <c r="G3026" s="126">
        <v>0.223595864696756</v>
      </c>
      <c r="H3026" s="126">
        <f t="shared" si="142"/>
        <v>3.10000000000001</v>
      </c>
      <c r="I3026" s="126" t="str">
        <f t="shared" si="143"/>
        <v>0y 0d 0h 0m</v>
      </c>
    </row>
    <row r="3027" s="91" customFormat="1" spans="1:9">
      <c r="A3027" s="91" t="str">
        <f t="shared" si="141"/>
        <v>Tl-183</v>
      </c>
      <c r="B3027" s="91" t="s">
        <v>3656</v>
      </c>
      <c r="C3027" s="91" t="s">
        <v>3647</v>
      </c>
      <c r="D3027" s="91">
        <v>81</v>
      </c>
      <c r="E3027" s="91">
        <v>183</v>
      </c>
      <c r="F3027" s="91">
        <v>0</v>
      </c>
      <c r="G3027" s="126">
        <v>0.100456113124629</v>
      </c>
      <c r="H3027" s="126">
        <f t="shared" si="142"/>
        <v>6.90000000000005</v>
      </c>
      <c r="I3027" s="126" t="str">
        <f t="shared" si="143"/>
        <v>0y 0d 0h 0m</v>
      </c>
    </row>
    <row r="3028" s="91" customFormat="1" spans="1:9">
      <c r="A3028" s="91" t="str">
        <f t="shared" si="141"/>
        <v>Tl-183m</v>
      </c>
      <c r="B3028" s="91" t="s">
        <v>3657</v>
      </c>
      <c r="C3028" s="91" t="s">
        <v>3647</v>
      </c>
      <c r="D3028" s="91">
        <v>81</v>
      </c>
      <c r="E3028" s="91">
        <v>183</v>
      </c>
      <c r="F3028" s="91">
        <v>1</v>
      </c>
      <c r="G3028" s="126">
        <v>13.0046375339576</v>
      </c>
      <c r="H3028" s="126">
        <f t="shared" si="142"/>
        <v>0.0533000000000004</v>
      </c>
      <c r="I3028" s="126" t="str">
        <f t="shared" si="143"/>
        <v>0y 0d 0h 0m</v>
      </c>
    </row>
    <row r="3029" s="91" customFormat="1" spans="1:9">
      <c r="A3029" s="91" t="str">
        <f t="shared" si="141"/>
        <v>Tl-184</v>
      </c>
      <c r="B3029" s="91" t="s">
        <v>3658</v>
      </c>
      <c r="C3029" s="91" t="s">
        <v>3647</v>
      </c>
      <c r="D3029" s="91">
        <v>81</v>
      </c>
      <c r="E3029" s="91">
        <v>184</v>
      </c>
      <c r="F3029" s="91">
        <v>0</v>
      </c>
      <c r="G3029" s="126">
        <v>0.0630133800509041</v>
      </c>
      <c r="H3029" s="126">
        <f t="shared" si="142"/>
        <v>11</v>
      </c>
      <c r="I3029" s="126" t="str">
        <f t="shared" si="143"/>
        <v>0y 0d 0h 0m</v>
      </c>
    </row>
    <row r="3030" s="91" customFormat="1" spans="1:9">
      <c r="A3030" s="91" t="str">
        <f t="shared" si="141"/>
        <v>Tl-185</v>
      </c>
      <c r="B3030" s="91" t="s">
        <v>3659</v>
      </c>
      <c r="C3030" s="91" t="s">
        <v>3647</v>
      </c>
      <c r="D3030" s="91">
        <v>81</v>
      </c>
      <c r="E3030" s="91">
        <v>185</v>
      </c>
      <c r="F3030" s="91">
        <v>0</v>
      </c>
      <c r="G3030" s="126">
        <v>0.0355460092594843</v>
      </c>
      <c r="H3030" s="126">
        <f t="shared" si="142"/>
        <v>19.5</v>
      </c>
      <c r="I3030" s="126" t="str">
        <f t="shared" si="143"/>
        <v>0y 0d 0h 0m</v>
      </c>
    </row>
    <row r="3031" s="91" customFormat="1" spans="1:9">
      <c r="A3031" s="91" t="str">
        <f t="shared" si="141"/>
        <v>Tl-185m</v>
      </c>
      <c r="B3031" s="91" t="s">
        <v>3660</v>
      </c>
      <c r="C3031" s="91" t="s">
        <v>3647</v>
      </c>
      <c r="D3031" s="91">
        <v>81</v>
      </c>
      <c r="E3031" s="91">
        <v>185</v>
      </c>
      <c r="F3031" s="91">
        <v>1</v>
      </c>
      <c r="G3031" s="126">
        <v>0.359143616870438</v>
      </c>
      <c r="H3031" s="126">
        <f t="shared" si="142"/>
        <v>1.93</v>
      </c>
      <c r="I3031" s="126" t="str">
        <f t="shared" si="143"/>
        <v>0y 0d 0h 0m</v>
      </c>
    </row>
    <row r="3032" s="91" customFormat="1" spans="1:9">
      <c r="A3032" s="91" t="str">
        <f t="shared" si="141"/>
        <v>Tl-186</v>
      </c>
      <c r="B3032" s="91" t="s">
        <v>3661</v>
      </c>
      <c r="C3032" s="91" t="s">
        <v>3647</v>
      </c>
      <c r="D3032" s="91">
        <v>81</v>
      </c>
      <c r="E3032" s="91">
        <v>186</v>
      </c>
      <c r="F3032" s="91">
        <v>0</v>
      </c>
      <c r="G3032" s="126">
        <v>0.0252053520203616</v>
      </c>
      <c r="H3032" s="126">
        <f t="shared" si="142"/>
        <v>27.5</v>
      </c>
      <c r="I3032" s="126" t="str">
        <f t="shared" si="143"/>
        <v>0y 0d 0h 0m</v>
      </c>
    </row>
    <row r="3033" s="91" customFormat="1" spans="1:9">
      <c r="A3033" s="91" t="str">
        <f t="shared" si="141"/>
        <v>Tl-186m</v>
      </c>
      <c r="B3033" s="91" t="s">
        <v>3662</v>
      </c>
      <c r="C3033" s="91" t="s">
        <v>3647</v>
      </c>
      <c r="D3033" s="91">
        <v>81</v>
      </c>
      <c r="E3033" s="91">
        <v>186</v>
      </c>
      <c r="F3033" s="91">
        <v>1</v>
      </c>
      <c r="G3033" s="126">
        <v>0.239016269158601</v>
      </c>
      <c r="H3033" s="126">
        <f t="shared" si="142"/>
        <v>2.90000000000001</v>
      </c>
      <c r="I3033" s="126" t="str">
        <f t="shared" si="143"/>
        <v>0y 0d 0h 0m</v>
      </c>
    </row>
    <row r="3034" s="91" customFormat="1" spans="1:9">
      <c r="A3034" s="91" t="str">
        <f t="shared" si="141"/>
        <v>Tl-187</v>
      </c>
      <c r="B3034" s="91" t="s">
        <v>3663</v>
      </c>
      <c r="C3034" s="91" t="s">
        <v>3647</v>
      </c>
      <c r="D3034" s="91">
        <v>81</v>
      </c>
      <c r="E3034" s="91">
        <v>187</v>
      </c>
      <c r="F3034" s="91">
        <v>0</v>
      </c>
      <c r="G3034" s="126">
        <v>0.0135911211874499</v>
      </c>
      <c r="H3034" s="126">
        <f t="shared" si="142"/>
        <v>51</v>
      </c>
      <c r="I3034" s="126" t="str">
        <f t="shared" si="143"/>
        <v>0y 0d 0h 0m</v>
      </c>
    </row>
    <row r="3035" s="91" customFormat="1" spans="1:9">
      <c r="A3035" s="91" t="str">
        <f t="shared" si="141"/>
        <v>Tl-187m</v>
      </c>
      <c r="B3035" s="91" t="s">
        <v>3664</v>
      </c>
      <c r="C3035" s="91" t="s">
        <v>3647</v>
      </c>
      <c r="D3035" s="91">
        <v>81</v>
      </c>
      <c r="E3035" s="91">
        <v>187</v>
      </c>
      <c r="F3035" s="91">
        <v>1</v>
      </c>
      <c r="G3035" s="126">
        <v>0.0444325115743554</v>
      </c>
      <c r="H3035" s="126">
        <f t="shared" si="142"/>
        <v>15.6</v>
      </c>
      <c r="I3035" s="126" t="str">
        <f t="shared" si="143"/>
        <v>0y 0d 0h 0m</v>
      </c>
    </row>
    <row r="3036" s="91" customFormat="1" spans="1:9">
      <c r="A3036" s="91" t="str">
        <f t="shared" si="141"/>
        <v>Tl-188</v>
      </c>
      <c r="B3036" s="91" t="s">
        <v>3665</v>
      </c>
      <c r="C3036" s="91" t="s">
        <v>3647</v>
      </c>
      <c r="D3036" s="91">
        <v>81</v>
      </c>
      <c r="E3036" s="91">
        <v>188</v>
      </c>
      <c r="F3036" s="91">
        <v>0</v>
      </c>
      <c r="G3036" s="126">
        <v>0.00976263634591472</v>
      </c>
      <c r="H3036" s="126">
        <f t="shared" si="142"/>
        <v>71</v>
      </c>
      <c r="I3036" s="126" t="str">
        <f t="shared" si="143"/>
        <v>0y 0d 0h 1m</v>
      </c>
    </row>
    <row r="3037" s="91" customFormat="1" spans="1:9">
      <c r="A3037" s="91" t="str">
        <f t="shared" si="141"/>
        <v>Tl-188m</v>
      </c>
      <c r="B3037" s="91" t="s">
        <v>3666</v>
      </c>
      <c r="C3037" s="91" t="s">
        <v>3647</v>
      </c>
      <c r="D3037" s="91">
        <v>81</v>
      </c>
      <c r="E3037" s="91">
        <v>188</v>
      </c>
      <c r="F3037" s="91">
        <v>1</v>
      </c>
      <c r="G3037" s="126">
        <v>0.00976263634591472</v>
      </c>
      <c r="H3037" s="126">
        <f t="shared" si="142"/>
        <v>71</v>
      </c>
      <c r="I3037" s="126" t="str">
        <f t="shared" si="143"/>
        <v>0y 0d 0h 1m</v>
      </c>
    </row>
    <row r="3038" s="91" customFormat="1" spans="1:9">
      <c r="A3038" s="91" t="str">
        <f t="shared" si="141"/>
        <v>Tl-188m2</v>
      </c>
      <c r="B3038" s="91" t="s">
        <v>3667</v>
      </c>
      <c r="C3038" s="91" t="s">
        <v>3647</v>
      </c>
      <c r="D3038" s="91">
        <v>81</v>
      </c>
      <c r="E3038" s="91">
        <v>188</v>
      </c>
      <c r="F3038" s="91">
        <v>2</v>
      </c>
      <c r="G3038" s="126">
        <v>16.906028794145</v>
      </c>
      <c r="H3038" s="126">
        <f t="shared" si="142"/>
        <v>0.041</v>
      </c>
      <c r="I3038" s="126" t="str">
        <f t="shared" si="143"/>
        <v>0y 0d 0h 0m</v>
      </c>
    </row>
    <row r="3039" s="91" customFormat="1" spans="1:9">
      <c r="A3039" s="91" t="str">
        <f t="shared" si="141"/>
        <v>Tl-189</v>
      </c>
      <c r="B3039" s="91" t="s">
        <v>3668</v>
      </c>
      <c r="C3039" s="91" t="s">
        <v>3647</v>
      </c>
      <c r="D3039" s="91">
        <v>81</v>
      </c>
      <c r="E3039" s="91">
        <v>189</v>
      </c>
      <c r="F3039" s="91">
        <v>0</v>
      </c>
      <c r="G3039" s="126">
        <v>0.00502280565623148</v>
      </c>
      <c r="H3039" s="126">
        <f t="shared" si="142"/>
        <v>138</v>
      </c>
      <c r="I3039" s="126" t="str">
        <f t="shared" si="143"/>
        <v>0y 0d 0h 2m</v>
      </c>
    </row>
    <row r="3040" s="91" customFormat="1" spans="1:9">
      <c r="A3040" s="91" t="str">
        <f t="shared" si="141"/>
        <v>Tl-189m</v>
      </c>
      <c r="B3040" s="91" t="s">
        <v>3669</v>
      </c>
      <c r="C3040" s="91" t="s">
        <v>3647</v>
      </c>
      <c r="D3040" s="91">
        <v>81</v>
      </c>
      <c r="E3040" s="91">
        <v>189</v>
      </c>
      <c r="F3040" s="91">
        <v>1</v>
      </c>
      <c r="G3040" s="126">
        <v>0.00825175214952315</v>
      </c>
      <c r="H3040" s="126">
        <f t="shared" si="142"/>
        <v>84.0000000000001</v>
      </c>
      <c r="I3040" s="126" t="str">
        <f t="shared" si="143"/>
        <v>0y 0d 0h 1m</v>
      </c>
    </row>
    <row r="3041" s="91" customFormat="1" spans="1:9">
      <c r="A3041" s="91" t="str">
        <f t="shared" si="141"/>
        <v>Tl-190</v>
      </c>
      <c r="B3041" s="91" t="s">
        <v>3670</v>
      </c>
      <c r="C3041" s="91" t="s">
        <v>3647</v>
      </c>
      <c r="D3041" s="91">
        <v>81</v>
      </c>
      <c r="E3041" s="91">
        <v>190</v>
      </c>
      <c r="F3041" s="91">
        <v>0</v>
      </c>
      <c r="G3041" s="126">
        <v>0.00312228459711687</v>
      </c>
      <c r="H3041" s="126">
        <f t="shared" si="142"/>
        <v>222</v>
      </c>
      <c r="I3041" s="126" t="str">
        <f t="shared" si="143"/>
        <v>0y 0d 0h 3m</v>
      </c>
    </row>
    <row r="3042" s="91" customFormat="1" spans="1:9">
      <c r="A3042" s="91" t="str">
        <f t="shared" si="141"/>
        <v>Tl-190m</v>
      </c>
      <c r="B3042" s="91" t="s">
        <v>3671</v>
      </c>
      <c r="C3042" s="91" t="s">
        <v>3647</v>
      </c>
      <c r="D3042" s="91">
        <v>81</v>
      </c>
      <c r="E3042" s="91">
        <v>190</v>
      </c>
      <c r="F3042" s="91">
        <v>1</v>
      </c>
      <c r="G3042" s="126">
        <v>0.00444325115743554</v>
      </c>
      <c r="H3042" s="126">
        <f t="shared" si="142"/>
        <v>156</v>
      </c>
      <c r="I3042" s="126" t="str">
        <f t="shared" si="143"/>
        <v>0y 0d 0h 2m</v>
      </c>
    </row>
    <row r="3043" s="91" customFormat="1" spans="1:9">
      <c r="A3043" s="91" t="str">
        <f t="shared" si="141"/>
        <v>Tl-191</v>
      </c>
      <c r="B3043" s="91" t="s">
        <v>3672</v>
      </c>
      <c r="C3043" s="91" t="s">
        <v>3647</v>
      </c>
      <c r="D3043" s="91">
        <v>81</v>
      </c>
      <c r="E3043" s="91">
        <v>191</v>
      </c>
      <c r="F3043" s="91">
        <v>0</v>
      </c>
      <c r="G3043" s="126">
        <v>0.000577622650466621</v>
      </c>
      <c r="H3043" s="126">
        <f t="shared" si="142"/>
        <v>1200</v>
      </c>
      <c r="I3043" s="126" t="str">
        <f t="shared" si="143"/>
        <v>0y 0d 0h 20m</v>
      </c>
    </row>
    <row r="3044" s="91" customFormat="1" spans="1:9">
      <c r="A3044" s="91" t="str">
        <f t="shared" si="141"/>
        <v>Tl-191m</v>
      </c>
      <c r="B3044" s="91" t="s">
        <v>3673</v>
      </c>
      <c r="C3044" s="91" t="s">
        <v>3647</v>
      </c>
      <c r="D3044" s="91">
        <v>81</v>
      </c>
      <c r="E3044" s="91">
        <v>191</v>
      </c>
      <c r="F3044" s="91">
        <v>1</v>
      </c>
      <c r="G3044" s="126">
        <v>0.00221311360332038</v>
      </c>
      <c r="H3044" s="126">
        <f t="shared" si="142"/>
        <v>313.200000000001</v>
      </c>
      <c r="I3044" s="126" t="str">
        <f t="shared" si="143"/>
        <v>0y 0d 0h 5m</v>
      </c>
    </row>
    <row r="3045" s="91" customFormat="1" spans="1:9">
      <c r="A3045" s="91" t="str">
        <f t="shared" si="141"/>
        <v>Tl-192</v>
      </c>
      <c r="B3045" s="91" t="s">
        <v>3674</v>
      </c>
      <c r="C3045" s="91" t="s">
        <v>3647</v>
      </c>
      <c r="D3045" s="91">
        <v>81</v>
      </c>
      <c r="E3045" s="91">
        <v>192</v>
      </c>
      <c r="F3045" s="91">
        <v>0</v>
      </c>
      <c r="G3045" s="126">
        <v>0.00120338052180546</v>
      </c>
      <c r="H3045" s="126">
        <f t="shared" si="142"/>
        <v>576</v>
      </c>
      <c r="I3045" s="126" t="str">
        <f t="shared" si="143"/>
        <v>0y 0d 0h 9m</v>
      </c>
    </row>
    <row r="3046" s="91" customFormat="1" spans="1:9">
      <c r="A3046" s="91" t="str">
        <f t="shared" si="141"/>
        <v>Tl-192m</v>
      </c>
      <c r="B3046" s="91" t="s">
        <v>3675</v>
      </c>
      <c r="C3046" s="91" t="s">
        <v>3647</v>
      </c>
      <c r="D3046" s="91">
        <v>81</v>
      </c>
      <c r="E3046" s="91">
        <v>192</v>
      </c>
      <c r="F3046" s="91">
        <v>1</v>
      </c>
      <c r="G3046" s="126">
        <v>0.00106967157493818</v>
      </c>
      <c r="H3046" s="126">
        <f t="shared" si="142"/>
        <v>648.000000000004</v>
      </c>
      <c r="I3046" s="126" t="str">
        <f t="shared" si="143"/>
        <v>0y 0d 0h 10m</v>
      </c>
    </row>
    <row r="3047" s="91" customFormat="1" spans="1:9">
      <c r="A3047" s="91" t="str">
        <f t="shared" si="141"/>
        <v>Tl-193</v>
      </c>
      <c r="B3047" s="91" t="s">
        <v>3676</v>
      </c>
      <c r="C3047" s="91" t="s">
        <v>3647</v>
      </c>
      <c r="D3047" s="91">
        <v>81</v>
      </c>
      <c r="E3047" s="91">
        <v>193</v>
      </c>
      <c r="F3047" s="91">
        <v>0</v>
      </c>
      <c r="G3047" s="126">
        <v>0.000534835787469093</v>
      </c>
      <c r="H3047" s="126">
        <f t="shared" si="142"/>
        <v>1296</v>
      </c>
      <c r="I3047" s="126" t="str">
        <f t="shared" si="143"/>
        <v>0y 0d 0h 21m</v>
      </c>
    </row>
    <row r="3048" s="91" customFormat="1" spans="1:9">
      <c r="A3048" s="91" t="str">
        <f t="shared" si="141"/>
        <v>Tl-193m</v>
      </c>
      <c r="B3048" s="91" t="s">
        <v>3677</v>
      </c>
      <c r="C3048" s="91" t="s">
        <v>3647</v>
      </c>
      <c r="D3048" s="91">
        <v>81</v>
      </c>
      <c r="E3048" s="91">
        <v>193</v>
      </c>
      <c r="F3048" s="91">
        <v>1</v>
      </c>
      <c r="G3048" s="126">
        <v>0.00547509621295375</v>
      </c>
      <c r="H3048" s="126">
        <f t="shared" si="142"/>
        <v>126.6</v>
      </c>
      <c r="I3048" s="126" t="str">
        <f t="shared" si="143"/>
        <v>0y 0d 0h 2m</v>
      </c>
    </row>
    <row r="3049" s="91" customFormat="1" spans="1:9">
      <c r="A3049" s="91" t="str">
        <f t="shared" si="141"/>
        <v>Tl-194</v>
      </c>
      <c r="B3049" s="91" t="s">
        <v>3678</v>
      </c>
      <c r="C3049" s="91" t="s">
        <v>3647</v>
      </c>
      <c r="D3049" s="91">
        <v>81</v>
      </c>
      <c r="E3049" s="91">
        <v>194</v>
      </c>
      <c r="F3049" s="91">
        <v>0</v>
      </c>
      <c r="G3049" s="126">
        <v>0.000350074333616134</v>
      </c>
      <c r="H3049" s="126">
        <f t="shared" si="142"/>
        <v>1980</v>
      </c>
      <c r="I3049" s="126" t="str">
        <f t="shared" si="143"/>
        <v>0y 0d 0h 33m</v>
      </c>
    </row>
    <row r="3050" s="91" customFormat="1" spans="1:9">
      <c r="A3050" s="91" t="str">
        <f t="shared" si="141"/>
        <v>Tl-194m</v>
      </c>
      <c r="B3050" s="91" t="s">
        <v>3679</v>
      </c>
      <c r="C3050" s="91" t="s">
        <v>3647</v>
      </c>
      <c r="D3050" s="91">
        <v>81</v>
      </c>
      <c r="E3050" s="91">
        <v>194</v>
      </c>
      <c r="F3050" s="91">
        <v>1</v>
      </c>
      <c r="G3050" s="126">
        <v>0.000352208933211354</v>
      </c>
      <c r="H3050" s="126">
        <f t="shared" si="142"/>
        <v>1968</v>
      </c>
      <c r="I3050" s="126" t="str">
        <f t="shared" si="143"/>
        <v>0y 0d 0h 32m</v>
      </c>
    </row>
    <row r="3051" s="91" customFormat="1" spans="1:9">
      <c r="A3051" s="91" t="str">
        <f t="shared" si="141"/>
        <v>Tl-195</v>
      </c>
      <c r="B3051" s="91" t="s">
        <v>3680</v>
      </c>
      <c r="C3051" s="91" t="s">
        <v>3647</v>
      </c>
      <c r="D3051" s="91">
        <v>81</v>
      </c>
      <c r="E3051" s="91">
        <v>195</v>
      </c>
      <c r="F3051" s="91">
        <v>0</v>
      </c>
      <c r="G3051" s="126">
        <v>0.000165983520249029</v>
      </c>
      <c r="H3051" s="126">
        <f t="shared" si="142"/>
        <v>4176</v>
      </c>
      <c r="I3051" s="126" t="str">
        <f t="shared" si="143"/>
        <v>0y 0d 1h 9m</v>
      </c>
    </row>
    <row r="3052" s="91" customFormat="1" spans="1:9">
      <c r="A3052" s="91" t="str">
        <f t="shared" si="141"/>
        <v>Tl-195m</v>
      </c>
      <c r="B3052" s="91" t="s">
        <v>3681</v>
      </c>
      <c r="C3052" s="91" t="s">
        <v>3647</v>
      </c>
      <c r="D3052" s="91">
        <v>81</v>
      </c>
      <c r="E3052" s="91">
        <v>195</v>
      </c>
      <c r="F3052" s="91">
        <v>1</v>
      </c>
      <c r="G3052" s="126">
        <v>0.192540883488873</v>
      </c>
      <c r="H3052" s="126">
        <f t="shared" si="142"/>
        <v>3.60000000000001</v>
      </c>
      <c r="I3052" s="126" t="str">
        <f t="shared" si="143"/>
        <v>0y 0d 0h 0m</v>
      </c>
    </row>
    <row r="3053" s="91" customFormat="1" spans="1:9">
      <c r="A3053" s="91" t="str">
        <f t="shared" si="141"/>
        <v>Tl-196</v>
      </c>
      <c r="B3053" s="91" t="s">
        <v>3682</v>
      </c>
      <c r="C3053" s="91" t="s">
        <v>3647</v>
      </c>
      <c r="D3053" s="91">
        <v>81</v>
      </c>
      <c r="E3053" s="91">
        <v>196</v>
      </c>
      <c r="F3053" s="91">
        <v>0</v>
      </c>
      <c r="G3053" s="126">
        <v>0.000104641784504822</v>
      </c>
      <c r="H3053" s="126">
        <f t="shared" si="142"/>
        <v>6624.00000000004</v>
      </c>
      <c r="I3053" s="126" t="str">
        <f t="shared" si="143"/>
        <v>0y 0d 1h 50m</v>
      </c>
    </row>
    <row r="3054" s="91" customFormat="1" spans="1:9">
      <c r="A3054" s="91" t="str">
        <f t="shared" si="141"/>
        <v>Tl-196m</v>
      </c>
      <c r="B3054" s="91" t="s">
        <v>3683</v>
      </c>
      <c r="C3054" s="91" t="s">
        <v>3647</v>
      </c>
      <c r="D3054" s="91">
        <v>81</v>
      </c>
      <c r="E3054" s="91">
        <v>196</v>
      </c>
      <c r="F3054" s="91">
        <v>1</v>
      </c>
      <c r="G3054" s="126">
        <v>0.000136553818077215</v>
      </c>
      <c r="H3054" s="126">
        <f t="shared" si="142"/>
        <v>5076.00000000001</v>
      </c>
      <c r="I3054" s="126" t="str">
        <f t="shared" si="143"/>
        <v>0y 0d 1h 24m</v>
      </c>
    </row>
    <row r="3055" s="91" customFormat="1" spans="1:9">
      <c r="A3055" s="91" t="str">
        <f t="shared" si="141"/>
        <v>Tl-197</v>
      </c>
      <c r="B3055" s="91" t="s">
        <v>3684</v>
      </c>
      <c r="C3055" s="91" t="s">
        <v>3647</v>
      </c>
      <c r="D3055" s="91">
        <v>81</v>
      </c>
      <c r="E3055" s="91">
        <v>197</v>
      </c>
      <c r="F3055" s="91">
        <v>0</v>
      </c>
      <c r="G3055" s="126">
        <v>6.77960857355189e-5</v>
      </c>
      <c r="H3055" s="126">
        <f t="shared" si="142"/>
        <v>10224</v>
      </c>
      <c r="I3055" s="126" t="str">
        <f t="shared" si="143"/>
        <v>0y 0d 2h 50m</v>
      </c>
    </row>
    <row r="3056" s="91" customFormat="1" spans="1:9">
      <c r="A3056" s="91" t="str">
        <f t="shared" si="141"/>
        <v>Tl-197m</v>
      </c>
      <c r="B3056" s="91" t="s">
        <v>3685</v>
      </c>
      <c r="C3056" s="91" t="s">
        <v>3647</v>
      </c>
      <c r="D3056" s="91">
        <v>81</v>
      </c>
      <c r="E3056" s="91">
        <v>197</v>
      </c>
      <c r="F3056" s="91">
        <v>1</v>
      </c>
      <c r="G3056" s="126">
        <v>1.28360588992582</v>
      </c>
      <c r="H3056" s="126">
        <f t="shared" si="142"/>
        <v>0.540000000000002</v>
      </c>
      <c r="I3056" s="126" t="str">
        <f t="shared" si="143"/>
        <v>0y 0d 0h 0m</v>
      </c>
    </row>
    <row r="3057" s="91" customFormat="1" spans="1:9">
      <c r="A3057" s="91" t="str">
        <f t="shared" si="141"/>
        <v>Tl-198</v>
      </c>
      <c r="B3057" s="91" t="s">
        <v>3686</v>
      </c>
      <c r="C3057" s="91" t="s">
        <v>3647</v>
      </c>
      <c r="D3057" s="91">
        <v>81</v>
      </c>
      <c r="E3057" s="91">
        <v>198</v>
      </c>
      <c r="F3057" s="91">
        <v>0</v>
      </c>
      <c r="G3057" s="126">
        <v>3.63284685828063e-5</v>
      </c>
      <c r="H3057" s="126">
        <f t="shared" si="142"/>
        <v>19080</v>
      </c>
      <c r="I3057" s="126" t="str">
        <f t="shared" si="143"/>
        <v>0y 0d 5h 18m</v>
      </c>
    </row>
    <row r="3058" s="91" customFormat="1" spans="1:9">
      <c r="A3058" s="91" t="str">
        <f t="shared" si="141"/>
        <v>Tl-198m</v>
      </c>
      <c r="B3058" s="91" t="s">
        <v>3687</v>
      </c>
      <c r="C3058" s="91" t="s">
        <v>3647</v>
      </c>
      <c r="D3058" s="91">
        <v>81</v>
      </c>
      <c r="E3058" s="91">
        <v>198</v>
      </c>
      <c r="F3058" s="91">
        <v>1</v>
      </c>
      <c r="G3058" s="126">
        <v>0.000102963039298862</v>
      </c>
      <c r="H3058" s="126">
        <f t="shared" si="142"/>
        <v>6732.00000000006</v>
      </c>
      <c r="I3058" s="126" t="str">
        <f t="shared" si="143"/>
        <v>0y 0d 1h 52m</v>
      </c>
    </row>
    <row r="3059" s="91" customFormat="1" spans="1:9">
      <c r="A3059" s="91" t="str">
        <f t="shared" si="141"/>
        <v>Tl-198m2</v>
      </c>
      <c r="B3059" s="91" t="s">
        <v>3688</v>
      </c>
      <c r="C3059" s="91" t="s">
        <v>3647</v>
      </c>
      <c r="D3059" s="91">
        <v>81</v>
      </c>
      <c r="E3059" s="91">
        <v>198</v>
      </c>
      <c r="F3059" s="91">
        <v>2</v>
      </c>
      <c r="G3059" s="126">
        <v>21.5933701109017</v>
      </c>
      <c r="H3059" s="126">
        <f t="shared" si="142"/>
        <v>0.0321</v>
      </c>
      <c r="I3059" s="126" t="str">
        <f t="shared" si="143"/>
        <v>0y 0d 0h 0m</v>
      </c>
    </row>
    <row r="3060" s="91" customFormat="1" spans="1:9">
      <c r="A3060" s="91" t="str">
        <f t="shared" si="141"/>
        <v>Tl-199</v>
      </c>
      <c r="B3060" s="91" t="s">
        <v>3689</v>
      </c>
      <c r="C3060" s="91" t="s">
        <v>3647</v>
      </c>
      <c r="D3060" s="91">
        <v>81</v>
      </c>
      <c r="E3060" s="91">
        <v>199</v>
      </c>
      <c r="F3060" s="91">
        <v>0</v>
      </c>
      <c r="G3060" s="126">
        <v>2.59489061305759e-5</v>
      </c>
      <c r="H3060" s="126">
        <f t="shared" si="142"/>
        <v>26712.0000000001</v>
      </c>
      <c r="I3060" s="126" t="str">
        <f t="shared" si="143"/>
        <v>0y 0d 7h 25m</v>
      </c>
    </row>
    <row r="3061" s="91" customFormat="1" spans="1:9">
      <c r="A3061" s="91" t="str">
        <f t="shared" si="141"/>
        <v>Tl-199m</v>
      </c>
      <c r="B3061" s="91" t="s">
        <v>3690</v>
      </c>
      <c r="C3061" s="91" t="s">
        <v>3647</v>
      </c>
      <c r="D3061" s="91">
        <v>81</v>
      </c>
      <c r="E3061" s="91">
        <v>199</v>
      </c>
      <c r="F3061" s="91">
        <v>1</v>
      </c>
      <c r="G3061" s="126">
        <v>24.4065908647868</v>
      </c>
      <c r="H3061" s="126">
        <f t="shared" si="142"/>
        <v>0.0284</v>
      </c>
      <c r="I3061" s="126" t="str">
        <f t="shared" si="143"/>
        <v>0y 0d 0h 0m</v>
      </c>
    </row>
    <row r="3062" s="91" customFormat="1" spans="1:9">
      <c r="A3062" s="91" t="str">
        <f t="shared" si="141"/>
        <v>Tl-200</v>
      </c>
      <c r="B3062" s="91" t="s">
        <v>3691</v>
      </c>
      <c r="C3062" s="91" t="s">
        <v>3647</v>
      </c>
      <c r="D3062" s="91">
        <v>81</v>
      </c>
      <c r="E3062" s="91">
        <v>200</v>
      </c>
      <c r="F3062" s="91">
        <v>0</v>
      </c>
      <c r="G3062" s="126">
        <v>7.37704534440129e-6</v>
      </c>
      <c r="H3062" s="126">
        <f t="shared" si="142"/>
        <v>93960</v>
      </c>
      <c r="I3062" s="126" t="str">
        <f t="shared" si="143"/>
        <v>0y 1d 2h 6m</v>
      </c>
    </row>
    <row r="3063" s="91" customFormat="1" spans="1:9">
      <c r="A3063" s="91" t="str">
        <f t="shared" si="141"/>
        <v>Tl-200m</v>
      </c>
      <c r="B3063" s="91" t="s">
        <v>3692</v>
      </c>
      <c r="C3063" s="91" t="s">
        <v>3647</v>
      </c>
      <c r="D3063" s="91">
        <v>81</v>
      </c>
      <c r="E3063" s="91">
        <v>200</v>
      </c>
      <c r="F3063" s="91">
        <v>1</v>
      </c>
      <c r="G3063" s="126">
        <v>20.3866817811748</v>
      </c>
      <c r="H3063" s="126">
        <f t="shared" si="142"/>
        <v>0.0340000000000001</v>
      </c>
      <c r="I3063" s="126" t="str">
        <f t="shared" si="143"/>
        <v>0y 0d 0h 0m</v>
      </c>
    </row>
    <row r="3064" s="91" customFormat="1" spans="1:9">
      <c r="A3064" s="91" t="str">
        <f t="shared" si="141"/>
        <v>Tl-201</v>
      </c>
      <c r="B3064" s="91" t="s">
        <v>3693</v>
      </c>
      <c r="C3064" s="91" t="s">
        <v>3647</v>
      </c>
      <c r="D3064" s="91">
        <v>81</v>
      </c>
      <c r="E3064" s="91">
        <v>201</v>
      </c>
      <c r="F3064" s="91">
        <v>0</v>
      </c>
      <c r="G3064" s="126">
        <v>2.63717104399885e-6</v>
      </c>
      <c r="H3064" s="126">
        <f t="shared" si="142"/>
        <v>262837.400000001</v>
      </c>
      <c r="I3064" s="126" t="str">
        <f t="shared" si="143"/>
        <v>0y 3d 1h 0m</v>
      </c>
    </row>
    <row r="3065" s="91" customFormat="1" spans="1:9">
      <c r="A3065" s="91" t="str">
        <f t="shared" si="141"/>
        <v>Tl-201m</v>
      </c>
      <c r="B3065" s="91" t="s">
        <v>3694</v>
      </c>
      <c r="C3065" s="91" t="s">
        <v>3647</v>
      </c>
      <c r="D3065" s="91">
        <v>81</v>
      </c>
      <c r="E3065" s="91">
        <v>201</v>
      </c>
      <c r="F3065" s="91">
        <v>1</v>
      </c>
      <c r="G3065" s="126">
        <v>344.849343562161</v>
      </c>
      <c r="H3065" s="126">
        <f t="shared" si="142"/>
        <v>0.00201</v>
      </c>
      <c r="I3065" s="126" t="str">
        <f t="shared" si="143"/>
        <v>0y 0d 0h 0m</v>
      </c>
    </row>
    <row r="3066" s="91" customFormat="1" spans="1:9">
      <c r="A3066" s="91" t="str">
        <f t="shared" si="141"/>
        <v>Tl-202</v>
      </c>
      <c r="B3066" s="91" t="s">
        <v>3695</v>
      </c>
      <c r="C3066" s="91" t="s">
        <v>3647</v>
      </c>
      <c r="D3066" s="91">
        <v>81</v>
      </c>
      <c r="E3066" s="91">
        <v>202</v>
      </c>
      <c r="F3066" s="91">
        <v>0</v>
      </c>
      <c r="G3066" s="126">
        <v>6.51708920555353e-7</v>
      </c>
      <c r="H3066" s="126">
        <f t="shared" si="142"/>
        <v>1063584</v>
      </c>
      <c r="I3066" s="126" t="str">
        <f t="shared" si="143"/>
        <v>0y 12d 7h 26m</v>
      </c>
    </row>
    <row r="3067" s="91" customFormat="1" spans="1:9">
      <c r="A3067" s="91" t="str">
        <f t="shared" si="141"/>
        <v>Tl-203</v>
      </c>
      <c r="B3067" s="91" t="s">
        <v>3696</v>
      </c>
      <c r="C3067" s="91" t="s">
        <v>3647</v>
      </c>
      <c r="D3067" s="91">
        <v>81</v>
      </c>
      <c r="E3067" s="91">
        <v>203</v>
      </c>
      <c r="F3067" s="91">
        <v>0</v>
      </c>
      <c r="G3067" s="126">
        <v>0</v>
      </c>
      <c r="H3067" s="126">
        <f t="shared" si="142"/>
        <v>0</v>
      </c>
      <c r="I3067" s="126" t="str">
        <f t="shared" si="143"/>
        <v>0y 0d 0h 0m</v>
      </c>
    </row>
    <row r="3068" s="91" customFormat="1" spans="1:9">
      <c r="A3068" s="91" t="str">
        <f t="shared" si="141"/>
        <v>Tl-204</v>
      </c>
      <c r="B3068" s="91" t="s">
        <v>3697</v>
      </c>
      <c r="C3068" s="91" t="s">
        <v>3647</v>
      </c>
      <c r="D3068" s="91">
        <v>81</v>
      </c>
      <c r="E3068" s="91">
        <v>204</v>
      </c>
      <c r="F3068" s="91">
        <v>0</v>
      </c>
      <c r="G3068" s="126">
        <v>5.80610861031396e-9</v>
      </c>
      <c r="H3068" s="126">
        <f t="shared" si="142"/>
        <v>119382400</v>
      </c>
      <c r="I3068" s="126" t="str">
        <f t="shared" si="143"/>
        <v>3y 286d 17h 46m</v>
      </c>
    </row>
    <row r="3069" s="91" customFormat="1" spans="1:9">
      <c r="A3069" s="91" t="str">
        <f t="shared" si="141"/>
        <v>Tl-205</v>
      </c>
      <c r="B3069" s="91" t="s">
        <v>3698</v>
      </c>
      <c r="C3069" s="91" t="s">
        <v>3647</v>
      </c>
      <c r="D3069" s="91">
        <v>81</v>
      </c>
      <c r="E3069" s="91">
        <v>205</v>
      </c>
      <c r="F3069" s="91">
        <v>0</v>
      </c>
      <c r="G3069" s="126">
        <v>0</v>
      </c>
      <c r="H3069" s="126">
        <f t="shared" si="142"/>
        <v>0</v>
      </c>
      <c r="I3069" s="126" t="str">
        <f t="shared" si="143"/>
        <v>0y 0d 0h 0m</v>
      </c>
    </row>
    <row r="3070" s="91" customFormat="1" spans="1:9">
      <c r="A3070" s="91" t="str">
        <f t="shared" si="141"/>
        <v>Tl-206</v>
      </c>
      <c r="B3070" s="91" t="s">
        <v>3699</v>
      </c>
      <c r="C3070" s="91" t="s">
        <v>3647</v>
      </c>
      <c r="D3070" s="91">
        <v>81</v>
      </c>
      <c r="E3070" s="91">
        <v>206</v>
      </c>
      <c r="F3070" s="91">
        <v>0</v>
      </c>
      <c r="G3070" s="126">
        <v>0.00274927487133089</v>
      </c>
      <c r="H3070" s="126">
        <f t="shared" si="142"/>
        <v>252.12</v>
      </c>
      <c r="I3070" s="126" t="str">
        <f t="shared" si="143"/>
        <v>0y 0d 0h 4m</v>
      </c>
    </row>
    <row r="3071" s="91" customFormat="1" spans="1:9">
      <c r="A3071" s="91" t="str">
        <f t="shared" si="141"/>
        <v>Tl-206m</v>
      </c>
      <c r="B3071" s="91" t="s">
        <v>3700</v>
      </c>
      <c r="C3071" s="91" t="s">
        <v>3647</v>
      </c>
      <c r="D3071" s="91">
        <v>81</v>
      </c>
      <c r="E3071" s="91">
        <v>206</v>
      </c>
      <c r="F3071" s="91">
        <v>1</v>
      </c>
      <c r="G3071" s="126">
        <v>0.00308889117896588</v>
      </c>
      <c r="H3071" s="126">
        <f t="shared" si="142"/>
        <v>224.400000000001</v>
      </c>
      <c r="I3071" s="126" t="str">
        <f t="shared" si="143"/>
        <v>0y 0d 0h 3m</v>
      </c>
    </row>
    <row r="3072" s="91" customFormat="1" spans="1:9">
      <c r="A3072" s="91" t="str">
        <f t="shared" si="141"/>
        <v>Tl-207</v>
      </c>
      <c r="B3072" s="91" t="s">
        <v>3701</v>
      </c>
      <c r="C3072" s="91" t="s">
        <v>3647</v>
      </c>
      <c r="D3072" s="91">
        <v>81</v>
      </c>
      <c r="E3072" s="91">
        <v>207</v>
      </c>
      <c r="F3072" s="91">
        <v>0</v>
      </c>
      <c r="G3072" s="126">
        <v>0.00242189790552042</v>
      </c>
      <c r="H3072" s="126">
        <f t="shared" si="142"/>
        <v>286.2</v>
      </c>
      <c r="I3072" s="126" t="str">
        <f t="shared" si="143"/>
        <v>0y 0d 0h 4m</v>
      </c>
    </row>
    <row r="3073" s="91" customFormat="1" spans="1:9">
      <c r="A3073" s="91" t="str">
        <f t="shared" si="141"/>
        <v>Tl-207m</v>
      </c>
      <c r="B3073" s="91" t="s">
        <v>3702</v>
      </c>
      <c r="C3073" s="91" t="s">
        <v>3647</v>
      </c>
      <c r="D3073" s="91">
        <v>81</v>
      </c>
      <c r="E3073" s="91">
        <v>207</v>
      </c>
      <c r="F3073" s="91">
        <v>1</v>
      </c>
      <c r="G3073" s="126">
        <v>0.521163293654094</v>
      </c>
      <c r="H3073" s="126">
        <f t="shared" si="142"/>
        <v>1.33</v>
      </c>
      <c r="I3073" s="126" t="str">
        <f t="shared" si="143"/>
        <v>0y 0d 0h 0m</v>
      </c>
    </row>
    <row r="3074" s="91" customFormat="1" spans="1:9">
      <c r="A3074" s="91" t="str">
        <f t="shared" ref="A3074:A3137" si="144">C3074&amp;"-"&amp;E3074&amp;_xlfn.IFS(F3074=0,"",F3074=1,"m",F3074&gt;1,"m"&amp;F3074)</f>
        <v>Tl-208</v>
      </c>
      <c r="B3074" s="91" t="s">
        <v>3703</v>
      </c>
      <c r="C3074" s="91" t="s">
        <v>3647</v>
      </c>
      <c r="D3074" s="91">
        <v>81</v>
      </c>
      <c r="E3074" s="91">
        <v>208</v>
      </c>
      <c r="F3074" s="91">
        <v>0</v>
      </c>
      <c r="G3074" s="126">
        <v>0.00378396757593593</v>
      </c>
      <c r="H3074" s="126">
        <f t="shared" ref="H3074:H3137" si="145">IF(G3074&gt;0,LN(2)/G3074,0)</f>
        <v>183.18</v>
      </c>
      <c r="I3074" s="126" t="str">
        <f t="shared" si="143"/>
        <v>0y 0d 0h 3m</v>
      </c>
    </row>
    <row r="3075" s="91" customFormat="1" spans="1:9">
      <c r="A3075" s="91" t="str">
        <f t="shared" si="144"/>
        <v>Tl-209</v>
      </c>
      <c r="B3075" s="91" t="s">
        <v>3704</v>
      </c>
      <c r="C3075" s="91" t="s">
        <v>3647</v>
      </c>
      <c r="D3075" s="91">
        <v>81</v>
      </c>
      <c r="E3075" s="91">
        <v>209</v>
      </c>
      <c r="F3075" s="91">
        <v>0</v>
      </c>
      <c r="G3075" s="126">
        <v>0.00525111500424201</v>
      </c>
      <c r="H3075" s="126">
        <f t="shared" si="145"/>
        <v>132</v>
      </c>
      <c r="I3075" s="126" t="str">
        <f t="shared" ref="I3075:I3138" si="146">INT(H3075/31536000)&amp;"y "&amp;INT(MOD(H3075,31536000)/86400)&amp;"d "&amp;INT(MOD(MOD(H3075,31536000),86400)/3600)&amp;"h "&amp;INT(MOD(MOD(MOD(H3075,31536000),86400),3600)/60)&amp;"m"</f>
        <v>0y 0d 0h 2m</v>
      </c>
    </row>
    <row r="3076" s="91" customFormat="1" spans="1:9">
      <c r="A3076" s="91" t="str">
        <f t="shared" si="144"/>
        <v>Tl-210</v>
      </c>
      <c r="B3076" s="91" t="s">
        <v>3705</v>
      </c>
      <c r="C3076" s="91" t="s">
        <v>3647</v>
      </c>
      <c r="D3076" s="91">
        <v>81</v>
      </c>
      <c r="E3076" s="91">
        <v>210</v>
      </c>
      <c r="F3076" s="91">
        <v>0</v>
      </c>
      <c r="G3076" s="126">
        <v>0.00888650231487109</v>
      </c>
      <c r="H3076" s="126">
        <f t="shared" si="145"/>
        <v>78</v>
      </c>
      <c r="I3076" s="126" t="str">
        <f t="shared" si="146"/>
        <v>0y 0d 0h 1m</v>
      </c>
    </row>
    <row r="3077" s="91" customFormat="1" spans="1:9">
      <c r="A3077" s="91" t="str">
        <f t="shared" si="144"/>
        <v>Tl-211</v>
      </c>
      <c r="B3077" s="91" t="s">
        <v>3706</v>
      </c>
      <c r="C3077" s="91" t="s">
        <v>3647</v>
      </c>
      <c r="D3077" s="91">
        <v>81</v>
      </c>
      <c r="E3077" s="91">
        <v>211</v>
      </c>
      <c r="F3077" s="91">
        <v>0</v>
      </c>
      <c r="G3077" s="126">
        <v>0.0115524530093324</v>
      </c>
      <c r="H3077" s="126">
        <f t="shared" si="145"/>
        <v>60.0000000000001</v>
      </c>
      <c r="I3077" s="126" t="str">
        <f t="shared" si="146"/>
        <v>0y 0d 0h 1m</v>
      </c>
    </row>
    <row r="3078" s="91" customFormat="1" spans="1:9">
      <c r="A3078" s="91" t="str">
        <f t="shared" si="144"/>
        <v>Tl-212</v>
      </c>
      <c r="B3078" s="91" t="s">
        <v>3707</v>
      </c>
      <c r="C3078" s="91" t="s">
        <v>3647</v>
      </c>
      <c r="D3078" s="91">
        <v>81</v>
      </c>
      <c r="E3078" s="91">
        <v>212</v>
      </c>
      <c r="F3078" s="91">
        <v>0</v>
      </c>
      <c r="G3078" s="126">
        <v>0.0103454803068648</v>
      </c>
      <c r="H3078" s="126">
        <f t="shared" si="145"/>
        <v>67.0000000000004</v>
      </c>
      <c r="I3078" s="126" t="str">
        <f t="shared" si="146"/>
        <v>0y 0d 0h 1m</v>
      </c>
    </row>
    <row r="3079" s="91" customFormat="1" spans="1:9">
      <c r="A3079" s="91" t="str">
        <f t="shared" si="144"/>
        <v>Pb-178</v>
      </c>
      <c r="B3079" s="91" t="s">
        <v>3708</v>
      </c>
      <c r="C3079" s="91" t="s">
        <v>3709</v>
      </c>
      <c r="D3079" s="91">
        <v>82</v>
      </c>
      <c r="E3079" s="91">
        <v>178</v>
      </c>
      <c r="F3079" s="91">
        <v>0</v>
      </c>
      <c r="G3079" s="126">
        <v>3013.68339373889</v>
      </c>
      <c r="H3079" s="126">
        <f t="shared" si="145"/>
        <v>0.00023</v>
      </c>
      <c r="I3079" s="126" t="str">
        <f t="shared" si="146"/>
        <v>0y 0d 0h 0m</v>
      </c>
    </row>
    <row r="3080" s="91" customFormat="1" spans="1:9">
      <c r="A3080" s="91" t="str">
        <f t="shared" si="144"/>
        <v>Pb-179</v>
      </c>
      <c r="B3080" s="91" t="s">
        <v>3710</v>
      </c>
      <c r="C3080" s="91" t="s">
        <v>3709</v>
      </c>
      <c r="D3080" s="91">
        <v>82</v>
      </c>
      <c r="E3080" s="91">
        <v>179</v>
      </c>
      <c r="F3080" s="91">
        <v>0</v>
      </c>
      <c r="G3080" s="126">
        <v>231.049060186648</v>
      </c>
      <c r="H3080" s="126">
        <f t="shared" si="145"/>
        <v>0.00300000000000001</v>
      </c>
      <c r="I3080" s="126" t="str">
        <f t="shared" si="146"/>
        <v>0y 0d 0h 0m</v>
      </c>
    </row>
    <row r="3081" s="91" customFormat="1" spans="1:9">
      <c r="A3081" s="91" t="str">
        <f t="shared" si="144"/>
        <v>Pb-180</v>
      </c>
      <c r="B3081" s="91" t="s">
        <v>3711</v>
      </c>
      <c r="C3081" s="91" t="s">
        <v>3709</v>
      </c>
      <c r="D3081" s="91">
        <v>82</v>
      </c>
      <c r="E3081" s="91">
        <v>180</v>
      </c>
      <c r="F3081" s="91">
        <v>0</v>
      </c>
      <c r="G3081" s="126">
        <v>154.032706791098</v>
      </c>
      <c r="H3081" s="126">
        <f t="shared" si="145"/>
        <v>0.00450000000000003</v>
      </c>
      <c r="I3081" s="126" t="str">
        <f t="shared" si="146"/>
        <v>0y 0d 0h 0m</v>
      </c>
    </row>
    <row r="3082" s="91" customFormat="1" spans="1:9">
      <c r="A3082" s="91" t="str">
        <f t="shared" si="144"/>
        <v>Pb-181</v>
      </c>
      <c r="B3082" s="91" t="s">
        <v>3712</v>
      </c>
      <c r="C3082" s="91" t="s">
        <v>3709</v>
      </c>
      <c r="D3082" s="91">
        <v>82</v>
      </c>
      <c r="E3082" s="91">
        <v>181</v>
      </c>
      <c r="F3082" s="91">
        <v>0</v>
      </c>
      <c r="G3082" s="126">
        <v>19.2540883488873</v>
      </c>
      <c r="H3082" s="126">
        <f t="shared" si="145"/>
        <v>0.0360000000000001</v>
      </c>
      <c r="I3082" s="126" t="str">
        <f t="shared" si="146"/>
        <v>0y 0d 0h 0m</v>
      </c>
    </row>
    <row r="3083" s="91" customFormat="1" spans="1:9">
      <c r="A3083" s="91" t="str">
        <f t="shared" si="144"/>
        <v>Pb-181m</v>
      </c>
      <c r="B3083" s="91" t="s">
        <v>3713</v>
      </c>
      <c r="C3083" s="91" t="s">
        <v>3709</v>
      </c>
      <c r="D3083" s="91">
        <v>82</v>
      </c>
      <c r="E3083" s="91">
        <v>181</v>
      </c>
      <c r="F3083" s="91">
        <v>1</v>
      </c>
      <c r="G3083" s="126">
        <v>15.4032706791098</v>
      </c>
      <c r="H3083" s="126">
        <f t="shared" si="145"/>
        <v>0.0450000000000003</v>
      </c>
      <c r="I3083" s="126" t="str">
        <f t="shared" si="146"/>
        <v>0y 0d 0h 0m</v>
      </c>
    </row>
    <row r="3084" s="91" customFormat="1" spans="1:9">
      <c r="A3084" s="91" t="str">
        <f t="shared" si="144"/>
        <v>Pb-182</v>
      </c>
      <c r="B3084" s="91" t="s">
        <v>3714</v>
      </c>
      <c r="C3084" s="91" t="s">
        <v>3709</v>
      </c>
      <c r="D3084" s="91">
        <v>82</v>
      </c>
      <c r="E3084" s="91">
        <v>182</v>
      </c>
      <c r="F3084" s="91">
        <v>0</v>
      </c>
      <c r="G3084" s="126">
        <v>12.0547335749555</v>
      </c>
      <c r="H3084" s="126">
        <f t="shared" si="145"/>
        <v>0.0575000000000003</v>
      </c>
      <c r="I3084" s="126" t="str">
        <f t="shared" si="146"/>
        <v>0y 0d 0h 0m</v>
      </c>
    </row>
    <row r="3085" s="91" customFormat="1" spans="1:9">
      <c r="A3085" s="91" t="str">
        <f t="shared" si="144"/>
        <v>Pb-183</v>
      </c>
      <c r="B3085" s="91" t="s">
        <v>3715</v>
      </c>
      <c r="C3085" s="91" t="s">
        <v>3709</v>
      </c>
      <c r="D3085" s="91">
        <v>82</v>
      </c>
      <c r="E3085" s="91">
        <v>183</v>
      </c>
      <c r="F3085" s="91">
        <v>0</v>
      </c>
      <c r="G3085" s="126">
        <v>1.2956022066541</v>
      </c>
      <c r="H3085" s="126">
        <f t="shared" si="145"/>
        <v>0.535000000000001</v>
      </c>
      <c r="I3085" s="126" t="str">
        <f t="shared" si="146"/>
        <v>0y 0d 0h 0m</v>
      </c>
    </row>
    <row r="3086" s="91" customFormat="1" spans="1:9">
      <c r="A3086" s="91" t="str">
        <f t="shared" si="144"/>
        <v>Pb-183m</v>
      </c>
      <c r="B3086" s="91" t="s">
        <v>3716</v>
      </c>
      <c r="C3086" s="91" t="s">
        <v>3709</v>
      </c>
      <c r="D3086" s="91">
        <v>82</v>
      </c>
      <c r="E3086" s="91">
        <v>183</v>
      </c>
      <c r="F3086" s="91">
        <v>1</v>
      </c>
      <c r="G3086" s="126">
        <v>1.67023417002396</v>
      </c>
      <c r="H3086" s="126">
        <f t="shared" si="145"/>
        <v>0.415000000000001</v>
      </c>
      <c r="I3086" s="126" t="str">
        <f t="shared" si="146"/>
        <v>0y 0d 0h 0m</v>
      </c>
    </row>
    <row r="3087" s="91" customFormat="1" spans="1:9">
      <c r="A3087" s="91" t="str">
        <f t="shared" si="144"/>
        <v>Pb-184</v>
      </c>
      <c r="B3087" s="91" t="s">
        <v>3717</v>
      </c>
      <c r="C3087" s="91" t="s">
        <v>3709</v>
      </c>
      <c r="D3087" s="91">
        <v>82</v>
      </c>
      <c r="E3087" s="91">
        <v>184</v>
      </c>
      <c r="F3087" s="91">
        <v>0</v>
      </c>
      <c r="G3087" s="126">
        <v>1.41458608277539</v>
      </c>
      <c r="H3087" s="126">
        <f t="shared" si="145"/>
        <v>0.490000000000003</v>
      </c>
      <c r="I3087" s="126" t="str">
        <f t="shared" si="146"/>
        <v>0y 0d 0h 0m</v>
      </c>
    </row>
    <row r="3088" s="91" customFormat="1" spans="1:9">
      <c r="A3088" s="91" t="str">
        <f t="shared" si="144"/>
        <v>Pb-185</v>
      </c>
      <c r="B3088" s="91" t="s">
        <v>3718</v>
      </c>
      <c r="C3088" s="91" t="s">
        <v>3709</v>
      </c>
      <c r="D3088" s="91">
        <v>82</v>
      </c>
      <c r="E3088" s="91">
        <v>185</v>
      </c>
      <c r="F3088" s="91">
        <v>0</v>
      </c>
      <c r="G3088" s="126">
        <v>0.110023361993642</v>
      </c>
      <c r="H3088" s="126">
        <f t="shared" si="145"/>
        <v>6.30000000000001</v>
      </c>
      <c r="I3088" s="126" t="str">
        <f t="shared" si="146"/>
        <v>0y 0d 0h 0m</v>
      </c>
    </row>
    <row r="3089" s="91" customFormat="1" spans="1:9">
      <c r="A3089" s="91" t="str">
        <f t="shared" si="144"/>
        <v>Pb-185m</v>
      </c>
      <c r="B3089" s="91" t="s">
        <v>3719</v>
      </c>
      <c r="C3089" s="91" t="s">
        <v>3709</v>
      </c>
      <c r="D3089" s="91">
        <v>82</v>
      </c>
      <c r="E3089" s="91">
        <v>185</v>
      </c>
      <c r="F3089" s="91">
        <v>1</v>
      </c>
      <c r="G3089" s="126">
        <v>0.161197018734871</v>
      </c>
      <c r="H3089" s="126">
        <f t="shared" si="145"/>
        <v>4.3</v>
      </c>
      <c r="I3089" s="126" t="str">
        <f t="shared" si="146"/>
        <v>0y 0d 0h 0m</v>
      </c>
    </row>
    <row r="3090" s="91" customFormat="1" spans="1:9">
      <c r="A3090" s="91" t="str">
        <f t="shared" si="144"/>
        <v>Pb-186</v>
      </c>
      <c r="B3090" s="91" t="s">
        <v>3720</v>
      </c>
      <c r="C3090" s="91" t="s">
        <v>3709</v>
      </c>
      <c r="D3090" s="91">
        <v>82</v>
      </c>
      <c r="E3090" s="91">
        <v>186</v>
      </c>
      <c r="F3090" s="91">
        <v>0</v>
      </c>
      <c r="G3090" s="126">
        <v>0.143806468995839</v>
      </c>
      <c r="H3090" s="126">
        <f t="shared" si="145"/>
        <v>4.82000000000001</v>
      </c>
      <c r="I3090" s="126" t="str">
        <f t="shared" si="146"/>
        <v>0y 0d 0h 0m</v>
      </c>
    </row>
    <row r="3091" s="91" customFormat="1" spans="1:9">
      <c r="A3091" s="91" t="str">
        <f t="shared" si="144"/>
        <v>Pb-187</v>
      </c>
      <c r="B3091" s="91" t="s">
        <v>3721</v>
      </c>
      <c r="C3091" s="91" t="s">
        <v>3709</v>
      </c>
      <c r="D3091" s="91">
        <v>82</v>
      </c>
      <c r="E3091" s="91">
        <v>187</v>
      </c>
      <c r="F3091" s="91">
        <v>0</v>
      </c>
      <c r="G3091" s="126">
        <v>0.0456017881947332</v>
      </c>
      <c r="H3091" s="126">
        <f t="shared" si="145"/>
        <v>15.2</v>
      </c>
      <c r="I3091" s="126" t="str">
        <f t="shared" si="146"/>
        <v>0y 0d 0h 0m</v>
      </c>
    </row>
    <row r="3092" s="91" customFormat="1" spans="1:9">
      <c r="A3092" s="91" t="str">
        <f t="shared" si="144"/>
        <v>Pb-187m</v>
      </c>
      <c r="B3092" s="91" t="s">
        <v>3722</v>
      </c>
      <c r="C3092" s="91" t="s">
        <v>3709</v>
      </c>
      <c r="D3092" s="91">
        <v>82</v>
      </c>
      <c r="E3092" s="91">
        <v>187</v>
      </c>
      <c r="F3092" s="91">
        <v>1</v>
      </c>
      <c r="G3092" s="126">
        <v>0.0378768951125653</v>
      </c>
      <c r="H3092" s="126">
        <f t="shared" si="145"/>
        <v>18.3</v>
      </c>
      <c r="I3092" s="126" t="str">
        <f t="shared" si="146"/>
        <v>0y 0d 0h 0m</v>
      </c>
    </row>
    <row r="3093" s="91" customFormat="1" spans="1:9">
      <c r="A3093" s="91" t="str">
        <f t="shared" si="144"/>
        <v>Pb-188</v>
      </c>
      <c r="B3093" s="91" t="s">
        <v>3723</v>
      </c>
      <c r="C3093" s="91" t="s">
        <v>3709</v>
      </c>
      <c r="D3093" s="91">
        <v>82</v>
      </c>
      <c r="E3093" s="91">
        <v>188</v>
      </c>
      <c r="F3093" s="91">
        <v>0</v>
      </c>
      <c r="G3093" s="126">
        <v>0.0276154255203165</v>
      </c>
      <c r="H3093" s="126">
        <f t="shared" si="145"/>
        <v>25.1</v>
      </c>
      <c r="I3093" s="126" t="str">
        <f t="shared" si="146"/>
        <v>0y 0d 0h 0m</v>
      </c>
    </row>
    <row r="3094" s="91" customFormat="1" spans="1:9">
      <c r="A3094" s="91" t="str">
        <f t="shared" si="144"/>
        <v>Pb-189</v>
      </c>
      <c r="B3094" s="91" t="s">
        <v>3724</v>
      </c>
      <c r="C3094" s="91" t="s">
        <v>3709</v>
      </c>
      <c r="D3094" s="91">
        <v>82</v>
      </c>
      <c r="E3094" s="91">
        <v>189</v>
      </c>
      <c r="F3094" s="91">
        <v>0</v>
      </c>
      <c r="G3094" s="126">
        <v>0.0177730046297421</v>
      </c>
      <c r="H3094" s="126">
        <f t="shared" si="145"/>
        <v>39.0000000000002</v>
      </c>
      <c r="I3094" s="126" t="str">
        <f t="shared" si="146"/>
        <v>0y 0d 0h 0m</v>
      </c>
    </row>
    <row r="3095" s="91" customFormat="1" spans="1:9">
      <c r="A3095" s="91" t="str">
        <f t="shared" si="144"/>
        <v>Pb-189m</v>
      </c>
      <c r="B3095" s="91" t="s">
        <v>3725</v>
      </c>
      <c r="C3095" s="91" t="s">
        <v>3709</v>
      </c>
      <c r="D3095" s="91">
        <v>82</v>
      </c>
      <c r="E3095" s="91">
        <v>189</v>
      </c>
      <c r="F3095" s="91">
        <v>1</v>
      </c>
      <c r="G3095" s="126">
        <v>0.0138629436111989</v>
      </c>
      <c r="H3095" s="126">
        <f t="shared" si="145"/>
        <v>50</v>
      </c>
      <c r="I3095" s="126" t="str">
        <f t="shared" si="146"/>
        <v>0y 0d 0h 0m</v>
      </c>
    </row>
    <row r="3096" s="91" customFormat="1" spans="1:9">
      <c r="A3096" s="91" t="str">
        <f t="shared" si="144"/>
        <v>Pb-190</v>
      </c>
      <c r="B3096" s="91" t="s">
        <v>3726</v>
      </c>
      <c r="C3096" s="91" t="s">
        <v>3709</v>
      </c>
      <c r="D3096" s="91">
        <v>82</v>
      </c>
      <c r="E3096" s="91">
        <v>190</v>
      </c>
      <c r="F3096" s="91">
        <v>0</v>
      </c>
      <c r="G3096" s="126">
        <v>0.00976263634591472</v>
      </c>
      <c r="H3096" s="126">
        <f t="shared" si="145"/>
        <v>71</v>
      </c>
      <c r="I3096" s="126" t="str">
        <f t="shared" si="146"/>
        <v>0y 0d 0h 1m</v>
      </c>
    </row>
    <row r="3097" s="91" customFormat="1" spans="1:9">
      <c r="A3097" s="91" t="str">
        <f t="shared" si="144"/>
        <v>Pb-191</v>
      </c>
      <c r="B3097" s="91" t="s">
        <v>3727</v>
      </c>
      <c r="C3097" s="91" t="s">
        <v>3709</v>
      </c>
      <c r="D3097" s="91">
        <v>82</v>
      </c>
      <c r="E3097" s="91">
        <v>191</v>
      </c>
      <c r="F3097" s="91">
        <v>0</v>
      </c>
      <c r="G3097" s="126">
        <v>0.0086860548942349</v>
      </c>
      <c r="H3097" s="126">
        <f t="shared" si="145"/>
        <v>79.8</v>
      </c>
      <c r="I3097" s="126" t="str">
        <f t="shared" si="146"/>
        <v>0y 0d 0h 1m</v>
      </c>
    </row>
    <row r="3098" s="91" customFormat="1" spans="1:9">
      <c r="A3098" s="91" t="str">
        <f t="shared" si="144"/>
        <v>Pb-191m</v>
      </c>
      <c r="B3098" s="91" t="s">
        <v>3728</v>
      </c>
      <c r="C3098" s="91" t="s">
        <v>3709</v>
      </c>
      <c r="D3098" s="91">
        <v>82</v>
      </c>
      <c r="E3098" s="91">
        <v>191</v>
      </c>
      <c r="F3098" s="91">
        <v>1</v>
      </c>
      <c r="G3098" s="126">
        <v>0.0052992903712534</v>
      </c>
      <c r="H3098" s="126">
        <f t="shared" si="145"/>
        <v>130.8</v>
      </c>
      <c r="I3098" s="126" t="str">
        <f t="shared" si="146"/>
        <v>0y 0d 0h 2m</v>
      </c>
    </row>
    <row r="3099" s="91" customFormat="1" spans="1:9">
      <c r="A3099" s="91" t="str">
        <f t="shared" si="144"/>
        <v>Pb-192</v>
      </c>
      <c r="B3099" s="91" t="s">
        <v>3729</v>
      </c>
      <c r="C3099" s="91" t="s">
        <v>3709</v>
      </c>
      <c r="D3099" s="91">
        <v>82</v>
      </c>
      <c r="E3099" s="91">
        <v>192</v>
      </c>
      <c r="F3099" s="91">
        <v>0</v>
      </c>
      <c r="G3099" s="126">
        <v>0.00330070085980926</v>
      </c>
      <c r="H3099" s="126">
        <f t="shared" si="145"/>
        <v>210</v>
      </c>
      <c r="I3099" s="126" t="str">
        <f t="shared" si="146"/>
        <v>0y 0d 0h 3m</v>
      </c>
    </row>
    <row r="3100" s="91" customFormat="1" spans="1:9">
      <c r="A3100" s="91" t="str">
        <f t="shared" si="144"/>
        <v>Pb-193</v>
      </c>
      <c r="B3100" s="91" t="s">
        <v>3730</v>
      </c>
      <c r="C3100" s="91" t="s">
        <v>3709</v>
      </c>
      <c r="D3100" s="91">
        <v>82</v>
      </c>
      <c r="E3100" s="91">
        <v>193</v>
      </c>
      <c r="F3100" s="91">
        <v>0</v>
      </c>
      <c r="G3100" s="126">
        <v>0.00577622650466621</v>
      </c>
      <c r="H3100" s="126">
        <f t="shared" si="145"/>
        <v>120</v>
      </c>
      <c r="I3100" s="126" t="str">
        <f t="shared" si="146"/>
        <v>0y 0d 0h 2m</v>
      </c>
    </row>
    <row r="3101" s="91" customFormat="1" spans="1:9">
      <c r="A3101" s="91" t="str">
        <f t="shared" si="144"/>
        <v>Pb-193m</v>
      </c>
      <c r="B3101" s="91" t="s">
        <v>3731</v>
      </c>
      <c r="C3101" s="91" t="s">
        <v>3709</v>
      </c>
      <c r="D3101" s="91">
        <v>82</v>
      </c>
      <c r="E3101" s="91">
        <v>193</v>
      </c>
      <c r="F3101" s="91">
        <v>1</v>
      </c>
      <c r="G3101" s="126">
        <v>0.00199180224298834</v>
      </c>
      <c r="H3101" s="126">
        <f t="shared" si="145"/>
        <v>348.000000000001</v>
      </c>
      <c r="I3101" s="126" t="str">
        <f t="shared" si="146"/>
        <v>0y 0d 0h 5m</v>
      </c>
    </row>
    <row r="3102" s="91" customFormat="1" spans="1:9">
      <c r="A3102" s="91" t="str">
        <f t="shared" si="144"/>
        <v>Pb-194</v>
      </c>
      <c r="B3102" s="91" t="s">
        <v>3732</v>
      </c>
      <c r="C3102" s="91" t="s">
        <v>3709</v>
      </c>
      <c r="D3102" s="91">
        <v>82</v>
      </c>
      <c r="E3102" s="91">
        <v>194</v>
      </c>
      <c r="F3102" s="91">
        <v>0</v>
      </c>
      <c r="G3102" s="126">
        <v>0.000962704417444368</v>
      </c>
      <c r="H3102" s="126">
        <f t="shared" si="145"/>
        <v>720</v>
      </c>
      <c r="I3102" s="126" t="str">
        <f t="shared" si="146"/>
        <v>0y 0d 0h 12m</v>
      </c>
    </row>
    <row r="3103" s="91" customFormat="1" spans="1:9">
      <c r="A3103" s="91" t="str">
        <f t="shared" si="144"/>
        <v>Pb-195</v>
      </c>
      <c r="B3103" s="91" t="s">
        <v>3733</v>
      </c>
      <c r="C3103" s="91" t="s">
        <v>3709</v>
      </c>
      <c r="D3103" s="91">
        <v>82</v>
      </c>
      <c r="E3103" s="91">
        <v>195</v>
      </c>
      <c r="F3103" s="91">
        <v>0</v>
      </c>
      <c r="G3103" s="126">
        <v>0.000770163533955494</v>
      </c>
      <c r="H3103" s="126">
        <f t="shared" si="145"/>
        <v>900.000000000001</v>
      </c>
      <c r="I3103" s="126" t="str">
        <f t="shared" si="146"/>
        <v>0y 0d 0h 15m</v>
      </c>
    </row>
    <row r="3104" s="91" customFormat="1" spans="1:9">
      <c r="A3104" s="91" t="str">
        <f t="shared" si="144"/>
        <v>Pb-195m</v>
      </c>
      <c r="B3104" s="91" t="s">
        <v>3734</v>
      </c>
      <c r="C3104" s="91" t="s">
        <v>3709</v>
      </c>
      <c r="D3104" s="91">
        <v>82</v>
      </c>
      <c r="E3104" s="91">
        <v>195</v>
      </c>
      <c r="F3104" s="91">
        <v>1</v>
      </c>
      <c r="G3104" s="126">
        <v>0.000770163533955494</v>
      </c>
      <c r="H3104" s="126">
        <f t="shared" si="145"/>
        <v>900.000000000001</v>
      </c>
      <c r="I3104" s="126" t="str">
        <f t="shared" si="146"/>
        <v>0y 0d 0h 15m</v>
      </c>
    </row>
    <row r="3105" s="91" customFormat="1" spans="1:9">
      <c r="A3105" s="91" t="str">
        <f t="shared" si="144"/>
        <v>Pb-196</v>
      </c>
      <c r="B3105" s="91" t="s">
        <v>3735</v>
      </c>
      <c r="C3105" s="91" t="s">
        <v>3709</v>
      </c>
      <c r="D3105" s="91">
        <v>82</v>
      </c>
      <c r="E3105" s="91">
        <v>196</v>
      </c>
      <c r="F3105" s="91">
        <v>0</v>
      </c>
      <c r="G3105" s="126">
        <v>0.000312228459711687</v>
      </c>
      <c r="H3105" s="126">
        <f t="shared" si="145"/>
        <v>2220</v>
      </c>
      <c r="I3105" s="126" t="str">
        <f t="shared" si="146"/>
        <v>0y 0d 0h 37m</v>
      </c>
    </row>
    <row r="3106" s="91" customFormat="1" spans="1:9">
      <c r="A3106" s="91" t="str">
        <f t="shared" si="144"/>
        <v>Pb-197</v>
      </c>
      <c r="B3106" s="91" t="s">
        <v>3736</v>
      </c>
      <c r="C3106" s="91" t="s">
        <v>3709</v>
      </c>
      <c r="D3106" s="91">
        <v>82</v>
      </c>
      <c r="E3106" s="91">
        <v>197</v>
      </c>
      <c r="F3106" s="91">
        <v>0</v>
      </c>
      <c r="G3106" s="126">
        <v>0.00144405662616655</v>
      </c>
      <c r="H3106" s="126">
        <f t="shared" si="145"/>
        <v>480.000000000001</v>
      </c>
      <c r="I3106" s="126" t="str">
        <f t="shared" si="146"/>
        <v>0y 0d 0h 8m</v>
      </c>
    </row>
    <row r="3107" s="91" customFormat="1" spans="1:9">
      <c r="A3107" s="91" t="str">
        <f t="shared" si="144"/>
        <v>Pb-197m</v>
      </c>
      <c r="B3107" s="91" t="s">
        <v>3737</v>
      </c>
      <c r="C3107" s="91" t="s">
        <v>3709</v>
      </c>
      <c r="D3107" s="91">
        <v>82</v>
      </c>
      <c r="E3107" s="91">
        <v>197</v>
      </c>
      <c r="F3107" s="91">
        <v>1</v>
      </c>
      <c r="G3107" s="126">
        <v>0.000268661697891451</v>
      </c>
      <c r="H3107" s="126">
        <f t="shared" si="145"/>
        <v>2580.00000000001</v>
      </c>
      <c r="I3107" s="126" t="str">
        <f t="shared" si="146"/>
        <v>0y 0d 0h 43m</v>
      </c>
    </row>
    <row r="3108" s="91" customFormat="1" spans="1:9">
      <c r="A3108" s="91" t="str">
        <f t="shared" si="144"/>
        <v>Pb-198</v>
      </c>
      <c r="B3108" s="91" t="s">
        <v>3738</v>
      </c>
      <c r="C3108" s="91" t="s">
        <v>3709</v>
      </c>
      <c r="D3108" s="91">
        <v>82</v>
      </c>
      <c r="E3108" s="91">
        <v>198</v>
      </c>
      <c r="F3108" s="91">
        <v>0</v>
      </c>
      <c r="G3108" s="126">
        <v>8.0225368120364e-5</v>
      </c>
      <c r="H3108" s="126">
        <f t="shared" si="145"/>
        <v>8640</v>
      </c>
      <c r="I3108" s="126" t="str">
        <f t="shared" si="146"/>
        <v>0y 0d 2h 24m</v>
      </c>
    </row>
    <row r="3109" s="91" customFormat="1" spans="1:9">
      <c r="A3109" s="91" t="str">
        <f t="shared" si="144"/>
        <v>Pb-199</v>
      </c>
      <c r="B3109" s="91" t="s">
        <v>3739</v>
      </c>
      <c r="C3109" s="91" t="s">
        <v>3709</v>
      </c>
      <c r="D3109" s="91">
        <v>82</v>
      </c>
      <c r="E3109" s="91">
        <v>199</v>
      </c>
      <c r="F3109" s="91">
        <v>0</v>
      </c>
      <c r="G3109" s="126">
        <v>0.000128360588992582</v>
      </c>
      <c r="H3109" s="126">
        <f t="shared" si="145"/>
        <v>5400.00000000002</v>
      </c>
      <c r="I3109" s="126" t="str">
        <f t="shared" si="146"/>
        <v>0y 0d 1h 30m</v>
      </c>
    </row>
    <row r="3110" s="91" customFormat="1" spans="1:9">
      <c r="A3110" s="91" t="str">
        <f t="shared" si="144"/>
        <v>Pb-199m</v>
      </c>
      <c r="B3110" s="91" t="s">
        <v>3740</v>
      </c>
      <c r="C3110" s="91" t="s">
        <v>3709</v>
      </c>
      <c r="D3110" s="91">
        <v>82</v>
      </c>
      <c r="E3110" s="91">
        <v>199</v>
      </c>
      <c r="F3110" s="91">
        <v>1</v>
      </c>
      <c r="G3110" s="126">
        <v>0.000946922377814133</v>
      </c>
      <c r="H3110" s="126">
        <f t="shared" si="145"/>
        <v>732</v>
      </c>
      <c r="I3110" s="126" t="str">
        <f t="shared" si="146"/>
        <v>0y 0d 0h 12m</v>
      </c>
    </row>
    <row r="3111" s="91" customFormat="1" spans="1:9">
      <c r="A3111" s="91" t="str">
        <f t="shared" si="144"/>
        <v>Pb-200</v>
      </c>
      <c r="B3111" s="91" t="s">
        <v>3741</v>
      </c>
      <c r="C3111" s="91" t="s">
        <v>3709</v>
      </c>
      <c r="D3111" s="91">
        <v>82</v>
      </c>
      <c r="E3111" s="91">
        <v>200</v>
      </c>
      <c r="F3111" s="91">
        <v>0</v>
      </c>
      <c r="G3111" s="126">
        <v>8.95538992971505e-6</v>
      </c>
      <c r="H3111" s="126">
        <f t="shared" si="145"/>
        <v>77400.0000000001</v>
      </c>
      <c r="I3111" s="126" t="str">
        <f t="shared" si="146"/>
        <v>0y 0d 21h 30m</v>
      </c>
    </row>
    <row r="3112" s="91" customFormat="1" spans="1:9">
      <c r="A3112" s="91" t="str">
        <f t="shared" si="144"/>
        <v>Pb-201</v>
      </c>
      <c r="B3112" s="91" t="s">
        <v>3742</v>
      </c>
      <c r="C3112" s="91" t="s">
        <v>3709</v>
      </c>
      <c r="D3112" s="91">
        <v>82</v>
      </c>
      <c r="E3112" s="91">
        <v>201</v>
      </c>
      <c r="F3112" s="91">
        <v>0</v>
      </c>
      <c r="G3112" s="126">
        <v>2.06367506418942e-5</v>
      </c>
      <c r="H3112" s="126">
        <f t="shared" si="145"/>
        <v>33588.0000000001</v>
      </c>
      <c r="I3112" s="126" t="str">
        <f t="shared" si="146"/>
        <v>0y 0d 9h 19m</v>
      </c>
    </row>
    <row r="3113" s="91" customFormat="1" spans="1:9">
      <c r="A3113" s="91" t="str">
        <f t="shared" si="144"/>
        <v>Pb-201m</v>
      </c>
      <c r="B3113" s="91" t="s">
        <v>3743</v>
      </c>
      <c r="C3113" s="91" t="s">
        <v>3709</v>
      </c>
      <c r="D3113" s="91">
        <v>82</v>
      </c>
      <c r="E3113" s="91">
        <v>201</v>
      </c>
      <c r="F3113" s="91">
        <v>1</v>
      </c>
      <c r="G3113" s="126">
        <v>0.0114004470486833</v>
      </c>
      <c r="H3113" s="126">
        <f t="shared" si="145"/>
        <v>60.8000000000001</v>
      </c>
      <c r="I3113" s="126" t="str">
        <f t="shared" si="146"/>
        <v>0y 0d 0h 1m</v>
      </c>
    </row>
    <row r="3114" s="91" customFormat="1" spans="1:9">
      <c r="A3114" s="91" t="str">
        <f t="shared" si="144"/>
        <v>Pb-202</v>
      </c>
      <c r="B3114" s="91" t="s">
        <v>3744</v>
      </c>
      <c r="C3114" s="91" t="s">
        <v>3709</v>
      </c>
      <c r="D3114" s="91">
        <v>82</v>
      </c>
      <c r="E3114" s="91">
        <v>202</v>
      </c>
      <c r="F3114" s="91">
        <v>0</v>
      </c>
      <c r="G3114" s="126">
        <v>4.18372604863647e-13</v>
      </c>
      <c r="H3114" s="126">
        <f t="shared" si="145"/>
        <v>1656770000000</v>
      </c>
      <c r="I3114" s="126" t="str">
        <f t="shared" si="146"/>
        <v>52535y 303d 16h 53m</v>
      </c>
    </row>
    <row r="3115" s="91" customFormat="1" spans="1:9">
      <c r="A3115" s="91" t="str">
        <f t="shared" si="144"/>
        <v>Pb-202m</v>
      </c>
      <c r="B3115" s="91" t="s">
        <v>3745</v>
      </c>
      <c r="C3115" s="91" t="s">
        <v>3709</v>
      </c>
      <c r="D3115" s="91">
        <v>82</v>
      </c>
      <c r="E3115" s="91">
        <v>202</v>
      </c>
      <c r="F3115" s="91">
        <v>1</v>
      </c>
      <c r="G3115" s="126">
        <v>5.43900800816027e-5</v>
      </c>
      <c r="H3115" s="126">
        <f t="shared" si="145"/>
        <v>12744</v>
      </c>
      <c r="I3115" s="126" t="str">
        <f t="shared" si="146"/>
        <v>0y 0d 3h 32m</v>
      </c>
    </row>
    <row r="3116" s="91" customFormat="1" spans="1:9">
      <c r="A3116" s="91" t="str">
        <f t="shared" si="144"/>
        <v>Pb-203</v>
      </c>
      <c r="B3116" s="91" t="s">
        <v>3746</v>
      </c>
      <c r="C3116" s="91" t="s">
        <v>3709</v>
      </c>
      <c r="D3116" s="91">
        <v>82</v>
      </c>
      <c r="E3116" s="91">
        <v>203</v>
      </c>
      <c r="F3116" s="91">
        <v>0</v>
      </c>
      <c r="G3116" s="126">
        <v>3.70841455101836e-6</v>
      </c>
      <c r="H3116" s="126">
        <f t="shared" si="145"/>
        <v>186912</v>
      </c>
      <c r="I3116" s="126" t="str">
        <f t="shared" si="146"/>
        <v>0y 2d 3h 55m</v>
      </c>
    </row>
    <row r="3117" s="91" customFormat="1" spans="1:9">
      <c r="A3117" s="91" t="str">
        <f t="shared" si="144"/>
        <v>Pb-203m</v>
      </c>
      <c r="B3117" s="91" t="s">
        <v>3747</v>
      </c>
      <c r="C3117" s="91" t="s">
        <v>3709</v>
      </c>
      <c r="D3117" s="91">
        <v>82</v>
      </c>
      <c r="E3117" s="91">
        <v>203</v>
      </c>
      <c r="F3117" s="91">
        <v>1</v>
      </c>
      <c r="G3117" s="126">
        <v>0.11161790347181</v>
      </c>
      <c r="H3117" s="126">
        <f t="shared" si="145"/>
        <v>6.21000000000005</v>
      </c>
      <c r="I3117" s="126" t="str">
        <f t="shared" si="146"/>
        <v>0y 0d 0h 0m</v>
      </c>
    </row>
    <row r="3118" s="91" customFormat="1" spans="1:9">
      <c r="A3118" s="91" t="str">
        <f t="shared" si="144"/>
        <v>Pb-203m2</v>
      </c>
      <c r="B3118" s="91" t="s">
        <v>3748</v>
      </c>
      <c r="C3118" s="91" t="s">
        <v>3709</v>
      </c>
      <c r="D3118" s="91">
        <v>82</v>
      </c>
      <c r="E3118" s="91">
        <v>203</v>
      </c>
      <c r="F3118" s="91">
        <v>2</v>
      </c>
      <c r="G3118" s="126">
        <v>1.44405662616655</v>
      </c>
      <c r="H3118" s="126">
        <f t="shared" si="145"/>
        <v>0.480000000000001</v>
      </c>
      <c r="I3118" s="126" t="str">
        <f t="shared" si="146"/>
        <v>0y 0d 0h 0m</v>
      </c>
    </row>
    <row r="3119" s="91" customFormat="1" spans="1:9">
      <c r="A3119" s="91" t="str">
        <f t="shared" si="144"/>
        <v>Pb-204</v>
      </c>
      <c r="B3119" s="91" t="s">
        <v>3749</v>
      </c>
      <c r="C3119" s="91" t="s">
        <v>3709</v>
      </c>
      <c r="D3119" s="91">
        <v>82</v>
      </c>
      <c r="E3119" s="91">
        <v>204</v>
      </c>
      <c r="F3119" s="91">
        <v>0</v>
      </c>
      <c r="G3119" s="126">
        <v>1.5753345012726e-25</v>
      </c>
      <c r="H3119" s="126">
        <f t="shared" si="145"/>
        <v>4.40000000000001e+24</v>
      </c>
      <c r="I3119" s="126" t="str">
        <f t="shared" si="146"/>
        <v>139523084728564000y 0d 0h 0m</v>
      </c>
    </row>
    <row r="3120" s="91" customFormat="1" spans="1:9">
      <c r="A3120" s="91" t="str">
        <f t="shared" si="144"/>
        <v>Pb-204m</v>
      </c>
      <c r="B3120" s="91" t="s">
        <v>3750</v>
      </c>
      <c r="C3120" s="91" t="s">
        <v>3709</v>
      </c>
      <c r="D3120" s="91">
        <v>82</v>
      </c>
      <c r="E3120" s="91">
        <v>204</v>
      </c>
      <c r="F3120" s="91">
        <v>1</v>
      </c>
      <c r="G3120" s="126">
        <v>0.000172605005368779</v>
      </c>
      <c r="H3120" s="126">
        <f t="shared" si="145"/>
        <v>4015.80000000001</v>
      </c>
      <c r="I3120" s="126" t="str">
        <f t="shared" si="146"/>
        <v>0y 0d 1h 6m</v>
      </c>
    </row>
    <row r="3121" s="91" customFormat="1" spans="1:9">
      <c r="A3121" s="91" t="str">
        <f t="shared" si="144"/>
        <v>Pb-205</v>
      </c>
      <c r="B3121" s="91" t="s">
        <v>3751</v>
      </c>
      <c r="C3121" s="91" t="s">
        <v>3709</v>
      </c>
      <c r="D3121" s="91">
        <v>82</v>
      </c>
      <c r="E3121" s="91">
        <v>205</v>
      </c>
      <c r="F3121" s="91">
        <v>0</v>
      </c>
      <c r="G3121" s="126">
        <v>1.26962589809238e-15</v>
      </c>
      <c r="H3121" s="126">
        <f t="shared" si="145"/>
        <v>545946000000002</v>
      </c>
      <c r="I3121" s="126" t="str">
        <f t="shared" si="146"/>
        <v>17311834y 34d 10h 40m</v>
      </c>
    </row>
    <row r="3122" s="91" customFormat="1" spans="1:9">
      <c r="A3122" s="91" t="str">
        <f t="shared" si="144"/>
        <v>Pb-205m</v>
      </c>
      <c r="B3122" s="91" t="s">
        <v>3752</v>
      </c>
      <c r="C3122" s="91" t="s">
        <v>3709</v>
      </c>
      <c r="D3122" s="91">
        <v>82</v>
      </c>
      <c r="E3122" s="91">
        <v>205</v>
      </c>
      <c r="F3122" s="91">
        <v>1</v>
      </c>
      <c r="G3122" s="126">
        <v>124.891383884674</v>
      </c>
      <c r="H3122" s="126">
        <f t="shared" si="145"/>
        <v>0.00555000000000004</v>
      </c>
      <c r="I3122" s="126" t="str">
        <f t="shared" si="146"/>
        <v>0y 0d 0h 0m</v>
      </c>
    </row>
    <row r="3123" s="91" customFormat="1" spans="1:9">
      <c r="A3123" s="91" t="str">
        <f t="shared" si="144"/>
        <v>Pb-206</v>
      </c>
      <c r="B3123" s="91" t="s">
        <v>3753</v>
      </c>
      <c r="C3123" s="91" t="s">
        <v>3709</v>
      </c>
      <c r="D3123" s="91">
        <v>82</v>
      </c>
      <c r="E3123" s="91">
        <v>206</v>
      </c>
      <c r="F3123" s="91">
        <v>0</v>
      </c>
      <c r="G3123" s="126">
        <v>0</v>
      </c>
      <c r="H3123" s="126">
        <f t="shared" si="145"/>
        <v>0</v>
      </c>
      <c r="I3123" s="126" t="str">
        <f t="shared" si="146"/>
        <v>0y 0d 0h 0m</v>
      </c>
    </row>
    <row r="3124" s="91" customFormat="1" spans="1:9">
      <c r="A3124" s="91" t="str">
        <f t="shared" si="144"/>
        <v>Pb-207</v>
      </c>
      <c r="B3124" s="91" t="s">
        <v>3754</v>
      </c>
      <c r="C3124" s="91" t="s">
        <v>3709</v>
      </c>
      <c r="D3124" s="91">
        <v>82</v>
      </c>
      <c r="E3124" s="91">
        <v>207</v>
      </c>
      <c r="F3124" s="91">
        <v>0</v>
      </c>
      <c r="G3124" s="126">
        <v>0</v>
      </c>
      <c r="H3124" s="126">
        <f t="shared" si="145"/>
        <v>0</v>
      </c>
      <c r="I3124" s="126" t="str">
        <f t="shared" si="146"/>
        <v>0y 0d 0h 0m</v>
      </c>
    </row>
    <row r="3125" s="91" customFormat="1" spans="1:9">
      <c r="A3125" s="91" t="str">
        <f t="shared" si="144"/>
        <v>Pb-207m</v>
      </c>
      <c r="B3125" s="91" t="s">
        <v>3755</v>
      </c>
      <c r="C3125" s="91" t="s">
        <v>3709</v>
      </c>
      <c r="D3125" s="91">
        <v>82</v>
      </c>
      <c r="E3125" s="91">
        <v>207</v>
      </c>
      <c r="F3125" s="91">
        <v>1</v>
      </c>
      <c r="G3125" s="126">
        <v>0.859984094987525</v>
      </c>
      <c r="H3125" s="126">
        <f t="shared" si="145"/>
        <v>0.806</v>
      </c>
      <c r="I3125" s="126" t="str">
        <f t="shared" si="146"/>
        <v>0y 0d 0h 0m</v>
      </c>
    </row>
    <row r="3126" s="91" customFormat="1" spans="1:9">
      <c r="A3126" s="91" t="str">
        <f t="shared" si="144"/>
        <v>Pb-208</v>
      </c>
      <c r="B3126" s="91" t="s">
        <v>3756</v>
      </c>
      <c r="C3126" s="91" t="s">
        <v>3709</v>
      </c>
      <c r="D3126" s="91">
        <v>82</v>
      </c>
      <c r="E3126" s="91">
        <v>208</v>
      </c>
      <c r="F3126" s="91">
        <v>0</v>
      </c>
      <c r="G3126" s="126">
        <v>0</v>
      </c>
      <c r="H3126" s="126">
        <f t="shared" si="145"/>
        <v>0</v>
      </c>
      <c r="I3126" s="126" t="str">
        <f t="shared" si="146"/>
        <v>0y 0d 0h 0m</v>
      </c>
    </row>
    <row r="3127" s="91" customFormat="1" spans="1:9">
      <c r="A3127" s="91" t="str">
        <f t="shared" si="144"/>
        <v>Pb-209</v>
      </c>
      <c r="B3127" s="91" t="s">
        <v>3757</v>
      </c>
      <c r="C3127" s="91" t="s">
        <v>3709</v>
      </c>
      <c r="D3127" s="91">
        <v>82</v>
      </c>
      <c r="E3127" s="91">
        <v>209</v>
      </c>
      <c r="F3127" s="91">
        <v>0</v>
      </c>
      <c r="G3127" s="126">
        <v>5.9188713030702e-5</v>
      </c>
      <c r="H3127" s="126">
        <f t="shared" si="145"/>
        <v>11710.8</v>
      </c>
      <c r="I3127" s="126" t="str">
        <f t="shared" si="146"/>
        <v>0y 0d 3h 15m</v>
      </c>
    </row>
    <row r="3128" s="91" customFormat="1" spans="1:9">
      <c r="A3128" s="91" t="str">
        <f t="shared" si="144"/>
        <v>Pb-210</v>
      </c>
      <c r="B3128" s="91" t="s">
        <v>3758</v>
      </c>
      <c r="C3128" s="91" t="s">
        <v>3709</v>
      </c>
      <c r="D3128" s="91">
        <v>82</v>
      </c>
      <c r="E3128" s="91">
        <v>210</v>
      </c>
      <c r="F3128" s="91">
        <v>0</v>
      </c>
      <c r="G3128" s="126">
        <v>9.89392313183294e-10</v>
      </c>
      <c r="H3128" s="126">
        <f t="shared" si="145"/>
        <v>700578700</v>
      </c>
      <c r="I3128" s="126" t="str">
        <f t="shared" si="146"/>
        <v>22y 78d 13h 11m</v>
      </c>
    </row>
    <row r="3129" s="91" customFormat="1" spans="1:9">
      <c r="A3129" s="91" t="str">
        <f t="shared" si="144"/>
        <v>Pb-211</v>
      </c>
      <c r="B3129" s="91" t="s">
        <v>3759</v>
      </c>
      <c r="C3129" s="91" t="s">
        <v>3709</v>
      </c>
      <c r="D3129" s="91">
        <v>82</v>
      </c>
      <c r="E3129" s="91">
        <v>211</v>
      </c>
      <c r="F3129" s="91">
        <v>0</v>
      </c>
      <c r="G3129" s="126">
        <v>0.00032001254873497</v>
      </c>
      <c r="H3129" s="126">
        <f t="shared" si="145"/>
        <v>2166</v>
      </c>
      <c r="I3129" s="126" t="str">
        <f t="shared" si="146"/>
        <v>0y 0d 0h 36m</v>
      </c>
    </row>
    <row r="3130" s="91" customFormat="1" spans="1:9">
      <c r="A3130" s="91" t="str">
        <f t="shared" si="144"/>
        <v>Pb-212</v>
      </c>
      <c r="B3130" s="91" t="s">
        <v>3760</v>
      </c>
      <c r="C3130" s="91" t="s">
        <v>3709</v>
      </c>
      <c r="D3130" s="91">
        <v>82</v>
      </c>
      <c r="E3130" s="91">
        <v>212</v>
      </c>
      <c r="F3130" s="91">
        <v>0</v>
      </c>
      <c r="G3130" s="126">
        <v>1.80959476963227e-5</v>
      </c>
      <c r="H3130" s="126">
        <f t="shared" si="145"/>
        <v>38304</v>
      </c>
      <c r="I3130" s="126" t="str">
        <f t="shared" si="146"/>
        <v>0y 0d 10h 38m</v>
      </c>
    </row>
    <row r="3131" s="91" customFormat="1" spans="1:9">
      <c r="A3131" s="91" t="str">
        <f t="shared" si="144"/>
        <v>Pb-213</v>
      </c>
      <c r="B3131" s="91" t="s">
        <v>3761</v>
      </c>
      <c r="C3131" s="91" t="s">
        <v>3709</v>
      </c>
      <c r="D3131" s="91">
        <v>82</v>
      </c>
      <c r="E3131" s="91">
        <v>213</v>
      </c>
      <c r="F3131" s="91">
        <v>0</v>
      </c>
      <c r="G3131" s="126">
        <v>0.00113259343228749</v>
      </c>
      <c r="H3131" s="126">
        <f t="shared" si="145"/>
        <v>612.000000000001</v>
      </c>
      <c r="I3131" s="126" t="str">
        <f t="shared" si="146"/>
        <v>0y 0d 0h 10m</v>
      </c>
    </row>
    <row r="3132" s="91" customFormat="1" spans="1:9">
      <c r="A3132" s="91" t="str">
        <f t="shared" si="144"/>
        <v>Pb-214</v>
      </c>
      <c r="B3132" s="91" t="s">
        <v>3762</v>
      </c>
      <c r="C3132" s="91" t="s">
        <v>3709</v>
      </c>
      <c r="D3132" s="91">
        <v>82</v>
      </c>
      <c r="E3132" s="91">
        <v>214</v>
      </c>
      <c r="F3132" s="91">
        <v>0</v>
      </c>
      <c r="G3132" s="126">
        <v>0.000431061679452702</v>
      </c>
      <c r="H3132" s="126">
        <f t="shared" si="145"/>
        <v>1608</v>
      </c>
      <c r="I3132" s="126" t="str">
        <f t="shared" si="146"/>
        <v>0y 0d 0h 26m</v>
      </c>
    </row>
    <row r="3133" s="91" customFormat="1" spans="1:9">
      <c r="A3133" s="91" t="str">
        <f t="shared" si="144"/>
        <v>Pb-215</v>
      </c>
      <c r="B3133" s="91" t="s">
        <v>3763</v>
      </c>
      <c r="C3133" s="91" t="s">
        <v>3709</v>
      </c>
      <c r="D3133" s="91">
        <v>82</v>
      </c>
      <c r="E3133" s="91">
        <v>215</v>
      </c>
      <c r="F3133" s="91">
        <v>0</v>
      </c>
      <c r="G3133" s="126">
        <v>0.0192540883488873</v>
      </c>
      <c r="H3133" s="126">
        <f t="shared" si="145"/>
        <v>36.0000000000001</v>
      </c>
      <c r="I3133" s="126" t="str">
        <f t="shared" si="146"/>
        <v>0y 0d 0h 0m</v>
      </c>
    </row>
    <row r="3134" s="91" customFormat="1" spans="1:9">
      <c r="A3134" s="91" t="str">
        <f t="shared" si="144"/>
        <v>Bi-184</v>
      </c>
      <c r="B3134" s="91" t="s">
        <v>3764</v>
      </c>
      <c r="C3134" s="91" t="s">
        <v>3765</v>
      </c>
      <c r="D3134" s="91">
        <v>83</v>
      </c>
      <c r="E3134" s="91">
        <v>184</v>
      </c>
      <c r="F3134" s="91">
        <v>0</v>
      </c>
      <c r="G3134" s="126">
        <v>53.3190138892265</v>
      </c>
      <c r="H3134" s="126">
        <f t="shared" si="145"/>
        <v>0.013</v>
      </c>
      <c r="I3134" s="126" t="str">
        <f t="shared" si="146"/>
        <v>0y 0d 0h 0m</v>
      </c>
    </row>
    <row r="3135" s="91" customFormat="1" spans="1:9">
      <c r="A3135" s="91" t="str">
        <f t="shared" si="144"/>
        <v>Bi-184m</v>
      </c>
      <c r="B3135" s="91" t="s">
        <v>3766</v>
      </c>
      <c r="C3135" s="91" t="s">
        <v>3765</v>
      </c>
      <c r="D3135" s="91">
        <v>83</v>
      </c>
      <c r="E3135" s="91">
        <v>184</v>
      </c>
      <c r="F3135" s="91">
        <v>1</v>
      </c>
      <c r="G3135" s="126">
        <v>105.02230008484</v>
      </c>
      <c r="H3135" s="126">
        <f t="shared" si="145"/>
        <v>0.00660000000000001</v>
      </c>
      <c r="I3135" s="126" t="str">
        <f t="shared" si="146"/>
        <v>0y 0d 0h 0m</v>
      </c>
    </row>
    <row r="3136" s="91" customFormat="1" spans="1:9">
      <c r="A3136" s="91" t="str">
        <f t="shared" si="144"/>
        <v>Bi-185</v>
      </c>
      <c r="B3136" s="91" t="s">
        <v>3767</v>
      </c>
      <c r="C3136" s="91" t="s">
        <v>3765</v>
      </c>
      <c r="D3136" s="91">
        <v>83</v>
      </c>
      <c r="E3136" s="91">
        <v>185</v>
      </c>
      <c r="F3136" s="91">
        <v>0</v>
      </c>
      <c r="G3136" s="126">
        <v>11950.81345793</v>
      </c>
      <c r="H3136" s="126">
        <f t="shared" si="145"/>
        <v>5.80000000000004e-5</v>
      </c>
      <c r="I3136" s="126" t="str">
        <f t="shared" si="146"/>
        <v>0y 0d 0h 0m</v>
      </c>
    </row>
    <row r="3137" s="91" customFormat="1" spans="1:9">
      <c r="A3137" s="91" t="str">
        <f t="shared" si="144"/>
        <v>Bi-186</v>
      </c>
      <c r="B3137" s="91" t="s">
        <v>3768</v>
      </c>
      <c r="C3137" s="91" t="s">
        <v>3765</v>
      </c>
      <c r="D3137" s="91">
        <v>83</v>
      </c>
      <c r="E3137" s="91">
        <v>186</v>
      </c>
      <c r="F3137" s="91">
        <v>0</v>
      </c>
      <c r="G3137" s="126">
        <v>46.2098120373296</v>
      </c>
      <c r="H3137" s="126">
        <f t="shared" si="145"/>
        <v>0.015</v>
      </c>
      <c r="I3137" s="126" t="str">
        <f t="shared" si="146"/>
        <v>0y 0d 0h 0m</v>
      </c>
    </row>
    <row r="3138" s="91" customFormat="1" spans="1:9">
      <c r="A3138" s="91" t="str">
        <f t="shared" ref="A3138:A3201" si="147">C3138&amp;"-"&amp;E3138&amp;_xlfn.IFS(F3138=0,"",F3138=1,"m",F3138&gt;1,"m"&amp;F3138)</f>
        <v>Bi-186m</v>
      </c>
      <c r="B3138" s="91" t="s">
        <v>3769</v>
      </c>
      <c r="C3138" s="91" t="s">
        <v>3765</v>
      </c>
      <c r="D3138" s="91">
        <v>83</v>
      </c>
      <c r="E3138" s="91">
        <v>186</v>
      </c>
      <c r="F3138" s="91">
        <v>1</v>
      </c>
      <c r="G3138" s="126">
        <v>70.7293041387699</v>
      </c>
      <c r="H3138" s="126">
        <f t="shared" ref="H3138:H3201" si="148">IF(G3138&gt;0,LN(2)/G3138,0)</f>
        <v>0.0098</v>
      </c>
      <c r="I3138" s="126" t="str">
        <f t="shared" si="146"/>
        <v>0y 0d 0h 0m</v>
      </c>
    </row>
    <row r="3139" s="91" customFormat="1" spans="1:9">
      <c r="A3139" s="91" t="str">
        <f t="shared" si="147"/>
        <v>Bi-187</v>
      </c>
      <c r="B3139" s="91" t="s">
        <v>3770</v>
      </c>
      <c r="C3139" s="91" t="s">
        <v>3765</v>
      </c>
      <c r="D3139" s="91">
        <v>83</v>
      </c>
      <c r="E3139" s="91">
        <v>187</v>
      </c>
      <c r="F3139" s="91">
        <v>0</v>
      </c>
      <c r="G3139" s="126">
        <v>21.6608493924982</v>
      </c>
      <c r="H3139" s="126">
        <f t="shared" si="148"/>
        <v>0.0320000000000001</v>
      </c>
      <c r="I3139" s="126" t="str">
        <f t="shared" ref="I3139:I3202" si="149">INT(H3139/31536000)&amp;"y "&amp;INT(MOD(H3139,31536000)/86400)&amp;"d "&amp;INT(MOD(MOD(H3139,31536000),86400)/3600)&amp;"h "&amp;INT(MOD(MOD(MOD(H3139,31536000),86400),3600)/60)&amp;"m"</f>
        <v>0y 0d 0h 0m</v>
      </c>
    </row>
    <row r="3140" s="91" customFormat="1" spans="1:9">
      <c r="A3140" s="91" t="str">
        <f t="shared" si="147"/>
        <v>Bi-187m</v>
      </c>
      <c r="B3140" s="91" t="s">
        <v>3771</v>
      </c>
      <c r="C3140" s="91" t="s">
        <v>3765</v>
      </c>
      <c r="D3140" s="91">
        <v>83</v>
      </c>
      <c r="E3140" s="91">
        <v>187</v>
      </c>
      <c r="F3140" s="91">
        <v>1</v>
      </c>
      <c r="G3140" s="126">
        <v>2235.95864696756</v>
      </c>
      <c r="H3140" s="126">
        <f t="shared" si="148"/>
        <v>0.000310000000000001</v>
      </c>
      <c r="I3140" s="126" t="str">
        <f t="shared" si="149"/>
        <v>0y 0d 0h 0m</v>
      </c>
    </row>
    <row r="3141" s="91" customFormat="1" spans="1:9">
      <c r="A3141" s="91" t="str">
        <f t="shared" si="147"/>
        <v>Bi-188</v>
      </c>
      <c r="B3141" s="91" t="s">
        <v>3772</v>
      </c>
      <c r="C3141" s="91" t="s">
        <v>3765</v>
      </c>
      <c r="D3141" s="91">
        <v>83</v>
      </c>
      <c r="E3141" s="91">
        <v>188</v>
      </c>
      <c r="F3141" s="91">
        <v>0</v>
      </c>
      <c r="G3141" s="126">
        <v>11.5524530093324</v>
      </c>
      <c r="H3141" s="126">
        <f t="shared" si="148"/>
        <v>0.0600000000000001</v>
      </c>
      <c r="I3141" s="126" t="str">
        <f t="shared" si="149"/>
        <v>0y 0d 0h 0m</v>
      </c>
    </row>
    <row r="3142" s="91" customFormat="1" spans="1:9">
      <c r="A3142" s="91" t="str">
        <f t="shared" si="147"/>
        <v>Bi-188m</v>
      </c>
      <c r="B3142" s="91" t="s">
        <v>3773</v>
      </c>
      <c r="C3142" s="91" t="s">
        <v>3765</v>
      </c>
      <c r="D3142" s="91">
        <v>83</v>
      </c>
      <c r="E3142" s="91">
        <v>188</v>
      </c>
      <c r="F3142" s="91">
        <v>1</v>
      </c>
      <c r="G3142" s="126">
        <v>2.61564973796205</v>
      </c>
      <c r="H3142" s="126">
        <f t="shared" si="148"/>
        <v>0.265000000000001</v>
      </c>
      <c r="I3142" s="126" t="str">
        <f t="shared" si="149"/>
        <v>0y 0d 0h 0m</v>
      </c>
    </row>
    <row r="3143" s="91" customFormat="1" spans="1:9">
      <c r="A3143" s="91" t="str">
        <f t="shared" si="147"/>
        <v>Bi-189</v>
      </c>
      <c r="B3143" s="91" t="s">
        <v>3774</v>
      </c>
      <c r="C3143" s="91" t="s">
        <v>3765</v>
      </c>
      <c r="D3143" s="91">
        <v>83</v>
      </c>
      <c r="E3143" s="91">
        <v>189</v>
      </c>
      <c r="F3143" s="91">
        <v>0</v>
      </c>
      <c r="G3143" s="126">
        <v>1.02840827976253</v>
      </c>
      <c r="H3143" s="126">
        <f t="shared" si="148"/>
        <v>0.674</v>
      </c>
      <c r="I3143" s="126" t="str">
        <f t="shared" si="149"/>
        <v>0y 0d 0h 0m</v>
      </c>
    </row>
    <row r="3144" s="91" customFormat="1" spans="1:9">
      <c r="A3144" s="91" t="str">
        <f t="shared" si="147"/>
        <v>Bi-189m</v>
      </c>
      <c r="B3144" s="91" t="s">
        <v>3775</v>
      </c>
      <c r="C3144" s="91" t="s">
        <v>3765</v>
      </c>
      <c r="D3144" s="91">
        <v>83</v>
      </c>
      <c r="E3144" s="91">
        <v>189</v>
      </c>
      <c r="F3144" s="91">
        <v>1</v>
      </c>
      <c r="G3144" s="126">
        <v>138.629436111989</v>
      </c>
      <c r="H3144" s="126">
        <f t="shared" si="148"/>
        <v>0.005</v>
      </c>
      <c r="I3144" s="126" t="str">
        <f t="shared" si="149"/>
        <v>0y 0d 0h 0m</v>
      </c>
    </row>
    <row r="3145" s="91" customFormat="1" spans="1:9">
      <c r="A3145" s="91" t="str">
        <f t="shared" si="147"/>
        <v>Bi-190</v>
      </c>
      <c r="B3145" s="91" t="s">
        <v>3776</v>
      </c>
      <c r="C3145" s="91" t="s">
        <v>3765</v>
      </c>
      <c r="D3145" s="91">
        <v>83</v>
      </c>
      <c r="E3145" s="91">
        <v>190</v>
      </c>
      <c r="F3145" s="91">
        <v>0</v>
      </c>
      <c r="G3145" s="126">
        <v>0.110023361993642</v>
      </c>
      <c r="H3145" s="126">
        <f t="shared" si="148"/>
        <v>6.30000000000001</v>
      </c>
      <c r="I3145" s="126" t="str">
        <f t="shared" si="149"/>
        <v>0y 0d 0h 0m</v>
      </c>
    </row>
    <row r="3146" s="91" customFormat="1" spans="1:9">
      <c r="A3146" s="91" t="str">
        <f t="shared" si="147"/>
        <v>Bi-190m</v>
      </c>
      <c r="B3146" s="91" t="s">
        <v>3777</v>
      </c>
      <c r="C3146" s="91" t="s">
        <v>3765</v>
      </c>
      <c r="D3146" s="91">
        <v>83</v>
      </c>
      <c r="E3146" s="91">
        <v>190</v>
      </c>
      <c r="F3146" s="91">
        <v>1</v>
      </c>
      <c r="G3146" s="126">
        <v>0.111797932348378</v>
      </c>
      <c r="H3146" s="126">
        <f t="shared" si="148"/>
        <v>6.20000000000002</v>
      </c>
      <c r="I3146" s="126" t="str">
        <f t="shared" si="149"/>
        <v>0y 0d 0h 0m</v>
      </c>
    </row>
    <row r="3147" s="91" customFormat="1" spans="1:9">
      <c r="A3147" s="91" t="str">
        <f t="shared" si="147"/>
        <v>Bi-191</v>
      </c>
      <c r="B3147" s="91" t="s">
        <v>3778</v>
      </c>
      <c r="C3147" s="91" t="s">
        <v>3765</v>
      </c>
      <c r="D3147" s="91">
        <v>83</v>
      </c>
      <c r="E3147" s="91">
        <v>191</v>
      </c>
      <c r="F3147" s="91">
        <v>0</v>
      </c>
      <c r="G3147" s="126">
        <v>0.0558989661741891</v>
      </c>
      <c r="H3147" s="126">
        <f t="shared" si="148"/>
        <v>12.4</v>
      </c>
      <c r="I3147" s="126" t="str">
        <f t="shared" si="149"/>
        <v>0y 0d 0h 0m</v>
      </c>
    </row>
    <row r="3148" s="91" customFormat="1" spans="1:9">
      <c r="A3148" s="91" t="str">
        <f t="shared" si="147"/>
        <v>Bi-191m</v>
      </c>
      <c r="B3148" s="91" t="s">
        <v>3779</v>
      </c>
      <c r="C3148" s="91" t="s">
        <v>3765</v>
      </c>
      <c r="D3148" s="91">
        <v>83</v>
      </c>
      <c r="E3148" s="91">
        <v>191</v>
      </c>
      <c r="F3148" s="91">
        <v>1</v>
      </c>
      <c r="G3148" s="126">
        <v>5.54517744447956</v>
      </c>
      <c r="H3148" s="126">
        <f t="shared" si="148"/>
        <v>0.125</v>
      </c>
      <c r="I3148" s="126" t="str">
        <f t="shared" si="149"/>
        <v>0y 0d 0h 0m</v>
      </c>
    </row>
    <row r="3149" s="91" customFormat="1" spans="1:9">
      <c r="A3149" s="91" t="str">
        <f t="shared" si="147"/>
        <v>Bi-192</v>
      </c>
      <c r="B3149" s="91" t="s">
        <v>3780</v>
      </c>
      <c r="C3149" s="91" t="s">
        <v>3765</v>
      </c>
      <c r="D3149" s="91">
        <v>83</v>
      </c>
      <c r="E3149" s="91">
        <v>192</v>
      </c>
      <c r="F3149" s="91">
        <v>0</v>
      </c>
      <c r="G3149" s="126">
        <v>0.0200331555075128</v>
      </c>
      <c r="H3149" s="126">
        <f t="shared" si="148"/>
        <v>34.6000000000001</v>
      </c>
      <c r="I3149" s="126" t="str">
        <f t="shared" si="149"/>
        <v>0y 0d 0h 0m</v>
      </c>
    </row>
    <row r="3150" s="91" customFormat="1" spans="1:9">
      <c r="A3150" s="91" t="str">
        <f t="shared" si="147"/>
        <v>Bi-192m</v>
      </c>
      <c r="B3150" s="91" t="s">
        <v>3781</v>
      </c>
      <c r="C3150" s="91" t="s">
        <v>3765</v>
      </c>
      <c r="D3150" s="91">
        <v>83</v>
      </c>
      <c r="E3150" s="91">
        <v>192</v>
      </c>
      <c r="F3150" s="91">
        <v>1</v>
      </c>
      <c r="G3150" s="126">
        <v>0.0175037166808066</v>
      </c>
      <c r="H3150" s="126">
        <f t="shared" si="148"/>
        <v>39.6000000000002</v>
      </c>
      <c r="I3150" s="126" t="str">
        <f t="shared" si="149"/>
        <v>0y 0d 0h 0m</v>
      </c>
    </row>
    <row r="3151" s="91" customFormat="1" spans="1:9">
      <c r="A3151" s="91" t="str">
        <f t="shared" si="147"/>
        <v>Bi-193</v>
      </c>
      <c r="B3151" s="91" t="s">
        <v>3782</v>
      </c>
      <c r="C3151" s="91" t="s">
        <v>3765</v>
      </c>
      <c r="D3151" s="91">
        <v>83</v>
      </c>
      <c r="E3151" s="91">
        <v>193</v>
      </c>
      <c r="F3151" s="91">
        <v>0</v>
      </c>
      <c r="G3151" s="126">
        <v>0.0108985405748419</v>
      </c>
      <c r="H3151" s="126">
        <f t="shared" si="148"/>
        <v>63.6</v>
      </c>
      <c r="I3151" s="126" t="str">
        <f t="shared" si="149"/>
        <v>0y 0d 0h 1m</v>
      </c>
    </row>
    <row r="3152" s="91" customFormat="1" spans="1:9">
      <c r="A3152" s="91" t="str">
        <f t="shared" si="147"/>
        <v>Bi-193m</v>
      </c>
      <c r="B3152" s="91" t="s">
        <v>3783</v>
      </c>
      <c r="C3152" s="91" t="s">
        <v>3765</v>
      </c>
      <c r="D3152" s="91">
        <v>83</v>
      </c>
      <c r="E3152" s="91">
        <v>193</v>
      </c>
      <c r="F3152" s="91">
        <v>1</v>
      </c>
      <c r="G3152" s="126">
        <v>0.216608493924982</v>
      </c>
      <c r="H3152" s="126">
        <f t="shared" si="148"/>
        <v>3.20000000000001</v>
      </c>
      <c r="I3152" s="126" t="str">
        <f t="shared" si="149"/>
        <v>0y 0d 0h 0m</v>
      </c>
    </row>
    <row r="3153" s="91" customFormat="1" spans="1:9">
      <c r="A3153" s="91" t="str">
        <f t="shared" si="147"/>
        <v>Bi-194</v>
      </c>
      <c r="B3153" s="91" t="s">
        <v>3784</v>
      </c>
      <c r="C3153" s="91" t="s">
        <v>3765</v>
      </c>
      <c r="D3153" s="91">
        <v>83</v>
      </c>
      <c r="E3153" s="91">
        <v>194</v>
      </c>
      <c r="F3153" s="91">
        <v>0</v>
      </c>
      <c r="G3153" s="126">
        <v>0.00729628611115731</v>
      </c>
      <c r="H3153" s="126">
        <f t="shared" si="148"/>
        <v>95.0000000000001</v>
      </c>
      <c r="I3153" s="126" t="str">
        <f t="shared" si="149"/>
        <v>0y 0d 0h 1m</v>
      </c>
    </row>
    <row r="3154" s="91" customFormat="1" spans="1:9">
      <c r="A3154" s="91" t="str">
        <f t="shared" si="147"/>
        <v>Bi-194m</v>
      </c>
      <c r="B3154" s="91" t="s">
        <v>3785</v>
      </c>
      <c r="C3154" s="91" t="s">
        <v>3765</v>
      </c>
      <c r="D3154" s="91">
        <v>83</v>
      </c>
      <c r="E3154" s="91">
        <v>194</v>
      </c>
      <c r="F3154" s="91">
        <v>1</v>
      </c>
      <c r="G3154" s="126">
        <v>0.00554517744447956</v>
      </c>
      <c r="H3154" s="126">
        <f t="shared" si="148"/>
        <v>125</v>
      </c>
      <c r="I3154" s="126" t="str">
        <f t="shared" si="149"/>
        <v>0y 0d 0h 2m</v>
      </c>
    </row>
    <row r="3155" s="91" customFormat="1" spans="1:9">
      <c r="A3155" s="91" t="str">
        <f t="shared" si="147"/>
        <v>Bi-194m2</v>
      </c>
      <c r="B3155" s="91" t="s">
        <v>3786</v>
      </c>
      <c r="C3155" s="91" t="s">
        <v>3765</v>
      </c>
      <c r="D3155" s="91">
        <v>83</v>
      </c>
      <c r="E3155" s="91">
        <v>194</v>
      </c>
      <c r="F3155" s="91">
        <v>2</v>
      </c>
      <c r="G3155" s="126">
        <v>0.00602736678747778</v>
      </c>
      <c r="H3155" s="126">
        <f t="shared" si="148"/>
        <v>115</v>
      </c>
      <c r="I3155" s="126" t="str">
        <f t="shared" si="149"/>
        <v>0y 0d 0h 1m</v>
      </c>
    </row>
    <row r="3156" s="91" customFormat="1" spans="1:9">
      <c r="A3156" s="91" t="str">
        <f t="shared" si="147"/>
        <v>Bi-195</v>
      </c>
      <c r="B3156" s="91" t="s">
        <v>3787</v>
      </c>
      <c r="C3156" s="91" t="s">
        <v>3765</v>
      </c>
      <c r="D3156" s="91">
        <v>83</v>
      </c>
      <c r="E3156" s="91">
        <v>195</v>
      </c>
      <c r="F3156" s="91">
        <v>0</v>
      </c>
      <c r="G3156" s="126">
        <v>0.00378768951125653</v>
      </c>
      <c r="H3156" s="126">
        <f t="shared" si="148"/>
        <v>183</v>
      </c>
      <c r="I3156" s="126" t="str">
        <f t="shared" si="149"/>
        <v>0y 0d 0h 3m</v>
      </c>
    </row>
    <row r="3157" s="91" customFormat="1" spans="1:9">
      <c r="A3157" s="91" t="str">
        <f t="shared" si="147"/>
        <v>Bi-195m</v>
      </c>
      <c r="B3157" s="91" t="s">
        <v>3788</v>
      </c>
      <c r="C3157" s="91" t="s">
        <v>3765</v>
      </c>
      <c r="D3157" s="91">
        <v>83</v>
      </c>
      <c r="E3157" s="91">
        <v>195</v>
      </c>
      <c r="F3157" s="91">
        <v>1</v>
      </c>
      <c r="G3157" s="126">
        <v>0.00796720897195339</v>
      </c>
      <c r="H3157" s="126">
        <f t="shared" si="148"/>
        <v>87.0000000000001</v>
      </c>
      <c r="I3157" s="126" t="str">
        <f t="shared" si="149"/>
        <v>0y 0d 0h 1m</v>
      </c>
    </row>
    <row r="3158" s="91" customFormat="1" spans="1:9">
      <c r="A3158" s="91" t="str">
        <f t="shared" si="147"/>
        <v>Bi-196</v>
      </c>
      <c r="B3158" s="91" t="s">
        <v>3789</v>
      </c>
      <c r="C3158" s="91" t="s">
        <v>3765</v>
      </c>
      <c r="D3158" s="91">
        <v>83</v>
      </c>
      <c r="E3158" s="91">
        <v>196</v>
      </c>
      <c r="F3158" s="91">
        <v>0</v>
      </c>
      <c r="G3158" s="126">
        <v>0.00225047785896086</v>
      </c>
      <c r="H3158" s="126">
        <f t="shared" si="148"/>
        <v>308</v>
      </c>
      <c r="I3158" s="126" t="str">
        <f t="shared" si="149"/>
        <v>0y 0d 0h 5m</v>
      </c>
    </row>
    <row r="3159" s="91" customFormat="1" spans="1:9">
      <c r="A3159" s="91" t="str">
        <f t="shared" si="147"/>
        <v>Bi-196m</v>
      </c>
      <c r="B3159" s="91" t="s">
        <v>3790</v>
      </c>
      <c r="C3159" s="91" t="s">
        <v>3765</v>
      </c>
      <c r="D3159" s="91">
        <v>83</v>
      </c>
      <c r="E3159" s="91">
        <v>196</v>
      </c>
      <c r="F3159" s="91">
        <v>1</v>
      </c>
      <c r="G3159" s="126">
        <v>1.15524530093324</v>
      </c>
      <c r="H3159" s="126">
        <f t="shared" si="148"/>
        <v>0.600000000000001</v>
      </c>
      <c r="I3159" s="126" t="str">
        <f t="shared" si="149"/>
        <v>0y 0d 0h 0m</v>
      </c>
    </row>
    <row r="3160" s="91" customFormat="1" spans="1:9">
      <c r="A3160" s="91" t="str">
        <f t="shared" si="147"/>
        <v>Bi-196m2</v>
      </c>
      <c r="B3160" s="91" t="s">
        <v>3791</v>
      </c>
      <c r="C3160" s="91" t="s">
        <v>3765</v>
      </c>
      <c r="D3160" s="91">
        <v>83</v>
      </c>
      <c r="E3160" s="91">
        <v>196</v>
      </c>
      <c r="F3160" s="91">
        <v>2</v>
      </c>
      <c r="G3160" s="126">
        <v>0.0028881132523331</v>
      </c>
      <c r="H3160" s="126">
        <f t="shared" si="148"/>
        <v>240</v>
      </c>
      <c r="I3160" s="126" t="str">
        <f t="shared" si="149"/>
        <v>0y 0d 0h 4m</v>
      </c>
    </row>
    <row r="3161" s="91" customFormat="1" spans="1:9">
      <c r="A3161" s="91" t="str">
        <f t="shared" si="147"/>
        <v>Bi-197</v>
      </c>
      <c r="B3161" s="91" t="s">
        <v>3792</v>
      </c>
      <c r="C3161" s="91" t="s">
        <v>3765</v>
      </c>
      <c r="D3161" s="91">
        <v>83</v>
      </c>
      <c r="E3161" s="91">
        <v>197</v>
      </c>
      <c r="F3161" s="91">
        <v>0</v>
      </c>
      <c r="G3161" s="126">
        <v>0.00123820503851365</v>
      </c>
      <c r="H3161" s="126">
        <f t="shared" si="148"/>
        <v>559.800000000003</v>
      </c>
      <c r="I3161" s="126" t="str">
        <f t="shared" si="149"/>
        <v>0y 0d 0h 9m</v>
      </c>
    </row>
    <row r="3162" s="91" customFormat="1" spans="1:9">
      <c r="A3162" s="91" t="str">
        <f t="shared" si="147"/>
        <v>Bi-197m</v>
      </c>
      <c r="B3162" s="91" t="s">
        <v>3793</v>
      </c>
      <c r="C3162" s="91" t="s">
        <v>3765</v>
      </c>
      <c r="D3162" s="91">
        <v>83</v>
      </c>
      <c r="E3162" s="91">
        <v>197</v>
      </c>
      <c r="F3162" s="91">
        <v>1</v>
      </c>
      <c r="G3162" s="126">
        <v>0.00229215337486754</v>
      </c>
      <c r="H3162" s="126">
        <f t="shared" si="148"/>
        <v>302.4</v>
      </c>
      <c r="I3162" s="126" t="str">
        <f t="shared" si="149"/>
        <v>0y 0d 0h 5m</v>
      </c>
    </row>
    <row r="3163" s="91" customFormat="1" spans="1:9">
      <c r="A3163" s="91" t="str">
        <f t="shared" si="147"/>
        <v>Bi-198</v>
      </c>
      <c r="B3163" s="91" t="s">
        <v>3794</v>
      </c>
      <c r="C3163" s="91" t="s">
        <v>3765</v>
      </c>
      <c r="D3163" s="91">
        <v>83</v>
      </c>
      <c r="E3163" s="91">
        <v>198</v>
      </c>
      <c r="F3163" s="91">
        <v>0</v>
      </c>
      <c r="G3163" s="126">
        <v>0.00112159737954683</v>
      </c>
      <c r="H3163" s="126">
        <f t="shared" si="148"/>
        <v>618.000000000004</v>
      </c>
      <c r="I3163" s="126" t="str">
        <f t="shared" si="149"/>
        <v>0y 0d 0h 10m</v>
      </c>
    </row>
    <row r="3164" s="91" customFormat="1" spans="1:9">
      <c r="A3164" s="91" t="str">
        <f t="shared" si="147"/>
        <v>Bi-198m</v>
      </c>
      <c r="B3164" s="91" t="s">
        <v>3795</v>
      </c>
      <c r="C3164" s="91" t="s">
        <v>3765</v>
      </c>
      <c r="D3164" s="91">
        <v>83</v>
      </c>
      <c r="E3164" s="91">
        <v>198</v>
      </c>
      <c r="F3164" s="91">
        <v>1</v>
      </c>
      <c r="G3164" s="126">
        <v>0.000995901121494174</v>
      </c>
      <c r="H3164" s="126">
        <f t="shared" si="148"/>
        <v>696</v>
      </c>
      <c r="I3164" s="126" t="str">
        <f t="shared" si="149"/>
        <v>0y 0d 0h 11m</v>
      </c>
    </row>
    <row r="3165" s="91" customFormat="1" spans="1:9">
      <c r="A3165" s="91" t="str">
        <f t="shared" si="147"/>
        <v>Bi-198m2</v>
      </c>
      <c r="B3165" s="91" t="s">
        <v>3796</v>
      </c>
      <c r="C3165" s="91" t="s">
        <v>3765</v>
      </c>
      <c r="D3165" s="91">
        <v>83</v>
      </c>
      <c r="E3165" s="91">
        <v>198</v>
      </c>
      <c r="F3165" s="91">
        <v>2</v>
      </c>
      <c r="G3165" s="126">
        <v>0.0900191143584344</v>
      </c>
      <c r="H3165" s="126">
        <f t="shared" si="148"/>
        <v>7.7</v>
      </c>
      <c r="I3165" s="126" t="str">
        <f t="shared" si="149"/>
        <v>0y 0d 0h 0m</v>
      </c>
    </row>
    <row r="3166" s="91" customFormat="1" spans="1:9">
      <c r="A3166" s="91" t="str">
        <f t="shared" si="147"/>
        <v>Bi-199</v>
      </c>
      <c r="B3166" s="91" t="s">
        <v>3797</v>
      </c>
      <c r="C3166" s="91" t="s">
        <v>3765</v>
      </c>
      <c r="D3166" s="91">
        <v>83</v>
      </c>
      <c r="E3166" s="91">
        <v>199</v>
      </c>
      <c r="F3166" s="91">
        <v>0</v>
      </c>
      <c r="G3166" s="126">
        <v>0.000427868629975274</v>
      </c>
      <c r="H3166" s="126">
        <f t="shared" si="148"/>
        <v>1620</v>
      </c>
      <c r="I3166" s="126" t="str">
        <f t="shared" si="149"/>
        <v>0y 0d 0h 27m</v>
      </c>
    </row>
    <row r="3167" s="91" customFormat="1" spans="1:9">
      <c r="A3167" s="91" t="str">
        <f t="shared" si="147"/>
        <v>Bi-199m</v>
      </c>
      <c r="B3167" s="91" t="s">
        <v>3798</v>
      </c>
      <c r="C3167" s="91" t="s">
        <v>3765</v>
      </c>
      <c r="D3167" s="91">
        <v>83</v>
      </c>
      <c r="E3167" s="91">
        <v>199</v>
      </c>
      <c r="F3167" s="91">
        <v>1</v>
      </c>
      <c r="G3167" s="126">
        <v>0.00046771064815111</v>
      </c>
      <c r="H3167" s="126">
        <f t="shared" si="148"/>
        <v>1482</v>
      </c>
      <c r="I3167" s="126" t="str">
        <f t="shared" si="149"/>
        <v>0y 0d 0h 24m</v>
      </c>
    </row>
    <row r="3168" s="91" customFormat="1" spans="1:9">
      <c r="A3168" s="91" t="str">
        <f t="shared" si="147"/>
        <v>Bi-200</v>
      </c>
      <c r="B3168" s="91" t="s">
        <v>3799</v>
      </c>
      <c r="C3168" s="91" t="s">
        <v>3765</v>
      </c>
      <c r="D3168" s="91">
        <v>83</v>
      </c>
      <c r="E3168" s="91">
        <v>200</v>
      </c>
      <c r="F3168" s="91">
        <v>0</v>
      </c>
      <c r="G3168" s="126">
        <v>0.000317375082673967</v>
      </c>
      <c r="H3168" s="126">
        <f t="shared" si="148"/>
        <v>2184</v>
      </c>
      <c r="I3168" s="126" t="str">
        <f t="shared" si="149"/>
        <v>0y 0d 0h 36m</v>
      </c>
    </row>
    <row r="3169" s="91" customFormat="1" spans="1:9">
      <c r="A3169" s="91" t="str">
        <f t="shared" si="147"/>
        <v>Bi-200m</v>
      </c>
      <c r="B3169" s="91" t="s">
        <v>3800</v>
      </c>
      <c r="C3169" s="91" t="s">
        <v>3765</v>
      </c>
      <c r="D3169" s="91">
        <v>83</v>
      </c>
      <c r="E3169" s="91">
        <v>200</v>
      </c>
      <c r="F3169" s="91">
        <v>1</v>
      </c>
      <c r="G3169" s="126">
        <v>0.000372659774494594</v>
      </c>
      <c r="H3169" s="126">
        <f t="shared" si="148"/>
        <v>1860</v>
      </c>
      <c r="I3169" s="126" t="str">
        <f t="shared" si="149"/>
        <v>0y 0d 0h 31m</v>
      </c>
    </row>
    <row r="3170" s="91" customFormat="1" spans="1:9">
      <c r="A3170" s="91" t="str">
        <f t="shared" si="147"/>
        <v>Bi-200m2</v>
      </c>
      <c r="B3170" s="91" t="s">
        <v>3801</v>
      </c>
      <c r="C3170" s="91" t="s">
        <v>3765</v>
      </c>
      <c r="D3170" s="91">
        <v>83</v>
      </c>
      <c r="E3170" s="91">
        <v>200</v>
      </c>
      <c r="F3170" s="91">
        <v>2</v>
      </c>
      <c r="G3170" s="126">
        <v>1.73286795139986</v>
      </c>
      <c r="H3170" s="126">
        <f t="shared" si="148"/>
        <v>0.400000000000001</v>
      </c>
      <c r="I3170" s="126" t="str">
        <f t="shared" si="149"/>
        <v>0y 0d 0h 0m</v>
      </c>
    </row>
    <row r="3171" s="91" customFormat="1" spans="1:9">
      <c r="A3171" s="91" t="str">
        <f t="shared" si="147"/>
        <v>Bi-201</v>
      </c>
      <c r="B3171" s="91" t="s">
        <v>3802</v>
      </c>
      <c r="C3171" s="91" t="s">
        <v>3765</v>
      </c>
      <c r="D3171" s="91">
        <v>83</v>
      </c>
      <c r="E3171" s="91">
        <v>201</v>
      </c>
      <c r="F3171" s="91">
        <v>0</v>
      </c>
      <c r="G3171" s="126">
        <v>0.000112159737954683</v>
      </c>
      <c r="H3171" s="126">
        <f t="shared" si="148"/>
        <v>6180.00000000004</v>
      </c>
      <c r="I3171" s="126" t="str">
        <f t="shared" si="149"/>
        <v>0y 0d 1h 43m</v>
      </c>
    </row>
    <row r="3172" s="91" customFormat="1" spans="1:9">
      <c r="A3172" s="91" t="str">
        <f t="shared" si="147"/>
        <v>Bi-201m</v>
      </c>
      <c r="B3172" s="91" t="s">
        <v>3803</v>
      </c>
      <c r="C3172" s="91" t="s">
        <v>3765</v>
      </c>
      <c r="D3172" s="91">
        <v>83</v>
      </c>
      <c r="E3172" s="91">
        <v>201</v>
      </c>
      <c r="F3172" s="91">
        <v>1</v>
      </c>
      <c r="G3172" s="126">
        <v>0.000200912226249259</v>
      </c>
      <c r="H3172" s="126">
        <f t="shared" si="148"/>
        <v>3450.00000000001</v>
      </c>
      <c r="I3172" s="126" t="str">
        <f t="shared" si="149"/>
        <v>0y 0d 0h 57m</v>
      </c>
    </row>
    <row r="3173" s="91" customFormat="1" spans="1:9">
      <c r="A3173" s="91" t="str">
        <f t="shared" si="147"/>
        <v>Bi-202</v>
      </c>
      <c r="B3173" s="91" t="s">
        <v>3804</v>
      </c>
      <c r="C3173" s="91" t="s">
        <v>3765</v>
      </c>
      <c r="D3173" s="91">
        <v>83</v>
      </c>
      <c r="E3173" s="91">
        <v>202</v>
      </c>
      <c r="F3173" s="91">
        <v>0</v>
      </c>
      <c r="G3173" s="126">
        <v>0.00011259700788823</v>
      </c>
      <c r="H3173" s="126">
        <f t="shared" si="148"/>
        <v>6156.00000000001</v>
      </c>
      <c r="I3173" s="126" t="str">
        <f t="shared" si="149"/>
        <v>0y 0d 1h 42m</v>
      </c>
    </row>
    <row r="3174" s="91" customFormat="1" spans="1:9">
      <c r="A3174" s="91" t="str">
        <f t="shared" si="147"/>
        <v>Bi-203</v>
      </c>
      <c r="B3174" s="91" t="s">
        <v>3805</v>
      </c>
      <c r="C3174" s="91" t="s">
        <v>3765</v>
      </c>
      <c r="D3174" s="91">
        <v>83</v>
      </c>
      <c r="E3174" s="91">
        <v>203</v>
      </c>
      <c r="F3174" s="91">
        <v>0</v>
      </c>
      <c r="G3174" s="126">
        <v>1.63725241061967e-5</v>
      </c>
      <c r="H3174" s="126">
        <f t="shared" si="148"/>
        <v>42336.0000000001</v>
      </c>
      <c r="I3174" s="126" t="str">
        <f t="shared" si="149"/>
        <v>0y 0d 11h 45m</v>
      </c>
    </row>
    <row r="3175" s="91" customFormat="1" spans="1:9">
      <c r="A3175" s="91" t="str">
        <f t="shared" si="147"/>
        <v>Bi-203m</v>
      </c>
      <c r="B3175" s="91" t="s">
        <v>3806</v>
      </c>
      <c r="C3175" s="91" t="s">
        <v>3765</v>
      </c>
      <c r="D3175" s="91">
        <v>83</v>
      </c>
      <c r="E3175" s="91">
        <v>203</v>
      </c>
      <c r="F3175" s="91">
        <v>1</v>
      </c>
      <c r="G3175" s="126">
        <v>2.27261370675391</v>
      </c>
      <c r="H3175" s="126">
        <f t="shared" si="148"/>
        <v>0.305000000000001</v>
      </c>
      <c r="I3175" s="126" t="str">
        <f t="shared" si="149"/>
        <v>0y 0d 0h 0m</v>
      </c>
    </row>
    <row r="3176" s="91" customFormat="1" spans="1:9">
      <c r="A3176" s="91" t="str">
        <f t="shared" si="147"/>
        <v>Bi-204</v>
      </c>
      <c r="B3176" s="91" t="s">
        <v>3807</v>
      </c>
      <c r="C3176" s="91" t="s">
        <v>3765</v>
      </c>
      <c r="D3176" s="91">
        <v>83</v>
      </c>
      <c r="E3176" s="91">
        <v>204</v>
      </c>
      <c r="F3176" s="91">
        <v>0</v>
      </c>
      <c r="G3176" s="126">
        <v>1.71605065498104e-5</v>
      </c>
      <c r="H3176" s="126">
        <f t="shared" si="148"/>
        <v>40392.0000000002</v>
      </c>
      <c r="I3176" s="126" t="str">
        <f t="shared" si="149"/>
        <v>0y 0d 11h 13m</v>
      </c>
    </row>
    <row r="3177" s="91" customFormat="1" spans="1:9">
      <c r="A3177" s="91" t="str">
        <f t="shared" si="147"/>
        <v>Bi-204m</v>
      </c>
      <c r="B3177" s="91" t="s">
        <v>3808</v>
      </c>
      <c r="C3177" s="91" t="s">
        <v>3765</v>
      </c>
      <c r="D3177" s="91">
        <v>83</v>
      </c>
      <c r="E3177" s="91">
        <v>204</v>
      </c>
      <c r="F3177" s="91">
        <v>1</v>
      </c>
      <c r="G3177" s="126">
        <v>53.3190138892265</v>
      </c>
      <c r="H3177" s="126">
        <f t="shared" si="148"/>
        <v>0.013</v>
      </c>
      <c r="I3177" s="126" t="str">
        <f t="shared" si="149"/>
        <v>0y 0d 0h 0m</v>
      </c>
    </row>
    <row r="3178" s="91" customFormat="1" spans="1:9">
      <c r="A3178" s="91" t="str">
        <f t="shared" si="147"/>
        <v>Bi-204m2</v>
      </c>
      <c r="B3178" s="91" t="s">
        <v>3809</v>
      </c>
      <c r="C3178" s="91" t="s">
        <v>3765</v>
      </c>
      <c r="D3178" s="91">
        <v>83</v>
      </c>
      <c r="E3178" s="91">
        <v>204</v>
      </c>
      <c r="F3178" s="91">
        <v>2</v>
      </c>
      <c r="G3178" s="126">
        <v>647.801103327051</v>
      </c>
      <c r="H3178" s="126">
        <f t="shared" si="148"/>
        <v>0.00107</v>
      </c>
      <c r="I3178" s="126" t="str">
        <f t="shared" si="149"/>
        <v>0y 0d 0h 0m</v>
      </c>
    </row>
    <row r="3179" s="91" customFormat="1" spans="1:9">
      <c r="A3179" s="91" t="str">
        <f t="shared" si="147"/>
        <v>Bi-205</v>
      </c>
      <c r="B3179" s="91" t="s">
        <v>3810</v>
      </c>
      <c r="C3179" s="91" t="s">
        <v>3765</v>
      </c>
      <c r="D3179" s="91">
        <v>83</v>
      </c>
      <c r="E3179" s="91">
        <v>205</v>
      </c>
      <c r="F3179" s="91">
        <v>0</v>
      </c>
      <c r="G3179" s="126">
        <v>5.24006323451104e-7</v>
      </c>
      <c r="H3179" s="126">
        <f t="shared" si="148"/>
        <v>1322784</v>
      </c>
      <c r="I3179" s="126" t="str">
        <f t="shared" si="149"/>
        <v>0y 15d 7h 26m</v>
      </c>
    </row>
    <row r="3180" s="91" customFormat="1" spans="1:9">
      <c r="A3180" s="91" t="str">
        <f t="shared" si="147"/>
        <v>Bi-206</v>
      </c>
      <c r="B3180" s="91" t="s">
        <v>3811</v>
      </c>
      <c r="C3180" s="91" t="s">
        <v>3765</v>
      </c>
      <c r="D3180" s="91">
        <v>83</v>
      </c>
      <c r="E3180" s="91">
        <v>206</v>
      </c>
      <c r="F3180" s="91">
        <v>0</v>
      </c>
      <c r="G3180" s="126">
        <v>1.28504514048316e-6</v>
      </c>
      <c r="H3180" s="126">
        <f t="shared" si="148"/>
        <v>539395.200000002</v>
      </c>
      <c r="I3180" s="126" t="str">
        <f t="shared" si="149"/>
        <v>0y 6d 5h 49m</v>
      </c>
    </row>
    <row r="3181" s="91" customFormat="1" spans="1:9">
      <c r="A3181" s="91" t="str">
        <f t="shared" si="147"/>
        <v>Bi-207</v>
      </c>
      <c r="B3181" s="91" t="s">
        <v>3812</v>
      </c>
      <c r="C3181" s="91" t="s">
        <v>3765</v>
      </c>
      <c r="D3181" s="91">
        <v>83</v>
      </c>
      <c r="E3181" s="91">
        <v>207</v>
      </c>
      <c r="F3181" s="91">
        <v>0</v>
      </c>
      <c r="G3181" s="126">
        <v>6.96180928190722e-10</v>
      </c>
      <c r="H3181" s="126">
        <f t="shared" si="148"/>
        <v>995642300</v>
      </c>
      <c r="I3181" s="126" t="str">
        <f t="shared" si="149"/>
        <v>31y 208d 15h 18m</v>
      </c>
    </row>
    <row r="3182" s="91" customFormat="1" spans="1:9">
      <c r="A3182" s="91" t="str">
        <f t="shared" si="147"/>
        <v>Bi-208</v>
      </c>
      <c r="B3182" s="91" t="s">
        <v>3813</v>
      </c>
      <c r="C3182" s="91" t="s">
        <v>3765</v>
      </c>
      <c r="D3182" s="91">
        <v>83</v>
      </c>
      <c r="E3182" s="91">
        <v>208</v>
      </c>
      <c r="F3182" s="91">
        <v>0</v>
      </c>
      <c r="G3182" s="126">
        <v>5.96861485688652e-14</v>
      </c>
      <c r="H3182" s="126">
        <f t="shared" si="148"/>
        <v>11613200000000</v>
      </c>
      <c r="I3182" s="126" t="str">
        <f t="shared" si="149"/>
        <v>368252y 57d 0h 53m</v>
      </c>
    </row>
    <row r="3183" s="91" customFormat="1" spans="1:9">
      <c r="A3183" s="91" t="str">
        <f t="shared" si="147"/>
        <v>Bi-208m</v>
      </c>
      <c r="B3183" s="91" t="s">
        <v>3814</v>
      </c>
      <c r="C3183" s="91" t="s">
        <v>3765</v>
      </c>
      <c r="D3183" s="91">
        <v>83</v>
      </c>
      <c r="E3183" s="91">
        <v>208</v>
      </c>
      <c r="F3183" s="91">
        <v>1</v>
      </c>
      <c r="G3183" s="126">
        <v>268.661697891451</v>
      </c>
      <c r="H3183" s="126">
        <f t="shared" si="148"/>
        <v>0.00258000000000001</v>
      </c>
      <c r="I3183" s="126" t="str">
        <f t="shared" si="149"/>
        <v>0y 0d 0h 0m</v>
      </c>
    </row>
    <row r="3184" s="91" customFormat="1" spans="1:9">
      <c r="A3184" s="91" t="str">
        <f t="shared" si="147"/>
        <v>Bi-209</v>
      </c>
      <c r="B3184" s="91" t="s">
        <v>3815</v>
      </c>
      <c r="C3184" s="91" t="s">
        <v>3765</v>
      </c>
      <c r="D3184" s="91">
        <v>83</v>
      </c>
      <c r="E3184" s="91">
        <v>209</v>
      </c>
      <c r="F3184" s="91">
        <v>0</v>
      </c>
      <c r="G3184" s="126">
        <v>1.15602754623953e-27</v>
      </c>
      <c r="H3184" s="126">
        <f t="shared" si="148"/>
        <v>5.99594e+26</v>
      </c>
      <c r="I3184" s="126" t="str">
        <f t="shared" si="149"/>
        <v>1.90130010147134E+19y 0d 0h 0m</v>
      </c>
    </row>
    <row r="3185" s="91" customFormat="1" spans="1:9">
      <c r="A3185" s="91" t="str">
        <f t="shared" si="147"/>
        <v>Bi-210</v>
      </c>
      <c r="B3185" s="91" t="s">
        <v>3816</v>
      </c>
      <c r="C3185" s="91" t="s">
        <v>3765</v>
      </c>
      <c r="D3185" s="91">
        <v>83</v>
      </c>
      <c r="E3185" s="91">
        <v>210</v>
      </c>
      <c r="F3185" s="91">
        <v>0</v>
      </c>
      <c r="G3185" s="126">
        <v>1.6006657645723e-6</v>
      </c>
      <c r="H3185" s="126">
        <f t="shared" si="148"/>
        <v>433036.800000002</v>
      </c>
      <c r="I3185" s="126" t="str">
        <f t="shared" si="149"/>
        <v>0y 5d 0h 17m</v>
      </c>
    </row>
    <row r="3186" s="91" customFormat="1" spans="1:9">
      <c r="A3186" s="91" t="str">
        <f t="shared" si="147"/>
        <v>Bi-210m</v>
      </c>
      <c r="B3186" s="91" t="s">
        <v>3817</v>
      </c>
      <c r="C3186" s="91" t="s">
        <v>3765</v>
      </c>
      <c r="D3186" s="91">
        <v>83</v>
      </c>
      <c r="E3186" s="91">
        <v>210</v>
      </c>
      <c r="F3186" s="91">
        <v>1</v>
      </c>
      <c r="G3186" s="126">
        <v>7.22516764520957e-15</v>
      </c>
      <c r="H3186" s="126">
        <f t="shared" si="148"/>
        <v>95935100000000.1</v>
      </c>
      <c r="I3186" s="126" t="str">
        <f t="shared" si="149"/>
        <v>3042082y 23d 16h 53m</v>
      </c>
    </row>
    <row r="3187" s="91" customFormat="1" spans="1:9">
      <c r="A3187" s="91" t="str">
        <f t="shared" si="147"/>
        <v>Bi-211</v>
      </c>
      <c r="B3187" s="91" t="s">
        <v>3818</v>
      </c>
      <c r="C3187" s="91" t="s">
        <v>3765</v>
      </c>
      <c r="D3187" s="91">
        <v>83</v>
      </c>
      <c r="E3187" s="91">
        <v>211</v>
      </c>
      <c r="F3187" s="91">
        <v>0</v>
      </c>
      <c r="G3187" s="126">
        <v>0.00539834252772543</v>
      </c>
      <c r="H3187" s="126">
        <f t="shared" si="148"/>
        <v>128.4</v>
      </c>
      <c r="I3187" s="126" t="str">
        <f t="shared" si="149"/>
        <v>0y 0d 0h 2m</v>
      </c>
    </row>
    <row r="3188" s="91" customFormat="1" spans="1:9">
      <c r="A3188" s="91" t="str">
        <f t="shared" si="147"/>
        <v>Bi-212</v>
      </c>
      <c r="B3188" s="91" t="s">
        <v>3819</v>
      </c>
      <c r="C3188" s="91" t="s">
        <v>3765</v>
      </c>
      <c r="D3188" s="91">
        <v>83</v>
      </c>
      <c r="E3188" s="91">
        <v>212</v>
      </c>
      <c r="F3188" s="91">
        <v>0</v>
      </c>
      <c r="G3188" s="126">
        <v>0.000190791957214408</v>
      </c>
      <c r="H3188" s="126">
        <f t="shared" si="148"/>
        <v>3633.00000000001</v>
      </c>
      <c r="I3188" s="126" t="str">
        <f t="shared" si="149"/>
        <v>0y 0d 1h 0m</v>
      </c>
    </row>
    <row r="3189" s="91" customFormat="1" spans="1:9">
      <c r="A3189" s="91" t="str">
        <f t="shared" si="147"/>
        <v>Bi-212m</v>
      </c>
      <c r="B3189" s="91" t="s">
        <v>3820</v>
      </c>
      <c r="C3189" s="91" t="s">
        <v>3765</v>
      </c>
      <c r="D3189" s="91">
        <v>83</v>
      </c>
      <c r="E3189" s="91">
        <v>212</v>
      </c>
      <c r="F3189" s="91">
        <v>1</v>
      </c>
      <c r="G3189" s="126">
        <v>0.000462098120373296</v>
      </c>
      <c r="H3189" s="126">
        <f t="shared" si="148"/>
        <v>1500</v>
      </c>
      <c r="I3189" s="126" t="str">
        <f t="shared" si="149"/>
        <v>0y 0d 0h 25m</v>
      </c>
    </row>
    <row r="3190" s="91" customFormat="1" spans="1:9">
      <c r="A3190" s="91" t="str">
        <f t="shared" si="147"/>
        <v>Bi-212m2</v>
      </c>
      <c r="B3190" s="91" t="s">
        <v>3821</v>
      </c>
      <c r="C3190" s="91" t="s">
        <v>3765</v>
      </c>
      <c r="D3190" s="91">
        <v>83</v>
      </c>
      <c r="E3190" s="91">
        <v>212</v>
      </c>
      <c r="F3190" s="91">
        <v>2</v>
      </c>
      <c r="G3190" s="126">
        <v>0.00165035042990463</v>
      </c>
      <c r="H3190" s="126">
        <f t="shared" si="148"/>
        <v>420</v>
      </c>
      <c r="I3190" s="126" t="str">
        <f t="shared" si="149"/>
        <v>0y 0d 0h 7m</v>
      </c>
    </row>
    <row r="3191" s="91" customFormat="1" spans="1:9">
      <c r="A3191" s="91" t="str">
        <f t="shared" si="147"/>
        <v>Bi-213</v>
      </c>
      <c r="B3191" s="91" t="s">
        <v>3822</v>
      </c>
      <c r="C3191" s="91" t="s">
        <v>3765</v>
      </c>
      <c r="D3191" s="91">
        <v>83</v>
      </c>
      <c r="E3191" s="91">
        <v>213</v>
      </c>
      <c r="F3191" s="91">
        <v>0</v>
      </c>
      <c r="G3191" s="126">
        <v>0.000253398837669059</v>
      </c>
      <c r="H3191" s="126">
        <f t="shared" si="148"/>
        <v>2735.40000000001</v>
      </c>
      <c r="I3191" s="126" t="str">
        <f t="shared" si="149"/>
        <v>0y 0d 0h 45m</v>
      </c>
    </row>
    <row r="3192" s="91" customFormat="1" spans="1:9">
      <c r="A3192" s="91" t="str">
        <f t="shared" si="147"/>
        <v>Bi-214</v>
      </c>
      <c r="B3192" s="91" t="s">
        <v>3823</v>
      </c>
      <c r="C3192" s="91" t="s">
        <v>3765</v>
      </c>
      <c r="D3192" s="91">
        <v>83</v>
      </c>
      <c r="E3192" s="91">
        <v>214</v>
      </c>
      <c r="F3192" s="91">
        <v>0</v>
      </c>
      <c r="G3192" s="126">
        <v>0.000580525276850875</v>
      </c>
      <c r="H3192" s="126">
        <f t="shared" si="148"/>
        <v>1194</v>
      </c>
      <c r="I3192" s="126" t="str">
        <f t="shared" si="149"/>
        <v>0y 0d 0h 19m</v>
      </c>
    </row>
    <row r="3193" s="91" customFormat="1" spans="1:9">
      <c r="A3193" s="91" t="str">
        <f t="shared" si="147"/>
        <v>Bi-215</v>
      </c>
      <c r="B3193" s="91" t="s">
        <v>3824</v>
      </c>
      <c r="C3193" s="91" t="s">
        <v>3765</v>
      </c>
      <c r="D3193" s="91">
        <v>83</v>
      </c>
      <c r="E3193" s="91">
        <v>215</v>
      </c>
      <c r="F3193" s="91">
        <v>0</v>
      </c>
      <c r="G3193" s="126">
        <v>0.00150031857264057</v>
      </c>
      <c r="H3193" s="126">
        <f t="shared" si="148"/>
        <v>462.000000000001</v>
      </c>
      <c r="I3193" s="126" t="str">
        <f t="shared" si="149"/>
        <v>0y 0d 0h 7m</v>
      </c>
    </row>
    <row r="3194" s="91" customFormat="1" spans="1:9">
      <c r="A3194" s="91" t="str">
        <f t="shared" si="147"/>
        <v>Bi-215m</v>
      </c>
      <c r="B3194" s="91" t="s">
        <v>3825</v>
      </c>
      <c r="C3194" s="91" t="s">
        <v>3765</v>
      </c>
      <c r="D3194" s="91">
        <v>83</v>
      </c>
      <c r="E3194" s="91">
        <v>215</v>
      </c>
      <c r="F3194" s="91">
        <v>1</v>
      </c>
      <c r="G3194" s="126">
        <v>0.019042504960438</v>
      </c>
      <c r="H3194" s="126">
        <f t="shared" si="148"/>
        <v>36.4000000000001</v>
      </c>
      <c r="I3194" s="126" t="str">
        <f t="shared" si="149"/>
        <v>0y 0d 0h 0m</v>
      </c>
    </row>
    <row r="3195" s="91" customFormat="1" spans="1:9">
      <c r="A3195" s="91" t="str">
        <f t="shared" si="147"/>
        <v>Bi-216</v>
      </c>
      <c r="B3195" s="91" t="s">
        <v>3826</v>
      </c>
      <c r="C3195" s="91" t="s">
        <v>3765</v>
      </c>
      <c r="D3195" s="91">
        <v>83</v>
      </c>
      <c r="E3195" s="91">
        <v>216</v>
      </c>
      <c r="F3195" s="91">
        <v>0</v>
      </c>
      <c r="G3195" s="126">
        <v>0.00513442355970329</v>
      </c>
      <c r="H3195" s="126">
        <f t="shared" si="148"/>
        <v>135</v>
      </c>
      <c r="I3195" s="126" t="str">
        <f t="shared" si="149"/>
        <v>0y 0d 0h 2m</v>
      </c>
    </row>
    <row r="3196" s="91" customFormat="1" spans="1:9">
      <c r="A3196" s="91" t="str">
        <f t="shared" si="147"/>
        <v>Bi-217</v>
      </c>
      <c r="B3196" s="91" t="s">
        <v>3827</v>
      </c>
      <c r="C3196" s="91" t="s">
        <v>3765</v>
      </c>
      <c r="D3196" s="91">
        <v>83</v>
      </c>
      <c r="E3196" s="91">
        <v>217</v>
      </c>
      <c r="F3196" s="91">
        <v>0</v>
      </c>
      <c r="G3196" s="126">
        <v>0.00703702721380655</v>
      </c>
      <c r="H3196" s="126">
        <f t="shared" si="148"/>
        <v>98.5</v>
      </c>
      <c r="I3196" s="126" t="str">
        <f t="shared" si="149"/>
        <v>0y 0d 0h 1m</v>
      </c>
    </row>
    <row r="3197" s="91" customFormat="1" spans="1:9">
      <c r="A3197" s="91" t="str">
        <f t="shared" si="147"/>
        <v>Bi-218</v>
      </c>
      <c r="B3197" s="91" t="s">
        <v>3828</v>
      </c>
      <c r="C3197" s="91" t="s">
        <v>3765</v>
      </c>
      <c r="D3197" s="91">
        <v>83</v>
      </c>
      <c r="E3197" s="91">
        <v>218</v>
      </c>
      <c r="F3197" s="91">
        <v>0</v>
      </c>
      <c r="G3197" s="126">
        <v>0.021004460016968</v>
      </c>
      <c r="H3197" s="126">
        <f t="shared" si="148"/>
        <v>33.0000000000001</v>
      </c>
      <c r="I3197" s="126" t="str">
        <f t="shared" si="149"/>
        <v>0y 0d 0h 0m</v>
      </c>
    </row>
    <row r="3198" s="91" customFormat="1" spans="1:9">
      <c r="A3198" s="91" t="str">
        <f t="shared" si="147"/>
        <v>Po-188</v>
      </c>
      <c r="B3198" s="91" t="s">
        <v>3829</v>
      </c>
      <c r="C3198" s="91" t="s">
        <v>3830</v>
      </c>
      <c r="D3198" s="91">
        <v>84</v>
      </c>
      <c r="E3198" s="91">
        <v>188</v>
      </c>
      <c r="F3198" s="91">
        <v>0</v>
      </c>
      <c r="G3198" s="126">
        <v>1630.93454249398</v>
      </c>
      <c r="H3198" s="126">
        <f t="shared" si="148"/>
        <v>0.000425000000000002</v>
      </c>
      <c r="I3198" s="126" t="str">
        <f t="shared" si="149"/>
        <v>0y 0d 0h 0m</v>
      </c>
    </row>
    <row r="3199" s="91" customFormat="1" spans="1:9">
      <c r="A3199" s="91" t="str">
        <f t="shared" si="147"/>
        <v>Po-189</v>
      </c>
      <c r="B3199" s="91" t="s">
        <v>3831</v>
      </c>
      <c r="C3199" s="91" t="s">
        <v>3830</v>
      </c>
      <c r="D3199" s="91">
        <v>84</v>
      </c>
      <c r="E3199" s="91">
        <v>189</v>
      </c>
      <c r="F3199" s="91">
        <v>0</v>
      </c>
      <c r="G3199" s="126">
        <v>198.042051588555</v>
      </c>
      <c r="H3199" s="126">
        <f t="shared" si="148"/>
        <v>0.00350000000000001</v>
      </c>
      <c r="I3199" s="126" t="str">
        <f t="shared" si="149"/>
        <v>0y 0d 0h 0m</v>
      </c>
    </row>
    <row r="3200" s="91" customFormat="1" spans="1:9">
      <c r="A3200" s="91" t="str">
        <f t="shared" si="147"/>
        <v>Po-190</v>
      </c>
      <c r="B3200" s="91" t="s">
        <v>3832</v>
      </c>
      <c r="C3200" s="91" t="s">
        <v>3830</v>
      </c>
      <c r="D3200" s="91">
        <v>84</v>
      </c>
      <c r="E3200" s="91">
        <v>190</v>
      </c>
      <c r="F3200" s="91">
        <v>0</v>
      </c>
      <c r="G3200" s="126">
        <v>282.917216555079</v>
      </c>
      <c r="H3200" s="126">
        <f t="shared" si="148"/>
        <v>0.00245000000000001</v>
      </c>
      <c r="I3200" s="126" t="str">
        <f t="shared" si="149"/>
        <v>0y 0d 0h 0m</v>
      </c>
    </row>
    <row r="3201" s="91" customFormat="1" spans="1:9">
      <c r="A3201" s="91" t="str">
        <f t="shared" si="147"/>
        <v>Po-191</v>
      </c>
      <c r="B3201" s="91" t="s">
        <v>3833</v>
      </c>
      <c r="C3201" s="91" t="s">
        <v>3830</v>
      </c>
      <c r="D3201" s="91">
        <v>84</v>
      </c>
      <c r="E3201" s="91">
        <v>191</v>
      </c>
      <c r="F3201" s="91">
        <v>0</v>
      </c>
      <c r="G3201" s="126">
        <v>31.506690025452</v>
      </c>
      <c r="H3201" s="126">
        <f t="shared" si="148"/>
        <v>0.022</v>
      </c>
      <c r="I3201" s="126" t="str">
        <f t="shared" si="149"/>
        <v>0y 0d 0h 0m</v>
      </c>
    </row>
    <row r="3202" s="91" customFormat="1" spans="1:9">
      <c r="A3202" s="91" t="str">
        <f t="shared" ref="A3202:A3265" si="150">C3202&amp;"-"&amp;E3202&amp;_xlfn.IFS(F3202=0,"",F3202=1,"m",F3202&gt;1,"m"&amp;F3202)</f>
        <v>Po-191m</v>
      </c>
      <c r="B3202" s="91" t="s">
        <v>3834</v>
      </c>
      <c r="C3202" s="91" t="s">
        <v>3830</v>
      </c>
      <c r="D3202" s="91">
        <v>84</v>
      </c>
      <c r="E3202" s="91">
        <v>191</v>
      </c>
      <c r="F3202" s="91">
        <v>1</v>
      </c>
      <c r="G3202" s="126">
        <v>7.45319548989188</v>
      </c>
      <c r="H3202" s="126">
        <f t="shared" ref="H3202:H3265" si="151">IF(G3202&gt;0,LN(2)/G3202,0)</f>
        <v>0.0930000000000001</v>
      </c>
      <c r="I3202" s="126" t="str">
        <f t="shared" si="149"/>
        <v>0y 0d 0h 0m</v>
      </c>
    </row>
    <row r="3203" s="91" customFormat="1" spans="1:9">
      <c r="A3203" s="91" t="str">
        <f t="shared" si="150"/>
        <v>Po-192</v>
      </c>
      <c r="B3203" s="91" t="s">
        <v>3835</v>
      </c>
      <c r="C3203" s="91" t="s">
        <v>3830</v>
      </c>
      <c r="D3203" s="91">
        <v>84</v>
      </c>
      <c r="E3203" s="91">
        <v>192</v>
      </c>
      <c r="F3203" s="91">
        <v>0</v>
      </c>
      <c r="G3203" s="126">
        <v>20.8779271252995</v>
      </c>
      <c r="H3203" s="126">
        <f t="shared" si="151"/>
        <v>0.0332000000000001</v>
      </c>
      <c r="I3203" s="126" t="str">
        <f t="shared" ref="I3203:I3266" si="152">INT(H3203/31536000)&amp;"y "&amp;INT(MOD(H3203,31536000)/86400)&amp;"d "&amp;INT(MOD(MOD(H3203,31536000),86400)/3600)&amp;"h "&amp;INT(MOD(MOD(MOD(H3203,31536000),86400),3600)/60)&amp;"m"</f>
        <v>0y 0d 0h 0m</v>
      </c>
    </row>
    <row r="3204" s="91" customFormat="1" spans="1:9">
      <c r="A3204" s="91" t="str">
        <f t="shared" si="150"/>
        <v>Po-193</v>
      </c>
      <c r="B3204" s="91" t="s">
        <v>3836</v>
      </c>
      <c r="C3204" s="91" t="s">
        <v>3830</v>
      </c>
      <c r="D3204" s="91">
        <v>84</v>
      </c>
      <c r="E3204" s="91">
        <v>193</v>
      </c>
      <c r="F3204" s="91">
        <v>0</v>
      </c>
      <c r="G3204" s="126">
        <v>1.87337075827012</v>
      </c>
      <c r="H3204" s="126">
        <f t="shared" si="151"/>
        <v>0.37</v>
      </c>
      <c r="I3204" s="126" t="str">
        <f t="shared" si="152"/>
        <v>0y 0d 0h 0m</v>
      </c>
    </row>
    <row r="3205" s="91" customFormat="1" spans="1:9">
      <c r="A3205" s="91" t="str">
        <f t="shared" si="150"/>
        <v>Po-193m</v>
      </c>
      <c r="B3205" s="91" t="s">
        <v>3837</v>
      </c>
      <c r="C3205" s="91" t="s">
        <v>3830</v>
      </c>
      <c r="D3205" s="91">
        <v>84</v>
      </c>
      <c r="E3205" s="91">
        <v>193</v>
      </c>
      <c r="F3205" s="91">
        <v>1</v>
      </c>
      <c r="G3205" s="126">
        <v>1.85830343313658</v>
      </c>
      <c r="H3205" s="126">
        <f t="shared" si="151"/>
        <v>0.373</v>
      </c>
      <c r="I3205" s="126" t="str">
        <f t="shared" si="152"/>
        <v>0y 0d 0h 0m</v>
      </c>
    </row>
    <row r="3206" s="91" customFormat="1" spans="1:9">
      <c r="A3206" s="91" t="str">
        <f t="shared" si="150"/>
        <v>Po-194</v>
      </c>
      <c r="B3206" s="91" t="s">
        <v>3838</v>
      </c>
      <c r="C3206" s="91" t="s">
        <v>3830</v>
      </c>
      <c r="D3206" s="91">
        <v>84</v>
      </c>
      <c r="E3206" s="91">
        <v>194</v>
      </c>
      <c r="F3206" s="91">
        <v>0</v>
      </c>
      <c r="G3206" s="126">
        <v>1.76823260346924</v>
      </c>
      <c r="H3206" s="126">
        <f t="shared" si="151"/>
        <v>0.392000000000002</v>
      </c>
      <c r="I3206" s="126" t="str">
        <f t="shared" si="152"/>
        <v>0y 0d 0h 0m</v>
      </c>
    </row>
    <row r="3207" s="91" customFormat="1" spans="1:9">
      <c r="A3207" s="91" t="str">
        <f t="shared" si="150"/>
        <v>Po-195</v>
      </c>
      <c r="B3207" s="91" t="s">
        <v>3839</v>
      </c>
      <c r="C3207" s="91" t="s">
        <v>3830</v>
      </c>
      <c r="D3207" s="91">
        <v>84</v>
      </c>
      <c r="E3207" s="91">
        <v>195</v>
      </c>
      <c r="F3207" s="91">
        <v>0</v>
      </c>
      <c r="G3207" s="126">
        <v>0.149385168224126</v>
      </c>
      <c r="H3207" s="126">
        <f t="shared" si="151"/>
        <v>4.64</v>
      </c>
      <c r="I3207" s="126" t="str">
        <f t="shared" si="152"/>
        <v>0y 0d 0h 0m</v>
      </c>
    </row>
    <row r="3208" s="91" customFormat="1" spans="1:9">
      <c r="A3208" s="91" t="str">
        <f t="shared" si="150"/>
        <v>Po-195m</v>
      </c>
      <c r="B3208" s="91" t="s">
        <v>3840</v>
      </c>
      <c r="C3208" s="91" t="s">
        <v>3830</v>
      </c>
      <c r="D3208" s="91">
        <v>84</v>
      </c>
      <c r="E3208" s="91">
        <v>195</v>
      </c>
      <c r="F3208" s="91">
        <v>1</v>
      </c>
      <c r="G3208" s="126">
        <v>0.361014156541638</v>
      </c>
      <c r="H3208" s="126">
        <f t="shared" si="151"/>
        <v>1.92</v>
      </c>
      <c r="I3208" s="126" t="str">
        <f t="shared" si="152"/>
        <v>0y 0d 0h 0m</v>
      </c>
    </row>
    <row r="3209" s="91" customFormat="1" spans="1:9">
      <c r="A3209" s="91" t="str">
        <f t="shared" si="150"/>
        <v>Po-196</v>
      </c>
      <c r="B3209" s="91" t="s">
        <v>3841</v>
      </c>
      <c r="C3209" s="91" t="s">
        <v>3830</v>
      </c>
      <c r="D3209" s="91">
        <v>84</v>
      </c>
      <c r="E3209" s="91">
        <v>196</v>
      </c>
      <c r="F3209" s="91">
        <v>0</v>
      </c>
      <c r="G3209" s="126">
        <v>0.1195081345793</v>
      </c>
      <c r="H3209" s="126">
        <f t="shared" si="151"/>
        <v>5.80000000000004</v>
      </c>
      <c r="I3209" s="126" t="str">
        <f t="shared" si="152"/>
        <v>0y 0d 0h 0m</v>
      </c>
    </row>
    <row r="3210" s="91" customFormat="1" spans="1:9">
      <c r="A3210" s="91" t="str">
        <f t="shared" si="150"/>
        <v>Po-197</v>
      </c>
      <c r="B3210" s="91" t="s">
        <v>3842</v>
      </c>
      <c r="C3210" s="91" t="s">
        <v>3830</v>
      </c>
      <c r="D3210" s="91">
        <v>84</v>
      </c>
      <c r="E3210" s="91">
        <v>197</v>
      </c>
      <c r="F3210" s="91">
        <v>0</v>
      </c>
      <c r="G3210" s="126">
        <v>0.00825175214952315</v>
      </c>
      <c r="H3210" s="126">
        <f t="shared" si="151"/>
        <v>84.0000000000001</v>
      </c>
      <c r="I3210" s="126" t="str">
        <f t="shared" si="152"/>
        <v>0y 0d 0h 1m</v>
      </c>
    </row>
    <row r="3211" s="91" customFormat="1" spans="1:9">
      <c r="A3211" s="91" t="str">
        <f t="shared" si="150"/>
        <v>Po-197m</v>
      </c>
      <c r="B3211" s="91" t="s">
        <v>3843</v>
      </c>
      <c r="C3211" s="91" t="s">
        <v>3830</v>
      </c>
      <c r="D3211" s="91">
        <v>84</v>
      </c>
      <c r="E3211" s="91">
        <v>197</v>
      </c>
      <c r="F3211" s="91">
        <v>1</v>
      </c>
      <c r="G3211" s="126">
        <v>0.0216608493924982</v>
      </c>
      <c r="H3211" s="126">
        <f t="shared" si="151"/>
        <v>32.0000000000001</v>
      </c>
      <c r="I3211" s="126" t="str">
        <f t="shared" si="152"/>
        <v>0y 0d 0h 0m</v>
      </c>
    </row>
    <row r="3212" s="91" customFormat="1" spans="1:9">
      <c r="A3212" s="91" t="str">
        <f t="shared" si="150"/>
        <v>Po-198</v>
      </c>
      <c r="B3212" s="91" t="s">
        <v>3844</v>
      </c>
      <c r="C3212" s="91" t="s">
        <v>3830</v>
      </c>
      <c r="D3212" s="91">
        <v>84</v>
      </c>
      <c r="E3212" s="91">
        <v>198</v>
      </c>
      <c r="F3212" s="91">
        <v>0</v>
      </c>
      <c r="G3212" s="126">
        <v>0.00652680960979232</v>
      </c>
      <c r="H3212" s="126">
        <f t="shared" si="151"/>
        <v>106.2</v>
      </c>
      <c r="I3212" s="126" t="str">
        <f t="shared" si="152"/>
        <v>0y 0d 0h 1m</v>
      </c>
    </row>
    <row r="3213" s="91" customFormat="1" spans="1:9">
      <c r="A3213" s="91" t="str">
        <f t="shared" si="150"/>
        <v>Po-199</v>
      </c>
      <c r="B3213" s="91" t="s">
        <v>3845</v>
      </c>
      <c r="C3213" s="91" t="s">
        <v>3830</v>
      </c>
      <c r="D3213" s="91">
        <v>84</v>
      </c>
      <c r="E3213" s="91">
        <v>199</v>
      </c>
      <c r="F3213" s="91">
        <v>0</v>
      </c>
      <c r="G3213" s="126">
        <v>0.00211196581523444</v>
      </c>
      <c r="H3213" s="126">
        <f t="shared" si="151"/>
        <v>328.200000000001</v>
      </c>
      <c r="I3213" s="126" t="str">
        <f t="shared" si="152"/>
        <v>0y 0d 0h 5m</v>
      </c>
    </row>
    <row r="3214" s="91" customFormat="1" spans="1:9">
      <c r="A3214" s="91" t="str">
        <f t="shared" si="150"/>
        <v>Po-199m</v>
      </c>
      <c r="B3214" s="91" t="s">
        <v>3846</v>
      </c>
      <c r="C3214" s="91" t="s">
        <v>3830</v>
      </c>
      <c r="D3214" s="91">
        <v>84</v>
      </c>
      <c r="E3214" s="91">
        <v>199</v>
      </c>
      <c r="F3214" s="91">
        <v>1</v>
      </c>
      <c r="G3214" s="126">
        <v>0.00277037242430034</v>
      </c>
      <c r="H3214" s="126">
        <f t="shared" si="151"/>
        <v>250.2</v>
      </c>
      <c r="I3214" s="126" t="str">
        <f t="shared" si="152"/>
        <v>0y 0d 0h 4m</v>
      </c>
    </row>
    <row r="3215" s="91" customFormat="1" spans="1:9">
      <c r="A3215" s="91" t="str">
        <f t="shared" si="150"/>
        <v>Po-200</v>
      </c>
      <c r="B3215" s="91" t="s">
        <v>3847</v>
      </c>
      <c r="C3215" s="91" t="s">
        <v>3830</v>
      </c>
      <c r="D3215" s="91">
        <v>84</v>
      </c>
      <c r="E3215" s="91">
        <v>200</v>
      </c>
      <c r="F3215" s="91">
        <v>0</v>
      </c>
      <c r="G3215" s="126">
        <v>0.00100368835876041</v>
      </c>
      <c r="H3215" s="126">
        <f t="shared" si="151"/>
        <v>690.600000000006</v>
      </c>
      <c r="I3215" s="126" t="str">
        <f t="shared" si="152"/>
        <v>0y 0d 0h 11m</v>
      </c>
    </row>
    <row r="3216" s="91" customFormat="1" spans="1:9">
      <c r="A3216" s="91" t="str">
        <f t="shared" si="150"/>
        <v>Po-201</v>
      </c>
      <c r="B3216" s="91" t="s">
        <v>3848</v>
      </c>
      <c r="C3216" s="91" t="s">
        <v>3830</v>
      </c>
      <c r="D3216" s="91">
        <v>84</v>
      </c>
      <c r="E3216" s="91">
        <v>201</v>
      </c>
      <c r="F3216" s="91">
        <v>0</v>
      </c>
      <c r="G3216" s="126">
        <v>0.000740541859572591</v>
      </c>
      <c r="H3216" s="126">
        <f t="shared" si="151"/>
        <v>936</v>
      </c>
      <c r="I3216" s="126" t="str">
        <f t="shared" si="152"/>
        <v>0y 0d 0h 15m</v>
      </c>
    </row>
    <row r="3217" s="91" customFormat="1" spans="1:9">
      <c r="A3217" s="91" t="str">
        <f t="shared" si="150"/>
        <v>Po-201m</v>
      </c>
      <c r="B3217" s="91" t="s">
        <v>3849</v>
      </c>
      <c r="C3217" s="91" t="s">
        <v>3830</v>
      </c>
      <c r="D3217" s="91">
        <v>84</v>
      </c>
      <c r="E3217" s="91">
        <v>201</v>
      </c>
      <c r="F3217" s="91">
        <v>1</v>
      </c>
      <c r="G3217" s="126">
        <v>0.00128933627336299</v>
      </c>
      <c r="H3217" s="126">
        <f t="shared" si="151"/>
        <v>537.600000000001</v>
      </c>
      <c r="I3217" s="126" t="str">
        <f t="shared" si="152"/>
        <v>0y 0d 0h 8m</v>
      </c>
    </row>
    <row r="3218" s="91" customFormat="1" spans="1:9">
      <c r="A3218" s="91" t="str">
        <f t="shared" si="150"/>
        <v>Po-202</v>
      </c>
      <c r="B3218" s="91" t="s">
        <v>3850</v>
      </c>
      <c r="C3218" s="91" t="s">
        <v>3830</v>
      </c>
      <c r="D3218" s="91">
        <v>84</v>
      </c>
      <c r="E3218" s="91">
        <v>202</v>
      </c>
      <c r="F3218" s="91">
        <v>0</v>
      </c>
      <c r="G3218" s="126">
        <v>0.000259023610074717</v>
      </c>
      <c r="H3218" s="126">
        <f t="shared" si="151"/>
        <v>2676.00000000001</v>
      </c>
      <c r="I3218" s="126" t="str">
        <f t="shared" si="152"/>
        <v>0y 0d 0h 44m</v>
      </c>
    </row>
    <row r="3219" s="91" customFormat="1" spans="1:9">
      <c r="A3219" s="91" t="str">
        <f t="shared" si="150"/>
        <v>Po-203</v>
      </c>
      <c r="B3219" s="91" t="s">
        <v>3851</v>
      </c>
      <c r="C3219" s="91" t="s">
        <v>3830</v>
      </c>
      <c r="D3219" s="91">
        <v>84</v>
      </c>
      <c r="E3219" s="91">
        <v>203</v>
      </c>
      <c r="F3219" s="91">
        <v>0</v>
      </c>
      <c r="G3219" s="126">
        <v>0.000314780735949112</v>
      </c>
      <c r="H3219" s="126">
        <f t="shared" si="151"/>
        <v>2202</v>
      </c>
      <c r="I3219" s="126" t="str">
        <f t="shared" si="152"/>
        <v>0y 0d 0h 36m</v>
      </c>
    </row>
    <row r="3220" s="91" customFormat="1" spans="1:9">
      <c r="A3220" s="91" t="str">
        <f t="shared" si="150"/>
        <v>Po-203m</v>
      </c>
      <c r="B3220" s="91" t="s">
        <v>3852</v>
      </c>
      <c r="C3220" s="91" t="s">
        <v>3830</v>
      </c>
      <c r="D3220" s="91">
        <v>84</v>
      </c>
      <c r="E3220" s="91">
        <v>203</v>
      </c>
      <c r="F3220" s="91">
        <v>1</v>
      </c>
      <c r="G3220" s="126">
        <v>0.0154032706791098</v>
      </c>
      <c r="H3220" s="126">
        <f t="shared" si="151"/>
        <v>45.0000000000003</v>
      </c>
      <c r="I3220" s="126" t="str">
        <f t="shared" si="152"/>
        <v>0y 0d 0h 0m</v>
      </c>
    </row>
    <row r="3221" s="91" customFormat="1" spans="1:9">
      <c r="A3221" s="91" t="str">
        <f t="shared" si="150"/>
        <v>Po-204</v>
      </c>
      <c r="B3221" s="91" t="s">
        <v>3853</v>
      </c>
      <c r="C3221" s="91" t="s">
        <v>3830</v>
      </c>
      <c r="D3221" s="91">
        <v>84</v>
      </c>
      <c r="E3221" s="91">
        <v>204</v>
      </c>
      <c r="F3221" s="91">
        <v>0</v>
      </c>
      <c r="G3221" s="126">
        <v>5.45441596285761e-5</v>
      </c>
      <c r="H3221" s="126">
        <f t="shared" si="151"/>
        <v>12708</v>
      </c>
      <c r="I3221" s="126" t="str">
        <f t="shared" si="152"/>
        <v>0y 0d 3h 31m</v>
      </c>
    </row>
    <row r="3222" s="91" customFormat="1" spans="1:9">
      <c r="A3222" s="91" t="str">
        <f t="shared" si="150"/>
        <v>Po-205</v>
      </c>
      <c r="B3222" s="91" t="s">
        <v>3854</v>
      </c>
      <c r="C3222" s="91" t="s">
        <v>3830</v>
      </c>
      <c r="D3222" s="91">
        <v>84</v>
      </c>
      <c r="E3222" s="91">
        <v>205</v>
      </c>
      <c r="F3222" s="91">
        <v>0</v>
      </c>
      <c r="G3222" s="126">
        <v>0.000110655680166019</v>
      </c>
      <c r="H3222" s="126">
        <f t="shared" si="151"/>
        <v>6264.00000000002</v>
      </c>
      <c r="I3222" s="126" t="str">
        <f t="shared" si="152"/>
        <v>0y 0d 1h 44m</v>
      </c>
    </row>
    <row r="3223" s="91" customFormat="1" spans="1:9">
      <c r="A3223" s="91" t="str">
        <f t="shared" si="150"/>
        <v>Po-205m</v>
      </c>
      <c r="B3223" s="91" t="s">
        <v>3855</v>
      </c>
      <c r="C3223" s="91" t="s">
        <v>3830</v>
      </c>
      <c r="D3223" s="91">
        <v>84</v>
      </c>
      <c r="E3223" s="91">
        <v>205</v>
      </c>
      <c r="F3223" s="91">
        <v>1</v>
      </c>
      <c r="G3223" s="126">
        <v>1074.6467915658</v>
      </c>
      <c r="H3223" s="126">
        <f t="shared" si="151"/>
        <v>0.000645000000000004</v>
      </c>
      <c r="I3223" s="126" t="str">
        <f t="shared" si="152"/>
        <v>0y 0d 0h 0m</v>
      </c>
    </row>
    <row r="3224" s="91" customFormat="1" spans="1:9">
      <c r="A3224" s="91" t="str">
        <f t="shared" si="150"/>
        <v>Po-205m2</v>
      </c>
      <c r="B3224" s="91" t="s">
        <v>3856</v>
      </c>
      <c r="C3224" s="91" t="s">
        <v>3830</v>
      </c>
      <c r="D3224" s="91">
        <v>84</v>
      </c>
      <c r="E3224" s="91">
        <v>205</v>
      </c>
      <c r="F3224" s="91">
        <v>2</v>
      </c>
      <c r="G3224" s="126">
        <v>12.0757348529607</v>
      </c>
      <c r="H3224" s="126">
        <f t="shared" si="151"/>
        <v>0.0574000000000001</v>
      </c>
      <c r="I3224" s="126" t="str">
        <f t="shared" si="152"/>
        <v>0y 0d 0h 0m</v>
      </c>
    </row>
    <row r="3225" s="91" customFormat="1" spans="1:9">
      <c r="A3225" s="91" t="str">
        <f t="shared" si="150"/>
        <v>Po-206</v>
      </c>
      <c r="B3225" s="91" t="s">
        <v>3857</v>
      </c>
      <c r="C3225" s="91" t="s">
        <v>3830</v>
      </c>
      <c r="D3225" s="91">
        <v>84</v>
      </c>
      <c r="E3225" s="91">
        <v>206</v>
      </c>
      <c r="F3225" s="91">
        <v>0</v>
      </c>
      <c r="G3225" s="126">
        <v>9.11651910458682e-7</v>
      </c>
      <c r="H3225" s="126">
        <f t="shared" si="151"/>
        <v>760320</v>
      </c>
      <c r="I3225" s="126" t="str">
        <f t="shared" si="152"/>
        <v>0y 8d 19h 12m</v>
      </c>
    </row>
    <row r="3226" s="91" customFormat="1" spans="1:9">
      <c r="A3226" s="91" t="str">
        <f t="shared" si="150"/>
        <v>Po-207</v>
      </c>
      <c r="B3226" s="91" t="s">
        <v>3858</v>
      </c>
      <c r="C3226" s="91" t="s">
        <v>3830</v>
      </c>
      <c r="D3226" s="91">
        <v>84</v>
      </c>
      <c r="E3226" s="91">
        <v>207</v>
      </c>
      <c r="F3226" s="91">
        <v>0</v>
      </c>
      <c r="G3226" s="126">
        <v>3.31967040498058e-5</v>
      </c>
      <c r="H3226" s="126">
        <f t="shared" si="151"/>
        <v>20880</v>
      </c>
      <c r="I3226" s="126" t="str">
        <f t="shared" si="152"/>
        <v>0y 0d 5h 48m</v>
      </c>
    </row>
    <row r="3227" s="91" customFormat="1" spans="1:9">
      <c r="A3227" s="91" t="str">
        <f t="shared" si="150"/>
        <v>Po-207m</v>
      </c>
      <c r="B3227" s="91" t="s">
        <v>3859</v>
      </c>
      <c r="C3227" s="91" t="s">
        <v>3830</v>
      </c>
      <c r="D3227" s="91">
        <v>84</v>
      </c>
      <c r="E3227" s="91">
        <v>207</v>
      </c>
      <c r="F3227" s="91">
        <v>1</v>
      </c>
      <c r="G3227" s="126">
        <v>0.248439849663062</v>
      </c>
      <c r="H3227" s="126">
        <f t="shared" si="151"/>
        <v>2.79000000000001</v>
      </c>
      <c r="I3227" s="126" t="str">
        <f t="shared" si="152"/>
        <v>0y 0d 0h 0m</v>
      </c>
    </row>
    <row r="3228" s="91" customFormat="1" spans="1:9">
      <c r="A3228" s="91" t="str">
        <f t="shared" si="150"/>
        <v>Po-208</v>
      </c>
      <c r="B3228" s="91" t="s">
        <v>3860</v>
      </c>
      <c r="C3228" s="91" t="s">
        <v>3830</v>
      </c>
      <c r="D3228" s="91">
        <v>84</v>
      </c>
      <c r="E3228" s="91">
        <v>208</v>
      </c>
      <c r="F3228" s="91">
        <v>0</v>
      </c>
      <c r="G3228" s="126">
        <v>7.57919595529579e-9</v>
      </c>
      <c r="H3228" s="126">
        <f t="shared" si="151"/>
        <v>91453920.0000001</v>
      </c>
      <c r="I3228" s="126" t="str">
        <f t="shared" si="152"/>
        <v>2y 328d 11h 52m</v>
      </c>
    </row>
    <row r="3229" s="91" customFormat="1" spans="1:9">
      <c r="A3229" s="91" t="str">
        <f t="shared" si="150"/>
        <v>Po-209</v>
      </c>
      <c r="B3229" s="91" t="s">
        <v>3861</v>
      </c>
      <c r="C3229" s="91" t="s">
        <v>3830</v>
      </c>
      <c r="D3229" s="91">
        <v>84</v>
      </c>
      <c r="E3229" s="91">
        <v>209</v>
      </c>
      <c r="F3229" s="91">
        <v>0</v>
      </c>
      <c r="G3229" s="126">
        <v>2.15337999726595e-10</v>
      </c>
      <c r="H3229" s="126">
        <f t="shared" si="151"/>
        <v>3218880000.00001</v>
      </c>
      <c r="I3229" s="126" t="str">
        <f t="shared" si="152"/>
        <v>102y 25d 13h 20m</v>
      </c>
    </row>
    <row r="3230" s="91" customFormat="1" spans="1:9">
      <c r="A3230" s="91" t="str">
        <f t="shared" si="150"/>
        <v>Po-210</v>
      </c>
      <c r="B3230" s="91" t="s">
        <v>3862</v>
      </c>
      <c r="C3230" s="91" t="s">
        <v>3830</v>
      </c>
      <c r="D3230" s="91">
        <v>84</v>
      </c>
      <c r="E3230" s="91">
        <v>210</v>
      </c>
      <c r="F3230" s="91">
        <v>0</v>
      </c>
      <c r="G3230" s="126">
        <v>5.79763426920525e-8</v>
      </c>
      <c r="H3230" s="126">
        <f t="shared" si="151"/>
        <v>11955690</v>
      </c>
      <c r="I3230" s="126" t="str">
        <f t="shared" si="152"/>
        <v>0y 138d 9h 1m</v>
      </c>
    </row>
    <row r="3231" s="91" customFormat="1" spans="1:9">
      <c r="A3231" s="91" t="str">
        <f t="shared" si="150"/>
        <v>Po-211</v>
      </c>
      <c r="B3231" s="91" t="s">
        <v>3863</v>
      </c>
      <c r="C3231" s="91" t="s">
        <v>3830</v>
      </c>
      <c r="D3231" s="91">
        <v>84</v>
      </c>
      <c r="E3231" s="91">
        <v>211</v>
      </c>
      <c r="F3231" s="91">
        <v>0</v>
      </c>
      <c r="G3231" s="126">
        <v>1.34330848945725</v>
      </c>
      <c r="H3231" s="126">
        <f t="shared" si="151"/>
        <v>0.516000000000003</v>
      </c>
      <c r="I3231" s="126" t="str">
        <f t="shared" si="152"/>
        <v>0y 0d 0h 0m</v>
      </c>
    </row>
    <row r="3232" s="91" customFormat="1" spans="1:9">
      <c r="A3232" s="91" t="str">
        <f t="shared" si="150"/>
        <v>Po-211m</v>
      </c>
      <c r="B3232" s="91" t="s">
        <v>3864</v>
      </c>
      <c r="C3232" s="91" t="s">
        <v>3830</v>
      </c>
      <c r="D3232" s="91">
        <v>84</v>
      </c>
      <c r="E3232" s="91">
        <v>211</v>
      </c>
      <c r="F3232" s="91">
        <v>1</v>
      </c>
      <c r="G3232" s="126">
        <v>0.0275058404984105</v>
      </c>
      <c r="H3232" s="126">
        <f t="shared" si="151"/>
        <v>25.2</v>
      </c>
      <c r="I3232" s="126" t="str">
        <f t="shared" si="152"/>
        <v>0y 0d 0h 0m</v>
      </c>
    </row>
    <row r="3233" s="91" customFormat="1" spans="1:9">
      <c r="A3233" s="91" t="str">
        <f t="shared" si="150"/>
        <v>Po-212</v>
      </c>
      <c r="B3233" s="91" t="s">
        <v>3865</v>
      </c>
      <c r="C3233" s="91" t="s">
        <v>3830</v>
      </c>
      <c r="D3233" s="91">
        <v>84</v>
      </c>
      <c r="E3233" s="91">
        <v>212</v>
      </c>
      <c r="F3233" s="91">
        <v>0</v>
      </c>
      <c r="G3233" s="126">
        <v>2318217.99518376</v>
      </c>
      <c r="H3233" s="126">
        <f t="shared" si="151"/>
        <v>2.99e-7</v>
      </c>
      <c r="I3233" s="126" t="str">
        <f t="shared" si="152"/>
        <v>0y 0d 0h 0m</v>
      </c>
    </row>
    <row r="3234" s="91" customFormat="1" spans="1:9">
      <c r="A3234" s="91" t="str">
        <f t="shared" si="150"/>
        <v>Po-212m</v>
      </c>
      <c r="B3234" s="91" t="s">
        <v>3866</v>
      </c>
      <c r="C3234" s="91" t="s">
        <v>3830</v>
      </c>
      <c r="D3234" s="91">
        <v>84</v>
      </c>
      <c r="E3234" s="91">
        <v>212</v>
      </c>
      <c r="F3234" s="91">
        <v>1</v>
      </c>
      <c r="G3234" s="126">
        <v>0.0153691170855863</v>
      </c>
      <c r="H3234" s="126">
        <f t="shared" si="151"/>
        <v>45.1000000000002</v>
      </c>
      <c r="I3234" s="126" t="str">
        <f t="shared" si="152"/>
        <v>0y 0d 0h 0m</v>
      </c>
    </row>
    <row r="3235" s="91" customFormat="1" spans="1:9">
      <c r="A3235" s="91" t="str">
        <f t="shared" si="150"/>
        <v>Po-213</v>
      </c>
      <c r="B3235" s="91" t="s">
        <v>3867</v>
      </c>
      <c r="C3235" s="91" t="s">
        <v>3830</v>
      </c>
      <c r="D3235" s="91">
        <v>84</v>
      </c>
      <c r="E3235" s="91">
        <v>213</v>
      </c>
      <c r="F3235" s="91">
        <v>0</v>
      </c>
      <c r="G3235" s="126">
        <v>165035.042990463</v>
      </c>
      <c r="H3235" s="126">
        <f t="shared" si="151"/>
        <v>4.2e-6</v>
      </c>
      <c r="I3235" s="126" t="str">
        <f t="shared" si="152"/>
        <v>0y 0d 0h 0m</v>
      </c>
    </row>
    <row r="3236" s="91" customFormat="1" spans="1:9">
      <c r="A3236" s="91" t="str">
        <f t="shared" si="150"/>
        <v>Po-214</v>
      </c>
      <c r="B3236" s="91" t="s">
        <v>3868</v>
      </c>
      <c r="C3236" s="91" t="s">
        <v>3830</v>
      </c>
      <c r="D3236" s="91">
        <v>84</v>
      </c>
      <c r="E3236" s="91">
        <v>214</v>
      </c>
      <c r="F3236" s="91">
        <v>0</v>
      </c>
      <c r="G3236" s="126">
        <v>4218.7898999388</v>
      </c>
      <c r="H3236" s="126">
        <f t="shared" si="151"/>
        <v>0.0001643</v>
      </c>
      <c r="I3236" s="126" t="str">
        <f t="shared" si="152"/>
        <v>0y 0d 0h 0m</v>
      </c>
    </row>
    <row r="3237" s="91" customFormat="1" spans="1:9">
      <c r="A3237" s="91" t="str">
        <f t="shared" si="150"/>
        <v>Po-215</v>
      </c>
      <c r="B3237" s="91" t="s">
        <v>3869</v>
      </c>
      <c r="C3237" s="91" t="s">
        <v>3830</v>
      </c>
      <c r="D3237" s="91">
        <v>84</v>
      </c>
      <c r="E3237" s="91">
        <v>215</v>
      </c>
      <c r="F3237" s="91">
        <v>0</v>
      </c>
      <c r="G3237" s="126">
        <v>389.189882403113</v>
      </c>
      <c r="H3237" s="126">
        <f t="shared" si="151"/>
        <v>0.001781</v>
      </c>
      <c r="I3237" s="126" t="str">
        <f t="shared" si="152"/>
        <v>0y 0d 0h 0m</v>
      </c>
    </row>
    <row r="3238" s="91" customFormat="1" spans="1:9">
      <c r="A3238" s="91" t="str">
        <f t="shared" si="150"/>
        <v>Po-216</v>
      </c>
      <c r="B3238" s="91" t="s">
        <v>3870</v>
      </c>
      <c r="C3238" s="91" t="s">
        <v>3830</v>
      </c>
      <c r="D3238" s="91">
        <v>84</v>
      </c>
      <c r="E3238" s="91">
        <v>216</v>
      </c>
      <c r="F3238" s="91">
        <v>0</v>
      </c>
      <c r="G3238" s="126">
        <v>4.78032538317203</v>
      </c>
      <c r="H3238" s="126">
        <f t="shared" si="151"/>
        <v>0.145</v>
      </c>
      <c r="I3238" s="126" t="str">
        <f t="shared" si="152"/>
        <v>0y 0d 0h 0m</v>
      </c>
    </row>
    <row r="3239" s="91" customFormat="1" spans="1:9">
      <c r="A3239" s="91" t="str">
        <f t="shared" si="150"/>
        <v>Po-217</v>
      </c>
      <c r="B3239" s="91" t="s">
        <v>3871</v>
      </c>
      <c r="C3239" s="91" t="s">
        <v>3830</v>
      </c>
      <c r="D3239" s="91">
        <v>84</v>
      </c>
      <c r="E3239" s="91">
        <v>217</v>
      </c>
      <c r="F3239" s="91">
        <v>0</v>
      </c>
      <c r="G3239" s="126">
        <v>0.453037372914996</v>
      </c>
      <c r="H3239" s="126">
        <f t="shared" si="151"/>
        <v>1.53</v>
      </c>
      <c r="I3239" s="126" t="str">
        <f t="shared" si="152"/>
        <v>0y 0d 0h 0m</v>
      </c>
    </row>
    <row r="3240" s="91" customFormat="1" spans="1:9">
      <c r="A3240" s="91" t="str">
        <f t="shared" si="150"/>
        <v>Po-218</v>
      </c>
      <c r="B3240" s="91" t="s">
        <v>3872</v>
      </c>
      <c r="C3240" s="91" t="s">
        <v>3830</v>
      </c>
      <c r="D3240" s="91">
        <v>84</v>
      </c>
      <c r="E3240" s="91">
        <v>218</v>
      </c>
      <c r="F3240" s="91">
        <v>0</v>
      </c>
      <c r="G3240" s="126">
        <v>0.00372900355369025</v>
      </c>
      <c r="H3240" s="126">
        <f t="shared" si="151"/>
        <v>185.88</v>
      </c>
      <c r="I3240" s="126" t="str">
        <f t="shared" si="152"/>
        <v>0y 0d 0h 3m</v>
      </c>
    </row>
    <row r="3241" s="91" customFormat="1" spans="1:9">
      <c r="A3241" s="91" t="str">
        <f t="shared" si="150"/>
        <v>Po-219</v>
      </c>
      <c r="B3241" s="91" t="s">
        <v>3873</v>
      </c>
      <c r="C3241" s="91" t="s">
        <v>3830</v>
      </c>
      <c r="D3241" s="91">
        <v>84</v>
      </c>
      <c r="E3241" s="91">
        <v>219</v>
      </c>
      <c r="F3241" s="91">
        <v>0</v>
      </c>
      <c r="G3241" s="126">
        <v>2310490.60186648</v>
      </c>
      <c r="H3241" s="126">
        <f t="shared" si="151"/>
        <v>3.00000000000001e-7</v>
      </c>
      <c r="I3241" s="126" t="str">
        <f t="shared" si="152"/>
        <v>0y 0d 0h 0m</v>
      </c>
    </row>
    <row r="3242" s="91" customFormat="1" spans="1:9">
      <c r="A3242" s="91" t="str">
        <f t="shared" si="150"/>
        <v>Po-220</v>
      </c>
      <c r="B3242" s="91" t="s">
        <v>3874</v>
      </c>
      <c r="C3242" s="91" t="s">
        <v>3830</v>
      </c>
      <c r="D3242" s="91">
        <v>84</v>
      </c>
      <c r="E3242" s="91">
        <v>220</v>
      </c>
      <c r="F3242" s="91">
        <v>0</v>
      </c>
      <c r="G3242" s="126">
        <v>2310490.60186648</v>
      </c>
      <c r="H3242" s="126">
        <f t="shared" si="151"/>
        <v>3.00000000000001e-7</v>
      </c>
      <c r="I3242" s="126" t="str">
        <f t="shared" si="152"/>
        <v>0y 0d 0h 0m</v>
      </c>
    </row>
    <row r="3243" s="91" customFormat="1" spans="1:9">
      <c r="A3243" s="91" t="str">
        <f t="shared" si="150"/>
        <v>At-193</v>
      </c>
      <c r="B3243" s="91" t="s">
        <v>3875</v>
      </c>
      <c r="C3243" s="91" t="s">
        <v>3876</v>
      </c>
      <c r="D3243" s="91">
        <v>85</v>
      </c>
      <c r="E3243" s="91">
        <v>193</v>
      </c>
      <c r="F3243" s="91">
        <v>0</v>
      </c>
      <c r="G3243" s="126">
        <v>24.3209537038577</v>
      </c>
      <c r="H3243" s="126">
        <f t="shared" si="151"/>
        <v>0.0285</v>
      </c>
      <c r="I3243" s="126" t="str">
        <f t="shared" si="152"/>
        <v>0y 0d 0h 0m</v>
      </c>
    </row>
    <row r="3244" s="91" customFormat="1" spans="1:9">
      <c r="A3244" s="91" t="str">
        <f t="shared" si="150"/>
        <v>At-194</v>
      </c>
      <c r="B3244" s="91" t="s">
        <v>3877</v>
      </c>
      <c r="C3244" s="91" t="s">
        <v>3876</v>
      </c>
      <c r="D3244" s="91">
        <v>85</v>
      </c>
      <c r="E3244" s="91">
        <v>194</v>
      </c>
      <c r="F3244" s="91">
        <v>0</v>
      </c>
      <c r="G3244" s="126">
        <v>17.3286795139986</v>
      </c>
      <c r="H3244" s="126">
        <f t="shared" si="151"/>
        <v>0.0400000000000001</v>
      </c>
      <c r="I3244" s="126" t="str">
        <f t="shared" si="152"/>
        <v>0y 0d 0h 0m</v>
      </c>
    </row>
    <row r="3245" s="91" customFormat="1" spans="1:9">
      <c r="A3245" s="91" t="str">
        <f t="shared" si="150"/>
        <v>At-194m</v>
      </c>
      <c r="B3245" s="91" t="s">
        <v>3878</v>
      </c>
      <c r="C3245" s="91" t="s">
        <v>3876</v>
      </c>
      <c r="D3245" s="91">
        <v>85</v>
      </c>
      <c r="E3245" s="91">
        <v>194</v>
      </c>
      <c r="F3245" s="91">
        <v>1</v>
      </c>
      <c r="G3245" s="126">
        <v>2.77258872223978</v>
      </c>
      <c r="H3245" s="126">
        <f t="shared" si="151"/>
        <v>0.25</v>
      </c>
      <c r="I3245" s="126" t="str">
        <f t="shared" si="152"/>
        <v>0y 0d 0h 0m</v>
      </c>
    </row>
    <row r="3246" s="91" customFormat="1" spans="1:9">
      <c r="A3246" s="91" t="str">
        <f t="shared" si="150"/>
        <v>At-195</v>
      </c>
      <c r="B3246" s="91" t="s">
        <v>3879</v>
      </c>
      <c r="C3246" s="91" t="s">
        <v>3876</v>
      </c>
      <c r="D3246" s="91">
        <v>85</v>
      </c>
      <c r="E3246" s="91">
        <v>195</v>
      </c>
      <c r="F3246" s="91">
        <v>0</v>
      </c>
      <c r="G3246" s="126">
        <v>2.11325359926812</v>
      </c>
      <c r="H3246" s="126">
        <f t="shared" si="151"/>
        <v>0.328000000000001</v>
      </c>
      <c r="I3246" s="126" t="str">
        <f t="shared" si="152"/>
        <v>0y 0d 0h 0m</v>
      </c>
    </row>
    <row r="3247" s="91" customFormat="1" spans="1:9">
      <c r="A3247" s="91" t="str">
        <f t="shared" si="150"/>
        <v>At-195m</v>
      </c>
      <c r="B3247" s="91" t="s">
        <v>3880</v>
      </c>
      <c r="C3247" s="91" t="s">
        <v>3876</v>
      </c>
      <c r="D3247" s="91">
        <v>85</v>
      </c>
      <c r="E3247" s="91">
        <v>195</v>
      </c>
      <c r="F3247" s="91">
        <v>1</v>
      </c>
      <c r="G3247" s="126">
        <v>4.71528694258466</v>
      </c>
      <c r="H3247" s="126">
        <f t="shared" si="151"/>
        <v>0.147</v>
      </c>
      <c r="I3247" s="126" t="str">
        <f t="shared" si="152"/>
        <v>0y 0d 0h 0m</v>
      </c>
    </row>
    <row r="3248" s="91" customFormat="1" spans="1:9">
      <c r="A3248" s="91" t="str">
        <f t="shared" si="150"/>
        <v>At-196</v>
      </c>
      <c r="B3248" s="91" t="s">
        <v>3881</v>
      </c>
      <c r="C3248" s="91" t="s">
        <v>3876</v>
      </c>
      <c r="D3248" s="91">
        <v>85</v>
      </c>
      <c r="E3248" s="91">
        <v>196</v>
      </c>
      <c r="F3248" s="91">
        <v>0</v>
      </c>
      <c r="G3248" s="126">
        <v>1.78646180556686</v>
      </c>
      <c r="H3248" s="126">
        <f t="shared" si="151"/>
        <v>0.388000000000002</v>
      </c>
      <c r="I3248" s="126" t="str">
        <f t="shared" si="152"/>
        <v>0y 0d 0h 0m</v>
      </c>
    </row>
    <row r="3249" s="91" customFormat="1" spans="1:9">
      <c r="A3249" s="91" t="str">
        <f t="shared" si="150"/>
        <v>At-196m</v>
      </c>
      <c r="B3249" s="91" t="s">
        <v>3882</v>
      </c>
      <c r="C3249" s="91" t="s">
        <v>3876</v>
      </c>
      <c r="D3249" s="91">
        <v>85</v>
      </c>
      <c r="E3249" s="91">
        <v>196</v>
      </c>
      <c r="F3249" s="91">
        <v>1</v>
      </c>
      <c r="G3249" s="126">
        <v>63013.3800509041</v>
      </c>
      <c r="H3249" s="126">
        <f t="shared" si="151"/>
        <v>1.1e-5</v>
      </c>
      <c r="I3249" s="126" t="str">
        <f t="shared" si="152"/>
        <v>0y 0d 0h 0m</v>
      </c>
    </row>
    <row r="3250" s="91" customFormat="1" spans="1:9">
      <c r="A3250" s="91" t="str">
        <f t="shared" si="150"/>
        <v>At-197</v>
      </c>
      <c r="B3250" s="91" t="s">
        <v>3883</v>
      </c>
      <c r="C3250" s="91" t="s">
        <v>3876</v>
      </c>
      <c r="D3250" s="91">
        <v>85</v>
      </c>
      <c r="E3250" s="91">
        <v>197</v>
      </c>
      <c r="F3250" s="91">
        <v>0</v>
      </c>
      <c r="G3250" s="126">
        <v>1.78646180556686</v>
      </c>
      <c r="H3250" s="126">
        <f t="shared" si="151"/>
        <v>0.388000000000002</v>
      </c>
      <c r="I3250" s="126" t="str">
        <f t="shared" si="152"/>
        <v>0y 0d 0h 0m</v>
      </c>
    </row>
    <row r="3251" s="91" customFormat="1" spans="1:9">
      <c r="A3251" s="91" t="str">
        <f t="shared" si="150"/>
        <v>At-197m</v>
      </c>
      <c r="B3251" s="91" t="s">
        <v>3884</v>
      </c>
      <c r="C3251" s="91" t="s">
        <v>3876</v>
      </c>
      <c r="D3251" s="91">
        <v>85</v>
      </c>
      <c r="E3251" s="91">
        <v>197</v>
      </c>
      <c r="F3251" s="91">
        <v>1</v>
      </c>
      <c r="G3251" s="126">
        <v>0.346573590279972</v>
      </c>
      <c r="H3251" s="126">
        <f t="shared" si="151"/>
        <v>2</v>
      </c>
      <c r="I3251" s="126" t="str">
        <f t="shared" si="152"/>
        <v>0y 0d 0h 0m</v>
      </c>
    </row>
    <row r="3252" s="91" customFormat="1" spans="1:9">
      <c r="A3252" s="91" t="str">
        <f t="shared" si="150"/>
        <v>At-198</v>
      </c>
      <c r="B3252" s="91" t="s">
        <v>3885</v>
      </c>
      <c r="C3252" s="91" t="s">
        <v>3876</v>
      </c>
      <c r="D3252" s="91">
        <v>85</v>
      </c>
      <c r="E3252" s="91">
        <v>198</v>
      </c>
      <c r="F3252" s="91">
        <v>0</v>
      </c>
      <c r="G3252" s="126">
        <v>0.165035042990463</v>
      </c>
      <c r="H3252" s="126">
        <f t="shared" si="151"/>
        <v>4.2</v>
      </c>
      <c r="I3252" s="126" t="str">
        <f t="shared" si="152"/>
        <v>0y 0d 0h 0m</v>
      </c>
    </row>
    <row r="3253" s="91" customFormat="1" spans="1:9">
      <c r="A3253" s="91" t="str">
        <f t="shared" si="150"/>
        <v>At-198m</v>
      </c>
      <c r="B3253" s="91" t="s">
        <v>3886</v>
      </c>
      <c r="C3253" s="91" t="s">
        <v>3876</v>
      </c>
      <c r="D3253" s="91">
        <v>85</v>
      </c>
      <c r="E3253" s="91">
        <v>198</v>
      </c>
      <c r="F3253" s="91">
        <v>1</v>
      </c>
      <c r="G3253" s="126">
        <v>0.693147180559945</v>
      </c>
      <c r="H3253" s="126">
        <f t="shared" si="151"/>
        <v>1</v>
      </c>
      <c r="I3253" s="126" t="str">
        <f t="shared" si="152"/>
        <v>0y 0d 0h 0m</v>
      </c>
    </row>
    <row r="3254" s="91" customFormat="1" spans="1:9">
      <c r="A3254" s="91" t="str">
        <f t="shared" si="150"/>
        <v>At-199</v>
      </c>
      <c r="B3254" s="91" t="s">
        <v>3887</v>
      </c>
      <c r="C3254" s="91" t="s">
        <v>3876</v>
      </c>
      <c r="D3254" s="91">
        <v>85</v>
      </c>
      <c r="E3254" s="91">
        <v>199</v>
      </c>
      <c r="F3254" s="91">
        <v>0</v>
      </c>
      <c r="G3254" s="126">
        <v>0.0985984609615853</v>
      </c>
      <c r="H3254" s="126">
        <f t="shared" si="151"/>
        <v>7.03000000000001</v>
      </c>
      <c r="I3254" s="126" t="str">
        <f t="shared" si="152"/>
        <v>0y 0d 0h 0m</v>
      </c>
    </row>
    <row r="3255" s="91" customFormat="1" spans="1:9">
      <c r="A3255" s="91" t="str">
        <f t="shared" si="150"/>
        <v>At-200</v>
      </c>
      <c r="B3255" s="91" t="s">
        <v>3888</v>
      </c>
      <c r="C3255" s="91" t="s">
        <v>3876</v>
      </c>
      <c r="D3255" s="91">
        <v>85</v>
      </c>
      <c r="E3255" s="91">
        <v>200</v>
      </c>
      <c r="F3255" s="91">
        <v>0</v>
      </c>
      <c r="G3255" s="126">
        <v>0.0161197018734871</v>
      </c>
      <c r="H3255" s="126">
        <f t="shared" si="151"/>
        <v>43</v>
      </c>
      <c r="I3255" s="126" t="str">
        <f t="shared" si="152"/>
        <v>0y 0d 0h 0m</v>
      </c>
    </row>
    <row r="3256" s="91" customFormat="1" spans="1:9">
      <c r="A3256" s="91" t="str">
        <f t="shared" si="150"/>
        <v>At-200m</v>
      </c>
      <c r="B3256" s="91" t="s">
        <v>3889</v>
      </c>
      <c r="C3256" s="91" t="s">
        <v>3876</v>
      </c>
      <c r="D3256" s="91">
        <v>85</v>
      </c>
      <c r="E3256" s="91">
        <v>200</v>
      </c>
      <c r="F3256" s="91">
        <v>1</v>
      </c>
      <c r="G3256" s="126">
        <v>0.0147478123523392</v>
      </c>
      <c r="H3256" s="126">
        <f t="shared" si="151"/>
        <v>47.0000000000002</v>
      </c>
      <c r="I3256" s="126" t="str">
        <f t="shared" si="152"/>
        <v>0y 0d 0h 0m</v>
      </c>
    </row>
    <row r="3257" s="91" customFormat="1" spans="1:9">
      <c r="A3257" s="91" t="str">
        <f t="shared" si="150"/>
        <v>At-200m2</v>
      </c>
      <c r="B3257" s="91" t="s">
        <v>3890</v>
      </c>
      <c r="C3257" s="91" t="s">
        <v>3876</v>
      </c>
      <c r="D3257" s="91">
        <v>85</v>
      </c>
      <c r="E3257" s="91">
        <v>200</v>
      </c>
      <c r="F3257" s="91">
        <v>2</v>
      </c>
      <c r="G3257" s="126">
        <v>0.0877401494379677</v>
      </c>
      <c r="H3257" s="126">
        <f t="shared" si="151"/>
        <v>7.90000000000001</v>
      </c>
      <c r="I3257" s="126" t="str">
        <f t="shared" si="152"/>
        <v>0y 0d 0h 0m</v>
      </c>
    </row>
    <row r="3258" s="91" customFormat="1" spans="1:9">
      <c r="A3258" s="91" t="str">
        <f t="shared" si="150"/>
        <v>At-201</v>
      </c>
      <c r="B3258" s="91" t="s">
        <v>3891</v>
      </c>
      <c r="C3258" s="91" t="s">
        <v>3876</v>
      </c>
      <c r="D3258" s="91">
        <v>85</v>
      </c>
      <c r="E3258" s="91">
        <v>201</v>
      </c>
      <c r="F3258" s="91">
        <v>0</v>
      </c>
      <c r="G3258" s="126">
        <v>0.00813553028826226</v>
      </c>
      <c r="H3258" s="126">
        <f t="shared" si="151"/>
        <v>85.2000000000001</v>
      </c>
      <c r="I3258" s="126" t="str">
        <f t="shared" si="152"/>
        <v>0y 0d 0h 1m</v>
      </c>
    </row>
    <row r="3259" s="91" customFormat="1" spans="1:9">
      <c r="A3259" s="91" t="str">
        <f t="shared" si="150"/>
        <v>At-202</v>
      </c>
      <c r="B3259" s="91" t="s">
        <v>3892</v>
      </c>
      <c r="C3259" s="91" t="s">
        <v>3876</v>
      </c>
      <c r="D3259" s="91">
        <v>85</v>
      </c>
      <c r="E3259" s="91">
        <v>202</v>
      </c>
      <c r="F3259" s="91">
        <v>0</v>
      </c>
      <c r="G3259" s="126">
        <v>0.00376710424217361</v>
      </c>
      <c r="H3259" s="126">
        <f t="shared" si="151"/>
        <v>184</v>
      </c>
      <c r="I3259" s="126" t="str">
        <f t="shared" si="152"/>
        <v>0y 0d 0h 3m</v>
      </c>
    </row>
    <row r="3260" s="91" customFormat="1" spans="1:9">
      <c r="A3260" s="91" t="str">
        <f t="shared" si="150"/>
        <v>At-202m</v>
      </c>
      <c r="B3260" s="91" t="s">
        <v>3893</v>
      </c>
      <c r="C3260" s="91" t="s">
        <v>3876</v>
      </c>
      <c r="D3260" s="91">
        <v>85</v>
      </c>
      <c r="E3260" s="91">
        <v>202</v>
      </c>
      <c r="F3260" s="91">
        <v>1</v>
      </c>
      <c r="G3260" s="126">
        <v>0.00380850099208761</v>
      </c>
      <c r="H3260" s="126">
        <f t="shared" si="151"/>
        <v>182</v>
      </c>
      <c r="I3260" s="126" t="str">
        <f t="shared" si="152"/>
        <v>0y 0d 0h 3m</v>
      </c>
    </row>
    <row r="3261" s="91" customFormat="1" spans="1:9">
      <c r="A3261" s="91" t="str">
        <f t="shared" si="150"/>
        <v>At-202m2</v>
      </c>
      <c r="B3261" s="91" t="s">
        <v>3894</v>
      </c>
      <c r="C3261" s="91" t="s">
        <v>3876</v>
      </c>
      <c r="D3261" s="91">
        <v>85</v>
      </c>
      <c r="E3261" s="91">
        <v>202</v>
      </c>
      <c r="F3261" s="91">
        <v>2</v>
      </c>
      <c r="G3261" s="126">
        <v>1.50684169686944</v>
      </c>
      <c r="H3261" s="126">
        <f t="shared" si="151"/>
        <v>0.460000000000002</v>
      </c>
      <c r="I3261" s="126" t="str">
        <f t="shared" si="152"/>
        <v>0y 0d 0h 0m</v>
      </c>
    </row>
    <row r="3262" s="91" customFormat="1" spans="1:9">
      <c r="A3262" s="91" t="str">
        <f t="shared" si="150"/>
        <v>At-203</v>
      </c>
      <c r="B3262" s="91" t="s">
        <v>3895</v>
      </c>
      <c r="C3262" s="91" t="s">
        <v>3876</v>
      </c>
      <c r="D3262" s="91">
        <v>85</v>
      </c>
      <c r="E3262" s="91">
        <v>203</v>
      </c>
      <c r="F3262" s="91">
        <v>0</v>
      </c>
      <c r="G3262" s="126">
        <v>0.00156114229855843</v>
      </c>
      <c r="H3262" s="126">
        <f t="shared" si="151"/>
        <v>444.000000000001</v>
      </c>
      <c r="I3262" s="126" t="str">
        <f t="shared" si="152"/>
        <v>0y 0d 0h 7m</v>
      </c>
    </row>
    <row r="3263" s="91" customFormat="1" spans="1:9">
      <c r="A3263" s="91" t="str">
        <f t="shared" si="150"/>
        <v>At-204</v>
      </c>
      <c r="B3263" s="91" t="s">
        <v>3896</v>
      </c>
      <c r="C3263" s="91" t="s">
        <v>3876</v>
      </c>
      <c r="D3263" s="91">
        <v>85</v>
      </c>
      <c r="E3263" s="91">
        <v>204</v>
      </c>
      <c r="F3263" s="91">
        <v>0</v>
      </c>
      <c r="G3263" s="126">
        <v>0.00125297754981913</v>
      </c>
      <c r="H3263" s="126">
        <f t="shared" si="151"/>
        <v>553.200000000002</v>
      </c>
      <c r="I3263" s="126" t="str">
        <f t="shared" si="152"/>
        <v>0y 0d 0h 9m</v>
      </c>
    </row>
    <row r="3264" s="91" customFormat="1" spans="1:9">
      <c r="A3264" s="91" t="str">
        <f t="shared" si="150"/>
        <v>At-204m</v>
      </c>
      <c r="B3264" s="91" t="s">
        <v>3897</v>
      </c>
      <c r="C3264" s="91" t="s">
        <v>3876</v>
      </c>
      <c r="D3264" s="91">
        <v>85</v>
      </c>
      <c r="E3264" s="91">
        <v>204</v>
      </c>
      <c r="F3264" s="91">
        <v>1</v>
      </c>
      <c r="G3264" s="126">
        <v>6.41802944962912</v>
      </c>
      <c r="H3264" s="126">
        <f t="shared" si="151"/>
        <v>0.108</v>
      </c>
      <c r="I3264" s="126" t="str">
        <f t="shared" si="152"/>
        <v>0y 0d 0h 0m</v>
      </c>
    </row>
    <row r="3265" s="91" customFormat="1" spans="1:9">
      <c r="A3265" s="91" t="str">
        <f t="shared" si="150"/>
        <v>At-205</v>
      </c>
      <c r="B3265" s="91" t="s">
        <v>3898</v>
      </c>
      <c r="C3265" s="91" t="s">
        <v>3876</v>
      </c>
      <c r="D3265" s="91">
        <v>85</v>
      </c>
      <c r="E3265" s="91">
        <v>205</v>
      </c>
      <c r="F3265" s="91">
        <v>0</v>
      </c>
      <c r="G3265" s="126">
        <v>0.000429459219677785</v>
      </c>
      <c r="H3265" s="126">
        <f t="shared" si="151"/>
        <v>1614</v>
      </c>
      <c r="I3265" s="126" t="str">
        <f t="shared" si="152"/>
        <v>0y 0d 0h 26m</v>
      </c>
    </row>
    <row r="3266" s="91" customFormat="1" spans="1:9">
      <c r="A3266" s="91" t="str">
        <f t="shared" ref="A3266:A3329" si="153">C3266&amp;"-"&amp;E3266&amp;_xlfn.IFS(F3266=0,"",F3266=1,"m",F3266&gt;1,"m"&amp;F3266)</f>
        <v>At-206</v>
      </c>
      <c r="B3266" s="91" t="s">
        <v>3899</v>
      </c>
      <c r="C3266" s="91" t="s">
        <v>3876</v>
      </c>
      <c r="D3266" s="91">
        <v>85</v>
      </c>
      <c r="E3266" s="91">
        <v>206</v>
      </c>
      <c r="F3266" s="91">
        <v>0</v>
      </c>
      <c r="G3266" s="126">
        <v>0.00037753114409583</v>
      </c>
      <c r="H3266" s="126">
        <f t="shared" ref="H3266:H3329" si="154">IF(G3266&gt;0,LN(2)/G3266,0)</f>
        <v>1836</v>
      </c>
      <c r="I3266" s="126" t="str">
        <f t="shared" si="152"/>
        <v>0y 0d 0h 30m</v>
      </c>
    </row>
    <row r="3267" s="91" customFormat="1" spans="1:9">
      <c r="A3267" s="91" t="str">
        <f t="shared" si="153"/>
        <v>At-207</v>
      </c>
      <c r="B3267" s="91" t="s">
        <v>3900</v>
      </c>
      <c r="C3267" s="91" t="s">
        <v>3876</v>
      </c>
      <c r="D3267" s="91">
        <v>85</v>
      </c>
      <c r="E3267" s="91">
        <v>207</v>
      </c>
      <c r="F3267" s="91">
        <v>0</v>
      </c>
      <c r="G3267" s="126">
        <v>0.000106967157493818</v>
      </c>
      <c r="H3267" s="126">
        <f t="shared" si="154"/>
        <v>6480.00000000004</v>
      </c>
      <c r="I3267" s="126" t="str">
        <f t="shared" ref="I3267:I3330" si="155">INT(H3267/31536000)&amp;"y "&amp;INT(MOD(H3267,31536000)/86400)&amp;"d "&amp;INT(MOD(MOD(H3267,31536000),86400)/3600)&amp;"h "&amp;INT(MOD(MOD(MOD(H3267,31536000),86400),3600)/60)&amp;"m"</f>
        <v>0y 0d 1h 48m</v>
      </c>
    </row>
    <row r="3268" s="91" customFormat="1" spans="1:9">
      <c r="A3268" s="91" t="str">
        <f t="shared" si="153"/>
        <v>At-208</v>
      </c>
      <c r="B3268" s="91" t="s">
        <v>3901</v>
      </c>
      <c r="C3268" s="91" t="s">
        <v>3876</v>
      </c>
      <c r="D3268" s="91">
        <v>85</v>
      </c>
      <c r="E3268" s="91">
        <v>208</v>
      </c>
      <c r="F3268" s="91">
        <v>0</v>
      </c>
      <c r="G3268" s="126">
        <v>0.000118123241404216</v>
      </c>
      <c r="H3268" s="126">
        <f t="shared" si="154"/>
        <v>5868.00000000005</v>
      </c>
      <c r="I3268" s="126" t="str">
        <f t="shared" si="155"/>
        <v>0y 0d 1h 37m</v>
      </c>
    </row>
    <row r="3269" s="91" customFormat="1" spans="1:9">
      <c r="A3269" s="91" t="str">
        <f t="shared" si="153"/>
        <v>At-209</v>
      </c>
      <c r="B3269" s="91" t="s">
        <v>3902</v>
      </c>
      <c r="C3269" s="91" t="s">
        <v>3876</v>
      </c>
      <c r="D3269" s="91">
        <v>85</v>
      </c>
      <c r="E3269" s="91">
        <v>209</v>
      </c>
      <c r="F3269" s="91">
        <v>0</v>
      </c>
      <c r="G3269" s="126">
        <v>3.55898121051522e-5</v>
      </c>
      <c r="H3269" s="126">
        <f t="shared" si="154"/>
        <v>19476</v>
      </c>
      <c r="I3269" s="126" t="str">
        <f t="shared" si="155"/>
        <v>0y 0d 5h 24m</v>
      </c>
    </row>
    <row r="3270" s="91" customFormat="1" spans="1:9">
      <c r="A3270" s="91" t="str">
        <f t="shared" si="153"/>
        <v>At-210</v>
      </c>
      <c r="B3270" s="91" t="s">
        <v>3903</v>
      </c>
      <c r="C3270" s="91" t="s">
        <v>3876</v>
      </c>
      <c r="D3270" s="91">
        <v>85</v>
      </c>
      <c r="E3270" s="91">
        <v>210</v>
      </c>
      <c r="F3270" s="91">
        <v>0</v>
      </c>
      <c r="G3270" s="126">
        <v>2.37704794430708e-5</v>
      </c>
      <c r="H3270" s="126">
        <f t="shared" si="154"/>
        <v>29160</v>
      </c>
      <c r="I3270" s="126" t="str">
        <f t="shared" si="155"/>
        <v>0y 0d 8h 6m</v>
      </c>
    </row>
    <row r="3271" s="91" customFormat="1" spans="1:9">
      <c r="A3271" s="91" t="str">
        <f t="shared" si="153"/>
        <v>At-211</v>
      </c>
      <c r="B3271" s="91" t="s">
        <v>3904</v>
      </c>
      <c r="C3271" s="91" t="s">
        <v>3876</v>
      </c>
      <c r="D3271" s="91">
        <v>85</v>
      </c>
      <c r="E3271" s="91">
        <v>211</v>
      </c>
      <c r="F3271" s="91">
        <v>0</v>
      </c>
      <c r="G3271" s="126">
        <v>2.66898923605314e-5</v>
      </c>
      <c r="H3271" s="126">
        <f t="shared" si="154"/>
        <v>25970.4</v>
      </c>
      <c r="I3271" s="126" t="str">
        <f t="shared" si="155"/>
        <v>0y 0d 7h 12m</v>
      </c>
    </row>
    <row r="3272" s="91" customFormat="1" spans="1:9">
      <c r="A3272" s="91" t="str">
        <f t="shared" si="153"/>
        <v>At-212</v>
      </c>
      <c r="B3272" s="91" t="s">
        <v>3905</v>
      </c>
      <c r="C3272" s="91" t="s">
        <v>3876</v>
      </c>
      <c r="D3272" s="91">
        <v>85</v>
      </c>
      <c r="E3272" s="91">
        <v>212</v>
      </c>
      <c r="F3272" s="91">
        <v>0</v>
      </c>
      <c r="G3272" s="126">
        <v>2.20747509732466</v>
      </c>
      <c r="H3272" s="126">
        <f t="shared" si="154"/>
        <v>0.314000000000001</v>
      </c>
      <c r="I3272" s="126" t="str">
        <f t="shared" si="155"/>
        <v>0y 0d 0h 0m</v>
      </c>
    </row>
    <row r="3273" s="91" customFormat="1" spans="1:9">
      <c r="A3273" s="91" t="str">
        <f t="shared" si="153"/>
        <v>At-212m</v>
      </c>
      <c r="B3273" s="91" t="s">
        <v>3906</v>
      </c>
      <c r="C3273" s="91" t="s">
        <v>3876</v>
      </c>
      <c r="D3273" s="91">
        <v>85</v>
      </c>
      <c r="E3273" s="91">
        <v>212</v>
      </c>
      <c r="F3273" s="91">
        <v>1</v>
      </c>
      <c r="G3273" s="126">
        <v>5.82476622319281</v>
      </c>
      <c r="H3273" s="126">
        <f t="shared" si="154"/>
        <v>0.119</v>
      </c>
      <c r="I3273" s="126" t="str">
        <f t="shared" si="155"/>
        <v>0y 0d 0h 0m</v>
      </c>
    </row>
    <row r="3274" s="91" customFormat="1" spans="1:9">
      <c r="A3274" s="91" t="str">
        <f t="shared" si="153"/>
        <v>At-213</v>
      </c>
      <c r="B3274" s="91" t="s">
        <v>3907</v>
      </c>
      <c r="C3274" s="91" t="s">
        <v>3876</v>
      </c>
      <c r="D3274" s="91">
        <v>85</v>
      </c>
      <c r="E3274" s="91">
        <v>213</v>
      </c>
      <c r="F3274" s="91">
        <v>0</v>
      </c>
      <c r="G3274" s="126">
        <v>5545177.44447956</v>
      </c>
      <c r="H3274" s="126">
        <f t="shared" si="154"/>
        <v>1.25e-7</v>
      </c>
      <c r="I3274" s="126" t="str">
        <f t="shared" si="155"/>
        <v>0y 0d 0h 0m</v>
      </c>
    </row>
    <row r="3275" s="91" customFormat="1" spans="1:9">
      <c r="A3275" s="91" t="str">
        <f t="shared" si="153"/>
        <v>At-214</v>
      </c>
      <c r="B3275" s="91" t="s">
        <v>3908</v>
      </c>
      <c r="C3275" s="91" t="s">
        <v>3876</v>
      </c>
      <c r="D3275" s="91">
        <v>85</v>
      </c>
      <c r="E3275" s="91">
        <v>214</v>
      </c>
      <c r="F3275" s="91">
        <v>0</v>
      </c>
      <c r="G3275" s="126">
        <v>1242199.24831531</v>
      </c>
      <c r="H3275" s="126">
        <f t="shared" si="154"/>
        <v>5.58000000000002e-7</v>
      </c>
      <c r="I3275" s="126" t="str">
        <f t="shared" si="155"/>
        <v>0y 0d 0h 0m</v>
      </c>
    </row>
    <row r="3276" s="91" customFormat="1" spans="1:9">
      <c r="A3276" s="91" t="str">
        <f t="shared" si="153"/>
        <v>At-215</v>
      </c>
      <c r="B3276" s="91" t="s">
        <v>3909</v>
      </c>
      <c r="C3276" s="91" t="s">
        <v>3876</v>
      </c>
      <c r="D3276" s="91">
        <v>85</v>
      </c>
      <c r="E3276" s="91">
        <v>215</v>
      </c>
      <c r="F3276" s="91">
        <v>0</v>
      </c>
      <c r="G3276" s="126">
        <v>6931.47180559945</v>
      </c>
      <c r="H3276" s="126">
        <f t="shared" si="154"/>
        <v>0.0001</v>
      </c>
      <c r="I3276" s="126" t="str">
        <f t="shared" si="155"/>
        <v>0y 0d 0h 0m</v>
      </c>
    </row>
    <row r="3277" s="91" customFormat="1" spans="1:9">
      <c r="A3277" s="91" t="str">
        <f t="shared" si="153"/>
        <v>At-216</v>
      </c>
      <c r="B3277" s="91" t="s">
        <v>3910</v>
      </c>
      <c r="C3277" s="91" t="s">
        <v>3876</v>
      </c>
      <c r="D3277" s="91">
        <v>85</v>
      </c>
      <c r="E3277" s="91">
        <v>216</v>
      </c>
      <c r="F3277" s="91">
        <v>0</v>
      </c>
      <c r="G3277" s="126">
        <v>2310.49060186648</v>
      </c>
      <c r="H3277" s="126">
        <f t="shared" si="154"/>
        <v>0.000300000000000001</v>
      </c>
      <c r="I3277" s="126" t="str">
        <f t="shared" si="155"/>
        <v>0y 0d 0h 0m</v>
      </c>
    </row>
    <row r="3278" s="91" customFormat="1" spans="1:9">
      <c r="A3278" s="91" t="str">
        <f t="shared" si="153"/>
        <v>At-217</v>
      </c>
      <c r="B3278" s="91" t="s">
        <v>3911</v>
      </c>
      <c r="C3278" s="91" t="s">
        <v>3876</v>
      </c>
      <c r="D3278" s="91">
        <v>85</v>
      </c>
      <c r="E3278" s="91">
        <v>217</v>
      </c>
      <c r="F3278" s="91">
        <v>0</v>
      </c>
      <c r="G3278" s="126">
        <v>21.4596650328156</v>
      </c>
      <c r="H3278" s="126">
        <f t="shared" si="154"/>
        <v>0.0323000000000001</v>
      </c>
      <c r="I3278" s="126" t="str">
        <f t="shared" si="155"/>
        <v>0y 0d 0h 0m</v>
      </c>
    </row>
    <row r="3279" s="91" customFormat="1" spans="1:9">
      <c r="A3279" s="91" t="str">
        <f t="shared" si="153"/>
        <v>At-218</v>
      </c>
      <c r="B3279" s="91" t="s">
        <v>3912</v>
      </c>
      <c r="C3279" s="91" t="s">
        <v>3876</v>
      </c>
      <c r="D3279" s="91">
        <v>85</v>
      </c>
      <c r="E3279" s="91">
        <v>218</v>
      </c>
      <c r="F3279" s="91">
        <v>0</v>
      </c>
      <c r="G3279" s="126">
        <v>0.462098120373296</v>
      </c>
      <c r="H3279" s="126">
        <f t="shared" si="154"/>
        <v>1.5</v>
      </c>
      <c r="I3279" s="126" t="str">
        <f t="shared" si="155"/>
        <v>0y 0d 0h 0m</v>
      </c>
    </row>
    <row r="3280" s="91" customFormat="1" spans="1:9">
      <c r="A3280" s="91" t="str">
        <f t="shared" si="153"/>
        <v>At-219</v>
      </c>
      <c r="B3280" s="91" t="s">
        <v>3913</v>
      </c>
      <c r="C3280" s="91" t="s">
        <v>3876</v>
      </c>
      <c r="D3280" s="91">
        <v>85</v>
      </c>
      <c r="E3280" s="91">
        <v>219</v>
      </c>
      <c r="F3280" s="91">
        <v>0</v>
      </c>
      <c r="G3280" s="126">
        <v>0.0123776282242847</v>
      </c>
      <c r="H3280" s="126">
        <f t="shared" si="154"/>
        <v>56.0000000000002</v>
      </c>
      <c r="I3280" s="126" t="str">
        <f t="shared" si="155"/>
        <v>0y 0d 0h 0m</v>
      </c>
    </row>
    <row r="3281" s="91" customFormat="1" spans="1:9">
      <c r="A3281" s="91" t="str">
        <f t="shared" si="153"/>
        <v>At-220</v>
      </c>
      <c r="B3281" s="91" t="s">
        <v>3914</v>
      </c>
      <c r="C3281" s="91" t="s">
        <v>3876</v>
      </c>
      <c r="D3281" s="91">
        <v>85</v>
      </c>
      <c r="E3281" s="91">
        <v>220</v>
      </c>
      <c r="F3281" s="91">
        <v>0</v>
      </c>
      <c r="G3281" s="126">
        <v>0.00311386873566911</v>
      </c>
      <c r="H3281" s="126">
        <f t="shared" si="154"/>
        <v>222.6</v>
      </c>
      <c r="I3281" s="126" t="str">
        <f t="shared" si="155"/>
        <v>0y 0d 0h 3m</v>
      </c>
    </row>
    <row r="3282" s="91" customFormat="1" spans="1:9">
      <c r="A3282" s="91" t="str">
        <f t="shared" si="153"/>
        <v>At-221</v>
      </c>
      <c r="B3282" s="91" t="s">
        <v>3915</v>
      </c>
      <c r="C3282" s="91" t="s">
        <v>3876</v>
      </c>
      <c r="D3282" s="91">
        <v>85</v>
      </c>
      <c r="E3282" s="91">
        <v>221</v>
      </c>
      <c r="F3282" s="91">
        <v>0</v>
      </c>
      <c r="G3282" s="126">
        <v>0.00502280565623148</v>
      </c>
      <c r="H3282" s="126">
        <f t="shared" si="154"/>
        <v>138</v>
      </c>
      <c r="I3282" s="126" t="str">
        <f t="shared" si="155"/>
        <v>0y 0d 0h 2m</v>
      </c>
    </row>
    <row r="3283" s="91" customFormat="1" spans="1:9">
      <c r="A3283" s="91" t="str">
        <f t="shared" si="153"/>
        <v>At-222</v>
      </c>
      <c r="B3283" s="91" t="s">
        <v>3916</v>
      </c>
      <c r="C3283" s="91" t="s">
        <v>3876</v>
      </c>
      <c r="D3283" s="91">
        <v>85</v>
      </c>
      <c r="E3283" s="91">
        <v>222</v>
      </c>
      <c r="F3283" s="91">
        <v>0</v>
      </c>
      <c r="G3283" s="126">
        <v>0.0128360588992582</v>
      </c>
      <c r="H3283" s="126">
        <f t="shared" si="154"/>
        <v>54.0000000000002</v>
      </c>
      <c r="I3283" s="126" t="str">
        <f t="shared" si="155"/>
        <v>0y 0d 0h 0m</v>
      </c>
    </row>
    <row r="3284" s="91" customFormat="1" spans="1:9">
      <c r="A3284" s="91" t="str">
        <f t="shared" si="153"/>
        <v>At-223</v>
      </c>
      <c r="B3284" s="91" t="s">
        <v>3917</v>
      </c>
      <c r="C3284" s="91" t="s">
        <v>3876</v>
      </c>
      <c r="D3284" s="91">
        <v>85</v>
      </c>
      <c r="E3284" s="91">
        <v>223</v>
      </c>
      <c r="F3284" s="91">
        <v>0</v>
      </c>
      <c r="G3284" s="126">
        <v>0.0138629436111989</v>
      </c>
      <c r="H3284" s="126">
        <f t="shared" si="154"/>
        <v>50</v>
      </c>
      <c r="I3284" s="126" t="str">
        <f t="shared" si="155"/>
        <v>0y 0d 0h 0m</v>
      </c>
    </row>
    <row r="3285" s="91" customFormat="1" spans="1:9">
      <c r="A3285" s="91" t="str">
        <f t="shared" si="153"/>
        <v>Rn-195</v>
      </c>
      <c r="B3285" s="91" t="s">
        <v>3918</v>
      </c>
      <c r="C3285" s="91" t="s">
        <v>3919</v>
      </c>
      <c r="D3285" s="91">
        <v>86</v>
      </c>
      <c r="E3285" s="91">
        <v>195</v>
      </c>
      <c r="F3285" s="91">
        <v>0</v>
      </c>
      <c r="G3285" s="126">
        <v>106.638027778453</v>
      </c>
      <c r="H3285" s="126">
        <f t="shared" si="154"/>
        <v>0.00650000000000001</v>
      </c>
      <c r="I3285" s="126" t="str">
        <f t="shared" si="155"/>
        <v>0y 0d 0h 0m</v>
      </c>
    </row>
    <row r="3286" s="91" customFormat="1" spans="1:9">
      <c r="A3286" s="91" t="str">
        <f t="shared" si="153"/>
        <v>Rn-195m</v>
      </c>
      <c r="B3286" s="91" t="s">
        <v>3920</v>
      </c>
      <c r="C3286" s="91" t="s">
        <v>3919</v>
      </c>
      <c r="D3286" s="91">
        <v>86</v>
      </c>
      <c r="E3286" s="91">
        <v>195</v>
      </c>
      <c r="F3286" s="91">
        <v>1</v>
      </c>
      <c r="G3286" s="126">
        <v>138.629436111989</v>
      </c>
      <c r="H3286" s="126">
        <f t="shared" si="154"/>
        <v>0.005</v>
      </c>
      <c r="I3286" s="126" t="str">
        <f t="shared" si="155"/>
        <v>0y 0d 0h 0m</v>
      </c>
    </row>
    <row r="3287" s="91" customFormat="1" spans="1:9">
      <c r="A3287" s="91" t="str">
        <f t="shared" si="153"/>
        <v>Rn-196</v>
      </c>
      <c r="B3287" s="91" t="s">
        <v>3921</v>
      </c>
      <c r="C3287" s="91" t="s">
        <v>3919</v>
      </c>
      <c r="D3287" s="91">
        <v>86</v>
      </c>
      <c r="E3287" s="91">
        <v>196</v>
      </c>
      <c r="F3287" s="91">
        <v>0</v>
      </c>
      <c r="G3287" s="126">
        <v>150.684169686944</v>
      </c>
      <c r="H3287" s="126">
        <f t="shared" si="154"/>
        <v>0.00460000000000002</v>
      </c>
      <c r="I3287" s="126" t="str">
        <f t="shared" si="155"/>
        <v>0y 0d 0h 0m</v>
      </c>
    </row>
    <row r="3288" s="91" customFormat="1" spans="1:9">
      <c r="A3288" s="91" t="str">
        <f t="shared" si="153"/>
        <v>Rn-197</v>
      </c>
      <c r="B3288" s="91" t="s">
        <v>3922</v>
      </c>
      <c r="C3288" s="91" t="s">
        <v>3919</v>
      </c>
      <c r="D3288" s="91">
        <v>86</v>
      </c>
      <c r="E3288" s="91">
        <v>197</v>
      </c>
      <c r="F3288" s="91">
        <v>0</v>
      </c>
      <c r="G3288" s="126">
        <v>10.502230008484</v>
      </c>
      <c r="H3288" s="126">
        <f t="shared" si="154"/>
        <v>0.0660000000000001</v>
      </c>
      <c r="I3288" s="126" t="str">
        <f t="shared" si="155"/>
        <v>0y 0d 0h 0m</v>
      </c>
    </row>
    <row r="3289" s="91" customFormat="1" spans="1:9">
      <c r="A3289" s="91" t="str">
        <f t="shared" si="153"/>
        <v>Rn-197m</v>
      </c>
      <c r="B3289" s="91" t="s">
        <v>3923</v>
      </c>
      <c r="C3289" s="91" t="s">
        <v>3919</v>
      </c>
      <c r="D3289" s="91">
        <v>86</v>
      </c>
      <c r="E3289" s="91">
        <v>197</v>
      </c>
      <c r="F3289" s="91">
        <v>1</v>
      </c>
      <c r="G3289" s="126">
        <v>33.0070085980926</v>
      </c>
      <c r="H3289" s="126">
        <f t="shared" si="154"/>
        <v>0.021</v>
      </c>
      <c r="I3289" s="126" t="str">
        <f t="shared" si="155"/>
        <v>0y 0d 0h 0m</v>
      </c>
    </row>
    <row r="3290" s="91" customFormat="1" spans="1:9">
      <c r="A3290" s="91" t="str">
        <f t="shared" si="153"/>
        <v>Rn-198</v>
      </c>
      <c r="B3290" s="91" t="s">
        <v>3924</v>
      </c>
      <c r="C3290" s="91" t="s">
        <v>3919</v>
      </c>
      <c r="D3290" s="91">
        <v>86</v>
      </c>
      <c r="E3290" s="91">
        <v>198</v>
      </c>
      <c r="F3290" s="91">
        <v>0</v>
      </c>
      <c r="G3290" s="126">
        <v>10.6638027778453</v>
      </c>
      <c r="H3290" s="126">
        <f t="shared" si="154"/>
        <v>0.0650000000000001</v>
      </c>
      <c r="I3290" s="126" t="str">
        <f t="shared" si="155"/>
        <v>0y 0d 0h 0m</v>
      </c>
    </row>
    <row r="3291" s="91" customFormat="1" spans="1:9">
      <c r="A3291" s="91" t="str">
        <f t="shared" si="153"/>
        <v>Rn-199</v>
      </c>
      <c r="B3291" s="91" t="s">
        <v>3925</v>
      </c>
      <c r="C3291" s="91" t="s">
        <v>3919</v>
      </c>
      <c r="D3291" s="91">
        <v>86</v>
      </c>
      <c r="E3291" s="91">
        <v>199</v>
      </c>
      <c r="F3291" s="91">
        <v>0</v>
      </c>
      <c r="G3291" s="126">
        <v>1.17482572976261</v>
      </c>
      <c r="H3291" s="126">
        <f t="shared" si="154"/>
        <v>0.590000000000005</v>
      </c>
      <c r="I3291" s="126" t="str">
        <f t="shared" si="155"/>
        <v>0y 0d 0h 0m</v>
      </c>
    </row>
    <row r="3292" s="91" customFormat="1" spans="1:9">
      <c r="A3292" s="91" t="str">
        <f t="shared" si="153"/>
        <v>Rn-199m</v>
      </c>
      <c r="B3292" s="91" t="s">
        <v>3926</v>
      </c>
      <c r="C3292" s="91" t="s">
        <v>3919</v>
      </c>
      <c r="D3292" s="91">
        <v>86</v>
      </c>
      <c r="E3292" s="91">
        <v>199</v>
      </c>
      <c r="F3292" s="91">
        <v>1</v>
      </c>
      <c r="G3292" s="126">
        <v>2.23595864696756</v>
      </c>
      <c r="H3292" s="126">
        <f t="shared" si="154"/>
        <v>0.310000000000001</v>
      </c>
      <c r="I3292" s="126" t="str">
        <f t="shared" si="155"/>
        <v>0y 0d 0h 0m</v>
      </c>
    </row>
    <row r="3293" s="91" customFormat="1" spans="1:9">
      <c r="A3293" s="91" t="str">
        <f t="shared" si="153"/>
        <v>Rn-200</v>
      </c>
      <c r="B3293" s="91" t="s">
        <v>3927</v>
      </c>
      <c r="C3293" s="91" t="s">
        <v>3919</v>
      </c>
      <c r="D3293" s="91">
        <v>86</v>
      </c>
      <c r="E3293" s="91">
        <v>200</v>
      </c>
      <c r="F3293" s="91">
        <v>0</v>
      </c>
      <c r="G3293" s="126">
        <v>0.644788074939484</v>
      </c>
      <c r="H3293" s="126">
        <f t="shared" si="154"/>
        <v>1.075</v>
      </c>
      <c r="I3293" s="126" t="str">
        <f t="shared" si="155"/>
        <v>0y 0d 0h 0m</v>
      </c>
    </row>
    <row r="3294" s="91" customFormat="1" spans="1:9">
      <c r="A3294" s="91" t="str">
        <f t="shared" si="153"/>
        <v>Rn-201</v>
      </c>
      <c r="B3294" s="91" t="s">
        <v>3928</v>
      </c>
      <c r="C3294" s="91" t="s">
        <v>3919</v>
      </c>
      <c r="D3294" s="91">
        <v>86</v>
      </c>
      <c r="E3294" s="91">
        <v>201</v>
      </c>
      <c r="F3294" s="91">
        <v>0</v>
      </c>
      <c r="G3294" s="126">
        <v>0.0990210257942778</v>
      </c>
      <c r="H3294" s="126">
        <f t="shared" si="154"/>
        <v>7.00000000000001</v>
      </c>
      <c r="I3294" s="126" t="str">
        <f t="shared" si="155"/>
        <v>0y 0d 0h 0m</v>
      </c>
    </row>
    <row r="3295" s="91" customFormat="1" spans="1:9">
      <c r="A3295" s="91" t="str">
        <f t="shared" si="153"/>
        <v>Rn-201m</v>
      </c>
      <c r="B3295" s="91" t="s">
        <v>3929</v>
      </c>
      <c r="C3295" s="91" t="s">
        <v>3919</v>
      </c>
      <c r="D3295" s="91">
        <v>86</v>
      </c>
      <c r="E3295" s="91">
        <v>201</v>
      </c>
      <c r="F3295" s="91">
        <v>1</v>
      </c>
      <c r="G3295" s="126">
        <v>0.182407152778933</v>
      </c>
      <c r="H3295" s="126">
        <f t="shared" si="154"/>
        <v>3.8</v>
      </c>
      <c r="I3295" s="126" t="str">
        <f t="shared" si="155"/>
        <v>0y 0d 0h 0m</v>
      </c>
    </row>
    <row r="3296" s="91" customFormat="1" spans="1:9">
      <c r="A3296" s="91" t="str">
        <f t="shared" si="153"/>
        <v>Rn-202</v>
      </c>
      <c r="B3296" s="91" t="s">
        <v>3930</v>
      </c>
      <c r="C3296" s="91" t="s">
        <v>3919</v>
      </c>
      <c r="D3296" s="91">
        <v>86</v>
      </c>
      <c r="E3296" s="91">
        <v>202</v>
      </c>
      <c r="F3296" s="91">
        <v>0</v>
      </c>
      <c r="G3296" s="126">
        <v>0.0714584722226747</v>
      </c>
      <c r="H3296" s="126">
        <f t="shared" si="154"/>
        <v>9.70000000000001</v>
      </c>
      <c r="I3296" s="126" t="str">
        <f t="shared" si="155"/>
        <v>0y 0d 0h 0m</v>
      </c>
    </row>
    <row r="3297" s="91" customFormat="1" spans="1:9">
      <c r="A3297" s="91" t="str">
        <f t="shared" si="153"/>
        <v>Rn-203</v>
      </c>
      <c r="B3297" s="91" t="s">
        <v>3931</v>
      </c>
      <c r="C3297" s="91" t="s">
        <v>3919</v>
      </c>
      <c r="D3297" s="91">
        <v>86</v>
      </c>
      <c r="E3297" s="91">
        <v>203</v>
      </c>
      <c r="F3297" s="91">
        <v>0</v>
      </c>
      <c r="G3297" s="126">
        <v>0.015753345012726</v>
      </c>
      <c r="H3297" s="126">
        <f t="shared" si="154"/>
        <v>44.0000000000001</v>
      </c>
      <c r="I3297" s="126" t="str">
        <f t="shared" si="155"/>
        <v>0y 0d 0h 0m</v>
      </c>
    </row>
    <row r="3298" s="91" customFormat="1" spans="1:9">
      <c r="A3298" s="91" t="str">
        <f t="shared" si="153"/>
        <v>Rn-203m</v>
      </c>
      <c r="B3298" s="91" t="s">
        <v>3932</v>
      </c>
      <c r="C3298" s="91" t="s">
        <v>3919</v>
      </c>
      <c r="D3298" s="91">
        <v>86</v>
      </c>
      <c r="E3298" s="91">
        <v>203</v>
      </c>
      <c r="F3298" s="91">
        <v>1</v>
      </c>
      <c r="G3298" s="126">
        <v>0.0257675531806671</v>
      </c>
      <c r="H3298" s="126">
        <f t="shared" si="154"/>
        <v>26.9</v>
      </c>
      <c r="I3298" s="126" t="str">
        <f t="shared" si="155"/>
        <v>0y 0d 0h 0m</v>
      </c>
    </row>
    <row r="3299" s="91" customFormat="1" spans="1:9">
      <c r="A3299" s="91" t="str">
        <f t="shared" si="153"/>
        <v>Rn-204</v>
      </c>
      <c r="B3299" s="91" t="s">
        <v>3933</v>
      </c>
      <c r="C3299" s="91" t="s">
        <v>3919</v>
      </c>
      <c r="D3299" s="91">
        <v>86</v>
      </c>
      <c r="E3299" s="91">
        <v>204</v>
      </c>
      <c r="F3299" s="91">
        <v>0</v>
      </c>
      <c r="G3299" s="126">
        <v>0.00987389146096788</v>
      </c>
      <c r="H3299" s="126">
        <f t="shared" si="154"/>
        <v>70.2</v>
      </c>
      <c r="I3299" s="126" t="str">
        <f t="shared" si="155"/>
        <v>0y 0d 0h 1m</v>
      </c>
    </row>
    <row r="3300" s="91" customFormat="1" spans="1:9">
      <c r="A3300" s="91" t="str">
        <f t="shared" si="153"/>
        <v>Rn-205</v>
      </c>
      <c r="B3300" s="91" t="s">
        <v>3934</v>
      </c>
      <c r="C3300" s="91" t="s">
        <v>3919</v>
      </c>
      <c r="D3300" s="91">
        <v>86</v>
      </c>
      <c r="E3300" s="91">
        <v>205</v>
      </c>
      <c r="F3300" s="91">
        <v>0</v>
      </c>
      <c r="G3300" s="126">
        <v>0.00407733635623497</v>
      </c>
      <c r="H3300" s="126">
        <f t="shared" si="154"/>
        <v>170</v>
      </c>
      <c r="I3300" s="126" t="str">
        <f t="shared" si="155"/>
        <v>0y 0d 0h 2m</v>
      </c>
    </row>
    <row r="3301" s="91" customFormat="1" spans="1:9">
      <c r="A3301" s="91" t="str">
        <f t="shared" si="153"/>
        <v>Rn-206</v>
      </c>
      <c r="B3301" s="91" t="s">
        <v>3935</v>
      </c>
      <c r="C3301" s="91" t="s">
        <v>3919</v>
      </c>
      <c r="D3301" s="91">
        <v>86</v>
      </c>
      <c r="E3301" s="91">
        <v>206</v>
      </c>
      <c r="F3301" s="91">
        <v>0</v>
      </c>
      <c r="G3301" s="126">
        <v>0.00203746966654892</v>
      </c>
      <c r="H3301" s="126">
        <f t="shared" si="154"/>
        <v>340.200000000001</v>
      </c>
      <c r="I3301" s="126" t="str">
        <f t="shared" si="155"/>
        <v>0y 0d 0h 5m</v>
      </c>
    </row>
    <row r="3302" s="91" customFormat="1" spans="1:9">
      <c r="A3302" s="91" t="str">
        <f t="shared" si="153"/>
        <v>Rn-207</v>
      </c>
      <c r="B3302" s="91" t="s">
        <v>3936</v>
      </c>
      <c r="C3302" s="91" t="s">
        <v>3919</v>
      </c>
      <c r="D3302" s="91">
        <v>86</v>
      </c>
      <c r="E3302" s="91">
        <v>207</v>
      </c>
      <c r="F3302" s="91">
        <v>0</v>
      </c>
      <c r="G3302" s="126">
        <v>0.00124891383884674</v>
      </c>
      <c r="H3302" s="126">
        <f t="shared" si="154"/>
        <v>555.000000000004</v>
      </c>
      <c r="I3302" s="126" t="str">
        <f t="shared" si="155"/>
        <v>0y 0d 0h 9m</v>
      </c>
    </row>
    <row r="3303" s="91" customFormat="1" spans="1:9">
      <c r="A3303" s="91" t="str">
        <f t="shared" si="153"/>
        <v>Rn-208</v>
      </c>
      <c r="B3303" s="91" t="s">
        <v>3937</v>
      </c>
      <c r="C3303" s="91" t="s">
        <v>3919</v>
      </c>
      <c r="D3303" s="91">
        <v>86</v>
      </c>
      <c r="E3303" s="91">
        <v>208</v>
      </c>
      <c r="F3303" s="91">
        <v>0</v>
      </c>
      <c r="G3303" s="126">
        <v>0.00047443338847361</v>
      </c>
      <c r="H3303" s="126">
        <f t="shared" si="154"/>
        <v>1461</v>
      </c>
      <c r="I3303" s="126" t="str">
        <f t="shared" si="155"/>
        <v>0y 0d 0h 24m</v>
      </c>
    </row>
    <row r="3304" s="91" customFormat="1" spans="1:9">
      <c r="A3304" s="91" t="str">
        <f t="shared" si="153"/>
        <v>Rn-209</v>
      </c>
      <c r="B3304" s="91" t="s">
        <v>3938</v>
      </c>
      <c r="C3304" s="91" t="s">
        <v>3919</v>
      </c>
      <c r="D3304" s="91">
        <v>86</v>
      </c>
      <c r="E3304" s="91">
        <v>209</v>
      </c>
      <c r="F3304" s="91">
        <v>0</v>
      </c>
      <c r="G3304" s="126">
        <v>0.00040112684060182</v>
      </c>
      <c r="H3304" s="126">
        <f t="shared" si="154"/>
        <v>1728</v>
      </c>
      <c r="I3304" s="126" t="str">
        <f t="shared" si="155"/>
        <v>0y 0d 0h 28m</v>
      </c>
    </row>
    <row r="3305" s="91" customFormat="1" spans="1:9">
      <c r="A3305" s="91" t="str">
        <f t="shared" si="153"/>
        <v>Rn-210</v>
      </c>
      <c r="B3305" s="91" t="s">
        <v>3939</v>
      </c>
      <c r="C3305" s="91" t="s">
        <v>3919</v>
      </c>
      <c r="D3305" s="91">
        <v>86</v>
      </c>
      <c r="E3305" s="91">
        <v>210</v>
      </c>
      <c r="F3305" s="91">
        <v>0</v>
      </c>
      <c r="G3305" s="126">
        <v>8.0225368120364e-5</v>
      </c>
      <c r="H3305" s="126">
        <f t="shared" si="154"/>
        <v>8640</v>
      </c>
      <c r="I3305" s="126" t="str">
        <f t="shared" si="155"/>
        <v>0y 0d 2h 24m</v>
      </c>
    </row>
    <row r="3306" s="91" customFormat="1" spans="1:9">
      <c r="A3306" s="91" t="str">
        <f t="shared" si="153"/>
        <v>Rn-211</v>
      </c>
      <c r="B3306" s="91" t="s">
        <v>3940</v>
      </c>
      <c r="C3306" s="91" t="s">
        <v>3919</v>
      </c>
      <c r="D3306" s="91">
        <v>86</v>
      </c>
      <c r="E3306" s="91">
        <v>211</v>
      </c>
      <c r="F3306" s="91">
        <v>0</v>
      </c>
      <c r="G3306" s="126">
        <v>1.31877317458132e-5</v>
      </c>
      <c r="H3306" s="126">
        <f t="shared" si="154"/>
        <v>52560.0000000003</v>
      </c>
      <c r="I3306" s="126" t="str">
        <f t="shared" si="155"/>
        <v>0y 0d 14h 36m</v>
      </c>
    </row>
    <row r="3307" s="91" customFormat="1" spans="1:9">
      <c r="A3307" s="91" t="str">
        <f t="shared" si="153"/>
        <v>Rn-212</v>
      </c>
      <c r="B3307" s="91" t="s">
        <v>3941</v>
      </c>
      <c r="C3307" s="91" t="s">
        <v>3919</v>
      </c>
      <c r="D3307" s="91">
        <v>86</v>
      </c>
      <c r="E3307" s="91">
        <v>212</v>
      </c>
      <c r="F3307" s="91">
        <v>0</v>
      </c>
      <c r="G3307" s="126">
        <v>0.000483366234700101</v>
      </c>
      <c r="H3307" s="126">
        <f t="shared" si="154"/>
        <v>1434</v>
      </c>
      <c r="I3307" s="126" t="str">
        <f t="shared" si="155"/>
        <v>0y 0d 0h 23m</v>
      </c>
    </row>
    <row r="3308" s="91" customFormat="1" spans="1:9">
      <c r="A3308" s="91" t="str">
        <f t="shared" si="153"/>
        <v>Rn-213</v>
      </c>
      <c r="B3308" s="91" t="s">
        <v>3942</v>
      </c>
      <c r="C3308" s="91" t="s">
        <v>3919</v>
      </c>
      <c r="D3308" s="91">
        <v>86</v>
      </c>
      <c r="E3308" s="91">
        <v>213</v>
      </c>
      <c r="F3308" s="91">
        <v>0</v>
      </c>
      <c r="G3308" s="126">
        <v>27.7258872223978</v>
      </c>
      <c r="H3308" s="126">
        <f t="shared" si="154"/>
        <v>0.025</v>
      </c>
      <c r="I3308" s="126" t="str">
        <f t="shared" si="155"/>
        <v>0y 0d 0h 0m</v>
      </c>
    </row>
    <row r="3309" s="91" customFormat="1" spans="1:9">
      <c r="A3309" s="91" t="str">
        <f t="shared" si="153"/>
        <v>Rn-214</v>
      </c>
      <c r="B3309" s="91" t="s">
        <v>3943</v>
      </c>
      <c r="C3309" s="91" t="s">
        <v>3919</v>
      </c>
      <c r="D3309" s="91">
        <v>86</v>
      </c>
      <c r="E3309" s="91">
        <v>214</v>
      </c>
      <c r="F3309" s="91">
        <v>0</v>
      </c>
      <c r="G3309" s="126">
        <v>2567211.77985164</v>
      </c>
      <c r="H3309" s="126">
        <f t="shared" si="154"/>
        <v>2.70000000000001e-7</v>
      </c>
      <c r="I3309" s="126" t="str">
        <f t="shared" si="155"/>
        <v>0y 0d 0h 0m</v>
      </c>
    </row>
    <row r="3310" s="91" customFormat="1" spans="1:9">
      <c r="A3310" s="91" t="str">
        <f t="shared" si="153"/>
        <v>Rn-215</v>
      </c>
      <c r="B3310" s="91" t="s">
        <v>3944</v>
      </c>
      <c r="C3310" s="91" t="s">
        <v>3919</v>
      </c>
      <c r="D3310" s="91">
        <v>86</v>
      </c>
      <c r="E3310" s="91">
        <v>215</v>
      </c>
      <c r="F3310" s="91">
        <v>0</v>
      </c>
      <c r="G3310" s="126">
        <v>301368.339373889</v>
      </c>
      <c r="H3310" s="126">
        <f t="shared" si="154"/>
        <v>2.3e-6</v>
      </c>
      <c r="I3310" s="126" t="str">
        <f t="shared" si="155"/>
        <v>0y 0d 0h 0m</v>
      </c>
    </row>
    <row r="3311" s="91" customFormat="1" spans="1:9">
      <c r="A3311" s="91" t="str">
        <f t="shared" si="153"/>
        <v>Rn-216</v>
      </c>
      <c r="B3311" s="91" t="s">
        <v>3945</v>
      </c>
      <c r="C3311" s="91" t="s">
        <v>3919</v>
      </c>
      <c r="D3311" s="91">
        <v>86</v>
      </c>
      <c r="E3311" s="91">
        <v>216</v>
      </c>
      <c r="F3311" s="91">
        <v>0</v>
      </c>
      <c r="G3311" s="126">
        <v>15403.2706791098</v>
      </c>
      <c r="H3311" s="126">
        <f t="shared" si="154"/>
        <v>4.50000000000003e-5</v>
      </c>
      <c r="I3311" s="126" t="str">
        <f t="shared" si="155"/>
        <v>0y 0d 0h 0m</v>
      </c>
    </row>
    <row r="3312" s="91" customFormat="1" spans="1:9">
      <c r="A3312" s="91" t="str">
        <f t="shared" si="153"/>
        <v>Rn-217</v>
      </c>
      <c r="B3312" s="91" t="s">
        <v>3946</v>
      </c>
      <c r="C3312" s="91" t="s">
        <v>3919</v>
      </c>
      <c r="D3312" s="91">
        <v>86</v>
      </c>
      <c r="E3312" s="91">
        <v>217</v>
      </c>
      <c r="F3312" s="91">
        <v>0</v>
      </c>
      <c r="G3312" s="126">
        <v>1283.60588992582</v>
      </c>
      <c r="H3312" s="126">
        <f t="shared" si="154"/>
        <v>0.000540000000000002</v>
      </c>
      <c r="I3312" s="126" t="str">
        <f t="shared" si="155"/>
        <v>0y 0d 0h 0m</v>
      </c>
    </row>
    <row r="3313" s="91" customFormat="1" spans="1:9">
      <c r="A3313" s="91" t="str">
        <f t="shared" si="153"/>
        <v>Rn-218</v>
      </c>
      <c r="B3313" s="91" t="s">
        <v>3947</v>
      </c>
      <c r="C3313" s="91" t="s">
        <v>3919</v>
      </c>
      <c r="D3313" s="91">
        <v>86</v>
      </c>
      <c r="E3313" s="91">
        <v>218</v>
      </c>
      <c r="F3313" s="91">
        <v>0</v>
      </c>
      <c r="G3313" s="126">
        <v>19.8042051588555</v>
      </c>
      <c r="H3313" s="126">
        <f t="shared" si="154"/>
        <v>0.0350000000000001</v>
      </c>
      <c r="I3313" s="126" t="str">
        <f t="shared" si="155"/>
        <v>0y 0d 0h 0m</v>
      </c>
    </row>
    <row r="3314" s="91" customFormat="1" spans="1:9">
      <c r="A3314" s="91" t="str">
        <f t="shared" si="153"/>
        <v>Rn-219</v>
      </c>
      <c r="B3314" s="91" t="s">
        <v>3948</v>
      </c>
      <c r="C3314" s="91" t="s">
        <v>3919</v>
      </c>
      <c r="D3314" s="91">
        <v>86</v>
      </c>
      <c r="E3314" s="91">
        <v>219</v>
      </c>
      <c r="F3314" s="91">
        <v>0</v>
      </c>
      <c r="G3314" s="126">
        <v>0.175037166808067</v>
      </c>
      <c r="H3314" s="126">
        <f t="shared" si="154"/>
        <v>3.96</v>
      </c>
      <c r="I3314" s="126" t="str">
        <f t="shared" si="155"/>
        <v>0y 0d 0h 0m</v>
      </c>
    </row>
    <row r="3315" s="91" customFormat="1" spans="1:9">
      <c r="A3315" s="91" t="str">
        <f t="shared" si="153"/>
        <v>Rn-220</v>
      </c>
      <c r="B3315" s="91" t="s">
        <v>3949</v>
      </c>
      <c r="C3315" s="91" t="s">
        <v>3919</v>
      </c>
      <c r="D3315" s="91">
        <v>86</v>
      </c>
      <c r="E3315" s="91">
        <v>220</v>
      </c>
      <c r="F3315" s="91">
        <v>0</v>
      </c>
      <c r="G3315" s="126">
        <v>0.0124666759093515</v>
      </c>
      <c r="H3315" s="126">
        <f t="shared" si="154"/>
        <v>55.6000000000002</v>
      </c>
      <c r="I3315" s="126" t="str">
        <f t="shared" si="155"/>
        <v>0y 0d 0h 0m</v>
      </c>
    </row>
    <row r="3316" s="91" customFormat="1" spans="1:9">
      <c r="A3316" s="91" t="str">
        <f t="shared" si="153"/>
        <v>Rn-221</v>
      </c>
      <c r="B3316" s="91" t="s">
        <v>3950</v>
      </c>
      <c r="C3316" s="91" t="s">
        <v>3919</v>
      </c>
      <c r="D3316" s="91">
        <v>86</v>
      </c>
      <c r="E3316" s="91">
        <v>221</v>
      </c>
      <c r="F3316" s="91">
        <v>0</v>
      </c>
      <c r="G3316" s="126">
        <v>0.000449511790246397</v>
      </c>
      <c r="H3316" s="126">
        <f t="shared" si="154"/>
        <v>1542</v>
      </c>
      <c r="I3316" s="126" t="str">
        <f t="shared" si="155"/>
        <v>0y 0d 0h 25m</v>
      </c>
    </row>
    <row r="3317" s="91" customFormat="1" spans="1:9">
      <c r="A3317" s="91" t="str">
        <f t="shared" si="153"/>
        <v>Rn-222</v>
      </c>
      <c r="B3317" s="91" t="s">
        <v>3951</v>
      </c>
      <c r="C3317" s="91" t="s">
        <v>3919</v>
      </c>
      <c r="D3317" s="91">
        <v>86</v>
      </c>
      <c r="E3317" s="91">
        <v>222</v>
      </c>
      <c r="F3317" s="91">
        <v>0</v>
      </c>
      <c r="G3317" s="126">
        <v>2.09821807559471e-6</v>
      </c>
      <c r="H3317" s="126">
        <f t="shared" si="154"/>
        <v>330350.400000001</v>
      </c>
      <c r="I3317" s="126" t="str">
        <f t="shared" si="155"/>
        <v>0y 3d 19h 45m</v>
      </c>
    </row>
    <row r="3318" s="91" customFormat="1" spans="1:9">
      <c r="A3318" s="91" t="str">
        <f t="shared" si="153"/>
        <v>Rn-223</v>
      </c>
      <c r="B3318" s="91" t="s">
        <v>3952</v>
      </c>
      <c r="C3318" s="91" t="s">
        <v>3919</v>
      </c>
      <c r="D3318" s="91">
        <v>86</v>
      </c>
      <c r="E3318" s="91">
        <v>223</v>
      </c>
      <c r="F3318" s="91">
        <v>0</v>
      </c>
      <c r="G3318" s="126">
        <v>0.000475409588861416</v>
      </c>
      <c r="H3318" s="126">
        <f t="shared" si="154"/>
        <v>1458</v>
      </c>
      <c r="I3318" s="126" t="str">
        <f t="shared" si="155"/>
        <v>0y 0d 0h 24m</v>
      </c>
    </row>
    <row r="3319" s="91" customFormat="1" spans="1:9">
      <c r="A3319" s="91" t="str">
        <f t="shared" si="153"/>
        <v>Rn-224</v>
      </c>
      <c r="B3319" s="91" t="s">
        <v>3953</v>
      </c>
      <c r="C3319" s="91" t="s">
        <v>3919</v>
      </c>
      <c r="D3319" s="91">
        <v>86</v>
      </c>
      <c r="E3319" s="91">
        <v>224</v>
      </c>
      <c r="F3319" s="91">
        <v>0</v>
      </c>
      <c r="G3319" s="126">
        <v>0.000107966850554508</v>
      </c>
      <c r="H3319" s="126">
        <f t="shared" si="154"/>
        <v>6420.00000000004</v>
      </c>
      <c r="I3319" s="126" t="str">
        <f t="shared" si="155"/>
        <v>0y 0d 1h 47m</v>
      </c>
    </row>
    <row r="3320" s="91" customFormat="1" spans="1:9">
      <c r="A3320" s="91" t="str">
        <f t="shared" si="153"/>
        <v>Rn-225</v>
      </c>
      <c r="B3320" s="91" t="s">
        <v>3954</v>
      </c>
      <c r="C3320" s="91" t="s">
        <v>3919</v>
      </c>
      <c r="D3320" s="91">
        <v>86</v>
      </c>
      <c r="E3320" s="91">
        <v>225</v>
      </c>
      <c r="F3320" s="91">
        <v>0</v>
      </c>
      <c r="G3320" s="126">
        <v>0.00247906716938463</v>
      </c>
      <c r="H3320" s="126">
        <f t="shared" si="154"/>
        <v>279.600000000001</v>
      </c>
      <c r="I3320" s="126" t="str">
        <f t="shared" si="155"/>
        <v>0y 0d 0h 4m</v>
      </c>
    </row>
    <row r="3321" s="91" customFormat="1" spans="1:9">
      <c r="A3321" s="91" t="str">
        <f t="shared" si="153"/>
        <v>Rn-226</v>
      </c>
      <c r="B3321" s="91" t="s">
        <v>3955</v>
      </c>
      <c r="C3321" s="91" t="s">
        <v>3919</v>
      </c>
      <c r="D3321" s="91">
        <v>86</v>
      </c>
      <c r="E3321" s="91">
        <v>226</v>
      </c>
      <c r="F3321" s="91">
        <v>0</v>
      </c>
      <c r="G3321" s="126">
        <v>0.00156114229855843</v>
      </c>
      <c r="H3321" s="126">
        <f t="shared" si="154"/>
        <v>444.000000000001</v>
      </c>
      <c r="I3321" s="126" t="str">
        <f t="shared" si="155"/>
        <v>0y 0d 0h 7m</v>
      </c>
    </row>
    <row r="3322" s="91" customFormat="1" spans="1:9">
      <c r="A3322" s="91" t="str">
        <f t="shared" si="153"/>
        <v>Rn-227</v>
      </c>
      <c r="B3322" s="91" t="s">
        <v>3956</v>
      </c>
      <c r="C3322" s="91" t="s">
        <v>3919</v>
      </c>
      <c r="D3322" s="91">
        <v>86</v>
      </c>
      <c r="E3322" s="91">
        <v>227</v>
      </c>
      <c r="F3322" s="91">
        <v>0</v>
      </c>
      <c r="G3322" s="126">
        <v>0.0333243836807666</v>
      </c>
      <c r="H3322" s="126">
        <f t="shared" si="154"/>
        <v>20.8</v>
      </c>
      <c r="I3322" s="126" t="str">
        <f t="shared" si="155"/>
        <v>0y 0d 0h 0m</v>
      </c>
    </row>
    <row r="3323" s="91" customFormat="1" spans="1:9">
      <c r="A3323" s="91" t="str">
        <f t="shared" si="153"/>
        <v>Rn-228</v>
      </c>
      <c r="B3323" s="91" t="s">
        <v>3957</v>
      </c>
      <c r="C3323" s="91" t="s">
        <v>3919</v>
      </c>
      <c r="D3323" s="91">
        <v>86</v>
      </c>
      <c r="E3323" s="91">
        <v>228</v>
      </c>
      <c r="F3323" s="91">
        <v>0</v>
      </c>
      <c r="G3323" s="126">
        <v>0.0106638027778453</v>
      </c>
      <c r="H3323" s="126">
        <f t="shared" si="154"/>
        <v>65.0000000000001</v>
      </c>
      <c r="I3323" s="126" t="str">
        <f t="shared" si="155"/>
        <v>0y 0d 0h 1m</v>
      </c>
    </row>
    <row r="3324" s="91" customFormat="1" spans="1:9">
      <c r="A3324" s="91" t="str">
        <f t="shared" si="153"/>
        <v>Fr-199</v>
      </c>
      <c r="B3324" s="91" t="s">
        <v>3958</v>
      </c>
      <c r="C3324" s="91" t="s">
        <v>3959</v>
      </c>
      <c r="D3324" s="91">
        <v>87</v>
      </c>
      <c r="E3324" s="91">
        <v>199</v>
      </c>
      <c r="F3324" s="91">
        <v>0</v>
      </c>
      <c r="G3324" s="126">
        <v>46.2098120373296</v>
      </c>
      <c r="H3324" s="126">
        <f t="shared" si="154"/>
        <v>0.015</v>
      </c>
      <c r="I3324" s="126" t="str">
        <f t="shared" si="155"/>
        <v>0y 0d 0h 0m</v>
      </c>
    </row>
    <row r="3325" s="91" customFormat="1" spans="1:9">
      <c r="A3325" s="91" t="str">
        <f t="shared" si="153"/>
        <v>Fr-200</v>
      </c>
      <c r="B3325" s="91" t="s">
        <v>3960</v>
      </c>
      <c r="C3325" s="91" t="s">
        <v>3959</v>
      </c>
      <c r="D3325" s="91">
        <v>87</v>
      </c>
      <c r="E3325" s="91">
        <v>200</v>
      </c>
      <c r="F3325" s="91">
        <v>0</v>
      </c>
      <c r="G3325" s="126">
        <v>14.1458608277539</v>
      </c>
      <c r="H3325" s="126">
        <f t="shared" si="154"/>
        <v>0.0490000000000003</v>
      </c>
      <c r="I3325" s="126" t="str">
        <f t="shared" si="155"/>
        <v>0y 0d 0h 0m</v>
      </c>
    </row>
    <row r="3326" s="91" customFormat="1" spans="1:9">
      <c r="A3326" s="91" t="str">
        <f t="shared" si="153"/>
        <v>Fr-201</v>
      </c>
      <c r="B3326" s="91" t="s">
        <v>3961</v>
      </c>
      <c r="C3326" s="91" t="s">
        <v>3959</v>
      </c>
      <c r="D3326" s="91">
        <v>87</v>
      </c>
      <c r="E3326" s="91">
        <v>201</v>
      </c>
      <c r="F3326" s="91">
        <v>0</v>
      </c>
      <c r="G3326" s="126">
        <v>10.0456113124629</v>
      </c>
      <c r="H3326" s="126">
        <f t="shared" si="154"/>
        <v>0.0690000000000005</v>
      </c>
      <c r="I3326" s="126" t="str">
        <f t="shared" si="155"/>
        <v>0y 0d 0h 0m</v>
      </c>
    </row>
    <row r="3327" s="91" customFormat="1" spans="1:9">
      <c r="A3327" s="91" t="str">
        <f t="shared" si="153"/>
        <v>Fr-202</v>
      </c>
      <c r="B3327" s="91" t="s">
        <v>3962</v>
      </c>
      <c r="C3327" s="91" t="s">
        <v>3959</v>
      </c>
      <c r="D3327" s="91">
        <v>87</v>
      </c>
      <c r="E3327" s="91">
        <v>202</v>
      </c>
      <c r="F3327" s="91">
        <v>0</v>
      </c>
      <c r="G3327" s="126">
        <v>2.31049060186648</v>
      </c>
      <c r="H3327" s="126">
        <f t="shared" si="154"/>
        <v>0.300000000000001</v>
      </c>
      <c r="I3327" s="126" t="str">
        <f t="shared" si="155"/>
        <v>0y 0d 0h 0m</v>
      </c>
    </row>
    <row r="3328" s="91" customFormat="1" spans="1:9">
      <c r="A3328" s="91" t="str">
        <f t="shared" si="153"/>
        <v>Fr-202m</v>
      </c>
      <c r="B3328" s="91" t="s">
        <v>3963</v>
      </c>
      <c r="C3328" s="91" t="s">
        <v>3959</v>
      </c>
      <c r="D3328" s="91">
        <v>87</v>
      </c>
      <c r="E3328" s="91">
        <v>202</v>
      </c>
      <c r="F3328" s="91">
        <v>1</v>
      </c>
      <c r="G3328" s="126">
        <v>2.39016269158601</v>
      </c>
      <c r="H3328" s="126">
        <f t="shared" si="154"/>
        <v>0.290000000000001</v>
      </c>
      <c r="I3328" s="126" t="str">
        <f t="shared" si="155"/>
        <v>0y 0d 0h 0m</v>
      </c>
    </row>
    <row r="3329" s="91" customFormat="1" spans="1:9">
      <c r="A3329" s="91" t="str">
        <f t="shared" si="153"/>
        <v>Fr-203</v>
      </c>
      <c r="B3329" s="91" t="s">
        <v>3964</v>
      </c>
      <c r="C3329" s="91" t="s">
        <v>3959</v>
      </c>
      <c r="D3329" s="91">
        <v>87</v>
      </c>
      <c r="E3329" s="91">
        <v>203</v>
      </c>
      <c r="F3329" s="91">
        <v>0</v>
      </c>
      <c r="G3329" s="126">
        <v>1.26026760101808</v>
      </c>
      <c r="H3329" s="126">
        <f t="shared" si="154"/>
        <v>0.550000000000001</v>
      </c>
      <c r="I3329" s="126" t="str">
        <f t="shared" si="155"/>
        <v>0y 0d 0h 0m</v>
      </c>
    </row>
    <row r="3330" s="91" customFormat="1" spans="1:9">
      <c r="A3330" s="91" t="str">
        <f t="shared" ref="A3330:A3393" si="156">C3330&amp;"-"&amp;E3330&amp;_xlfn.IFS(F3330=0,"",F3330=1,"m",F3330&gt;1,"m"&amp;F3330)</f>
        <v>Fr-204</v>
      </c>
      <c r="B3330" s="91" t="s">
        <v>3965</v>
      </c>
      <c r="C3330" s="91" t="s">
        <v>3959</v>
      </c>
      <c r="D3330" s="91">
        <v>87</v>
      </c>
      <c r="E3330" s="91">
        <v>204</v>
      </c>
      <c r="F3330" s="91">
        <v>0</v>
      </c>
      <c r="G3330" s="126">
        <v>0.407733635623497</v>
      </c>
      <c r="H3330" s="126">
        <f t="shared" ref="H3330:H3393" si="157">IF(G3330&gt;0,LN(2)/G3330,0)</f>
        <v>1.7</v>
      </c>
      <c r="I3330" s="126" t="str">
        <f t="shared" si="155"/>
        <v>0y 0d 0h 0m</v>
      </c>
    </row>
    <row r="3331" s="91" customFormat="1" spans="1:9">
      <c r="A3331" s="91" t="str">
        <f t="shared" si="156"/>
        <v>Fr-204m</v>
      </c>
      <c r="B3331" s="91" t="s">
        <v>3966</v>
      </c>
      <c r="C3331" s="91" t="s">
        <v>3959</v>
      </c>
      <c r="D3331" s="91">
        <v>87</v>
      </c>
      <c r="E3331" s="91">
        <v>204</v>
      </c>
      <c r="F3331" s="91">
        <v>1</v>
      </c>
      <c r="G3331" s="126">
        <v>0.266595069446132</v>
      </c>
      <c r="H3331" s="126">
        <f t="shared" si="157"/>
        <v>2.60000000000001</v>
      </c>
      <c r="I3331" s="126" t="str">
        <f t="shared" ref="I3331:I3394" si="158">INT(H3331/31536000)&amp;"y "&amp;INT(MOD(H3331,31536000)/86400)&amp;"d "&amp;INT(MOD(MOD(H3331,31536000),86400)/3600)&amp;"h "&amp;INT(MOD(MOD(MOD(H3331,31536000),86400),3600)/60)&amp;"m"</f>
        <v>0y 0d 0h 0m</v>
      </c>
    </row>
    <row r="3332" s="91" customFormat="1" spans="1:9">
      <c r="A3332" s="91" t="str">
        <f t="shared" si="156"/>
        <v>Fr-204m2</v>
      </c>
      <c r="B3332" s="91" t="s">
        <v>3967</v>
      </c>
      <c r="C3332" s="91" t="s">
        <v>3959</v>
      </c>
      <c r="D3332" s="91">
        <v>87</v>
      </c>
      <c r="E3332" s="91">
        <v>204</v>
      </c>
      <c r="F3332" s="91">
        <v>2</v>
      </c>
      <c r="G3332" s="126">
        <v>0.693147180559945</v>
      </c>
      <c r="H3332" s="126">
        <f t="shared" si="157"/>
        <v>1</v>
      </c>
      <c r="I3332" s="126" t="str">
        <f t="shared" si="158"/>
        <v>0y 0d 0h 0m</v>
      </c>
    </row>
    <row r="3333" s="91" customFormat="1" spans="1:9">
      <c r="A3333" s="91" t="str">
        <f t="shared" si="156"/>
        <v>Fr-205</v>
      </c>
      <c r="B3333" s="91" t="s">
        <v>3968</v>
      </c>
      <c r="C3333" s="91" t="s">
        <v>3959</v>
      </c>
      <c r="D3333" s="91">
        <v>87</v>
      </c>
      <c r="E3333" s="91">
        <v>205</v>
      </c>
      <c r="F3333" s="91">
        <v>0</v>
      </c>
      <c r="G3333" s="126">
        <v>0.182407152778933</v>
      </c>
      <c r="H3333" s="126">
        <f t="shared" si="157"/>
        <v>3.8</v>
      </c>
      <c r="I3333" s="126" t="str">
        <f t="shared" si="158"/>
        <v>0y 0d 0h 0m</v>
      </c>
    </row>
    <row r="3334" s="91" customFormat="1" spans="1:9">
      <c r="A3334" s="91" t="str">
        <f t="shared" si="156"/>
        <v>Fr-206</v>
      </c>
      <c r="B3334" s="91" t="s">
        <v>3969</v>
      </c>
      <c r="C3334" s="91" t="s">
        <v>3959</v>
      </c>
      <c r="D3334" s="91">
        <v>87</v>
      </c>
      <c r="E3334" s="91">
        <v>206</v>
      </c>
      <c r="F3334" s="91">
        <v>0</v>
      </c>
      <c r="G3334" s="126">
        <v>0.0433216987849965</v>
      </c>
      <c r="H3334" s="126">
        <f t="shared" si="157"/>
        <v>16</v>
      </c>
      <c r="I3334" s="126" t="str">
        <f t="shared" si="158"/>
        <v>0y 0d 0h 0m</v>
      </c>
    </row>
    <row r="3335" s="91" customFormat="1" spans="1:9">
      <c r="A3335" s="91" t="str">
        <f t="shared" si="156"/>
        <v>Fr-206m</v>
      </c>
      <c r="B3335" s="91" t="s">
        <v>3970</v>
      </c>
      <c r="C3335" s="91" t="s">
        <v>3959</v>
      </c>
      <c r="D3335" s="91">
        <v>87</v>
      </c>
      <c r="E3335" s="91">
        <v>206</v>
      </c>
      <c r="F3335" s="91">
        <v>1</v>
      </c>
      <c r="G3335" s="126">
        <v>0.0433216987849965</v>
      </c>
      <c r="H3335" s="126">
        <f t="shared" si="157"/>
        <v>16</v>
      </c>
      <c r="I3335" s="126" t="str">
        <f t="shared" si="158"/>
        <v>0y 0d 0h 0m</v>
      </c>
    </row>
    <row r="3336" s="91" customFormat="1" spans="1:9">
      <c r="A3336" s="91" t="str">
        <f t="shared" si="156"/>
        <v>Fr-206m2</v>
      </c>
      <c r="B3336" s="91" t="s">
        <v>3971</v>
      </c>
      <c r="C3336" s="91" t="s">
        <v>3959</v>
      </c>
      <c r="D3336" s="91">
        <v>87</v>
      </c>
      <c r="E3336" s="91">
        <v>206</v>
      </c>
      <c r="F3336" s="91">
        <v>2</v>
      </c>
      <c r="G3336" s="126">
        <v>0.990210257942779</v>
      </c>
      <c r="H3336" s="126">
        <f t="shared" si="157"/>
        <v>0.7</v>
      </c>
      <c r="I3336" s="126" t="str">
        <f t="shared" si="158"/>
        <v>0y 0d 0h 0m</v>
      </c>
    </row>
    <row r="3337" s="91" customFormat="1" spans="1:9">
      <c r="A3337" s="91" t="str">
        <f t="shared" si="156"/>
        <v>Fr-207</v>
      </c>
      <c r="B3337" s="91" t="s">
        <v>3972</v>
      </c>
      <c r="C3337" s="91" t="s">
        <v>3959</v>
      </c>
      <c r="D3337" s="91">
        <v>87</v>
      </c>
      <c r="E3337" s="91">
        <v>207</v>
      </c>
      <c r="F3337" s="91">
        <v>0</v>
      </c>
      <c r="G3337" s="126">
        <v>0.046834268956753</v>
      </c>
      <c r="H3337" s="126">
        <f t="shared" si="157"/>
        <v>14.8</v>
      </c>
      <c r="I3337" s="126" t="str">
        <f t="shared" si="158"/>
        <v>0y 0d 0h 0m</v>
      </c>
    </row>
    <row r="3338" s="91" customFormat="1" spans="1:9">
      <c r="A3338" s="91" t="str">
        <f t="shared" si="156"/>
        <v>Fr-208</v>
      </c>
      <c r="B3338" s="91" t="s">
        <v>3973</v>
      </c>
      <c r="C3338" s="91" t="s">
        <v>3959</v>
      </c>
      <c r="D3338" s="91">
        <v>87</v>
      </c>
      <c r="E3338" s="91">
        <v>208</v>
      </c>
      <c r="F3338" s="91">
        <v>0</v>
      </c>
      <c r="G3338" s="126">
        <v>0.0117283786896775</v>
      </c>
      <c r="H3338" s="126">
        <f t="shared" si="157"/>
        <v>59.1000000000004</v>
      </c>
      <c r="I3338" s="126" t="str">
        <f t="shared" si="158"/>
        <v>0y 0d 0h 0m</v>
      </c>
    </row>
    <row r="3339" s="91" customFormat="1" spans="1:9">
      <c r="A3339" s="91" t="str">
        <f t="shared" si="156"/>
        <v>Fr-209</v>
      </c>
      <c r="B3339" s="91" t="s">
        <v>3974</v>
      </c>
      <c r="C3339" s="91" t="s">
        <v>3959</v>
      </c>
      <c r="D3339" s="91">
        <v>87</v>
      </c>
      <c r="E3339" s="91">
        <v>209</v>
      </c>
      <c r="F3339" s="91">
        <v>0</v>
      </c>
      <c r="G3339" s="126">
        <v>0.0138629436111989</v>
      </c>
      <c r="H3339" s="126">
        <f t="shared" si="157"/>
        <v>50</v>
      </c>
      <c r="I3339" s="126" t="str">
        <f t="shared" si="158"/>
        <v>0y 0d 0h 0m</v>
      </c>
    </row>
    <row r="3340" s="91" customFormat="1" spans="1:9">
      <c r="A3340" s="91" t="str">
        <f t="shared" si="156"/>
        <v>Fr-210</v>
      </c>
      <c r="B3340" s="91" t="s">
        <v>3975</v>
      </c>
      <c r="C3340" s="91" t="s">
        <v>3959</v>
      </c>
      <c r="D3340" s="91">
        <v>87</v>
      </c>
      <c r="E3340" s="91">
        <v>210</v>
      </c>
      <c r="F3340" s="91">
        <v>0</v>
      </c>
      <c r="G3340" s="126">
        <v>0.00363284685828063</v>
      </c>
      <c r="H3340" s="126">
        <f t="shared" si="157"/>
        <v>190.8</v>
      </c>
      <c r="I3340" s="126" t="str">
        <f t="shared" si="158"/>
        <v>0y 0d 0h 3m</v>
      </c>
    </row>
    <row r="3341" s="91" customFormat="1" spans="1:9">
      <c r="A3341" s="91" t="str">
        <f t="shared" si="156"/>
        <v>Fr-211</v>
      </c>
      <c r="B3341" s="91" t="s">
        <v>3976</v>
      </c>
      <c r="C3341" s="91" t="s">
        <v>3959</v>
      </c>
      <c r="D3341" s="91">
        <v>87</v>
      </c>
      <c r="E3341" s="91">
        <v>211</v>
      </c>
      <c r="F3341" s="91">
        <v>0</v>
      </c>
      <c r="G3341" s="126">
        <v>0.00372659774494594</v>
      </c>
      <c r="H3341" s="126">
        <f t="shared" si="157"/>
        <v>186</v>
      </c>
      <c r="I3341" s="126" t="str">
        <f t="shared" si="158"/>
        <v>0y 0d 0h 3m</v>
      </c>
    </row>
    <row r="3342" s="91" customFormat="1" spans="1:9">
      <c r="A3342" s="91" t="str">
        <f t="shared" si="156"/>
        <v>Fr-212</v>
      </c>
      <c r="B3342" s="91" t="s">
        <v>3977</v>
      </c>
      <c r="C3342" s="91" t="s">
        <v>3959</v>
      </c>
      <c r="D3342" s="91">
        <v>87</v>
      </c>
      <c r="E3342" s="91">
        <v>212</v>
      </c>
      <c r="F3342" s="91">
        <v>0</v>
      </c>
      <c r="G3342" s="126">
        <v>0.000577622650466621</v>
      </c>
      <c r="H3342" s="126">
        <f t="shared" si="157"/>
        <v>1200</v>
      </c>
      <c r="I3342" s="126" t="str">
        <f t="shared" si="158"/>
        <v>0y 0d 0h 20m</v>
      </c>
    </row>
    <row r="3343" s="91" customFormat="1" spans="1:9">
      <c r="A3343" s="91" t="str">
        <f t="shared" si="156"/>
        <v>Fr-213</v>
      </c>
      <c r="B3343" s="91" t="s">
        <v>3978</v>
      </c>
      <c r="C3343" s="91" t="s">
        <v>3959</v>
      </c>
      <c r="D3343" s="91">
        <v>87</v>
      </c>
      <c r="E3343" s="91">
        <v>213</v>
      </c>
      <c r="F3343" s="91">
        <v>0</v>
      </c>
      <c r="G3343" s="126">
        <v>0.0199065818655929</v>
      </c>
      <c r="H3343" s="126">
        <f t="shared" si="157"/>
        <v>34.82</v>
      </c>
      <c r="I3343" s="126" t="str">
        <f t="shared" si="158"/>
        <v>0y 0d 0h 0m</v>
      </c>
    </row>
    <row r="3344" s="91" customFormat="1" spans="1:9">
      <c r="A3344" s="91" t="str">
        <f t="shared" si="156"/>
        <v>Fr-214</v>
      </c>
      <c r="B3344" s="91" t="s">
        <v>3979</v>
      </c>
      <c r="C3344" s="91" t="s">
        <v>3959</v>
      </c>
      <c r="D3344" s="91">
        <v>87</v>
      </c>
      <c r="E3344" s="91">
        <v>214</v>
      </c>
      <c r="F3344" s="91">
        <v>0</v>
      </c>
      <c r="G3344" s="126">
        <v>138.629436111989</v>
      </c>
      <c r="H3344" s="126">
        <f t="shared" si="157"/>
        <v>0.005</v>
      </c>
      <c r="I3344" s="126" t="str">
        <f t="shared" si="158"/>
        <v>0y 0d 0h 0m</v>
      </c>
    </row>
    <row r="3345" s="91" customFormat="1" spans="1:9">
      <c r="A3345" s="91" t="str">
        <f t="shared" si="156"/>
        <v>Fr-214m</v>
      </c>
      <c r="B3345" s="91" t="s">
        <v>3980</v>
      </c>
      <c r="C3345" s="91" t="s">
        <v>3959</v>
      </c>
      <c r="D3345" s="91">
        <v>87</v>
      </c>
      <c r="E3345" s="91">
        <v>214</v>
      </c>
      <c r="F3345" s="91">
        <v>1</v>
      </c>
      <c r="G3345" s="126">
        <v>206.909606137297</v>
      </c>
      <c r="H3345" s="126">
        <f t="shared" si="157"/>
        <v>0.00335</v>
      </c>
      <c r="I3345" s="126" t="str">
        <f t="shared" si="158"/>
        <v>0y 0d 0h 0m</v>
      </c>
    </row>
    <row r="3346" s="91" customFormat="1" spans="1:9">
      <c r="A3346" s="91" t="str">
        <f t="shared" si="156"/>
        <v>Fr-215</v>
      </c>
      <c r="B3346" s="91" t="s">
        <v>3981</v>
      </c>
      <c r="C3346" s="91" t="s">
        <v>3959</v>
      </c>
      <c r="D3346" s="91">
        <v>87</v>
      </c>
      <c r="E3346" s="91">
        <v>215</v>
      </c>
      <c r="F3346" s="91">
        <v>0</v>
      </c>
      <c r="G3346" s="126">
        <v>8059850.93674355</v>
      </c>
      <c r="H3346" s="126">
        <f t="shared" si="157"/>
        <v>8.6e-8</v>
      </c>
      <c r="I3346" s="126" t="str">
        <f t="shared" si="158"/>
        <v>0y 0d 0h 0m</v>
      </c>
    </row>
    <row r="3347" s="91" customFormat="1" spans="1:9">
      <c r="A3347" s="91" t="str">
        <f t="shared" si="156"/>
        <v>Fr-216</v>
      </c>
      <c r="B3347" s="91" t="s">
        <v>3982</v>
      </c>
      <c r="C3347" s="91" t="s">
        <v>3959</v>
      </c>
      <c r="D3347" s="91">
        <v>87</v>
      </c>
      <c r="E3347" s="91">
        <v>216</v>
      </c>
      <c r="F3347" s="91">
        <v>0</v>
      </c>
      <c r="G3347" s="126">
        <v>990210.257942779</v>
      </c>
      <c r="H3347" s="126">
        <f t="shared" si="157"/>
        <v>7e-7</v>
      </c>
      <c r="I3347" s="126" t="str">
        <f t="shared" si="158"/>
        <v>0y 0d 0h 0m</v>
      </c>
    </row>
    <row r="3348" s="91" customFormat="1" spans="1:9">
      <c r="A3348" s="91" t="str">
        <f t="shared" si="156"/>
        <v>Fr-217</v>
      </c>
      <c r="B3348" s="91" t="s">
        <v>3983</v>
      </c>
      <c r="C3348" s="91" t="s">
        <v>3959</v>
      </c>
      <c r="D3348" s="91">
        <v>87</v>
      </c>
      <c r="E3348" s="91">
        <v>217</v>
      </c>
      <c r="F3348" s="91">
        <v>0</v>
      </c>
      <c r="G3348" s="126">
        <v>36481.4305557865</v>
      </c>
      <c r="H3348" s="126">
        <f t="shared" si="157"/>
        <v>1.9e-5</v>
      </c>
      <c r="I3348" s="126" t="str">
        <f t="shared" si="158"/>
        <v>0y 0d 0h 0m</v>
      </c>
    </row>
    <row r="3349" s="91" customFormat="1" spans="1:9">
      <c r="A3349" s="91" t="str">
        <f t="shared" si="156"/>
        <v>Fr-218</v>
      </c>
      <c r="B3349" s="91" t="s">
        <v>3984</v>
      </c>
      <c r="C3349" s="91" t="s">
        <v>3959</v>
      </c>
      <c r="D3349" s="91">
        <v>87</v>
      </c>
      <c r="E3349" s="91">
        <v>218</v>
      </c>
      <c r="F3349" s="91">
        <v>0</v>
      </c>
      <c r="G3349" s="126">
        <v>693.147180559945</v>
      </c>
      <c r="H3349" s="126">
        <f t="shared" si="157"/>
        <v>0.001</v>
      </c>
      <c r="I3349" s="126" t="str">
        <f t="shared" si="158"/>
        <v>0y 0d 0h 0m</v>
      </c>
    </row>
    <row r="3350" s="91" customFormat="1" spans="1:9">
      <c r="A3350" s="91" t="str">
        <f t="shared" si="156"/>
        <v>Fr-218m</v>
      </c>
      <c r="B3350" s="91" t="s">
        <v>3985</v>
      </c>
      <c r="C3350" s="91" t="s">
        <v>3959</v>
      </c>
      <c r="D3350" s="91">
        <v>87</v>
      </c>
      <c r="E3350" s="91">
        <v>218</v>
      </c>
      <c r="F3350" s="91">
        <v>1</v>
      </c>
      <c r="G3350" s="126">
        <v>31.506690025452</v>
      </c>
      <c r="H3350" s="126">
        <f t="shared" si="157"/>
        <v>0.022</v>
      </c>
      <c r="I3350" s="126" t="str">
        <f t="shared" si="158"/>
        <v>0y 0d 0h 0m</v>
      </c>
    </row>
    <row r="3351" s="91" customFormat="1" spans="1:9">
      <c r="A3351" s="91" t="str">
        <f t="shared" si="156"/>
        <v>Fr-219</v>
      </c>
      <c r="B3351" s="91" t="s">
        <v>3986</v>
      </c>
      <c r="C3351" s="91" t="s">
        <v>3959</v>
      </c>
      <c r="D3351" s="91">
        <v>87</v>
      </c>
      <c r="E3351" s="91">
        <v>219</v>
      </c>
      <c r="F3351" s="91">
        <v>0</v>
      </c>
      <c r="G3351" s="126">
        <v>34.6573590279972</v>
      </c>
      <c r="H3351" s="126">
        <f t="shared" si="157"/>
        <v>0.02</v>
      </c>
      <c r="I3351" s="126" t="str">
        <f t="shared" si="158"/>
        <v>0y 0d 0h 0m</v>
      </c>
    </row>
    <row r="3352" s="91" customFormat="1" spans="1:9">
      <c r="A3352" s="91" t="str">
        <f t="shared" si="156"/>
        <v>Fr-220</v>
      </c>
      <c r="B3352" s="91" t="s">
        <v>3987</v>
      </c>
      <c r="C3352" s="91" t="s">
        <v>3959</v>
      </c>
      <c r="D3352" s="91">
        <v>87</v>
      </c>
      <c r="E3352" s="91">
        <v>220</v>
      </c>
      <c r="F3352" s="91">
        <v>0</v>
      </c>
      <c r="G3352" s="126">
        <v>0.0252973423562023</v>
      </c>
      <c r="H3352" s="126">
        <f t="shared" si="157"/>
        <v>27.4000000000001</v>
      </c>
      <c r="I3352" s="126" t="str">
        <f t="shared" si="158"/>
        <v>0y 0d 0h 0m</v>
      </c>
    </row>
    <row r="3353" s="91" customFormat="1" spans="1:9">
      <c r="A3353" s="91" t="str">
        <f t="shared" si="156"/>
        <v>Fr-221</v>
      </c>
      <c r="B3353" s="91" t="s">
        <v>3988</v>
      </c>
      <c r="C3353" s="91" t="s">
        <v>3959</v>
      </c>
      <c r="D3353" s="91">
        <v>87</v>
      </c>
      <c r="E3353" s="91">
        <v>221</v>
      </c>
      <c r="F3353" s="91">
        <v>0</v>
      </c>
      <c r="G3353" s="126">
        <v>0.00235764347129233</v>
      </c>
      <c r="H3353" s="126">
        <f t="shared" si="157"/>
        <v>294</v>
      </c>
      <c r="I3353" s="126" t="str">
        <f t="shared" si="158"/>
        <v>0y 0d 0h 4m</v>
      </c>
    </row>
    <row r="3354" s="91" customFormat="1" spans="1:9">
      <c r="A3354" s="91" t="str">
        <f t="shared" si="156"/>
        <v>Fr-222</v>
      </c>
      <c r="B3354" s="91" t="s">
        <v>3989</v>
      </c>
      <c r="C3354" s="91" t="s">
        <v>3959</v>
      </c>
      <c r="D3354" s="91">
        <v>87</v>
      </c>
      <c r="E3354" s="91">
        <v>222</v>
      </c>
      <c r="F3354" s="91">
        <v>0</v>
      </c>
      <c r="G3354" s="126">
        <v>0.000813553028826226</v>
      </c>
      <c r="H3354" s="126">
        <f t="shared" si="157"/>
        <v>852.000000000001</v>
      </c>
      <c r="I3354" s="126" t="str">
        <f t="shared" si="158"/>
        <v>0y 0d 0h 14m</v>
      </c>
    </row>
    <row r="3355" s="91" customFormat="1" spans="1:9">
      <c r="A3355" s="91" t="str">
        <f t="shared" si="156"/>
        <v>Fr-223</v>
      </c>
      <c r="B3355" s="91" t="s">
        <v>3990</v>
      </c>
      <c r="C3355" s="91" t="s">
        <v>3959</v>
      </c>
      <c r="D3355" s="91">
        <v>87</v>
      </c>
      <c r="E3355" s="91">
        <v>223</v>
      </c>
      <c r="F3355" s="91">
        <v>0</v>
      </c>
      <c r="G3355" s="126">
        <v>0.000525111500424201</v>
      </c>
      <c r="H3355" s="126">
        <f t="shared" si="157"/>
        <v>1320</v>
      </c>
      <c r="I3355" s="126" t="str">
        <f t="shared" si="158"/>
        <v>0y 0d 0h 22m</v>
      </c>
    </row>
    <row r="3356" s="91" customFormat="1" spans="1:9">
      <c r="A3356" s="91" t="str">
        <f t="shared" si="156"/>
        <v>Fr-224</v>
      </c>
      <c r="B3356" s="91" t="s">
        <v>3991</v>
      </c>
      <c r="C3356" s="91" t="s">
        <v>3959</v>
      </c>
      <c r="D3356" s="91">
        <v>87</v>
      </c>
      <c r="E3356" s="91">
        <v>224</v>
      </c>
      <c r="F3356" s="91">
        <v>0</v>
      </c>
      <c r="G3356" s="126">
        <v>0.00346920510790763</v>
      </c>
      <c r="H3356" s="126">
        <f t="shared" si="157"/>
        <v>199.8</v>
      </c>
      <c r="I3356" s="126" t="str">
        <f t="shared" si="158"/>
        <v>0y 0d 0h 3m</v>
      </c>
    </row>
    <row r="3357" s="91" customFormat="1" spans="1:9">
      <c r="A3357" s="91" t="str">
        <f t="shared" si="156"/>
        <v>Fr-225</v>
      </c>
      <c r="B3357" s="91" t="s">
        <v>3992</v>
      </c>
      <c r="C3357" s="91" t="s">
        <v>3959</v>
      </c>
      <c r="D3357" s="91">
        <v>87</v>
      </c>
      <c r="E3357" s="91">
        <v>225</v>
      </c>
      <c r="F3357" s="91">
        <v>0</v>
      </c>
      <c r="G3357" s="126">
        <v>0.00292467164793225</v>
      </c>
      <c r="H3357" s="126">
        <f t="shared" si="157"/>
        <v>237.000000000001</v>
      </c>
      <c r="I3357" s="126" t="str">
        <f t="shared" si="158"/>
        <v>0y 0d 0h 3m</v>
      </c>
    </row>
    <row r="3358" s="91" customFormat="1" spans="1:9">
      <c r="A3358" s="91" t="str">
        <f t="shared" si="156"/>
        <v>Fr-226</v>
      </c>
      <c r="B3358" s="91" t="s">
        <v>3993</v>
      </c>
      <c r="C3358" s="91" t="s">
        <v>3959</v>
      </c>
      <c r="D3358" s="91">
        <v>87</v>
      </c>
      <c r="E3358" s="91">
        <v>226</v>
      </c>
      <c r="F3358" s="91">
        <v>0</v>
      </c>
      <c r="G3358" s="126">
        <v>0.0141458608277539</v>
      </c>
      <c r="H3358" s="126">
        <f t="shared" si="157"/>
        <v>49.0000000000003</v>
      </c>
      <c r="I3358" s="126" t="str">
        <f t="shared" si="158"/>
        <v>0y 0d 0h 0m</v>
      </c>
    </row>
    <row r="3359" s="91" customFormat="1" spans="1:9">
      <c r="A3359" s="91" t="str">
        <f t="shared" si="156"/>
        <v>Fr-227</v>
      </c>
      <c r="B3359" s="91" t="s">
        <v>3994</v>
      </c>
      <c r="C3359" s="91" t="s">
        <v>3959</v>
      </c>
      <c r="D3359" s="91">
        <v>87</v>
      </c>
      <c r="E3359" s="91">
        <v>227</v>
      </c>
      <c r="F3359" s="91">
        <v>0</v>
      </c>
      <c r="G3359" s="126">
        <v>0.0046771064815111</v>
      </c>
      <c r="H3359" s="126">
        <f t="shared" si="157"/>
        <v>148.2</v>
      </c>
      <c r="I3359" s="126" t="str">
        <f t="shared" si="158"/>
        <v>0y 0d 0h 2m</v>
      </c>
    </row>
    <row r="3360" s="91" customFormat="1" spans="1:9">
      <c r="A3360" s="91" t="str">
        <f t="shared" si="156"/>
        <v>Fr-228</v>
      </c>
      <c r="B3360" s="91" t="s">
        <v>3995</v>
      </c>
      <c r="C3360" s="91" t="s">
        <v>3959</v>
      </c>
      <c r="D3360" s="91">
        <v>87</v>
      </c>
      <c r="E3360" s="91">
        <v>228</v>
      </c>
      <c r="F3360" s="91">
        <v>0</v>
      </c>
      <c r="G3360" s="126">
        <v>0.0182407152778932</v>
      </c>
      <c r="H3360" s="126">
        <f t="shared" si="157"/>
        <v>38.0000000000002</v>
      </c>
      <c r="I3360" s="126" t="str">
        <f t="shared" si="158"/>
        <v>0y 0d 0h 0m</v>
      </c>
    </row>
    <row r="3361" s="91" customFormat="1" spans="1:9">
      <c r="A3361" s="91" t="str">
        <f t="shared" si="156"/>
        <v>Fr-229</v>
      </c>
      <c r="B3361" s="91" t="s">
        <v>3996</v>
      </c>
      <c r="C3361" s="91" t="s">
        <v>3959</v>
      </c>
      <c r="D3361" s="91">
        <v>87</v>
      </c>
      <c r="E3361" s="91">
        <v>229</v>
      </c>
      <c r="F3361" s="91">
        <v>0</v>
      </c>
      <c r="G3361" s="126">
        <v>0.0138077127601582</v>
      </c>
      <c r="H3361" s="126">
        <f t="shared" si="157"/>
        <v>50.2000000000003</v>
      </c>
      <c r="I3361" s="126" t="str">
        <f t="shared" si="158"/>
        <v>0y 0d 0h 0m</v>
      </c>
    </row>
    <row r="3362" s="91" customFormat="1" spans="1:9">
      <c r="A3362" s="91" t="str">
        <f t="shared" si="156"/>
        <v>Fr-230</v>
      </c>
      <c r="B3362" s="91" t="s">
        <v>3997</v>
      </c>
      <c r="C3362" s="91" t="s">
        <v>3959</v>
      </c>
      <c r="D3362" s="91">
        <v>87</v>
      </c>
      <c r="E3362" s="91">
        <v>230</v>
      </c>
      <c r="F3362" s="91">
        <v>0</v>
      </c>
      <c r="G3362" s="126">
        <v>0.0362904283015678</v>
      </c>
      <c r="H3362" s="126">
        <f t="shared" si="157"/>
        <v>19.1</v>
      </c>
      <c r="I3362" s="126" t="str">
        <f t="shared" si="158"/>
        <v>0y 0d 0h 0m</v>
      </c>
    </row>
    <row r="3363" s="91" customFormat="1" spans="1:9">
      <c r="A3363" s="91" t="str">
        <f t="shared" si="156"/>
        <v>Fr-231</v>
      </c>
      <c r="B3363" s="91" t="s">
        <v>3998</v>
      </c>
      <c r="C3363" s="91" t="s">
        <v>3959</v>
      </c>
      <c r="D3363" s="91">
        <v>87</v>
      </c>
      <c r="E3363" s="91">
        <v>231</v>
      </c>
      <c r="F3363" s="91">
        <v>0</v>
      </c>
      <c r="G3363" s="126">
        <v>0.039383362531815</v>
      </c>
      <c r="H3363" s="126">
        <f t="shared" si="157"/>
        <v>17.6</v>
      </c>
      <c r="I3363" s="126" t="str">
        <f t="shared" si="158"/>
        <v>0y 0d 0h 0m</v>
      </c>
    </row>
    <row r="3364" s="91" customFormat="1" spans="1:9">
      <c r="A3364" s="91" t="str">
        <f t="shared" si="156"/>
        <v>Fr-232</v>
      </c>
      <c r="B3364" s="91" t="s">
        <v>3999</v>
      </c>
      <c r="C3364" s="91" t="s">
        <v>3959</v>
      </c>
      <c r="D3364" s="91">
        <v>87</v>
      </c>
      <c r="E3364" s="91">
        <v>232</v>
      </c>
      <c r="F3364" s="91">
        <v>0</v>
      </c>
      <c r="G3364" s="126">
        <v>0.126026760101808</v>
      </c>
      <c r="H3364" s="126">
        <f t="shared" si="157"/>
        <v>5.50000000000001</v>
      </c>
      <c r="I3364" s="126" t="str">
        <f t="shared" si="158"/>
        <v>0y 0d 0h 0m</v>
      </c>
    </row>
    <row r="3365" s="91" customFormat="1" spans="1:9">
      <c r="A3365" s="91" t="str">
        <f t="shared" si="156"/>
        <v>Ra-202</v>
      </c>
      <c r="B3365" s="91" t="s">
        <v>4000</v>
      </c>
      <c r="C3365" s="91" t="s">
        <v>4001</v>
      </c>
      <c r="D3365" s="91">
        <v>88</v>
      </c>
      <c r="E3365" s="91">
        <v>202</v>
      </c>
      <c r="F3365" s="91">
        <v>0</v>
      </c>
      <c r="G3365" s="126">
        <v>25.2053520203616</v>
      </c>
      <c r="H3365" s="126">
        <f t="shared" si="157"/>
        <v>0.0275</v>
      </c>
      <c r="I3365" s="126" t="str">
        <f t="shared" si="158"/>
        <v>0y 0d 0h 0m</v>
      </c>
    </row>
    <row r="3366" s="91" customFormat="1" spans="1:9">
      <c r="A3366" s="91" t="str">
        <f t="shared" si="156"/>
        <v>Ra-203</v>
      </c>
      <c r="B3366" s="91" t="s">
        <v>4002</v>
      </c>
      <c r="C3366" s="91" t="s">
        <v>4001</v>
      </c>
      <c r="D3366" s="91">
        <v>88</v>
      </c>
      <c r="E3366" s="91">
        <v>203</v>
      </c>
      <c r="F3366" s="91">
        <v>0</v>
      </c>
      <c r="G3366" s="126">
        <v>22.3595864696756</v>
      </c>
      <c r="H3366" s="126">
        <f t="shared" si="157"/>
        <v>0.0310000000000001</v>
      </c>
      <c r="I3366" s="126" t="str">
        <f t="shared" si="158"/>
        <v>0y 0d 0h 0m</v>
      </c>
    </row>
    <row r="3367" s="91" customFormat="1" spans="1:9">
      <c r="A3367" s="91" t="str">
        <f t="shared" si="156"/>
        <v>Ra-203m</v>
      </c>
      <c r="B3367" s="91" t="s">
        <v>4003</v>
      </c>
      <c r="C3367" s="91" t="s">
        <v>4001</v>
      </c>
      <c r="D3367" s="91">
        <v>88</v>
      </c>
      <c r="E3367" s="91">
        <v>203</v>
      </c>
      <c r="F3367" s="91">
        <v>1</v>
      </c>
      <c r="G3367" s="126">
        <v>27.7258872223978</v>
      </c>
      <c r="H3367" s="126">
        <f t="shared" si="157"/>
        <v>0.025</v>
      </c>
      <c r="I3367" s="126" t="str">
        <f t="shared" si="158"/>
        <v>0y 0d 0h 0m</v>
      </c>
    </row>
    <row r="3368" s="91" customFormat="1" spans="1:9">
      <c r="A3368" s="91" t="str">
        <f t="shared" si="156"/>
        <v>Ra-204</v>
      </c>
      <c r="B3368" s="91" t="s">
        <v>4004</v>
      </c>
      <c r="C3368" s="91" t="s">
        <v>4001</v>
      </c>
      <c r="D3368" s="91">
        <v>88</v>
      </c>
      <c r="E3368" s="91">
        <v>204</v>
      </c>
      <c r="F3368" s="91">
        <v>0</v>
      </c>
      <c r="G3368" s="126">
        <v>11.4569781910734</v>
      </c>
      <c r="H3368" s="126">
        <f t="shared" si="157"/>
        <v>0.0605000000000004</v>
      </c>
      <c r="I3368" s="126" t="str">
        <f t="shared" si="158"/>
        <v>0y 0d 0h 0m</v>
      </c>
    </row>
    <row r="3369" s="91" customFormat="1" spans="1:9">
      <c r="A3369" s="91" t="str">
        <f t="shared" si="156"/>
        <v>Ra-205</v>
      </c>
      <c r="B3369" s="91" t="s">
        <v>4005</v>
      </c>
      <c r="C3369" s="91" t="s">
        <v>4001</v>
      </c>
      <c r="D3369" s="91">
        <v>88</v>
      </c>
      <c r="E3369" s="91">
        <v>205</v>
      </c>
      <c r="F3369" s="91">
        <v>0</v>
      </c>
      <c r="G3369" s="126">
        <v>3.1506690025452</v>
      </c>
      <c r="H3369" s="126">
        <f t="shared" si="157"/>
        <v>0.22</v>
      </c>
      <c r="I3369" s="126" t="str">
        <f t="shared" si="158"/>
        <v>0y 0d 0h 0m</v>
      </c>
    </row>
    <row r="3370" s="91" customFormat="1" spans="1:9">
      <c r="A3370" s="91" t="str">
        <f t="shared" si="156"/>
        <v>Ra-205m</v>
      </c>
      <c r="B3370" s="91" t="s">
        <v>4006</v>
      </c>
      <c r="C3370" s="91" t="s">
        <v>4001</v>
      </c>
      <c r="D3370" s="91">
        <v>88</v>
      </c>
      <c r="E3370" s="91">
        <v>205</v>
      </c>
      <c r="F3370" s="91">
        <v>1</v>
      </c>
      <c r="G3370" s="126">
        <v>3.85081766977747</v>
      </c>
      <c r="H3370" s="126">
        <f t="shared" si="157"/>
        <v>0.18</v>
      </c>
      <c r="I3370" s="126" t="str">
        <f t="shared" si="158"/>
        <v>0y 0d 0h 0m</v>
      </c>
    </row>
    <row r="3371" s="91" customFormat="1" spans="1:9">
      <c r="A3371" s="91" t="str">
        <f t="shared" si="156"/>
        <v>Ra-206</v>
      </c>
      <c r="B3371" s="91" t="s">
        <v>4007</v>
      </c>
      <c r="C3371" s="91" t="s">
        <v>4001</v>
      </c>
      <c r="D3371" s="91">
        <v>88</v>
      </c>
      <c r="E3371" s="91">
        <v>206</v>
      </c>
      <c r="F3371" s="91">
        <v>0</v>
      </c>
      <c r="G3371" s="126">
        <v>2.8881132523331</v>
      </c>
      <c r="H3371" s="126">
        <f t="shared" si="157"/>
        <v>0.24</v>
      </c>
      <c r="I3371" s="126" t="str">
        <f t="shared" si="158"/>
        <v>0y 0d 0h 0m</v>
      </c>
    </row>
    <row r="3372" s="91" customFormat="1" spans="1:9">
      <c r="A3372" s="91" t="str">
        <f t="shared" si="156"/>
        <v>Ra-207</v>
      </c>
      <c r="B3372" s="91" t="s">
        <v>4008</v>
      </c>
      <c r="C3372" s="91" t="s">
        <v>4001</v>
      </c>
      <c r="D3372" s="91">
        <v>88</v>
      </c>
      <c r="E3372" s="91">
        <v>207</v>
      </c>
      <c r="F3372" s="91">
        <v>0</v>
      </c>
      <c r="G3372" s="126">
        <v>0.533190138892265</v>
      </c>
      <c r="H3372" s="126">
        <f t="shared" si="157"/>
        <v>1.3</v>
      </c>
      <c r="I3372" s="126" t="str">
        <f t="shared" si="158"/>
        <v>0y 0d 0h 0m</v>
      </c>
    </row>
    <row r="3373" s="91" customFormat="1" spans="1:9">
      <c r="A3373" s="91" t="str">
        <f t="shared" si="156"/>
        <v>Ra-207m</v>
      </c>
      <c r="B3373" s="91" t="s">
        <v>4009</v>
      </c>
      <c r="C3373" s="91" t="s">
        <v>4001</v>
      </c>
      <c r="D3373" s="91">
        <v>88</v>
      </c>
      <c r="E3373" s="91">
        <v>207</v>
      </c>
      <c r="F3373" s="91">
        <v>1</v>
      </c>
      <c r="G3373" s="126">
        <v>12.6026760101808</v>
      </c>
      <c r="H3373" s="126">
        <f t="shared" si="157"/>
        <v>0.0550000000000001</v>
      </c>
      <c r="I3373" s="126" t="str">
        <f t="shared" si="158"/>
        <v>0y 0d 0h 0m</v>
      </c>
    </row>
    <row r="3374" s="91" customFormat="1" spans="1:9">
      <c r="A3374" s="91" t="str">
        <f t="shared" si="156"/>
        <v>Ra-208</v>
      </c>
      <c r="B3374" s="91" t="s">
        <v>4010</v>
      </c>
      <c r="C3374" s="91" t="s">
        <v>4001</v>
      </c>
      <c r="D3374" s="91">
        <v>88</v>
      </c>
      <c r="E3374" s="91">
        <v>208</v>
      </c>
      <c r="F3374" s="91">
        <v>0</v>
      </c>
      <c r="G3374" s="126">
        <v>0.533190138892265</v>
      </c>
      <c r="H3374" s="126">
        <f t="shared" si="157"/>
        <v>1.3</v>
      </c>
      <c r="I3374" s="126" t="str">
        <f t="shared" si="158"/>
        <v>0y 0d 0h 0m</v>
      </c>
    </row>
    <row r="3375" s="91" customFormat="1" spans="1:9">
      <c r="A3375" s="91" t="str">
        <f t="shared" si="156"/>
        <v>Ra-209</v>
      </c>
      <c r="B3375" s="91" t="s">
        <v>4011</v>
      </c>
      <c r="C3375" s="91" t="s">
        <v>4001</v>
      </c>
      <c r="D3375" s="91">
        <v>88</v>
      </c>
      <c r="E3375" s="91">
        <v>209</v>
      </c>
      <c r="F3375" s="91">
        <v>0</v>
      </c>
      <c r="G3375" s="126">
        <v>0.150684169686944</v>
      </c>
      <c r="H3375" s="126">
        <f t="shared" si="157"/>
        <v>4.60000000000002</v>
      </c>
      <c r="I3375" s="126" t="str">
        <f t="shared" si="158"/>
        <v>0y 0d 0h 0m</v>
      </c>
    </row>
    <row r="3376" s="91" customFormat="1" spans="1:9">
      <c r="A3376" s="91" t="str">
        <f t="shared" si="156"/>
        <v>Ra-210</v>
      </c>
      <c r="B3376" s="91" t="s">
        <v>4012</v>
      </c>
      <c r="C3376" s="91" t="s">
        <v>4001</v>
      </c>
      <c r="D3376" s="91">
        <v>88</v>
      </c>
      <c r="E3376" s="91">
        <v>210</v>
      </c>
      <c r="F3376" s="91">
        <v>0</v>
      </c>
      <c r="G3376" s="126">
        <v>0.187337075827012</v>
      </c>
      <c r="H3376" s="126">
        <f t="shared" si="157"/>
        <v>3.7</v>
      </c>
      <c r="I3376" s="126" t="str">
        <f t="shared" si="158"/>
        <v>0y 0d 0h 0m</v>
      </c>
    </row>
    <row r="3377" s="91" customFormat="1" spans="1:9">
      <c r="A3377" s="91" t="str">
        <f t="shared" si="156"/>
        <v>Ra-211</v>
      </c>
      <c r="B3377" s="91" t="s">
        <v>4013</v>
      </c>
      <c r="C3377" s="91" t="s">
        <v>4001</v>
      </c>
      <c r="D3377" s="91">
        <v>88</v>
      </c>
      <c r="E3377" s="91">
        <v>211</v>
      </c>
      <c r="F3377" s="91">
        <v>0</v>
      </c>
      <c r="G3377" s="126">
        <v>0.0533190138892265</v>
      </c>
      <c r="H3377" s="126">
        <f t="shared" si="157"/>
        <v>13</v>
      </c>
      <c r="I3377" s="126" t="str">
        <f t="shared" si="158"/>
        <v>0y 0d 0h 0m</v>
      </c>
    </row>
    <row r="3378" s="91" customFormat="1" spans="1:9">
      <c r="A3378" s="91" t="str">
        <f t="shared" si="156"/>
        <v>Ra-212</v>
      </c>
      <c r="B3378" s="91" t="s">
        <v>4014</v>
      </c>
      <c r="C3378" s="91" t="s">
        <v>4001</v>
      </c>
      <c r="D3378" s="91">
        <v>88</v>
      </c>
      <c r="E3378" s="91">
        <v>212</v>
      </c>
      <c r="F3378" s="91">
        <v>0</v>
      </c>
      <c r="G3378" s="126">
        <v>0.0533190138892265</v>
      </c>
      <c r="H3378" s="126">
        <f t="shared" si="157"/>
        <v>13</v>
      </c>
      <c r="I3378" s="126" t="str">
        <f t="shared" si="158"/>
        <v>0y 0d 0h 0m</v>
      </c>
    </row>
    <row r="3379" s="91" customFormat="1" spans="1:9">
      <c r="A3379" s="91" t="str">
        <f t="shared" si="156"/>
        <v>Ra-213</v>
      </c>
      <c r="B3379" s="91" t="s">
        <v>4015</v>
      </c>
      <c r="C3379" s="91" t="s">
        <v>4001</v>
      </c>
      <c r="D3379" s="91">
        <v>88</v>
      </c>
      <c r="E3379" s="91">
        <v>213</v>
      </c>
      <c r="F3379" s="91">
        <v>0</v>
      </c>
      <c r="G3379" s="126">
        <v>0.00423166776898623</v>
      </c>
      <c r="H3379" s="126">
        <f t="shared" si="157"/>
        <v>163.8</v>
      </c>
      <c r="I3379" s="126" t="str">
        <f t="shared" si="158"/>
        <v>0y 0d 0h 2m</v>
      </c>
    </row>
    <row r="3380" s="91" customFormat="1" spans="1:9">
      <c r="A3380" s="91" t="str">
        <f t="shared" si="156"/>
        <v>Ra-213m</v>
      </c>
      <c r="B3380" s="91" t="s">
        <v>4016</v>
      </c>
      <c r="C3380" s="91" t="s">
        <v>4001</v>
      </c>
      <c r="D3380" s="91">
        <v>88</v>
      </c>
      <c r="E3380" s="91">
        <v>213</v>
      </c>
      <c r="F3380" s="91">
        <v>1</v>
      </c>
      <c r="G3380" s="126">
        <v>330.070085980926</v>
      </c>
      <c r="H3380" s="126">
        <f t="shared" si="157"/>
        <v>0.0021</v>
      </c>
      <c r="I3380" s="126" t="str">
        <f t="shared" si="158"/>
        <v>0y 0d 0h 0m</v>
      </c>
    </row>
    <row r="3381" s="91" customFormat="1" spans="1:9">
      <c r="A3381" s="91" t="str">
        <f t="shared" si="156"/>
        <v>Ra-214</v>
      </c>
      <c r="B3381" s="91" t="s">
        <v>4017</v>
      </c>
      <c r="C3381" s="91" t="s">
        <v>4001</v>
      </c>
      <c r="D3381" s="91">
        <v>88</v>
      </c>
      <c r="E3381" s="91">
        <v>214</v>
      </c>
      <c r="F3381" s="91">
        <v>0</v>
      </c>
      <c r="G3381" s="126">
        <v>0.281767146569083</v>
      </c>
      <c r="H3381" s="126">
        <f t="shared" si="157"/>
        <v>2.46</v>
      </c>
      <c r="I3381" s="126" t="str">
        <f t="shared" si="158"/>
        <v>0y 0d 0h 0m</v>
      </c>
    </row>
    <row r="3382" s="91" customFormat="1" spans="1:9">
      <c r="A3382" s="91" t="str">
        <f t="shared" si="156"/>
        <v>Ra-215</v>
      </c>
      <c r="B3382" s="91" t="s">
        <v>4018</v>
      </c>
      <c r="C3382" s="91" t="s">
        <v>4001</v>
      </c>
      <c r="D3382" s="91">
        <v>88</v>
      </c>
      <c r="E3382" s="91">
        <v>215</v>
      </c>
      <c r="F3382" s="91">
        <v>0</v>
      </c>
      <c r="G3382" s="126">
        <v>447.191729393513</v>
      </c>
      <c r="H3382" s="126">
        <f t="shared" si="157"/>
        <v>0.00155</v>
      </c>
      <c r="I3382" s="126" t="str">
        <f t="shared" si="158"/>
        <v>0y 0d 0h 0m</v>
      </c>
    </row>
    <row r="3383" s="91" customFormat="1" spans="1:9">
      <c r="A3383" s="91" t="str">
        <f t="shared" si="156"/>
        <v>Ra-216</v>
      </c>
      <c r="B3383" s="91" t="s">
        <v>4019</v>
      </c>
      <c r="C3383" s="91" t="s">
        <v>4001</v>
      </c>
      <c r="D3383" s="91">
        <v>88</v>
      </c>
      <c r="E3383" s="91">
        <v>216</v>
      </c>
      <c r="F3383" s="91">
        <v>0</v>
      </c>
      <c r="G3383" s="126">
        <v>3808500.99208761</v>
      </c>
      <c r="H3383" s="126">
        <f t="shared" si="157"/>
        <v>1.82e-7</v>
      </c>
      <c r="I3383" s="126" t="str">
        <f t="shared" si="158"/>
        <v>0y 0d 0h 0m</v>
      </c>
    </row>
    <row r="3384" s="91" customFormat="1" spans="1:9">
      <c r="A3384" s="91" t="str">
        <f t="shared" si="156"/>
        <v>Ra-217</v>
      </c>
      <c r="B3384" s="91" t="s">
        <v>4020</v>
      </c>
      <c r="C3384" s="91" t="s">
        <v>4001</v>
      </c>
      <c r="D3384" s="91">
        <v>88</v>
      </c>
      <c r="E3384" s="91">
        <v>217</v>
      </c>
      <c r="F3384" s="91">
        <v>0</v>
      </c>
      <c r="G3384" s="126">
        <v>433216.987849965</v>
      </c>
      <c r="H3384" s="126">
        <f t="shared" si="157"/>
        <v>1.6e-6</v>
      </c>
      <c r="I3384" s="126" t="str">
        <f t="shared" si="158"/>
        <v>0y 0d 0h 0m</v>
      </c>
    </row>
    <row r="3385" s="91" customFormat="1" spans="1:9">
      <c r="A3385" s="91" t="str">
        <f t="shared" si="156"/>
        <v>Ra-218</v>
      </c>
      <c r="B3385" s="91" t="s">
        <v>4021</v>
      </c>
      <c r="C3385" s="91" t="s">
        <v>4001</v>
      </c>
      <c r="D3385" s="91">
        <v>88</v>
      </c>
      <c r="E3385" s="91">
        <v>218</v>
      </c>
      <c r="F3385" s="91">
        <v>0</v>
      </c>
      <c r="G3385" s="126">
        <v>27505.8404984105</v>
      </c>
      <c r="H3385" s="126">
        <f t="shared" si="157"/>
        <v>2.52e-5</v>
      </c>
      <c r="I3385" s="126" t="str">
        <f t="shared" si="158"/>
        <v>0y 0d 0h 0m</v>
      </c>
    </row>
    <row r="3386" s="91" customFormat="1" spans="1:9">
      <c r="A3386" s="91" t="str">
        <f t="shared" si="156"/>
        <v>Ra-219</v>
      </c>
      <c r="B3386" s="91" t="s">
        <v>4022</v>
      </c>
      <c r="C3386" s="91" t="s">
        <v>4001</v>
      </c>
      <c r="D3386" s="91">
        <v>88</v>
      </c>
      <c r="E3386" s="91">
        <v>219</v>
      </c>
      <c r="F3386" s="91">
        <v>0</v>
      </c>
      <c r="G3386" s="126">
        <v>69.3147180559945</v>
      </c>
      <c r="H3386" s="126">
        <f t="shared" si="157"/>
        <v>0.01</v>
      </c>
      <c r="I3386" s="126" t="str">
        <f t="shared" si="158"/>
        <v>0y 0d 0h 0m</v>
      </c>
    </row>
    <row r="3387" s="91" customFormat="1" spans="1:9">
      <c r="A3387" s="91" t="str">
        <f t="shared" si="156"/>
        <v>Ra-220</v>
      </c>
      <c r="B3387" s="91" t="s">
        <v>4023</v>
      </c>
      <c r="C3387" s="91" t="s">
        <v>4001</v>
      </c>
      <c r="D3387" s="91">
        <v>88</v>
      </c>
      <c r="E3387" s="91">
        <v>220</v>
      </c>
      <c r="F3387" s="91">
        <v>0</v>
      </c>
      <c r="G3387" s="126">
        <v>38.5081766977747</v>
      </c>
      <c r="H3387" s="126">
        <f t="shared" si="157"/>
        <v>0.018</v>
      </c>
      <c r="I3387" s="126" t="str">
        <f t="shared" si="158"/>
        <v>0y 0d 0h 0m</v>
      </c>
    </row>
    <row r="3388" s="91" customFormat="1" spans="1:9">
      <c r="A3388" s="91" t="str">
        <f t="shared" si="156"/>
        <v>Ra-221</v>
      </c>
      <c r="B3388" s="91" t="s">
        <v>4024</v>
      </c>
      <c r="C3388" s="91" t="s">
        <v>4001</v>
      </c>
      <c r="D3388" s="91">
        <v>88</v>
      </c>
      <c r="E3388" s="91">
        <v>221</v>
      </c>
      <c r="F3388" s="91">
        <v>0</v>
      </c>
      <c r="G3388" s="126">
        <v>0.0247552564485694</v>
      </c>
      <c r="H3388" s="126">
        <f t="shared" si="157"/>
        <v>28.0000000000001</v>
      </c>
      <c r="I3388" s="126" t="str">
        <f t="shared" si="158"/>
        <v>0y 0d 0h 0m</v>
      </c>
    </row>
    <row r="3389" s="91" customFormat="1" spans="1:9">
      <c r="A3389" s="91" t="str">
        <f t="shared" si="156"/>
        <v>Ra-222</v>
      </c>
      <c r="B3389" s="91" t="s">
        <v>4025</v>
      </c>
      <c r="C3389" s="91" t="s">
        <v>4001</v>
      </c>
      <c r="D3389" s="91">
        <v>88</v>
      </c>
      <c r="E3389" s="91">
        <v>222</v>
      </c>
      <c r="F3389" s="91">
        <v>0</v>
      </c>
      <c r="G3389" s="126">
        <v>0.0191635936013255</v>
      </c>
      <c r="H3389" s="126">
        <f t="shared" si="157"/>
        <v>36.1700000000001</v>
      </c>
      <c r="I3389" s="126" t="str">
        <f t="shared" si="158"/>
        <v>0y 0d 0h 0m</v>
      </c>
    </row>
    <row r="3390" s="91" customFormat="1" spans="1:9">
      <c r="A3390" s="91" t="str">
        <f t="shared" si="156"/>
        <v>Ra-223</v>
      </c>
      <c r="B3390" s="91" t="s">
        <v>4026</v>
      </c>
      <c r="C3390" s="91" t="s">
        <v>4001</v>
      </c>
      <c r="D3390" s="91">
        <v>88</v>
      </c>
      <c r="E3390" s="91">
        <v>223</v>
      </c>
      <c r="F3390" s="91">
        <v>0</v>
      </c>
      <c r="G3390" s="126">
        <v>7.01884235523744e-7</v>
      </c>
      <c r="H3390" s="126">
        <f t="shared" si="157"/>
        <v>987552.000000001</v>
      </c>
      <c r="I3390" s="126" t="str">
        <f t="shared" si="158"/>
        <v>0y 11d 10h 19m</v>
      </c>
    </row>
    <row r="3391" s="91" customFormat="1" spans="1:9">
      <c r="A3391" s="91" t="str">
        <f t="shared" si="156"/>
        <v>Ra-224</v>
      </c>
      <c r="B3391" s="91" t="s">
        <v>4027</v>
      </c>
      <c r="C3391" s="91" t="s">
        <v>4001</v>
      </c>
      <c r="D3391" s="91">
        <v>88</v>
      </c>
      <c r="E3391" s="91">
        <v>224</v>
      </c>
      <c r="F3391" s="91">
        <v>0</v>
      </c>
      <c r="G3391" s="126">
        <v>2.19194994864382e-6</v>
      </c>
      <c r="H3391" s="126">
        <f t="shared" si="157"/>
        <v>316224.000000001</v>
      </c>
      <c r="I3391" s="126" t="str">
        <f t="shared" si="158"/>
        <v>0y 3d 15h 50m</v>
      </c>
    </row>
    <row r="3392" s="91" customFormat="1" spans="1:9">
      <c r="A3392" s="91" t="str">
        <f t="shared" si="156"/>
        <v>Ra-225</v>
      </c>
      <c r="B3392" s="91" t="s">
        <v>4028</v>
      </c>
      <c r="C3392" s="91" t="s">
        <v>4001</v>
      </c>
      <c r="D3392" s="91">
        <v>88</v>
      </c>
      <c r="E3392" s="91">
        <v>225</v>
      </c>
      <c r="F3392" s="91">
        <v>0</v>
      </c>
      <c r="G3392" s="126">
        <v>5.38425289398416e-7</v>
      </c>
      <c r="H3392" s="126">
        <f t="shared" si="157"/>
        <v>1287360</v>
      </c>
      <c r="I3392" s="126" t="str">
        <f t="shared" si="158"/>
        <v>0y 14d 21h 36m</v>
      </c>
    </row>
    <row r="3393" s="91" customFormat="1" spans="1:9">
      <c r="A3393" s="91" t="str">
        <f t="shared" si="156"/>
        <v>Ra-226</v>
      </c>
      <c r="B3393" s="91" t="s">
        <v>4029</v>
      </c>
      <c r="C3393" s="91" t="s">
        <v>4001</v>
      </c>
      <c r="D3393" s="91">
        <v>88</v>
      </c>
      <c r="E3393" s="91">
        <v>226</v>
      </c>
      <c r="F3393" s="91">
        <v>0</v>
      </c>
      <c r="G3393" s="126">
        <v>1.37278070783199e-11</v>
      </c>
      <c r="H3393" s="126">
        <f t="shared" si="157"/>
        <v>50492200000.0001</v>
      </c>
      <c r="I3393" s="126" t="str">
        <f t="shared" si="158"/>
        <v>1601y 35d 11h 6m</v>
      </c>
    </row>
    <row r="3394" s="91" customFormat="1" spans="1:9">
      <c r="A3394" s="91" t="str">
        <f t="shared" ref="A3394:A3457" si="159">C3394&amp;"-"&amp;E3394&amp;_xlfn.IFS(F3394=0,"",F3394=1,"m",F3394&gt;1,"m"&amp;F3394)</f>
        <v>Ra-227</v>
      </c>
      <c r="B3394" s="91" t="s">
        <v>4030</v>
      </c>
      <c r="C3394" s="91" t="s">
        <v>4001</v>
      </c>
      <c r="D3394" s="91">
        <v>88</v>
      </c>
      <c r="E3394" s="91">
        <v>227</v>
      </c>
      <c r="F3394" s="91">
        <v>0</v>
      </c>
      <c r="G3394" s="126">
        <v>0.000273754810647687</v>
      </c>
      <c r="H3394" s="126">
        <f t="shared" ref="H3394:H3457" si="160">IF(G3394&gt;0,LN(2)/G3394,0)</f>
        <v>2532.00000000001</v>
      </c>
      <c r="I3394" s="126" t="str">
        <f t="shared" si="158"/>
        <v>0y 0d 0h 42m</v>
      </c>
    </row>
    <row r="3395" s="91" customFormat="1" spans="1:9">
      <c r="A3395" s="91" t="str">
        <f t="shared" si="159"/>
        <v>Ra-228</v>
      </c>
      <c r="B3395" s="91" t="s">
        <v>4031</v>
      </c>
      <c r="C3395" s="91" t="s">
        <v>4001</v>
      </c>
      <c r="D3395" s="91">
        <v>88</v>
      </c>
      <c r="E3395" s="91">
        <v>228</v>
      </c>
      <c r="F3395" s="91">
        <v>0</v>
      </c>
      <c r="G3395" s="126">
        <v>3.81991456097915e-9</v>
      </c>
      <c r="H3395" s="126">
        <f t="shared" si="160"/>
        <v>181456200</v>
      </c>
      <c r="I3395" s="126" t="str">
        <f t="shared" ref="I3395:I3458" si="161">INT(H3395/31536000)&amp;"y "&amp;INT(MOD(H3395,31536000)/86400)&amp;"d "&amp;INT(MOD(MOD(H3395,31536000),86400)/3600)&amp;"h "&amp;INT(MOD(MOD(MOD(H3395,31536000),86400),3600)/60)&amp;"m"</f>
        <v>5y 275d 4h 30m</v>
      </c>
    </row>
    <row r="3396" s="91" customFormat="1" spans="1:9">
      <c r="A3396" s="91" t="str">
        <f t="shared" si="159"/>
        <v>Ra-229</v>
      </c>
      <c r="B3396" s="91" t="s">
        <v>4032</v>
      </c>
      <c r="C3396" s="91" t="s">
        <v>4001</v>
      </c>
      <c r="D3396" s="91">
        <v>88</v>
      </c>
      <c r="E3396" s="91">
        <v>229</v>
      </c>
      <c r="F3396" s="91">
        <v>0</v>
      </c>
      <c r="G3396" s="126">
        <v>0.0028881132523331</v>
      </c>
      <c r="H3396" s="126">
        <f t="shared" si="160"/>
        <v>240</v>
      </c>
      <c r="I3396" s="126" t="str">
        <f t="shared" si="161"/>
        <v>0y 0d 0h 4m</v>
      </c>
    </row>
    <row r="3397" s="91" customFormat="1" spans="1:9">
      <c r="A3397" s="91" t="str">
        <f t="shared" si="159"/>
        <v>Ra-230</v>
      </c>
      <c r="B3397" s="91" t="s">
        <v>4033</v>
      </c>
      <c r="C3397" s="91" t="s">
        <v>4001</v>
      </c>
      <c r="D3397" s="91">
        <v>88</v>
      </c>
      <c r="E3397" s="91">
        <v>230</v>
      </c>
      <c r="F3397" s="91">
        <v>0</v>
      </c>
      <c r="G3397" s="126">
        <v>0.000124219924831531</v>
      </c>
      <c r="H3397" s="126">
        <f t="shared" si="160"/>
        <v>5580.00000000002</v>
      </c>
      <c r="I3397" s="126" t="str">
        <f t="shared" si="161"/>
        <v>0y 0d 1h 33m</v>
      </c>
    </row>
    <row r="3398" s="91" customFormat="1" spans="1:9">
      <c r="A3398" s="91" t="str">
        <f t="shared" si="159"/>
        <v>Ra-231</v>
      </c>
      <c r="B3398" s="91" t="s">
        <v>4034</v>
      </c>
      <c r="C3398" s="91" t="s">
        <v>4001</v>
      </c>
      <c r="D3398" s="91">
        <v>88</v>
      </c>
      <c r="E3398" s="91">
        <v>231</v>
      </c>
      <c r="F3398" s="91">
        <v>0</v>
      </c>
      <c r="G3398" s="126">
        <v>0.00672958427728102</v>
      </c>
      <c r="H3398" s="126">
        <f t="shared" si="160"/>
        <v>103</v>
      </c>
      <c r="I3398" s="126" t="str">
        <f t="shared" si="161"/>
        <v>0y 0d 0h 1m</v>
      </c>
    </row>
    <row r="3399" s="91" customFormat="1" spans="1:9">
      <c r="A3399" s="91" t="str">
        <f t="shared" si="159"/>
        <v>Ra-232</v>
      </c>
      <c r="B3399" s="91" t="s">
        <v>4035</v>
      </c>
      <c r="C3399" s="91" t="s">
        <v>4001</v>
      </c>
      <c r="D3399" s="91">
        <v>88</v>
      </c>
      <c r="E3399" s="91">
        <v>232</v>
      </c>
      <c r="F3399" s="91">
        <v>0</v>
      </c>
      <c r="G3399" s="126">
        <v>0.00275058404984105</v>
      </c>
      <c r="H3399" s="126">
        <f t="shared" si="160"/>
        <v>252</v>
      </c>
      <c r="I3399" s="126" t="str">
        <f t="shared" si="161"/>
        <v>0y 0d 0h 4m</v>
      </c>
    </row>
    <row r="3400" s="91" customFormat="1" spans="1:9">
      <c r="A3400" s="91" t="str">
        <f t="shared" si="159"/>
        <v>Ra-233</v>
      </c>
      <c r="B3400" s="91" t="s">
        <v>4036</v>
      </c>
      <c r="C3400" s="91" t="s">
        <v>4001</v>
      </c>
      <c r="D3400" s="91">
        <v>88</v>
      </c>
      <c r="E3400" s="91">
        <v>233</v>
      </c>
      <c r="F3400" s="91">
        <v>0</v>
      </c>
      <c r="G3400" s="126">
        <v>0.0231049060186648</v>
      </c>
      <c r="H3400" s="126">
        <f t="shared" si="160"/>
        <v>30.0000000000001</v>
      </c>
      <c r="I3400" s="126" t="str">
        <f t="shared" si="161"/>
        <v>0y 0d 0h 0m</v>
      </c>
    </row>
    <row r="3401" s="91" customFormat="1" spans="1:9">
      <c r="A3401" s="91" t="str">
        <f t="shared" si="159"/>
        <v>Ra-234</v>
      </c>
      <c r="B3401" s="91" t="s">
        <v>4037</v>
      </c>
      <c r="C3401" s="91" t="s">
        <v>4001</v>
      </c>
      <c r="D3401" s="91">
        <v>88</v>
      </c>
      <c r="E3401" s="91">
        <v>234</v>
      </c>
      <c r="F3401" s="91">
        <v>0</v>
      </c>
      <c r="G3401" s="126">
        <v>0.0231049060186648</v>
      </c>
      <c r="H3401" s="126">
        <f t="shared" si="160"/>
        <v>30.0000000000001</v>
      </c>
      <c r="I3401" s="126" t="str">
        <f t="shared" si="161"/>
        <v>0y 0d 0h 0m</v>
      </c>
    </row>
    <row r="3402" s="91" customFormat="1" spans="1:9">
      <c r="A3402" s="91" t="str">
        <f t="shared" si="159"/>
        <v>Ac-206</v>
      </c>
      <c r="B3402" s="91" t="s">
        <v>4038</v>
      </c>
      <c r="C3402" s="91" t="s">
        <v>4039</v>
      </c>
      <c r="D3402" s="91">
        <v>89</v>
      </c>
      <c r="E3402" s="91">
        <v>206</v>
      </c>
      <c r="F3402" s="91">
        <v>0</v>
      </c>
      <c r="G3402" s="126">
        <v>28.881132523331</v>
      </c>
      <c r="H3402" s="126">
        <f t="shared" si="160"/>
        <v>0.024</v>
      </c>
      <c r="I3402" s="126" t="str">
        <f t="shared" si="161"/>
        <v>0y 0d 0h 0m</v>
      </c>
    </row>
    <row r="3403" s="91" customFormat="1" spans="1:9">
      <c r="A3403" s="91" t="str">
        <f t="shared" si="159"/>
        <v>Ac-206m</v>
      </c>
      <c r="B3403" s="91" t="s">
        <v>4040</v>
      </c>
      <c r="C3403" s="91" t="s">
        <v>4039</v>
      </c>
      <c r="D3403" s="91">
        <v>89</v>
      </c>
      <c r="E3403" s="91">
        <v>206</v>
      </c>
      <c r="F3403" s="91">
        <v>1</v>
      </c>
      <c r="G3403" s="126">
        <v>17.5480298875935</v>
      </c>
      <c r="H3403" s="126">
        <f t="shared" si="160"/>
        <v>0.0395000000000001</v>
      </c>
      <c r="I3403" s="126" t="str">
        <f t="shared" si="161"/>
        <v>0y 0d 0h 0m</v>
      </c>
    </row>
    <row r="3404" s="91" customFormat="1" spans="1:9">
      <c r="A3404" s="91" t="str">
        <f t="shared" si="159"/>
        <v>Ac-207</v>
      </c>
      <c r="B3404" s="91" t="s">
        <v>4041</v>
      </c>
      <c r="C3404" s="91" t="s">
        <v>4039</v>
      </c>
      <c r="D3404" s="91">
        <v>89</v>
      </c>
      <c r="E3404" s="91">
        <v>207</v>
      </c>
      <c r="F3404" s="91">
        <v>0</v>
      </c>
      <c r="G3404" s="126">
        <v>25.6721177985164</v>
      </c>
      <c r="H3404" s="126">
        <f t="shared" si="160"/>
        <v>0.0270000000000001</v>
      </c>
      <c r="I3404" s="126" t="str">
        <f t="shared" si="161"/>
        <v>0y 0d 0h 0m</v>
      </c>
    </row>
    <row r="3405" s="91" customFormat="1" spans="1:9">
      <c r="A3405" s="91" t="str">
        <f t="shared" si="159"/>
        <v>Ac-208</v>
      </c>
      <c r="B3405" s="91" t="s">
        <v>4042</v>
      </c>
      <c r="C3405" s="91" t="s">
        <v>4039</v>
      </c>
      <c r="D3405" s="91">
        <v>89</v>
      </c>
      <c r="E3405" s="91">
        <v>208</v>
      </c>
      <c r="F3405" s="91">
        <v>0</v>
      </c>
      <c r="G3405" s="126">
        <v>7.29628611115731</v>
      </c>
      <c r="H3405" s="126">
        <f t="shared" si="160"/>
        <v>0.0950000000000001</v>
      </c>
      <c r="I3405" s="126" t="str">
        <f t="shared" si="161"/>
        <v>0y 0d 0h 0m</v>
      </c>
    </row>
    <row r="3406" s="91" customFormat="1" spans="1:9">
      <c r="A3406" s="91" t="str">
        <f t="shared" si="159"/>
        <v>Ac-208m</v>
      </c>
      <c r="B3406" s="91" t="s">
        <v>4043</v>
      </c>
      <c r="C3406" s="91" t="s">
        <v>4039</v>
      </c>
      <c r="D3406" s="91">
        <v>89</v>
      </c>
      <c r="E3406" s="91">
        <v>208</v>
      </c>
      <c r="F3406" s="91">
        <v>1</v>
      </c>
      <c r="G3406" s="126">
        <v>27.7258872223978</v>
      </c>
      <c r="H3406" s="126">
        <f t="shared" si="160"/>
        <v>0.025</v>
      </c>
      <c r="I3406" s="126" t="str">
        <f t="shared" si="161"/>
        <v>0y 0d 0h 0m</v>
      </c>
    </row>
    <row r="3407" s="91" customFormat="1" spans="1:9">
      <c r="A3407" s="91" t="str">
        <f t="shared" si="159"/>
        <v>Ac-209</v>
      </c>
      <c r="B3407" s="91" t="s">
        <v>4044</v>
      </c>
      <c r="C3407" s="91" t="s">
        <v>4039</v>
      </c>
      <c r="D3407" s="91">
        <v>89</v>
      </c>
      <c r="E3407" s="91">
        <v>209</v>
      </c>
      <c r="F3407" s="91">
        <v>0</v>
      </c>
      <c r="G3407" s="126">
        <v>7.07293041387699</v>
      </c>
      <c r="H3407" s="126">
        <f t="shared" si="160"/>
        <v>0.098</v>
      </c>
      <c r="I3407" s="126" t="str">
        <f t="shared" si="161"/>
        <v>0y 0d 0h 0m</v>
      </c>
    </row>
    <row r="3408" s="91" customFormat="1" spans="1:9">
      <c r="A3408" s="91" t="str">
        <f t="shared" si="159"/>
        <v>Ac-210</v>
      </c>
      <c r="B3408" s="91" t="s">
        <v>4045</v>
      </c>
      <c r="C3408" s="91" t="s">
        <v>4039</v>
      </c>
      <c r="D3408" s="91">
        <v>89</v>
      </c>
      <c r="E3408" s="91">
        <v>210</v>
      </c>
      <c r="F3408" s="91">
        <v>0</v>
      </c>
      <c r="G3408" s="126">
        <v>1.98042051588555</v>
      </c>
      <c r="H3408" s="126">
        <f t="shared" si="160"/>
        <v>0.350000000000001</v>
      </c>
      <c r="I3408" s="126" t="str">
        <f t="shared" si="161"/>
        <v>0y 0d 0h 0m</v>
      </c>
    </row>
    <row r="3409" s="91" customFormat="1" spans="1:9">
      <c r="A3409" s="91" t="str">
        <f t="shared" si="159"/>
        <v>Ac-211</v>
      </c>
      <c r="B3409" s="91" t="s">
        <v>4046</v>
      </c>
      <c r="C3409" s="91" t="s">
        <v>4039</v>
      </c>
      <c r="D3409" s="91">
        <v>89</v>
      </c>
      <c r="E3409" s="91">
        <v>211</v>
      </c>
      <c r="F3409" s="91">
        <v>0</v>
      </c>
      <c r="G3409" s="126">
        <v>3.30070085980926</v>
      </c>
      <c r="H3409" s="126">
        <f t="shared" si="160"/>
        <v>0.21</v>
      </c>
      <c r="I3409" s="126" t="str">
        <f t="shared" si="161"/>
        <v>0y 0d 0h 0m</v>
      </c>
    </row>
    <row r="3410" s="91" customFormat="1" spans="1:9">
      <c r="A3410" s="91" t="str">
        <f t="shared" si="159"/>
        <v>Ac-212</v>
      </c>
      <c r="B3410" s="91" t="s">
        <v>4047</v>
      </c>
      <c r="C3410" s="91" t="s">
        <v>4039</v>
      </c>
      <c r="D3410" s="91">
        <v>89</v>
      </c>
      <c r="E3410" s="91">
        <v>212</v>
      </c>
      <c r="F3410" s="91">
        <v>0</v>
      </c>
      <c r="G3410" s="126">
        <v>0.745319548989188</v>
      </c>
      <c r="H3410" s="126">
        <f t="shared" si="160"/>
        <v>0.930000000000001</v>
      </c>
      <c r="I3410" s="126" t="str">
        <f t="shared" si="161"/>
        <v>0y 0d 0h 0m</v>
      </c>
    </row>
    <row r="3411" s="91" customFormat="1" spans="1:9">
      <c r="A3411" s="91" t="str">
        <f t="shared" si="159"/>
        <v>Ac-213</v>
      </c>
      <c r="B3411" s="91" t="s">
        <v>4048</v>
      </c>
      <c r="C3411" s="91" t="s">
        <v>4039</v>
      </c>
      <c r="D3411" s="91">
        <v>89</v>
      </c>
      <c r="E3411" s="91">
        <v>213</v>
      </c>
      <c r="F3411" s="91">
        <v>0</v>
      </c>
      <c r="G3411" s="126">
        <v>0.866433975699931</v>
      </c>
      <c r="H3411" s="126">
        <f t="shared" si="160"/>
        <v>0.800000000000001</v>
      </c>
      <c r="I3411" s="126" t="str">
        <f t="shared" si="161"/>
        <v>0y 0d 0h 0m</v>
      </c>
    </row>
    <row r="3412" s="91" customFormat="1" spans="1:9">
      <c r="A3412" s="91" t="str">
        <f t="shared" si="159"/>
        <v>Ac-214</v>
      </c>
      <c r="B3412" s="91" t="s">
        <v>4049</v>
      </c>
      <c r="C3412" s="91" t="s">
        <v>4039</v>
      </c>
      <c r="D3412" s="91">
        <v>89</v>
      </c>
      <c r="E3412" s="91">
        <v>214</v>
      </c>
      <c r="F3412" s="91">
        <v>0</v>
      </c>
      <c r="G3412" s="126">
        <v>0.084530143970725</v>
      </c>
      <c r="H3412" s="126">
        <f t="shared" si="160"/>
        <v>8.2</v>
      </c>
      <c r="I3412" s="126" t="str">
        <f t="shared" si="161"/>
        <v>0y 0d 0h 0m</v>
      </c>
    </row>
    <row r="3413" s="91" customFormat="1" spans="1:9">
      <c r="A3413" s="91" t="str">
        <f t="shared" si="159"/>
        <v>Ac-215</v>
      </c>
      <c r="B3413" s="91" t="s">
        <v>4050</v>
      </c>
      <c r="C3413" s="91" t="s">
        <v>4039</v>
      </c>
      <c r="D3413" s="91">
        <v>89</v>
      </c>
      <c r="E3413" s="91">
        <v>215</v>
      </c>
      <c r="F3413" s="91">
        <v>0</v>
      </c>
      <c r="G3413" s="126">
        <v>4.07733635623497</v>
      </c>
      <c r="H3413" s="126">
        <f t="shared" si="160"/>
        <v>0.17</v>
      </c>
      <c r="I3413" s="126" t="str">
        <f t="shared" si="161"/>
        <v>0y 0d 0h 0m</v>
      </c>
    </row>
    <row r="3414" s="91" customFormat="1" spans="1:9">
      <c r="A3414" s="91" t="str">
        <f t="shared" si="159"/>
        <v>Ac-216</v>
      </c>
      <c r="B3414" s="91" t="s">
        <v>4051</v>
      </c>
      <c r="C3414" s="91" t="s">
        <v>4039</v>
      </c>
      <c r="D3414" s="91">
        <v>89</v>
      </c>
      <c r="E3414" s="91">
        <v>216</v>
      </c>
      <c r="F3414" s="91">
        <v>0</v>
      </c>
      <c r="G3414" s="126">
        <v>1575.3345012726</v>
      </c>
      <c r="H3414" s="126">
        <f t="shared" si="160"/>
        <v>0.000440000000000001</v>
      </c>
      <c r="I3414" s="126" t="str">
        <f t="shared" si="161"/>
        <v>0y 0d 0h 0m</v>
      </c>
    </row>
    <row r="3415" s="91" customFormat="1" spans="1:9">
      <c r="A3415" s="91" t="str">
        <f t="shared" si="159"/>
        <v>Ac-216m</v>
      </c>
      <c r="B3415" s="91" t="s">
        <v>4052</v>
      </c>
      <c r="C3415" s="91" t="s">
        <v>4039</v>
      </c>
      <c r="D3415" s="91">
        <v>89</v>
      </c>
      <c r="E3415" s="91">
        <v>216</v>
      </c>
      <c r="F3415" s="91">
        <v>1</v>
      </c>
      <c r="G3415" s="126">
        <v>1571.76231419488</v>
      </c>
      <c r="H3415" s="126">
        <f t="shared" si="160"/>
        <v>0.000441000000000002</v>
      </c>
      <c r="I3415" s="126" t="str">
        <f t="shared" si="161"/>
        <v>0y 0d 0h 0m</v>
      </c>
    </row>
    <row r="3416" s="91" customFormat="1" spans="1:9">
      <c r="A3416" s="91" t="str">
        <f t="shared" si="159"/>
        <v>Ac-217</v>
      </c>
      <c r="B3416" s="91" t="s">
        <v>4053</v>
      </c>
      <c r="C3416" s="91" t="s">
        <v>4039</v>
      </c>
      <c r="D3416" s="91">
        <v>89</v>
      </c>
      <c r="E3416" s="91">
        <v>217</v>
      </c>
      <c r="F3416" s="91">
        <v>0</v>
      </c>
      <c r="G3416" s="126">
        <v>10045611.3124629</v>
      </c>
      <c r="H3416" s="126">
        <f t="shared" si="160"/>
        <v>6.90000000000005e-8</v>
      </c>
      <c r="I3416" s="126" t="str">
        <f t="shared" si="161"/>
        <v>0y 0d 0h 0m</v>
      </c>
    </row>
    <row r="3417" s="91" customFormat="1" spans="1:9">
      <c r="A3417" s="91" t="str">
        <f t="shared" si="159"/>
        <v>Ac-218</v>
      </c>
      <c r="B3417" s="91" t="s">
        <v>4054</v>
      </c>
      <c r="C3417" s="91" t="s">
        <v>4039</v>
      </c>
      <c r="D3417" s="91">
        <v>89</v>
      </c>
      <c r="E3417" s="91">
        <v>218</v>
      </c>
      <c r="F3417" s="91">
        <v>0</v>
      </c>
      <c r="G3417" s="126">
        <v>641802.944962912</v>
      </c>
      <c r="H3417" s="126">
        <f t="shared" si="160"/>
        <v>1.08e-6</v>
      </c>
      <c r="I3417" s="126" t="str">
        <f t="shared" si="161"/>
        <v>0y 0d 0h 0m</v>
      </c>
    </row>
    <row r="3418" s="91" customFormat="1" spans="1:9">
      <c r="A3418" s="91" t="str">
        <f t="shared" si="159"/>
        <v>Ac-219</v>
      </c>
      <c r="B3418" s="91" t="s">
        <v>4055</v>
      </c>
      <c r="C3418" s="91" t="s">
        <v>4039</v>
      </c>
      <c r="D3418" s="91">
        <v>89</v>
      </c>
      <c r="E3418" s="91">
        <v>219</v>
      </c>
      <c r="F3418" s="91">
        <v>0</v>
      </c>
      <c r="G3418" s="126">
        <v>58741.2864881309</v>
      </c>
      <c r="H3418" s="126">
        <f t="shared" si="160"/>
        <v>1.18e-5</v>
      </c>
      <c r="I3418" s="126" t="str">
        <f t="shared" si="161"/>
        <v>0y 0d 0h 0m</v>
      </c>
    </row>
    <row r="3419" s="91" customFormat="1" spans="1:9">
      <c r="A3419" s="91" t="str">
        <f t="shared" si="159"/>
        <v>Ac-220</v>
      </c>
      <c r="B3419" s="91" t="s">
        <v>4056</v>
      </c>
      <c r="C3419" s="91" t="s">
        <v>4039</v>
      </c>
      <c r="D3419" s="91">
        <v>89</v>
      </c>
      <c r="E3419" s="91">
        <v>220</v>
      </c>
      <c r="F3419" s="91">
        <v>0</v>
      </c>
      <c r="G3419" s="126">
        <v>26.25557502121</v>
      </c>
      <c r="H3419" s="126">
        <f t="shared" si="160"/>
        <v>0.0264</v>
      </c>
      <c r="I3419" s="126" t="str">
        <f t="shared" si="161"/>
        <v>0y 0d 0h 0m</v>
      </c>
    </row>
    <row r="3420" s="91" customFormat="1" spans="1:9">
      <c r="A3420" s="91" t="str">
        <f t="shared" si="159"/>
        <v>Ac-221</v>
      </c>
      <c r="B3420" s="91" t="s">
        <v>4057</v>
      </c>
      <c r="C3420" s="91" t="s">
        <v>4039</v>
      </c>
      <c r="D3420" s="91">
        <v>89</v>
      </c>
      <c r="E3420" s="91">
        <v>221</v>
      </c>
      <c r="F3420" s="91">
        <v>0</v>
      </c>
      <c r="G3420" s="126">
        <v>13.3297534723066</v>
      </c>
      <c r="H3420" s="126">
        <f t="shared" si="160"/>
        <v>0.0520000000000002</v>
      </c>
      <c r="I3420" s="126" t="str">
        <f t="shared" si="161"/>
        <v>0y 0d 0h 0m</v>
      </c>
    </row>
    <row r="3421" s="91" customFormat="1" spans="1:9">
      <c r="A3421" s="91" t="str">
        <f t="shared" si="159"/>
        <v>Ac-222</v>
      </c>
      <c r="B3421" s="91" t="s">
        <v>4058</v>
      </c>
      <c r="C3421" s="91" t="s">
        <v>4039</v>
      </c>
      <c r="D3421" s="91">
        <v>89</v>
      </c>
      <c r="E3421" s="91">
        <v>222</v>
      </c>
      <c r="F3421" s="91">
        <v>0</v>
      </c>
      <c r="G3421" s="126">
        <v>0.138629436111989</v>
      </c>
      <c r="H3421" s="126">
        <f t="shared" si="160"/>
        <v>5</v>
      </c>
      <c r="I3421" s="126" t="str">
        <f t="shared" si="161"/>
        <v>0y 0d 0h 0m</v>
      </c>
    </row>
    <row r="3422" s="91" customFormat="1" spans="1:9">
      <c r="A3422" s="91" t="str">
        <f t="shared" si="159"/>
        <v>Ac-222m</v>
      </c>
      <c r="B3422" s="91" t="s">
        <v>4059</v>
      </c>
      <c r="C3422" s="91" t="s">
        <v>4039</v>
      </c>
      <c r="D3422" s="91">
        <v>89</v>
      </c>
      <c r="E3422" s="91">
        <v>222</v>
      </c>
      <c r="F3422" s="91">
        <v>1</v>
      </c>
      <c r="G3422" s="126">
        <v>0.0110023361993642</v>
      </c>
      <c r="H3422" s="126">
        <f t="shared" si="160"/>
        <v>63.0000000000001</v>
      </c>
      <c r="I3422" s="126" t="str">
        <f t="shared" si="161"/>
        <v>0y 0d 0h 1m</v>
      </c>
    </row>
    <row r="3423" s="91" customFormat="1" spans="1:9">
      <c r="A3423" s="91" t="str">
        <f t="shared" si="159"/>
        <v>Ac-223</v>
      </c>
      <c r="B3423" s="91" t="s">
        <v>4060</v>
      </c>
      <c r="C3423" s="91" t="s">
        <v>4039</v>
      </c>
      <c r="D3423" s="91">
        <v>89</v>
      </c>
      <c r="E3423" s="91">
        <v>223</v>
      </c>
      <c r="F3423" s="91">
        <v>0</v>
      </c>
      <c r="G3423" s="126">
        <v>0.0055011680996821</v>
      </c>
      <c r="H3423" s="126">
        <f t="shared" si="160"/>
        <v>126</v>
      </c>
      <c r="I3423" s="126" t="str">
        <f t="shared" si="161"/>
        <v>0y 0d 0h 2m</v>
      </c>
    </row>
    <row r="3424" s="91" customFormat="1" spans="1:9">
      <c r="A3424" s="91" t="str">
        <f t="shared" si="159"/>
        <v>Ac-224</v>
      </c>
      <c r="B3424" s="91" t="s">
        <v>4061</v>
      </c>
      <c r="C3424" s="91" t="s">
        <v>4039</v>
      </c>
      <c r="D3424" s="91">
        <v>89</v>
      </c>
      <c r="E3424" s="91">
        <v>224</v>
      </c>
      <c r="F3424" s="91">
        <v>0</v>
      </c>
      <c r="G3424" s="126">
        <v>6.92593106075085e-5</v>
      </c>
      <c r="H3424" s="126">
        <f t="shared" si="160"/>
        <v>10008</v>
      </c>
      <c r="I3424" s="126" t="str">
        <f t="shared" si="161"/>
        <v>0y 0d 2h 46m</v>
      </c>
    </row>
    <row r="3425" s="91" customFormat="1" spans="1:9">
      <c r="A3425" s="91" t="str">
        <f t="shared" si="159"/>
        <v>Ac-225</v>
      </c>
      <c r="B3425" s="91" t="s">
        <v>4062</v>
      </c>
      <c r="C3425" s="91" t="s">
        <v>4039</v>
      </c>
      <c r="D3425" s="91">
        <v>89</v>
      </c>
      <c r="E3425" s="91">
        <v>225</v>
      </c>
      <c r="F3425" s="91">
        <v>0</v>
      </c>
      <c r="G3425" s="126">
        <v>8.0225368120364e-7</v>
      </c>
      <c r="H3425" s="126">
        <f t="shared" si="160"/>
        <v>864000</v>
      </c>
      <c r="I3425" s="126" t="str">
        <f t="shared" si="161"/>
        <v>0y 10d 0h 0m</v>
      </c>
    </row>
    <row r="3426" s="91" customFormat="1" spans="1:9">
      <c r="A3426" s="91" t="str">
        <f t="shared" si="159"/>
        <v>Ac-226</v>
      </c>
      <c r="B3426" s="91" t="s">
        <v>4063</v>
      </c>
      <c r="C3426" s="91" t="s">
        <v>4039</v>
      </c>
      <c r="D3426" s="91">
        <v>89</v>
      </c>
      <c r="E3426" s="91">
        <v>226</v>
      </c>
      <c r="F3426" s="91">
        <v>0</v>
      </c>
      <c r="G3426" s="126">
        <v>6.55569913138827e-6</v>
      </c>
      <c r="H3426" s="126">
        <f t="shared" si="160"/>
        <v>105732</v>
      </c>
      <c r="I3426" s="126" t="str">
        <f t="shared" si="161"/>
        <v>0y 1d 5h 22m</v>
      </c>
    </row>
    <row r="3427" s="91" customFormat="1" spans="1:9">
      <c r="A3427" s="91" t="str">
        <f t="shared" si="159"/>
        <v>Ac-227</v>
      </c>
      <c r="B3427" s="91" t="s">
        <v>4064</v>
      </c>
      <c r="C3427" s="91" t="s">
        <v>4039</v>
      </c>
      <c r="D3427" s="91">
        <v>89</v>
      </c>
      <c r="E3427" s="91">
        <v>227</v>
      </c>
      <c r="F3427" s="91">
        <v>0</v>
      </c>
      <c r="G3427" s="126">
        <v>1.00884198406534e-9</v>
      </c>
      <c r="H3427" s="126">
        <f t="shared" si="160"/>
        <v>687072100.000006</v>
      </c>
      <c r="I3427" s="126" t="str">
        <f t="shared" si="161"/>
        <v>21y 287d 5h 21m</v>
      </c>
    </row>
    <row r="3428" s="91" customFormat="1" spans="1:9">
      <c r="A3428" s="91" t="str">
        <f t="shared" si="159"/>
        <v>Ac-228</v>
      </c>
      <c r="B3428" s="91" t="s">
        <v>4065</v>
      </c>
      <c r="C3428" s="91" t="s">
        <v>4039</v>
      </c>
      <c r="D3428" s="91">
        <v>89</v>
      </c>
      <c r="E3428" s="91">
        <v>228</v>
      </c>
      <c r="F3428" s="91">
        <v>0</v>
      </c>
      <c r="G3428" s="126">
        <v>3.13074607298981e-5</v>
      </c>
      <c r="H3428" s="126">
        <f t="shared" si="160"/>
        <v>22140</v>
      </c>
      <c r="I3428" s="126" t="str">
        <f t="shared" si="161"/>
        <v>0y 0d 6h 9m</v>
      </c>
    </row>
    <row r="3429" s="91" customFormat="1" spans="1:9">
      <c r="A3429" s="91" t="str">
        <f t="shared" si="159"/>
        <v>Ac-229</v>
      </c>
      <c r="B3429" s="91" t="s">
        <v>4066</v>
      </c>
      <c r="C3429" s="91" t="s">
        <v>4039</v>
      </c>
      <c r="D3429" s="91">
        <v>89</v>
      </c>
      <c r="E3429" s="91">
        <v>229</v>
      </c>
      <c r="F3429" s="91">
        <v>0</v>
      </c>
      <c r="G3429" s="126">
        <v>0.000184249649271649</v>
      </c>
      <c r="H3429" s="126">
        <f t="shared" si="160"/>
        <v>3762.00000000001</v>
      </c>
      <c r="I3429" s="126" t="str">
        <f t="shared" si="161"/>
        <v>0y 0d 1h 2m</v>
      </c>
    </row>
    <row r="3430" s="91" customFormat="1" spans="1:9">
      <c r="A3430" s="91" t="str">
        <f t="shared" si="159"/>
        <v>Ac-230</v>
      </c>
      <c r="B3430" s="91" t="s">
        <v>4067</v>
      </c>
      <c r="C3430" s="91" t="s">
        <v>4039</v>
      </c>
      <c r="D3430" s="91">
        <v>89</v>
      </c>
      <c r="E3430" s="91">
        <v>230</v>
      </c>
      <c r="F3430" s="91">
        <v>0</v>
      </c>
      <c r="G3430" s="126">
        <v>0.00568153426688479</v>
      </c>
      <c r="H3430" s="126">
        <f t="shared" si="160"/>
        <v>122</v>
      </c>
      <c r="I3430" s="126" t="str">
        <f t="shared" si="161"/>
        <v>0y 0d 0h 2m</v>
      </c>
    </row>
    <row r="3431" s="91" customFormat="1" spans="1:9">
      <c r="A3431" s="91" t="str">
        <f t="shared" si="159"/>
        <v>Ac-231</v>
      </c>
      <c r="B3431" s="91" t="s">
        <v>4068</v>
      </c>
      <c r="C3431" s="91" t="s">
        <v>4039</v>
      </c>
      <c r="D3431" s="91">
        <v>89</v>
      </c>
      <c r="E3431" s="91">
        <v>231</v>
      </c>
      <c r="F3431" s="91">
        <v>0</v>
      </c>
      <c r="G3431" s="126">
        <v>0.00154032706791098</v>
      </c>
      <c r="H3431" s="126">
        <f t="shared" si="160"/>
        <v>450.000000000003</v>
      </c>
      <c r="I3431" s="126" t="str">
        <f t="shared" si="161"/>
        <v>0y 0d 0h 7m</v>
      </c>
    </row>
    <row r="3432" s="91" customFormat="1" spans="1:9">
      <c r="A3432" s="91" t="str">
        <f t="shared" si="159"/>
        <v>Ac-232</v>
      </c>
      <c r="B3432" s="91" t="s">
        <v>4069</v>
      </c>
      <c r="C3432" s="91" t="s">
        <v>4039</v>
      </c>
      <c r="D3432" s="91">
        <v>89</v>
      </c>
      <c r="E3432" s="91">
        <v>232</v>
      </c>
      <c r="F3432" s="91">
        <v>0</v>
      </c>
      <c r="G3432" s="126">
        <v>0.00582476622319281</v>
      </c>
      <c r="H3432" s="126">
        <f t="shared" si="160"/>
        <v>119</v>
      </c>
      <c r="I3432" s="126" t="str">
        <f t="shared" si="161"/>
        <v>0y 0d 0h 1m</v>
      </c>
    </row>
    <row r="3433" s="91" customFormat="1" spans="1:9">
      <c r="A3433" s="91" t="str">
        <f t="shared" si="159"/>
        <v>Ac-233</v>
      </c>
      <c r="B3433" s="91" t="s">
        <v>4070</v>
      </c>
      <c r="C3433" s="91" t="s">
        <v>4039</v>
      </c>
      <c r="D3433" s="91">
        <v>89</v>
      </c>
      <c r="E3433" s="91">
        <v>233</v>
      </c>
      <c r="F3433" s="91">
        <v>0</v>
      </c>
      <c r="G3433" s="126">
        <v>0.00478032538317203</v>
      </c>
      <c r="H3433" s="126">
        <f t="shared" si="160"/>
        <v>145</v>
      </c>
      <c r="I3433" s="126" t="str">
        <f t="shared" si="161"/>
        <v>0y 0d 0h 2m</v>
      </c>
    </row>
    <row r="3434" s="91" customFormat="1" spans="1:9">
      <c r="A3434" s="91" t="str">
        <f t="shared" si="159"/>
        <v>Ac-234</v>
      </c>
      <c r="B3434" s="91" t="s">
        <v>4071</v>
      </c>
      <c r="C3434" s="91" t="s">
        <v>4039</v>
      </c>
      <c r="D3434" s="91">
        <v>89</v>
      </c>
      <c r="E3434" s="91">
        <v>234</v>
      </c>
      <c r="F3434" s="91">
        <v>0</v>
      </c>
      <c r="G3434" s="126">
        <v>0.015753345012726</v>
      </c>
      <c r="H3434" s="126">
        <f t="shared" si="160"/>
        <v>44.0000000000001</v>
      </c>
      <c r="I3434" s="126" t="str">
        <f t="shared" si="161"/>
        <v>0y 0d 0h 0m</v>
      </c>
    </row>
    <row r="3435" s="91" customFormat="1" spans="1:9">
      <c r="A3435" s="91" t="str">
        <f t="shared" si="159"/>
        <v>Ac-235</v>
      </c>
      <c r="B3435" s="91" t="s">
        <v>4072</v>
      </c>
      <c r="C3435" s="91" t="s">
        <v>4039</v>
      </c>
      <c r="D3435" s="91">
        <v>89</v>
      </c>
      <c r="E3435" s="91">
        <v>235</v>
      </c>
      <c r="F3435" s="91">
        <v>0</v>
      </c>
      <c r="G3435" s="126">
        <v>0.0115524530093324</v>
      </c>
      <c r="H3435" s="126">
        <f t="shared" si="160"/>
        <v>60.0000000000001</v>
      </c>
      <c r="I3435" s="126" t="str">
        <f t="shared" si="161"/>
        <v>0y 0d 0h 1m</v>
      </c>
    </row>
    <row r="3436" s="91" customFormat="1" spans="1:9">
      <c r="A3436" s="91" t="str">
        <f t="shared" si="159"/>
        <v>Ac-236</v>
      </c>
      <c r="B3436" s="91" t="s">
        <v>4073</v>
      </c>
      <c r="C3436" s="91" t="s">
        <v>4039</v>
      </c>
      <c r="D3436" s="91">
        <v>89</v>
      </c>
      <c r="E3436" s="91">
        <v>236</v>
      </c>
      <c r="F3436" s="91">
        <v>0</v>
      </c>
      <c r="G3436" s="126">
        <v>0.00577622650466621</v>
      </c>
      <c r="H3436" s="126">
        <f t="shared" si="160"/>
        <v>120</v>
      </c>
      <c r="I3436" s="126" t="str">
        <f t="shared" si="161"/>
        <v>0y 0d 0h 2m</v>
      </c>
    </row>
    <row r="3437" s="91" customFormat="1" spans="1:9">
      <c r="A3437" s="91" t="str">
        <f t="shared" si="159"/>
        <v>Th-209</v>
      </c>
      <c r="B3437" s="91" t="s">
        <v>4074</v>
      </c>
      <c r="C3437" s="91" t="s">
        <v>4075</v>
      </c>
      <c r="D3437" s="91">
        <v>90</v>
      </c>
      <c r="E3437" s="91">
        <v>209</v>
      </c>
      <c r="F3437" s="91">
        <v>0</v>
      </c>
      <c r="G3437" s="126">
        <v>106.638027778453</v>
      </c>
      <c r="H3437" s="126">
        <f t="shared" si="160"/>
        <v>0.00650000000000001</v>
      </c>
      <c r="I3437" s="126" t="str">
        <f t="shared" si="161"/>
        <v>0y 0d 0h 0m</v>
      </c>
    </row>
    <row r="3438" s="91" customFormat="1" spans="1:9">
      <c r="A3438" s="91" t="str">
        <f t="shared" si="159"/>
        <v>Th-210</v>
      </c>
      <c r="B3438" s="91" t="s">
        <v>4076</v>
      </c>
      <c r="C3438" s="91" t="s">
        <v>4075</v>
      </c>
      <c r="D3438" s="91">
        <v>90</v>
      </c>
      <c r="E3438" s="91">
        <v>210</v>
      </c>
      <c r="F3438" s="91">
        <v>0</v>
      </c>
      <c r="G3438" s="126">
        <v>43.3216987849965</v>
      </c>
      <c r="H3438" s="126">
        <f t="shared" si="160"/>
        <v>0.016</v>
      </c>
      <c r="I3438" s="126" t="str">
        <f t="shared" si="161"/>
        <v>0y 0d 0h 0m</v>
      </c>
    </row>
    <row r="3439" s="91" customFormat="1" spans="1:9">
      <c r="A3439" s="91" t="str">
        <f t="shared" si="159"/>
        <v>Th-211</v>
      </c>
      <c r="B3439" s="91" t="s">
        <v>4077</v>
      </c>
      <c r="C3439" s="91" t="s">
        <v>4075</v>
      </c>
      <c r="D3439" s="91">
        <v>90</v>
      </c>
      <c r="E3439" s="91">
        <v>211</v>
      </c>
      <c r="F3439" s="91">
        <v>0</v>
      </c>
      <c r="G3439" s="126">
        <v>13.8629436111989</v>
      </c>
      <c r="H3439" s="126">
        <f t="shared" si="160"/>
        <v>0.05</v>
      </c>
      <c r="I3439" s="126" t="str">
        <f t="shared" si="161"/>
        <v>0y 0d 0h 0m</v>
      </c>
    </row>
    <row r="3440" s="91" customFormat="1" spans="1:9">
      <c r="A3440" s="91" t="str">
        <f t="shared" si="159"/>
        <v>Th-212</v>
      </c>
      <c r="B3440" s="91" t="s">
        <v>4078</v>
      </c>
      <c r="C3440" s="91" t="s">
        <v>4075</v>
      </c>
      <c r="D3440" s="91">
        <v>90</v>
      </c>
      <c r="E3440" s="91">
        <v>212</v>
      </c>
      <c r="F3440" s="91">
        <v>0</v>
      </c>
      <c r="G3440" s="126">
        <v>19.8042051588555</v>
      </c>
      <c r="H3440" s="126">
        <f t="shared" si="160"/>
        <v>0.0350000000000001</v>
      </c>
      <c r="I3440" s="126" t="str">
        <f t="shared" si="161"/>
        <v>0y 0d 0h 0m</v>
      </c>
    </row>
    <row r="3441" s="91" customFormat="1" spans="1:9">
      <c r="A3441" s="91" t="str">
        <f t="shared" si="159"/>
        <v>Th-213</v>
      </c>
      <c r="B3441" s="91" t="s">
        <v>4079</v>
      </c>
      <c r="C3441" s="91" t="s">
        <v>4075</v>
      </c>
      <c r="D3441" s="91">
        <v>90</v>
      </c>
      <c r="E3441" s="91">
        <v>213</v>
      </c>
      <c r="F3441" s="91">
        <v>0</v>
      </c>
      <c r="G3441" s="126">
        <v>4.95105128971389</v>
      </c>
      <c r="H3441" s="126">
        <f t="shared" si="160"/>
        <v>0.14</v>
      </c>
      <c r="I3441" s="126" t="str">
        <f t="shared" si="161"/>
        <v>0y 0d 0h 0m</v>
      </c>
    </row>
    <row r="3442" s="91" customFormat="1" spans="1:9">
      <c r="A3442" s="91" t="str">
        <f t="shared" si="159"/>
        <v>Th-214</v>
      </c>
      <c r="B3442" s="91" t="s">
        <v>4080</v>
      </c>
      <c r="C3442" s="91" t="s">
        <v>4075</v>
      </c>
      <c r="D3442" s="91">
        <v>90</v>
      </c>
      <c r="E3442" s="91">
        <v>214</v>
      </c>
      <c r="F3442" s="91">
        <v>0</v>
      </c>
      <c r="G3442" s="126">
        <v>6.93147180559945</v>
      </c>
      <c r="H3442" s="126">
        <f t="shared" si="160"/>
        <v>0.1</v>
      </c>
      <c r="I3442" s="126" t="str">
        <f t="shared" si="161"/>
        <v>0y 0d 0h 0m</v>
      </c>
    </row>
    <row r="3443" s="91" customFormat="1" spans="1:9">
      <c r="A3443" s="91" t="str">
        <f t="shared" si="159"/>
        <v>Th-215</v>
      </c>
      <c r="B3443" s="91" t="s">
        <v>4081</v>
      </c>
      <c r="C3443" s="91" t="s">
        <v>4075</v>
      </c>
      <c r="D3443" s="91">
        <v>90</v>
      </c>
      <c r="E3443" s="91">
        <v>215</v>
      </c>
      <c r="F3443" s="91">
        <v>0</v>
      </c>
      <c r="G3443" s="126">
        <v>0.577622650466621</v>
      </c>
      <c r="H3443" s="126">
        <f t="shared" si="160"/>
        <v>1.2</v>
      </c>
      <c r="I3443" s="126" t="str">
        <f t="shared" si="161"/>
        <v>0y 0d 0h 0m</v>
      </c>
    </row>
    <row r="3444" s="91" customFormat="1" spans="1:9">
      <c r="A3444" s="91" t="str">
        <f t="shared" si="159"/>
        <v>Th-216</v>
      </c>
      <c r="B3444" s="91" t="s">
        <v>4082</v>
      </c>
      <c r="C3444" s="91" t="s">
        <v>4075</v>
      </c>
      <c r="D3444" s="91">
        <v>90</v>
      </c>
      <c r="E3444" s="91">
        <v>216</v>
      </c>
      <c r="F3444" s="91">
        <v>0</v>
      </c>
      <c r="G3444" s="126">
        <v>26.6595069446132</v>
      </c>
      <c r="H3444" s="126">
        <f t="shared" si="160"/>
        <v>0.0260000000000001</v>
      </c>
      <c r="I3444" s="126" t="str">
        <f t="shared" si="161"/>
        <v>0y 0d 0h 0m</v>
      </c>
    </row>
    <row r="3445" s="91" customFormat="1" spans="1:9">
      <c r="A3445" s="91" t="str">
        <f t="shared" si="159"/>
        <v>Th-217</v>
      </c>
      <c r="B3445" s="91" t="s">
        <v>4083</v>
      </c>
      <c r="C3445" s="91" t="s">
        <v>4075</v>
      </c>
      <c r="D3445" s="91">
        <v>90</v>
      </c>
      <c r="E3445" s="91">
        <v>217</v>
      </c>
      <c r="F3445" s="91">
        <v>0</v>
      </c>
      <c r="G3445" s="126">
        <v>2761.54255203165</v>
      </c>
      <c r="H3445" s="126">
        <f t="shared" si="160"/>
        <v>0.000251</v>
      </c>
      <c r="I3445" s="126" t="str">
        <f t="shared" si="161"/>
        <v>0y 0d 0h 0m</v>
      </c>
    </row>
    <row r="3446" s="91" customFormat="1" spans="1:9">
      <c r="A3446" s="91" t="str">
        <f t="shared" si="159"/>
        <v>Th-218</v>
      </c>
      <c r="B3446" s="91" t="s">
        <v>4084</v>
      </c>
      <c r="C3446" s="91" t="s">
        <v>4075</v>
      </c>
      <c r="D3446" s="91">
        <v>90</v>
      </c>
      <c r="E3446" s="91">
        <v>218</v>
      </c>
      <c r="F3446" s="91">
        <v>0</v>
      </c>
      <c r="G3446" s="126">
        <v>5924334.87658072</v>
      </c>
      <c r="H3446" s="126">
        <f t="shared" si="160"/>
        <v>1.17e-7</v>
      </c>
      <c r="I3446" s="126" t="str">
        <f t="shared" si="161"/>
        <v>0y 0d 0h 0m</v>
      </c>
    </row>
    <row r="3447" s="91" customFormat="1" spans="1:9">
      <c r="A3447" s="91" t="str">
        <f t="shared" si="159"/>
        <v>Th-219</v>
      </c>
      <c r="B3447" s="91" t="s">
        <v>4085</v>
      </c>
      <c r="C3447" s="91" t="s">
        <v>4075</v>
      </c>
      <c r="D3447" s="91">
        <v>90</v>
      </c>
      <c r="E3447" s="91">
        <v>219</v>
      </c>
      <c r="F3447" s="91">
        <v>0</v>
      </c>
      <c r="G3447" s="126">
        <v>660140.171961852</v>
      </c>
      <c r="H3447" s="126">
        <f t="shared" si="160"/>
        <v>1.05e-6</v>
      </c>
      <c r="I3447" s="126" t="str">
        <f t="shared" si="161"/>
        <v>0y 0d 0h 0m</v>
      </c>
    </row>
    <row r="3448" s="91" customFormat="1" spans="1:9">
      <c r="A3448" s="91" t="str">
        <f t="shared" si="159"/>
        <v>Th-220</v>
      </c>
      <c r="B3448" s="91" t="s">
        <v>4086</v>
      </c>
      <c r="C3448" s="91" t="s">
        <v>4075</v>
      </c>
      <c r="D3448" s="91">
        <v>90</v>
      </c>
      <c r="E3448" s="91">
        <v>220</v>
      </c>
      <c r="F3448" s="91">
        <v>0</v>
      </c>
      <c r="G3448" s="126">
        <v>71458.4722226747</v>
      </c>
      <c r="H3448" s="126">
        <f t="shared" si="160"/>
        <v>9.70000000000001e-6</v>
      </c>
      <c r="I3448" s="126" t="str">
        <f t="shared" si="161"/>
        <v>0y 0d 0h 0m</v>
      </c>
    </row>
    <row r="3449" s="91" customFormat="1" spans="1:9">
      <c r="A3449" s="91" t="str">
        <f t="shared" si="159"/>
        <v>Th-221</v>
      </c>
      <c r="B3449" s="91" t="s">
        <v>4087</v>
      </c>
      <c r="C3449" s="91" t="s">
        <v>4075</v>
      </c>
      <c r="D3449" s="91">
        <v>90</v>
      </c>
      <c r="E3449" s="91">
        <v>221</v>
      </c>
      <c r="F3449" s="91">
        <v>0</v>
      </c>
      <c r="G3449" s="126">
        <v>400.663110150257</v>
      </c>
      <c r="H3449" s="126">
        <f t="shared" si="160"/>
        <v>0.00173</v>
      </c>
      <c r="I3449" s="126" t="str">
        <f t="shared" si="161"/>
        <v>0y 0d 0h 0m</v>
      </c>
    </row>
    <row r="3450" s="91" customFormat="1" spans="1:9">
      <c r="A3450" s="91" t="str">
        <f t="shared" si="159"/>
        <v>Th-222</v>
      </c>
      <c r="B3450" s="91" t="s">
        <v>4088</v>
      </c>
      <c r="C3450" s="91" t="s">
        <v>4075</v>
      </c>
      <c r="D3450" s="91">
        <v>90</v>
      </c>
      <c r="E3450" s="91">
        <v>222</v>
      </c>
      <c r="F3450" s="91">
        <v>0</v>
      </c>
      <c r="G3450" s="126">
        <v>309.85569090744</v>
      </c>
      <c r="H3450" s="126">
        <f t="shared" si="160"/>
        <v>0.00223700000000001</v>
      </c>
      <c r="I3450" s="126" t="str">
        <f t="shared" si="161"/>
        <v>0y 0d 0h 0m</v>
      </c>
    </row>
    <row r="3451" s="91" customFormat="1" spans="1:9">
      <c r="A3451" s="91" t="str">
        <f t="shared" si="159"/>
        <v>Th-223</v>
      </c>
      <c r="B3451" s="91" t="s">
        <v>4089</v>
      </c>
      <c r="C3451" s="91" t="s">
        <v>4075</v>
      </c>
      <c r="D3451" s="91">
        <v>90</v>
      </c>
      <c r="E3451" s="91">
        <v>223</v>
      </c>
      <c r="F3451" s="91">
        <v>0</v>
      </c>
      <c r="G3451" s="126">
        <v>1.15524530093324</v>
      </c>
      <c r="H3451" s="126">
        <f t="shared" si="160"/>
        <v>0.600000000000001</v>
      </c>
      <c r="I3451" s="126" t="str">
        <f t="shared" si="161"/>
        <v>0y 0d 0h 0m</v>
      </c>
    </row>
    <row r="3452" s="91" customFormat="1" spans="1:9">
      <c r="A3452" s="91" t="str">
        <f t="shared" si="159"/>
        <v>Th-224</v>
      </c>
      <c r="B3452" s="91" t="s">
        <v>4090</v>
      </c>
      <c r="C3452" s="91" t="s">
        <v>4075</v>
      </c>
      <c r="D3452" s="91">
        <v>90</v>
      </c>
      <c r="E3452" s="91">
        <v>224</v>
      </c>
      <c r="F3452" s="91">
        <v>0</v>
      </c>
      <c r="G3452" s="126">
        <v>0.660140171961852</v>
      </c>
      <c r="H3452" s="126">
        <f t="shared" si="160"/>
        <v>1.05</v>
      </c>
      <c r="I3452" s="126" t="str">
        <f t="shared" si="161"/>
        <v>0y 0d 0h 0m</v>
      </c>
    </row>
    <row r="3453" s="91" customFormat="1" spans="1:9">
      <c r="A3453" s="91" t="str">
        <f t="shared" si="159"/>
        <v>Th-225</v>
      </c>
      <c r="B3453" s="91" t="s">
        <v>4091</v>
      </c>
      <c r="C3453" s="91" t="s">
        <v>4075</v>
      </c>
      <c r="D3453" s="91">
        <v>90</v>
      </c>
      <c r="E3453" s="91">
        <v>225</v>
      </c>
      <c r="F3453" s="91">
        <v>0</v>
      </c>
      <c r="G3453" s="126">
        <v>0.00132482259281335</v>
      </c>
      <c r="H3453" s="126">
        <f t="shared" si="160"/>
        <v>523.2</v>
      </c>
      <c r="I3453" s="126" t="str">
        <f t="shared" si="161"/>
        <v>0y 0d 0h 8m</v>
      </c>
    </row>
    <row r="3454" s="91" customFormat="1" spans="1:9">
      <c r="A3454" s="91" t="str">
        <f t="shared" si="159"/>
        <v>Th-226</v>
      </c>
      <c r="B3454" s="91" t="s">
        <v>4092</v>
      </c>
      <c r="C3454" s="91" t="s">
        <v>4075</v>
      </c>
      <c r="D3454" s="91">
        <v>90</v>
      </c>
      <c r="E3454" s="91">
        <v>226</v>
      </c>
      <c r="F3454" s="91">
        <v>0</v>
      </c>
      <c r="G3454" s="126">
        <v>0.000377901635895728</v>
      </c>
      <c r="H3454" s="126">
        <f t="shared" si="160"/>
        <v>1834.2</v>
      </c>
      <c r="I3454" s="126" t="str">
        <f t="shared" si="161"/>
        <v>0y 0d 0h 30m</v>
      </c>
    </row>
    <row r="3455" s="91" customFormat="1" spans="1:9">
      <c r="A3455" s="91" t="str">
        <f t="shared" si="159"/>
        <v>Th-227</v>
      </c>
      <c r="B3455" s="91" t="s">
        <v>4093</v>
      </c>
      <c r="C3455" s="91" t="s">
        <v>4075</v>
      </c>
      <c r="D3455" s="91">
        <v>90</v>
      </c>
      <c r="E3455" s="91">
        <v>227</v>
      </c>
      <c r="F3455" s="91">
        <v>0</v>
      </c>
      <c r="G3455" s="126">
        <v>4.29471992079036e-7</v>
      </c>
      <c r="H3455" s="126">
        <f t="shared" si="160"/>
        <v>1613952</v>
      </c>
      <c r="I3455" s="126" t="str">
        <f t="shared" si="161"/>
        <v>0y 18d 16h 19m</v>
      </c>
    </row>
    <row r="3456" s="91" customFormat="1" spans="1:9">
      <c r="A3456" s="91" t="str">
        <f t="shared" si="159"/>
        <v>Th-228</v>
      </c>
      <c r="B3456" s="91" t="s">
        <v>4094</v>
      </c>
      <c r="C3456" s="91" t="s">
        <v>4075</v>
      </c>
      <c r="D3456" s="91">
        <v>90</v>
      </c>
      <c r="E3456" s="91">
        <v>228</v>
      </c>
      <c r="F3456" s="91">
        <v>0</v>
      </c>
      <c r="G3456" s="126">
        <v>1.14877139971017e-8</v>
      </c>
      <c r="H3456" s="126">
        <f t="shared" si="160"/>
        <v>60338130.0000003</v>
      </c>
      <c r="I3456" s="126" t="str">
        <f t="shared" si="161"/>
        <v>1y 333d 8h 35m</v>
      </c>
    </row>
    <row r="3457" s="91" customFormat="1" spans="1:9">
      <c r="A3457" s="91" t="str">
        <f t="shared" si="159"/>
        <v>Th-229</v>
      </c>
      <c r="B3457" s="91" t="s">
        <v>4095</v>
      </c>
      <c r="C3457" s="91" t="s">
        <v>4075</v>
      </c>
      <c r="D3457" s="91">
        <v>90</v>
      </c>
      <c r="E3457" s="91">
        <v>229</v>
      </c>
      <c r="F3457" s="91">
        <v>0</v>
      </c>
      <c r="G3457" s="126">
        <v>2.99243709039707e-12</v>
      </c>
      <c r="H3457" s="126">
        <f t="shared" si="160"/>
        <v>231633000000</v>
      </c>
      <c r="I3457" s="126" t="str">
        <f t="shared" si="161"/>
        <v>7345y 12d 12h 0m</v>
      </c>
    </row>
    <row r="3458" s="91" customFormat="1" spans="1:9">
      <c r="A3458" s="91" t="str">
        <f t="shared" ref="A3458:A3521" si="162">C3458&amp;"-"&amp;E3458&amp;_xlfn.IFS(F3458=0,"",F3458=1,"m",F3458&gt;1,"m"&amp;F3458)</f>
        <v>Th-230</v>
      </c>
      <c r="B3458" s="91" t="s">
        <v>4096</v>
      </c>
      <c r="C3458" s="91" t="s">
        <v>4075</v>
      </c>
      <c r="D3458" s="91">
        <v>90</v>
      </c>
      <c r="E3458" s="91">
        <v>230</v>
      </c>
      <c r="F3458" s="91">
        <v>0</v>
      </c>
      <c r="G3458" s="126">
        <v>2.91384003161221e-13</v>
      </c>
      <c r="H3458" s="126">
        <f t="shared" ref="H3458:H3521" si="163">IF(G3458&gt;0,LN(2)/G3458,0)</f>
        <v>2378810000000</v>
      </c>
      <c r="I3458" s="126" t="str">
        <f t="shared" si="161"/>
        <v>75431y 208d 3h 33m</v>
      </c>
    </row>
    <row r="3459" s="91" customFormat="1" spans="1:9">
      <c r="A3459" s="91" t="str">
        <f t="shared" si="162"/>
        <v>Th-231</v>
      </c>
      <c r="B3459" s="91" t="s">
        <v>4097</v>
      </c>
      <c r="C3459" s="91" t="s">
        <v>4075</v>
      </c>
      <c r="D3459" s="91">
        <v>90</v>
      </c>
      <c r="E3459" s="91">
        <v>231</v>
      </c>
      <c r="F3459" s="91">
        <v>0</v>
      </c>
      <c r="G3459" s="126">
        <v>7.54470546586495e-6</v>
      </c>
      <c r="H3459" s="126">
        <f t="shared" si="163"/>
        <v>91872.0000000001</v>
      </c>
      <c r="I3459" s="126" t="str">
        <f t="shared" ref="I3459:I3522" si="164">INT(H3459/31536000)&amp;"y "&amp;INT(MOD(H3459,31536000)/86400)&amp;"d "&amp;INT(MOD(MOD(H3459,31536000),86400)/3600)&amp;"h "&amp;INT(MOD(MOD(MOD(H3459,31536000),86400),3600)/60)&amp;"m"</f>
        <v>0y 1d 1h 31m</v>
      </c>
    </row>
    <row r="3460" s="91" customFormat="1" spans="1:9">
      <c r="A3460" s="91" t="str">
        <f t="shared" si="162"/>
        <v>Th-232</v>
      </c>
      <c r="B3460" s="91" t="s">
        <v>4098</v>
      </c>
      <c r="C3460" s="91" t="s">
        <v>4075</v>
      </c>
      <c r="D3460" s="91">
        <v>90</v>
      </c>
      <c r="E3460" s="91">
        <v>232</v>
      </c>
      <c r="F3460" s="91">
        <v>0</v>
      </c>
      <c r="G3460" s="126">
        <v>1.56331121682321e-18</v>
      </c>
      <c r="H3460" s="126">
        <f t="shared" si="163"/>
        <v>4.43384000000002e+17</v>
      </c>
      <c r="I3460" s="126" t="str">
        <f t="shared" si="164"/>
        <v>14059614408y 339d 6h 46m</v>
      </c>
    </row>
    <row r="3461" s="91" customFormat="1" spans="1:9">
      <c r="A3461" s="91" t="str">
        <f t="shared" si="162"/>
        <v>Th-233</v>
      </c>
      <c r="B3461" s="91" t="s">
        <v>4099</v>
      </c>
      <c r="C3461" s="91" t="s">
        <v>4075</v>
      </c>
      <c r="D3461" s="91">
        <v>90</v>
      </c>
      <c r="E3461" s="91">
        <v>233</v>
      </c>
      <c r="F3461" s="91">
        <v>0</v>
      </c>
      <c r="G3461" s="126">
        <v>0.000518047220149435</v>
      </c>
      <c r="H3461" s="126">
        <f t="shared" si="163"/>
        <v>1338</v>
      </c>
      <c r="I3461" s="126" t="str">
        <f t="shared" si="164"/>
        <v>0y 0d 0h 22m</v>
      </c>
    </row>
    <row r="3462" s="91" customFormat="1" spans="1:9">
      <c r="A3462" s="91" t="str">
        <f t="shared" si="162"/>
        <v>Th-234</v>
      </c>
      <c r="B3462" s="91" t="s">
        <v>4100</v>
      </c>
      <c r="C3462" s="91" t="s">
        <v>4075</v>
      </c>
      <c r="D3462" s="91">
        <v>90</v>
      </c>
      <c r="E3462" s="91">
        <v>234</v>
      </c>
      <c r="F3462" s="91">
        <v>0</v>
      </c>
      <c r="G3462" s="126">
        <v>3.32885344897776e-7</v>
      </c>
      <c r="H3462" s="126">
        <f t="shared" si="163"/>
        <v>2082240</v>
      </c>
      <c r="I3462" s="126" t="str">
        <f t="shared" si="164"/>
        <v>0y 24d 2h 24m</v>
      </c>
    </row>
    <row r="3463" s="91" customFormat="1" spans="1:9">
      <c r="A3463" s="91" t="str">
        <f t="shared" si="162"/>
        <v>Th-235</v>
      </c>
      <c r="B3463" s="91" t="s">
        <v>4101</v>
      </c>
      <c r="C3463" s="91" t="s">
        <v>4075</v>
      </c>
      <c r="D3463" s="91">
        <v>90</v>
      </c>
      <c r="E3463" s="91">
        <v>235</v>
      </c>
      <c r="F3463" s="91">
        <v>0</v>
      </c>
      <c r="G3463" s="126">
        <v>0.00162710605765245</v>
      </c>
      <c r="H3463" s="126">
        <f t="shared" si="163"/>
        <v>426.000000000001</v>
      </c>
      <c r="I3463" s="126" t="str">
        <f t="shared" si="164"/>
        <v>0y 0d 0h 7m</v>
      </c>
    </row>
    <row r="3464" s="91" customFormat="1" spans="1:9">
      <c r="A3464" s="91" t="str">
        <f t="shared" si="162"/>
        <v>Th-236</v>
      </c>
      <c r="B3464" s="91" t="s">
        <v>4102</v>
      </c>
      <c r="C3464" s="91" t="s">
        <v>4075</v>
      </c>
      <c r="D3464" s="91">
        <v>90</v>
      </c>
      <c r="E3464" s="91">
        <v>236</v>
      </c>
      <c r="F3464" s="91">
        <v>0</v>
      </c>
      <c r="G3464" s="126">
        <v>0.000309717238856097</v>
      </c>
      <c r="H3464" s="126">
        <f t="shared" si="163"/>
        <v>2238</v>
      </c>
      <c r="I3464" s="126" t="str">
        <f t="shared" si="164"/>
        <v>0y 0d 0h 37m</v>
      </c>
    </row>
    <row r="3465" s="91" customFormat="1" spans="1:9">
      <c r="A3465" s="91" t="str">
        <f t="shared" si="162"/>
        <v>Th-237</v>
      </c>
      <c r="B3465" s="91" t="s">
        <v>4103</v>
      </c>
      <c r="C3465" s="91" t="s">
        <v>4075</v>
      </c>
      <c r="D3465" s="91">
        <v>90</v>
      </c>
      <c r="E3465" s="91">
        <v>237</v>
      </c>
      <c r="F3465" s="91">
        <v>0</v>
      </c>
      <c r="G3465" s="126">
        <v>0.00245796872538987</v>
      </c>
      <c r="H3465" s="126">
        <f t="shared" si="163"/>
        <v>282.000000000001</v>
      </c>
      <c r="I3465" s="126" t="str">
        <f t="shared" si="164"/>
        <v>0y 0d 0h 4m</v>
      </c>
    </row>
    <row r="3466" s="91" customFormat="1" spans="1:9">
      <c r="A3466" s="91" t="str">
        <f t="shared" si="162"/>
        <v>Th-238</v>
      </c>
      <c r="B3466" s="91" t="s">
        <v>4104</v>
      </c>
      <c r="C3466" s="91" t="s">
        <v>4075</v>
      </c>
      <c r="D3466" s="91">
        <v>90</v>
      </c>
      <c r="E3466" s="91">
        <v>238</v>
      </c>
      <c r="F3466" s="91">
        <v>0</v>
      </c>
      <c r="G3466" s="126">
        <v>0.00122898436269493</v>
      </c>
      <c r="H3466" s="126">
        <f t="shared" si="163"/>
        <v>564.000000000004</v>
      </c>
      <c r="I3466" s="126" t="str">
        <f t="shared" si="164"/>
        <v>0y 0d 0h 9m</v>
      </c>
    </row>
    <row r="3467" s="91" customFormat="1" spans="1:9">
      <c r="A3467" s="91" t="str">
        <f t="shared" si="162"/>
        <v>Pa-212</v>
      </c>
      <c r="B3467" s="91" t="s">
        <v>4105</v>
      </c>
      <c r="C3467" s="91" t="s">
        <v>4106</v>
      </c>
      <c r="D3467" s="91">
        <v>91</v>
      </c>
      <c r="E3467" s="91">
        <v>212</v>
      </c>
      <c r="F3467" s="91">
        <v>0</v>
      </c>
      <c r="G3467" s="126">
        <v>135.911211874499</v>
      </c>
      <c r="H3467" s="126">
        <f t="shared" si="163"/>
        <v>0.0051</v>
      </c>
      <c r="I3467" s="126" t="str">
        <f t="shared" si="164"/>
        <v>0y 0d 0h 0m</v>
      </c>
    </row>
    <row r="3468" s="91" customFormat="1" spans="1:9">
      <c r="A3468" s="91" t="str">
        <f t="shared" si="162"/>
        <v>Pa-213</v>
      </c>
      <c r="B3468" s="91" t="s">
        <v>4107</v>
      </c>
      <c r="C3468" s="91" t="s">
        <v>4106</v>
      </c>
      <c r="D3468" s="91">
        <v>91</v>
      </c>
      <c r="E3468" s="91">
        <v>213</v>
      </c>
      <c r="F3468" s="91">
        <v>0</v>
      </c>
      <c r="G3468" s="126">
        <v>130.782486898102</v>
      </c>
      <c r="H3468" s="126">
        <f t="shared" si="163"/>
        <v>0.00530000000000004</v>
      </c>
      <c r="I3468" s="126" t="str">
        <f t="shared" si="164"/>
        <v>0y 0d 0h 0m</v>
      </c>
    </row>
    <row r="3469" s="91" customFormat="1" spans="1:9">
      <c r="A3469" s="91" t="str">
        <f t="shared" si="162"/>
        <v>Pa-214</v>
      </c>
      <c r="B3469" s="91" t="s">
        <v>4108</v>
      </c>
      <c r="C3469" s="91" t="s">
        <v>4106</v>
      </c>
      <c r="D3469" s="91">
        <v>91</v>
      </c>
      <c r="E3469" s="91">
        <v>214</v>
      </c>
      <c r="F3469" s="91">
        <v>0</v>
      </c>
      <c r="G3469" s="126">
        <v>40.7733635623497</v>
      </c>
      <c r="H3469" s="126">
        <f t="shared" si="163"/>
        <v>0.017</v>
      </c>
      <c r="I3469" s="126" t="str">
        <f t="shared" si="164"/>
        <v>0y 0d 0h 0m</v>
      </c>
    </row>
    <row r="3470" s="91" customFormat="1" spans="1:9">
      <c r="A3470" s="91" t="str">
        <f t="shared" si="162"/>
        <v>Pa-215</v>
      </c>
      <c r="B3470" s="91" t="s">
        <v>4109</v>
      </c>
      <c r="C3470" s="91" t="s">
        <v>4106</v>
      </c>
      <c r="D3470" s="91">
        <v>91</v>
      </c>
      <c r="E3470" s="91">
        <v>215</v>
      </c>
      <c r="F3470" s="91">
        <v>0</v>
      </c>
      <c r="G3470" s="126">
        <v>49.5105128971389</v>
      </c>
      <c r="H3470" s="126">
        <f t="shared" si="163"/>
        <v>0.014</v>
      </c>
      <c r="I3470" s="126" t="str">
        <f t="shared" si="164"/>
        <v>0y 0d 0h 0m</v>
      </c>
    </row>
    <row r="3471" s="91" customFormat="1" spans="1:9">
      <c r="A3471" s="91" t="str">
        <f t="shared" si="162"/>
        <v>Pa-216</v>
      </c>
      <c r="B3471" s="91" t="s">
        <v>4110</v>
      </c>
      <c r="C3471" s="91" t="s">
        <v>4106</v>
      </c>
      <c r="D3471" s="91">
        <v>91</v>
      </c>
      <c r="E3471" s="91">
        <v>216</v>
      </c>
      <c r="F3471" s="91">
        <v>0</v>
      </c>
      <c r="G3471" s="126">
        <v>4.33216987849965</v>
      </c>
      <c r="H3471" s="126">
        <f t="shared" si="163"/>
        <v>0.16</v>
      </c>
      <c r="I3471" s="126" t="str">
        <f t="shared" si="164"/>
        <v>0y 0d 0h 0m</v>
      </c>
    </row>
    <row r="3472" s="91" customFormat="1" spans="1:9">
      <c r="A3472" s="91" t="str">
        <f t="shared" si="162"/>
        <v>Pa-217</v>
      </c>
      <c r="B3472" s="91" t="s">
        <v>4111</v>
      </c>
      <c r="C3472" s="91" t="s">
        <v>4106</v>
      </c>
      <c r="D3472" s="91">
        <v>91</v>
      </c>
      <c r="E3472" s="91">
        <v>217</v>
      </c>
      <c r="F3472" s="91">
        <v>0</v>
      </c>
      <c r="G3472" s="126">
        <v>192.540883488873</v>
      </c>
      <c r="H3472" s="126">
        <f t="shared" si="163"/>
        <v>0.00360000000000001</v>
      </c>
      <c r="I3472" s="126" t="str">
        <f t="shared" si="164"/>
        <v>0y 0d 0h 0m</v>
      </c>
    </row>
    <row r="3473" s="91" customFormat="1" spans="1:9">
      <c r="A3473" s="91" t="str">
        <f t="shared" si="162"/>
        <v>Pa-217m</v>
      </c>
      <c r="B3473" s="91" t="s">
        <v>4112</v>
      </c>
      <c r="C3473" s="91" t="s">
        <v>4106</v>
      </c>
      <c r="D3473" s="91">
        <v>91</v>
      </c>
      <c r="E3473" s="91">
        <v>217</v>
      </c>
      <c r="F3473" s="91">
        <v>1</v>
      </c>
      <c r="G3473" s="126">
        <v>577.622650466621</v>
      </c>
      <c r="H3473" s="126">
        <f t="shared" si="163"/>
        <v>0.0012</v>
      </c>
      <c r="I3473" s="126" t="str">
        <f t="shared" si="164"/>
        <v>0y 0d 0h 0m</v>
      </c>
    </row>
    <row r="3474" s="91" customFormat="1" spans="1:9">
      <c r="A3474" s="91" t="str">
        <f t="shared" si="162"/>
        <v>Pa-218</v>
      </c>
      <c r="B3474" s="91" t="s">
        <v>4113</v>
      </c>
      <c r="C3474" s="91" t="s">
        <v>4106</v>
      </c>
      <c r="D3474" s="91">
        <v>91</v>
      </c>
      <c r="E3474" s="91">
        <v>218</v>
      </c>
      <c r="F3474" s="91">
        <v>0</v>
      </c>
      <c r="G3474" s="126">
        <v>6134.04584566323</v>
      </c>
      <c r="H3474" s="126">
        <f t="shared" si="163"/>
        <v>0.000113</v>
      </c>
      <c r="I3474" s="126" t="str">
        <f t="shared" si="164"/>
        <v>0y 0d 0h 0m</v>
      </c>
    </row>
    <row r="3475" s="91" customFormat="1" spans="1:9">
      <c r="A3475" s="91" t="str">
        <f t="shared" si="162"/>
        <v>Pa-219</v>
      </c>
      <c r="B3475" s="91" t="s">
        <v>4114</v>
      </c>
      <c r="C3475" s="91" t="s">
        <v>4106</v>
      </c>
      <c r="D3475" s="91">
        <v>91</v>
      </c>
      <c r="E3475" s="91">
        <v>219</v>
      </c>
      <c r="F3475" s="91">
        <v>0</v>
      </c>
      <c r="G3475" s="126">
        <v>13078248.6898102</v>
      </c>
      <c r="H3475" s="126">
        <f t="shared" si="163"/>
        <v>5.30000000000004e-8</v>
      </c>
      <c r="I3475" s="126" t="str">
        <f t="shared" si="164"/>
        <v>0y 0d 0h 0m</v>
      </c>
    </row>
    <row r="3476" s="91" customFormat="1" spans="1:9">
      <c r="A3476" s="91" t="str">
        <f t="shared" si="162"/>
        <v>Pa-220</v>
      </c>
      <c r="B3476" s="91" t="s">
        <v>4115</v>
      </c>
      <c r="C3476" s="91" t="s">
        <v>4106</v>
      </c>
      <c r="D3476" s="91">
        <v>91</v>
      </c>
      <c r="E3476" s="91">
        <v>220</v>
      </c>
      <c r="F3476" s="91">
        <v>0</v>
      </c>
      <c r="G3476" s="126">
        <v>888650.231487109</v>
      </c>
      <c r="H3476" s="126">
        <f t="shared" si="163"/>
        <v>7.8e-7</v>
      </c>
      <c r="I3476" s="126" t="str">
        <f t="shared" si="164"/>
        <v>0y 0d 0h 0m</v>
      </c>
    </row>
    <row r="3477" s="91" customFormat="1" spans="1:9">
      <c r="A3477" s="91" t="str">
        <f t="shared" si="162"/>
        <v>Pa-221</v>
      </c>
      <c r="B3477" s="91" t="s">
        <v>4116</v>
      </c>
      <c r="C3477" s="91" t="s">
        <v>4106</v>
      </c>
      <c r="D3477" s="91">
        <v>91</v>
      </c>
      <c r="E3477" s="91">
        <v>221</v>
      </c>
      <c r="F3477" s="91">
        <v>0</v>
      </c>
      <c r="G3477" s="126">
        <v>117482.572976261</v>
      </c>
      <c r="H3477" s="126">
        <f t="shared" si="163"/>
        <v>5.90000000000005e-6</v>
      </c>
      <c r="I3477" s="126" t="str">
        <f t="shared" si="164"/>
        <v>0y 0d 0h 0m</v>
      </c>
    </row>
    <row r="3478" s="91" customFormat="1" spans="1:9">
      <c r="A3478" s="91" t="str">
        <f t="shared" si="162"/>
        <v>Pa-222</v>
      </c>
      <c r="B3478" s="91" t="s">
        <v>4117</v>
      </c>
      <c r="C3478" s="91" t="s">
        <v>4106</v>
      </c>
      <c r="D3478" s="91">
        <v>91</v>
      </c>
      <c r="E3478" s="91">
        <v>222</v>
      </c>
      <c r="F3478" s="91">
        <v>0</v>
      </c>
      <c r="G3478" s="126">
        <v>210.04460016968</v>
      </c>
      <c r="H3478" s="126">
        <f t="shared" si="163"/>
        <v>0.00330000000000001</v>
      </c>
      <c r="I3478" s="126" t="str">
        <f t="shared" si="164"/>
        <v>0y 0d 0h 0m</v>
      </c>
    </row>
    <row r="3479" s="91" customFormat="1" spans="1:9">
      <c r="A3479" s="91" t="str">
        <f t="shared" si="162"/>
        <v>Pa-223</v>
      </c>
      <c r="B3479" s="91" t="s">
        <v>4118</v>
      </c>
      <c r="C3479" s="91" t="s">
        <v>4106</v>
      </c>
      <c r="D3479" s="91">
        <v>91</v>
      </c>
      <c r="E3479" s="91">
        <v>223</v>
      </c>
      <c r="F3479" s="91">
        <v>0</v>
      </c>
      <c r="G3479" s="126">
        <v>135.911211874499</v>
      </c>
      <c r="H3479" s="126">
        <f t="shared" si="163"/>
        <v>0.0051</v>
      </c>
      <c r="I3479" s="126" t="str">
        <f t="shared" si="164"/>
        <v>0y 0d 0h 0m</v>
      </c>
    </row>
    <row r="3480" s="91" customFormat="1" spans="1:9">
      <c r="A3480" s="91" t="str">
        <f t="shared" si="162"/>
        <v>Pa-224</v>
      </c>
      <c r="B3480" s="91" t="s">
        <v>4119</v>
      </c>
      <c r="C3480" s="91" t="s">
        <v>4106</v>
      </c>
      <c r="D3480" s="91">
        <v>91</v>
      </c>
      <c r="E3480" s="91">
        <v>224</v>
      </c>
      <c r="F3480" s="91">
        <v>0</v>
      </c>
      <c r="G3480" s="126">
        <v>0.877401494379677</v>
      </c>
      <c r="H3480" s="126">
        <f t="shared" si="163"/>
        <v>0.790000000000001</v>
      </c>
      <c r="I3480" s="126" t="str">
        <f t="shared" si="164"/>
        <v>0y 0d 0h 0m</v>
      </c>
    </row>
    <row r="3481" s="91" customFormat="1" spans="1:9">
      <c r="A3481" s="91" t="str">
        <f t="shared" si="162"/>
        <v>Pa-225</v>
      </c>
      <c r="B3481" s="91" t="s">
        <v>4120</v>
      </c>
      <c r="C3481" s="91" t="s">
        <v>4106</v>
      </c>
      <c r="D3481" s="91">
        <v>91</v>
      </c>
      <c r="E3481" s="91">
        <v>225</v>
      </c>
      <c r="F3481" s="91">
        <v>0</v>
      </c>
      <c r="G3481" s="126">
        <v>0.407733635623497</v>
      </c>
      <c r="H3481" s="126">
        <f t="shared" si="163"/>
        <v>1.7</v>
      </c>
      <c r="I3481" s="126" t="str">
        <f t="shared" si="164"/>
        <v>0y 0d 0h 0m</v>
      </c>
    </row>
    <row r="3482" s="91" customFormat="1" spans="1:9">
      <c r="A3482" s="91" t="str">
        <f t="shared" si="162"/>
        <v>Pa-226</v>
      </c>
      <c r="B3482" s="91" t="s">
        <v>4121</v>
      </c>
      <c r="C3482" s="91" t="s">
        <v>4106</v>
      </c>
      <c r="D3482" s="91">
        <v>91</v>
      </c>
      <c r="E3482" s="91">
        <v>226</v>
      </c>
      <c r="F3482" s="91">
        <v>0</v>
      </c>
      <c r="G3482" s="126">
        <v>0.00641802944962912</v>
      </c>
      <c r="H3482" s="126">
        <f t="shared" si="163"/>
        <v>108</v>
      </c>
      <c r="I3482" s="126" t="str">
        <f t="shared" si="164"/>
        <v>0y 0d 0h 1m</v>
      </c>
    </row>
    <row r="3483" s="91" customFormat="1" spans="1:9">
      <c r="A3483" s="91" t="str">
        <f t="shared" si="162"/>
        <v>Pa-227</v>
      </c>
      <c r="B3483" s="91" t="s">
        <v>4122</v>
      </c>
      <c r="C3483" s="91" t="s">
        <v>4106</v>
      </c>
      <c r="D3483" s="91">
        <v>91</v>
      </c>
      <c r="E3483" s="91">
        <v>227</v>
      </c>
      <c r="F3483" s="91">
        <v>0</v>
      </c>
      <c r="G3483" s="126">
        <v>0.00030163062687552</v>
      </c>
      <c r="H3483" s="126">
        <f t="shared" si="163"/>
        <v>2298</v>
      </c>
      <c r="I3483" s="126" t="str">
        <f t="shared" si="164"/>
        <v>0y 0d 0h 38m</v>
      </c>
    </row>
    <row r="3484" s="91" customFormat="1" spans="1:9">
      <c r="A3484" s="91" t="str">
        <f t="shared" si="162"/>
        <v>Pa-228</v>
      </c>
      <c r="B3484" s="91" t="s">
        <v>4123</v>
      </c>
      <c r="C3484" s="91" t="s">
        <v>4106</v>
      </c>
      <c r="D3484" s="91">
        <v>91</v>
      </c>
      <c r="E3484" s="91">
        <v>228</v>
      </c>
      <c r="F3484" s="91">
        <v>0</v>
      </c>
      <c r="G3484" s="126">
        <v>8.75185834040335e-6</v>
      </c>
      <c r="H3484" s="126">
        <f t="shared" si="163"/>
        <v>79200</v>
      </c>
      <c r="I3484" s="126" t="str">
        <f t="shared" si="164"/>
        <v>0y 0d 22h 0m</v>
      </c>
    </row>
    <row r="3485" s="91" customFormat="1" spans="1:9">
      <c r="A3485" s="91" t="str">
        <f t="shared" si="162"/>
        <v>Pa-229</v>
      </c>
      <c r="B3485" s="91" t="s">
        <v>4124</v>
      </c>
      <c r="C3485" s="91" t="s">
        <v>4106</v>
      </c>
      <c r="D3485" s="91">
        <v>91</v>
      </c>
      <c r="E3485" s="91">
        <v>229</v>
      </c>
      <c r="F3485" s="91">
        <v>0</v>
      </c>
      <c r="G3485" s="126">
        <v>5.34835787469093e-6</v>
      </c>
      <c r="H3485" s="126">
        <f t="shared" si="163"/>
        <v>129600</v>
      </c>
      <c r="I3485" s="126" t="str">
        <f t="shared" si="164"/>
        <v>0y 1d 12h 0m</v>
      </c>
    </row>
    <row r="3486" s="91" customFormat="1" spans="1:9">
      <c r="A3486" s="91" t="str">
        <f t="shared" si="162"/>
        <v>Pa-230</v>
      </c>
      <c r="B3486" s="91" t="s">
        <v>4125</v>
      </c>
      <c r="C3486" s="91" t="s">
        <v>4106</v>
      </c>
      <c r="D3486" s="91">
        <v>91</v>
      </c>
      <c r="E3486" s="91">
        <v>230</v>
      </c>
      <c r="F3486" s="91">
        <v>0</v>
      </c>
      <c r="G3486" s="126">
        <v>4.6106533402508e-7</v>
      </c>
      <c r="H3486" s="126">
        <f t="shared" si="163"/>
        <v>1503360</v>
      </c>
      <c r="I3486" s="126" t="str">
        <f t="shared" si="164"/>
        <v>0y 17d 9h 36m</v>
      </c>
    </row>
    <row r="3487" s="91" customFormat="1" spans="1:9">
      <c r="A3487" s="91" t="str">
        <f t="shared" si="162"/>
        <v>Pa-231</v>
      </c>
      <c r="B3487" s="91" t="s">
        <v>4126</v>
      </c>
      <c r="C3487" s="91" t="s">
        <v>4106</v>
      </c>
      <c r="D3487" s="91">
        <v>91</v>
      </c>
      <c r="E3487" s="91">
        <v>231</v>
      </c>
      <c r="F3487" s="91">
        <v>0</v>
      </c>
      <c r="G3487" s="126">
        <v>6.70465338169665e-13</v>
      </c>
      <c r="H3487" s="126">
        <f t="shared" si="163"/>
        <v>1033830000000</v>
      </c>
      <c r="I3487" s="126" t="str">
        <f t="shared" si="164"/>
        <v>32782y 195d 0h 0m</v>
      </c>
    </row>
    <row r="3488" s="91" customFormat="1" spans="1:9">
      <c r="A3488" s="91" t="str">
        <f t="shared" si="162"/>
        <v>Pa-232</v>
      </c>
      <c r="B3488" s="91" t="s">
        <v>4127</v>
      </c>
      <c r="C3488" s="91" t="s">
        <v>4106</v>
      </c>
      <c r="D3488" s="91">
        <v>91</v>
      </c>
      <c r="E3488" s="91">
        <v>232</v>
      </c>
      <c r="F3488" s="91">
        <v>0</v>
      </c>
      <c r="G3488" s="126">
        <v>6.07767940305788e-6</v>
      </c>
      <c r="H3488" s="126">
        <f t="shared" si="163"/>
        <v>114048</v>
      </c>
      <c r="I3488" s="126" t="str">
        <f t="shared" si="164"/>
        <v>0y 1d 7h 40m</v>
      </c>
    </row>
    <row r="3489" s="91" customFormat="1" spans="1:9">
      <c r="A3489" s="91" t="str">
        <f t="shared" si="162"/>
        <v>Pa-233</v>
      </c>
      <c r="B3489" s="91" t="s">
        <v>4128</v>
      </c>
      <c r="C3489" s="91" t="s">
        <v>4106</v>
      </c>
      <c r="D3489" s="91">
        <v>91</v>
      </c>
      <c r="E3489" s="91">
        <v>233</v>
      </c>
      <c r="F3489" s="91">
        <v>0</v>
      </c>
      <c r="G3489" s="126">
        <v>2.97406369306261e-7</v>
      </c>
      <c r="H3489" s="126">
        <f t="shared" si="163"/>
        <v>2330640</v>
      </c>
      <c r="I3489" s="126" t="str">
        <f t="shared" si="164"/>
        <v>0y 26d 23h 24m</v>
      </c>
    </row>
    <row r="3490" s="91" customFormat="1" spans="1:9">
      <c r="A3490" s="91" t="str">
        <f t="shared" si="162"/>
        <v>Pa-234</v>
      </c>
      <c r="B3490" s="91" t="s">
        <v>4129</v>
      </c>
      <c r="C3490" s="91" t="s">
        <v>4106</v>
      </c>
      <c r="D3490" s="91">
        <v>91</v>
      </c>
      <c r="E3490" s="91">
        <v>234</v>
      </c>
      <c r="F3490" s="91">
        <v>0</v>
      </c>
      <c r="G3490" s="126">
        <v>2.87374452968468e-5</v>
      </c>
      <c r="H3490" s="126">
        <f t="shared" si="163"/>
        <v>24120</v>
      </c>
      <c r="I3490" s="126" t="str">
        <f t="shared" si="164"/>
        <v>0y 0d 6h 42m</v>
      </c>
    </row>
    <row r="3491" s="91" customFormat="1" spans="1:9">
      <c r="A3491" s="91" t="str">
        <f t="shared" si="162"/>
        <v>Pa-234m</v>
      </c>
      <c r="B3491" s="91" t="s">
        <v>4130</v>
      </c>
      <c r="C3491" s="91" t="s">
        <v>4106</v>
      </c>
      <c r="D3491" s="91">
        <v>91</v>
      </c>
      <c r="E3491" s="91">
        <v>234</v>
      </c>
      <c r="F3491" s="91">
        <v>1</v>
      </c>
      <c r="G3491" s="126">
        <v>0.00996760397699087</v>
      </c>
      <c r="H3491" s="126">
        <f t="shared" si="163"/>
        <v>69.54</v>
      </c>
      <c r="I3491" s="126" t="str">
        <f t="shared" si="164"/>
        <v>0y 0d 0h 1m</v>
      </c>
    </row>
    <row r="3492" s="91" customFormat="1" spans="1:9">
      <c r="A3492" s="91" t="str">
        <f t="shared" si="162"/>
        <v>Pa-235</v>
      </c>
      <c r="B3492" s="91" t="s">
        <v>4131</v>
      </c>
      <c r="C3492" s="91" t="s">
        <v>4106</v>
      </c>
      <c r="D3492" s="91">
        <v>91</v>
      </c>
      <c r="E3492" s="91">
        <v>235</v>
      </c>
      <c r="F3492" s="91">
        <v>0</v>
      </c>
      <c r="G3492" s="126">
        <v>0.000472686293344207</v>
      </c>
      <c r="H3492" s="126">
        <f t="shared" si="163"/>
        <v>1466.4</v>
      </c>
      <c r="I3492" s="126" t="str">
        <f t="shared" si="164"/>
        <v>0y 0d 0h 24m</v>
      </c>
    </row>
    <row r="3493" s="91" customFormat="1" spans="1:9">
      <c r="A3493" s="91" t="str">
        <f t="shared" si="162"/>
        <v>Pa-236</v>
      </c>
      <c r="B3493" s="91" t="s">
        <v>4132</v>
      </c>
      <c r="C3493" s="91" t="s">
        <v>4106</v>
      </c>
      <c r="D3493" s="91">
        <v>91</v>
      </c>
      <c r="E3493" s="91">
        <v>236</v>
      </c>
      <c r="F3493" s="91">
        <v>0</v>
      </c>
      <c r="G3493" s="126">
        <v>0.00126950033069587</v>
      </c>
      <c r="H3493" s="126">
        <f t="shared" si="163"/>
        <v>546</v>
      </c>
      <c r="I3493" s="126" t="str">
        <f t="shared" si="164"/>
        <v>0y 0d 0h 9m</v>
      </c>
    </row>
    <row r="3494" s="91" customFormat="1" spans="1:9">
      <c r="A3494" s="91" t="str">
        <f t="shared" si="162"/>
        <v>Pa-237</v>
      </c>
      <c r="B3494" s="91" t="s">
        <v>4133</v>
      </c>
      <c r="C3494" s="91" t="s">
        <v>4106</v>
      </c>
      <c r="D3494" s="91">
        <v>91</v>
      </c>
      <c r="E3494" s="91">
        <v>237</v>
      </c>
      <c r="F3494" s="91">
        <v>0</v>
      </c>
      <c r="G3494" s="126">
        <v>0.00132786816199223</v>
      </c>
      <c r="H3494" s="126">
        <f t="shared" si="163"/>
        <v>522.000000000001</v>
      </c>
      <c r="I3494" s="126" t="str">
        <f t="shared" si="164"/>
        <v>0y 0d 0h 8m</v>
      </c>
    </row>
    <row r="3495" s="91" customFormat="1" spans="1:9">
      <c r="A3495" s="91" t="str">
        <f t="shared" si="162"/>
        <v>Pa-238</v>
      </c>
      <c r="B3495" s="91" t="s">
        <v>4134</v>
      </c>
      <c r="C3495" s="91" t="s">
        <v>4106</v>
      </c>
      <c r="D3495" s="91">
        <v>91</v>
      </c>
      <c r="E3495" s="91">
        <v>238</v>
      </c>
      <c r="F3495" s="91">
        <v>0</v>
      </c>
      <c r="G3495" s="126">
        <v>0.00508918634772353</v>
      </c>
      <c r="H3495" s="126">
        <f t="shared" si="163"/>
        <v>136.2</v>
      </c>
      <c r="I3495" s="126" t="str">
        <f t="shared" si="164"/>
        <v>0y 0d 0h 2m</v>
      </c>
    </row>
    <row r="3496" s="91" customFormat="1" spans="1:9">
      <c r="A3496" s="91" t="str">
        <f t="shared" si="162"/>
        <v>Pa-239</v>
      </c>
      <c r="B3496" s="91" t="s">
        <v>4135</v>
      </c>
      <c r="C3496" s="91" t="s">
        <v>4106</v>
      </c>
      <c r="D3496" s="91">
        <v>91</v>
      </c>
      <c r="E3496" s="91">
        <v>239</v>
      </c>
      <c r="F3496" s="91">
        <v>0</v>
      </c>
      <c r="G3496" s="126">
        <v>0.000106967157493818</v>
      </c>
      <c r="H3496" s="126">
        <f t="shared" si="163"/>
        <v>6480.00000000004</v>
      </c>
      <c r="I3496" s="126" t="str">
        <f t="shared" si="164"/>
        <v>0y 0d 1h 48m</v>
      </c>
    </row>
    <row r="3497" s="91" customFormat="1" spans="1:9">
      <c r="A3497" s="91" t="str">
        <f t="shared" si="162"/>
        <v>Pa-240</v>
      </c>
      <c r="B3497" s="91" t="s">
        <v>4136</v>
      </c>
      <c r="C3497" s="91" t="s">
        <v>4106</v>
      </c>
      <c r="D3497" s="91">
        <v>91</v>
      </c>
      <c r="E3497" s="91">
        <v>240</v>
      </c>
      <c r="F3497" s="91">
        <v>0</v>
      </c>
      <c r="G3497" s="126">
        <v>0.00577622650466621</v>
      </c>
      <c r="H3497" s="126">
        <f t="shared" si="163"/>
        <v>120</v>
      </c>
      <c r="I3497" s="126" t="str">
        <f t="shared" si="164"/>
        <v>0y 0d 0h 2m</v>
      </c>
    </row>
    <row r="3498" s="91" customFormat="1" spans="1:9">
      <c r="A3498" s="91" t="str">
        <f t="shared" si="162"/>
        <v>U-217</v>
      </c>
      <c r="B3498" s="91" t="s">
        <v>4137</v>
      </c>
      <c r="C3498" s="91" t="s">
        <v>4138</v>
      </c>
      <c r="D3498" s="91">
        <v>92</v>
      </c>
      <c r="E3498" s="91">
        <v>217</v>
      </c>
      <c r="F3498" s="91">
        <v>0</v>
      </c>
      <c r="G3498" s="126">
        <v>29.4956247046785</v>
      </c>
      <c r="H3498" s="126">
        <f t="shared" si="163"/>
        <v>0.0235</v>
      </c>
      <c r="I3498" s="126" t="str">
        <f t="shared" si="164"/>
        <v>0y 0d 0h 0m</v>
      </c>
    </row>
    <row r="3499" s="91" customFormat="1" spans="1:9">
      <c r="A3499" s="91" t="str">
        <f t="shared" si="162"/>
        <v>U-218</v>
      </c>
      <c r="B3499" s="91" t="s">
        <v>4139</v>
      </c>
      <c r="C3499" s="91" t="s">
        <v>4138</v>
      </c>
      <c r="D3499" s="91">
        <v>92</v>
      </c>
      <c r="E3499" s="91">
        <v>218</v>
      </c>
      <c r="F3499" s="91">
        <v>0</v>
      </c>
      <c r="G3499" s="126">
        <v>1271.82968910081</v>
      </c>
      <c r="H3499" s="126">
        <f t="shared" si="163"/>
        <v>0.000545000000000003</v>
      </c>
      <c r="I3499" s="126" t="str">
        <f t="shared" si="164"/>
        <v>0y 0d 0h 0m</v>
      </c>
    </row>
    <row r="3500" s="91" customFormat="1" spans="1:9">
      <c r="A3500" s="91" t="str">
        <f t="shared" si="162"/>
        <v>U-219</v>
      </c>
      <c r="B3500" s="91" t="s">
        <v>4140</v>
      </c>
      <c r="C3500" s="91" t="s">
        <v>4138</v>
      </c>
      <c r="D3500" s="91">
        <v>92</v>
      </c>
      <c r="E3500" s="91">
        <v>219</v>
      </c>
      <c r="F3500" s="91">
        <v>0</v>
      </c>
      <c r="G3500" s="126">
        <v>16503.5042990463</v>
      </c>
      <c r="H3500" s="126">
        <f t="shared" si="163"/>
        <v>4.2e-5</v>
      </c>
      <c r="I3500" s="126" t="str">
        <f t="shared" si="164"/>
        <v>0y 0d 0h 0m</v>
      </c>
    </row>
    <row r="3501" s="91" customFormat="1" spans="1:9">
      <c r="A3501" s="91" t="str">
        <f t="shared" si="162"/>
        <v>U-220</v>
      </c>
      <c r="B3501" s="91" t="s">
        <v>4141</v>
      </c>
      <c r="C3501" s="91" t="s">
        <v>4138</v>
      </c>
      <c r="D3501" s="91">
        <v>92</v>
      </c>
      <c r="E3501" s="91">
        <v>220</v>
      </c>
      <c r="F3501" s="91">
        <v>0</v>
      </c>
      <c r="G3501" s="126">
        <v>11552453.0093324</v>
      </c>
      <c r="H3501" s="126">
        <f t="shared" si="163"/>
        <v>6.00000000000001e-8</v>
      </c>
      <c r="I3501" s="126" t="str">
        <f t="shared" si="164"/>
        <v>0y 0d 0h 0m</v>
      </c>
    </row>
    <row r="3502" s="91" customFormat="1" spans="1:9">
      <c r="A3502" s="91" t="str">
        <f t="shared" si="162"/>
        <v>U-222</v>
      </c>
      <c r="B3502" s="91" t="s">
        <v>4142</v>
      </c>
      <c r="C3502" s="91" t="s">
        <v>4138</v>
      </c>
      <c r="D3502" s="91">
        <v>92</v>
      </c>
      <c r="E3502" s="91">
        <v>222</v>
      </c>
      <c r="F3502" s="91">
        <v>0</v>
      </c>
      <c r="G3502" s="126">
        <v>533190.138892265</v>
      </c>
      <c r="H3502" s="126">
        <f t="shared" si="163"/>
        <v>1.3e-6</v>
      </c>
      <c r="I3502" s="126" t="str">
        <f t="shared" si="164"/>
        <v>0y 0d 0h 0m</v>
      </c>
    </row>
    <row r="3503" s="91" customFormat="1" spans="1:9">
      <c r="A3503" s="91" t="str">
        <f t="shared" si="162"/>
        <v>U-223</v>
      </c>
      <c r="B3503" s="91" t="s">
        <v>4143</v>
      </c>
      <c r="C3503" s="91" t="s">
        <v>4138</v>
      </c>
      <c r="D3503" s="91">
        <v>92</v>
      </c>
      <c r="E3503" s="91">
        <v>223</v>
      </c>
      <c r="F3503" s="91">
        <v>0</v>
      </c>
      <c r="G3503" s="126">
        <v>38508.1766977747</v>
      </c>
      <c r="H3503" s="126">
        <f t="shared" si="163"/>
        <v>1.8e-5</v>
      </c>
      <c r="I3503" s="126" t="str">
        <f t="shared" si="164"/>
        <v>0y 0d 0h 0m</v>
      </c>
    </row>
    <row r="3504" s="91" customFormat="1" spans="1:9">
      <c r="A3504" s="91" t="str">
        <f t="shared" si="162"/>
        <v>U-224</v>
      </c>
      <c r="B3504" s="91" t="s">
        <v>4144</v>
      </c>
      <c r="C3504" s="91" t="s">
        <v>4138</v>
      </c>
      <c r="D3504" s="91">
        <v>92</v>
      </c>
      <c r="E3504" s="91">
        <v>224</v>
      </c>
      <c r="F3504" s="91">
        <v>0</v>
      </c>
      <c r="G3504" s="126">
        <v>770.163533955494</v>
      </c>
      <c r="H3504" s="126">
        <f t="shared" si="163"/>
        <v>0.000900000000000001</v>
      </c>
      <c r="I3504" s="126" t="str">
        <f t="shared" si="164"/>
        <v>0y 0d 0h 0m</v>
      </c>
    </row>
    <row r="3505" s="91" customFormat="1" spans="1:9">
      <c r="A3505" s="91" t="str">
        <f t="shared" si="162"/>
        <v>U-225</v>
      </c>
      <c r="B3505" s="91" t="s">
        <v>4145</v>
      </c>
      <c r="C3505" s="91" t="s">
        <v>4138</v>
      </c>
      <c r="D3505" s="91">
        <v>92</v>
      </c>
      <c r="E3505" s="91">
        <v>225</v>
      </c>
      <c r="F3505" s="91">
        <v>0</v>
      </c>
      <c r="G3505" s="126">
        <v>8.25175214952315</v>
      </c>
      <c r="H3505" s="126">
        <f t="shared" si="163"/>
        <v>0.0840000000000001</v>
      </c>
      <c r="I3505" s="126" t="str">
        <f t="shared" si="164"/>
        <v>0y 0d 0h 0m</v>
      </c>
    </row>
    <row r="3506" s="91" customFormat="1" spans="1:9">
      <c r="A3506" s="91" t="str">
        <f t="shared" si="162"/>
        <v>U-226</v>
      </c>
      <c r="B3506" s="91" t="s">
        <v>4146</v>
      </c>
      <c r="C3506" s="91" t="s">
        <v>4138</v>
      </c>
      <c r="D3506" s="91">
        <v>92</v>
      </c>
      <c r="E3506" s="91">
        <v>226</v>
      </c>
      <c r="F3506" s="91">
        <v>0</v>
      </c>
      <c r="G3506" s="126">
        <v>1.98042051588555</v>
      </c>
      <c r="H3506" s="126">
        <f t="shared" si="163"/>
        <v>0.350000000000001</v>
      </c>
      <c r="I3506" s="126" t="str">
        <f t="shared" si="164"/>
        <v>0y 0d 0h 0m</v>
      </c>
    </row>
    <row r="3507" s="91" customFormat="1" spans="1:9">
      <c r="A3507" s="91" t="str">
        <f t="shared" si="162"/>
        <v>U-227</v>
      </c>
      <c r="B3507" s="91" t="s">
        <v>4147</v>
      </c>
      <c r="C3507" s="91" t="s">
        <v>4138</v>
      </c>
      <c r="D3507" s="91">
        <v>92</v>
      </c>
      <c r="E3507" s="91">
        <v>227</v>
      </c>
      <c r="F3507" s="91">
        <v>0</v>
      </c>
      <c r="G3507" s="126">
        <v>0.010502230008484</v>
      </c>
      <c r="H3507" s="126">
        <f t="shared" si="163"/>
        <v>66.0000000000001</v>
      </c>
      <c r="I3507" s="126" t="str">
        <f t="shared" si="164"/>
        <v>0y 0d 0h 1m</v>
      </c>
    </row>
    <row r="3508" s="91" customFormat="1" spans="1:9">
      <c r="A3508" s="91" t="str">
        <f t="shared" si="162"/>
        <v>U-228</v>
      </c>
      <c r="B3508" s="91" t="s">
        <v>4148</v>
      </c>
      <c r="C3508" s="91" t="s">
        <v>4138</v>
      </c>
      <c r="D3508" s="91">
        <v>92</v>
      </c>
      <c r="E3508" s="91">
        <v>228</v>
      </c>
      <c r="F3508" s="91">
        <v>0</v>
      </c>
      <c r="G3508" s="126">
        <v>0.00126950033069587</v>
      </c>
      <c r="H3508" s="126">
        <f t="shared" si="163"/>
        <v>546</v>
      </c>
      <c r="I3508" s="126" t="str">
        <f t="shared" si="164"/>
        <v>0y 0d 0h 9m</v>
      </c>
    </row>
    <row r="3509" s="91" customFormat="1" spans="1:9">
      <c r="A3509" s="91" t="str">
        <f t="shared" si="162"/>
        <v>U-229</v>
      </c>
      <c r="B3509" s="91" t="s">
        <v>4149</v>
      </c>
      <c r="C3509" s="91" t="s">
        <v>4138</v>
      </c>
      <c r="D3509" s="91">
        <v>92</v>
      </c>
      <c r="E3509" s="91">
        <v>229</v>
      </c>
      <c r="F3509" s="91">
        <v>0</v>
      </c>
      <c r="G3509" s="126">
        <v>0.000199180224298834</v>
      </c>
      <c r="H3509" s="126">
        <f t="shared" si="163"/>
        <v>3480.00000000001</v>
      </c>
      <c r="I3509" s="126" t="str">
        <f t="shared" si="164"/>
        <v>0y 0d 0h 58m</v>
      </c>
    </row>
    <row r="3510" s="91" customFormat="1" spans="1:9">
      <c r="A3510" s="91" t="str">
        <f t="shared" si="162"/>
        <v>U-230</v>
      </c>
      <c r="B3510" s="91" t="s">
        <v>4150</v>
      </c>
      <c r="C3510" s="91" t="s">
        <v>4138</v>
      </c>
      <c r="D3510" s="91">
        <v>92</v>
      </c>
      <c r="E3510" s="91">
        <v>230</v>
      </c>
      <c r="F3510" s="91">
        <v>0</v>
      </c>
      <c r="G3510" s="126">
        <v>3.85698885194057e-7</v>
      </c>
      <c r="H3510" s="126">
        <f t="shared" si="163"/>
        <v>1797120</v>
      </c>
      <c r="I3510" s="126" t="str">
        <f t="shared" si="164"/>
        <v>0y 20d 19h 12m</v>
      </c>
    </row>
    <row r="3511" s="91" customFormat="1" spans="1:9">
      <c r="A3511" s="91" t="str">
        <f t="shared" si="162"/>
        <v>U-231</v>
      </c>
      <c r="B3511" s="91" t="s">
        <v>4151</v>
      </c>
      <c r="C3511" s="91" t="s">
        <v>4138</v>
      </c>
      <c r="D3511" s="91">
        <v>92</v>
      </c>
      <c r="E3511" s="91">
        <v>231</v>
      </c>
      <c r="F3511" s="91">
        <v>0</v>
      </c>
      <c r="G3511" s="126">
        <v>1.91012781238962e-6</v>
      </c>
      <c r="H3511" s="126">
        <f t="shared" si="163"/>
        <v>362880</v>
      </c>
      <c r="I3511" s="126" t="str">
        <f t="shared" si="164"/>
        <v>0y 4d 4h 47m</v>
      </c>
    </row>
    <row r="3512" s="91" customFormat="1" spans="1:9">
      <c r="A3512" s="91" t="str">
        <f t="shared" si="162"/>
        <v>U-232</v>
      </c>
      <c r="B3512" s="91" t="s">
        <v>4152</v>
      </c>
      <c r="C3512" s="91" t="s">
        <v>4138</v>
      </c>
      <c r="D3512" s="91">
        <v>92</v>
      </c>
      <c r="E3512" s="91">
        <v>232</v>
      </c>
      <c r="F3512" s="91">
        <v>0</v>
      </c>
      <c r="G3512" s="126">
        <v>3.18788172554232e-10</v>
      </c>
      <c r="H3512" s="126">
        <f t="shared" si="163"/>
        <v>2174319000</v>
      </c>
      <c r="I3512" s="126" t="str">
        <f t="shared" si="164"/>
        <v>68y 345d 17h 30m</v>
      </c>
    </row>
    <row r="3513" s="91" customFormat="1" spans="1:9">
      <c r="A3513" s="91" t="str">
        <f t="shared" si="162"/>
        <v>U-233</v>
      </c>
      <c r="B3513" s="91" t="s">
        <v>4153</v>
      </c>
      <c r="C3513" s="91" t="s">
        <v>4138</v>
      </c>
      <c r="D3513" s="91">
        <v>92</v>
      </c>
      <c r="E3513" s="91">
        <v>233</v>
      </c>
      <c r="F3513" s="91">
        <v>0</v>
      </c>
      <c r="G3513" s="126">
        <v>1.37968017436398e-13</v>
      </c>
      <c r="H3513" s="126">
        <f t="shared" si="163"/>
        <v>5023970000000.04</v>
      </c>
      <c r="I3513" s="126" t="str">
        <f t="shared" si="164"/>
        <v>159309y 15d 22h 13m</v>
      </c>
    </row>
    <row r="3514" s="91" customFormat="1" spans="1:9">
      <c r="A3514" s="91" t="str">
        <f t="shared" si="162"/>
        <v>U-234</v>
      </c>
      <c r="B3514" s="91" t="s">
        <v>4154</v>
      </c>
      <c r="C3514" s="91" t="s">
        <v>4138</v>
      </c>
      <c r="D3514" s="91">
        <v>92</v>
      </c>
      <c r="E3514" s="91">
        <v>234</v>
      </c>
      <c r="F3514" s="91">
        <v>0</v>
      </c>
      <c r="G3514" s="126">
        <v>8.94684765527416e-14</v>
      </c>
      <c r="H3514" s="126">
        <f t="shared" si="163"/>
        <v>7747390000000.01</v>
      </c>
      <c r="I3514" s="126" t="str">
        <f t="shared" si="164"/>
        <v>245668y 45d 17h 46m</v>
      </c>
    </row>
    <row r="3515" s="91" customFormat="1" spans="1:9">
      <c r="A3515" s="91" t="str">
        <f t="shared" si="162"/>
        <v>U-235</v>
      </c>
      <c r="B3515" s="91" t="s">
        <v>4155</v>
      </c>
      <c r="C3515" s="91" t="s">
        <v>4138</v>
      </c>
      <c r="D3515" s="91">
        <v>92</v>
      </c>
      <c r="E3515" s="91">
        <v>235</v>
      </c>
      <c r="F3515" s="91">
        <v>0</v>
      </c>
      <c r="G3515" s="126">
        <v>3.12085069274452e-17</v>
      </c>
      <c r="H3515" s="126">
        <f t="shared" si="163"/>
        <v>2.22102000000001e+16</v>
      </c>
      <c r="I3515" s="126" t="str">
        <f t="shared" si="164"/>
        <v>704280821y 335d 0h 1m</v>
      </c>
    </row>
    <row r="3516" s="91" customFormat="1" spans="1:9">
      <c r="A3516" s="91" t="str">
        <f t="shared" si="162"/>
        <v>U-235m</v>
      </c>
      <c r="B3516" s="91" t="s">
        <v>4156</v>
      </c>
      <c r="C3516" s="91" t="s">
        <v>4138</v>
      </c>
      <c r="D3516" s="91">
        <v>92</v>
      </c>
      <c r="E3516" s="91">
        <v>235</v>
      </c>
      <c r="F3516" s="91">
        <v>1</v>
      </c>
      <c r="G3516" s="126">
        <v>0.000444325115743554</v>
      </c>
      <c r="H3516" s="126">
        <f t="shared" si="163"/>
        <v>1560</v>
      </c>
      <c r="I3516" s="126" t="str">
        <f t="shared" si="164"/>
        <v>0y 0d 0h 26m</v>
      </c>
    </row>
    <row r="3517" s="91" customFormat="1" spans="1:9">
      <c r="A3517" s="91" t="str">
        <f t="shared" si="162"/>
        <v>U-236</v>
      </c>
      <c r="B3517" s="91" t="s">
        <v>4157</v>
      </c>
      <c r="C3517" s="91" t="s">
        <v>4138</v>
      </c>
      <c r="D3517" s="91">
        <v>92</v>
      </c>
      <c r="E3517" s="91">
        <v>236</v>
      </c>
      <c r="F3517" s="91">
        <v>0</v>
      </c>
      <c r="G3517" s="126">
        <v>9.37852625443214e-16</v>
      </c>
      <c r="H3517" s="126">
        <f t="shared" si="163"/>
        <v>739079000000000</v>
      </c>
      <c r="I3517" s="126" t="str">
        <f t="shared" si="164"/>
        <v>23436041y 127d 14h 13m</v>
      </c>
    </row>
    <row r="3518" s="91" customFormat="1" spans="1:9">
      <c r="A3518" s="91" t="str">
        <f t="shared" si="162"/>
        <v>U-237</v>
      </c>
      <c r="B3518" s="91" t="s">
        <v>4158</v>
      </c>
      <c r="C3518" s="91" t="s">
        <v>4138</v>
      </c>
      <c r="D3518" s="91">
        <v>92</v>
      </c>
      <c r="E3518" s="91">
        <v>237</v>
      </c>
      <c r="F3518" s="91">
        <v>0</v>
      </c>
      <c r="G3518" s="126">
        <v>1.18852397215354e-6</v>
      </c>
      <c r="H3518" s="126">
        <f t="shared" si="163"/>
        <v>583200.000000001</v>
      </c>
      <c r="I3518" s="126" t="str">
        <f t="shared" si="164"/>
        <v>0y 6d 18h 0m</v>
      </c>
    </row>
    <row r="3519" s="91" customFormat="1" spans="1:9">
      <c r="A3519" s="91" t="str">
        <f t="shared" si="162"/>
        <v>U-238</v>
      </c>
      <c r="B3519" s="91" t="s">
        <v>4159</v>
      </c>
      <c r="C3519" s="91" t="s">
        <v>4138</v>
      </c>
      <c r="D3519" s="91">
        <v>92</v>
      </c>
      <c r="E3519" s="91">
        <v>238</v>
      </c>
      <c r="F3519" s="91">
        <v>0</v>
      </c>
      <c r="G3519" s="126">
        <v>4.91597231583163e-18</v>
      </c>
      <c r="H3519" s="126">
        <f t="shared" si="163"/>
        <v>1.40999e+17</v>
      </c>
      <c r="I3519" s="126" t="str">
        <f t="shared" si="164"/>
        <v>4471048959y 335d 8h 57m</v>
      </c>
    </row>
    <row r="3520" s="91" customFormat="1" spans="1:9">
      <c r="A3520" s="91" t="str">
        <f t="shared" si="162"/>
        <v>U-239</v>
      </c>
      <c r="B3520" s="91" t="s">
        <v>4160</v>
      </c>
      <c r="C3520" s="91" t="s">
        <v>4138</v>
      </c>
      <c r="D3520" s="91">
        <v>92</v>
      </c>
      <c r="E3520" s="91">
        <v>239</v>
      </c>
      <c r="F3520" s="91">
        <v>0</v>
      </c>
      <c r="G3520" s="126">
        <v>0.000492641919374516</v>
      </c>
      <c r="H3520" s="126">
        <f t="shared" si="163"/>
        <v>1407</v>
      </c>
      <c r="I3520" s="126" t="str">
        <f t="shared" si="164"/>
        <v>0y 0d 0h 23m</v>
      </c>
    </row>
    <row r="3521" s="91" customFormat="1" spans="1:9">
      <c r="A3521" s="91" t="str">
        <f t="shared" si="162"/>
        <v>U-240</v>
      </c>
      <c r="B3521" s="91" t="s">
        <v>4161</v>
      </c>
      <c r="C3521" s="91" t="s">
        <v>4138</v>
      </c>
      <c r="D3521" s="91">
        <v>92</v>
      </c>
      <c r="E3521" s="91">
        <v>240</v>
      </c>
      <c r="F3521" s="91">
        <v>0</v>
      </c>
      <c r="G3521" s="126">
        <v>1.36553818077215e-5</v>
      </c>
      <c r="H3521" s="126">
        <f t="shared" si="163"/>
        <v>50760.0000000001</v>
      </c>
      <c r="I3521" s="126" t="str">
        <f t="shared" si="164"/>
        <v>0y 0d 14h 6m</v>
      </c>
    </row>
    <row r="3522" s="91" customFormat="1" spans="1:9">
      <c r="A3522" s="91" t="str">
        <f t="shared" ref="A3522:A3585" si="165">C3522&amp;"-"&amp;E3522&amp;_xlfn.IFS(F3522=0,"",F3522=1,"m",F3522&gt;1,"m"&amp;F3522)</f>
        <v>U-241</v>
      </c>
      <c r="B3522" s="91" t="s">
        <v>4162</v>
      </c>
      <c r="C3522" s="91" t="s">
        <v>4138</v>
      </c>
      <c r="D3522" s="91">
        <v>92</v>
      </c>
      <c r="E3522" s="91">
        <v>241</v>
      </c>
      <c r="F3522" s="91">
        <v>0</v>
      </c>
      <c r="G3522" s="126">
        <v>0.00231049060186648</v>
      </c>
      <c r="H3522" s="126">
        <f t="shared" ref="H3522:H3585" si="166">IF(G3522&gt;0,LN(2)/G3522,0)</f>
        <v>300.000000000001</v>
      </c>
      <c r="I3522" s="126" t="str">
        <f t="shared" si="164"/>
        <v>0y 0d 0h 5m</v>
      </c>
    </row>
    <row r="3523" s="91" customFormat="1" spans="1:9">
      <c r="A3523" s="91" t="str">
        <f t="shared" si="165"/>
        <v>U-242</v>
      </c>
      <c r="B3523" s="91" t="s">
        <v>4163</v>
      </c>
      <c r="C3523" s="91" t="s">
        <v>4138</v>
      </c>
      <c r="D3523" s="91">
        <v>92</v>
      </c>
      <c r="E3523" s="91">
        <v>242</v>
      </c>
      <c r="F3523" s="91">
        <v>0</v>
      </c>
      <c r="G3523" s="126">
        <v>0.000687646012460263</v>
      </c>
      <c r="H3523" s="126">
        <f t="shared" si="166"/>
        <v>1008</v>
      </c>
      <c r="I3523" s="126" t="str">
        <f t="shared" ref="I3523:I3586" si="167">INT(H3523/31536000)&amp;"y "&amp;INT(MOD(H3523,31536000)/86400)&amp;"d "&amp;INT(MOD(MOD(H3523,31536000),86400)/3600)&amp;"h "&amp;INT(MOD(MOD(MOD(H3523,31536000),86400),3600)/60)&amp;"m"</f>
        <v>0y 0d 0h 16m</v>
      </c>
    </row>
    <row r="3524" s="91" customFormat="1" spans="1:9">
      <c r="A3524" s="91" t="str">
        <f t="shared" si="165"/>
        <v>Np-225</v>
      </c>
      <c r="B3524" s="91" t="s">
        <v>4164</v>
      </c>
      <c r="C3524" s="91" t="s">
        <v>4165</v>
      </c>
      <c r="D3524" s="91">
        <v>93</v>
      </c>
      <c r="E3524" s="91">
        <v>225</v>
      </c>
      <c r="F3524" s="91">
        <v>0</v>
      </c>
      <c r="G3524" s="126">
        <v>346573.590279972</v>
      </c>
      <c r="H3524" s="126">
        <f t="shared" si="166"/>
        <v>2e-6</v>
      </c>
      <c r="I3524" s="126" t="str">
        <f t="shared" si="167"/>
        <v>0y 0d 0h 0m</v>
      </c>
    </row>
    <row r="3525" s="91" customFormat="1" spans="1:9">
      <c r="A3525" s="91" t="str">
        <f t="shared" si="165"/>
        <v>Np-226</v>
      </c>
      <c r="B3525" s="91" t="s">
        <v>4166</v>
      </c>
      <c r="C3525" s="91" t="s">
        <v>4165</v>
      </c>
      <c r="D3525" s="91">
        <v>93</v>
      </c>
      <c r="E3525" s="91">
        <v>226</v>
      </c>
      <c r="F3525" s="91">
        <v>0</v>
      </c>
      <c r="G3525" s="126">
        <v>19.8042051588555</v>
      </c>
      <c r="H3525" s="126">
        <f t="shared" si="166"/>
        <v>0.0350000000000001</v>
      </c>
      <c r="I3525" s="126" t="str">
        <f t="shared" si="167"/>
        <v>0y 0d 0h 0m</v>
      </c>
    </row>
    <row r="3526" s="91" customFormat="1" spans="1:9">
      <c r="A3526" s="91" t="str">
        <f t="shared" si="165"/>
        <v>Np-227</v>
      </c>
      <c r="B3526" s="91" t="s">
        <v>4167</v>
      </c>
      <c r="C3526" s="91" t="s">
        <v>4165</v>
      </c>
      <c r="D3526" s="91">
        <v>93</v>
      </c>
      <c r="E3526" s="91">
        <v>227</v>
      </c>
      <c r="F3526" s="91">
        <v>0</v>
      </c>
      <c r="G3526" s="126">
        <v>1.35911211874499</v>
      </c>
      <c r="H3526" s="126">
        <f t="shared" si="166"/>
        <v>0.51</v>
      </c>
      <c r="I3526" s="126" t="str">
        <f t="shared" si="167"/>
        <v>0y 0d 0h 0m</v>
      </c>
    </row>
    <row r="3527" s="91" customFormat="1" spans="1:9">
      <c r="A3527" s="91" t="str">
        <f t="shared" si="165"/>
        <v>Np-228</v>
      </c>
      <c r="B3527" s="91" t="s">
        <v>4168</v>
      </c>
      <c r="C3527" s="91" t="s">
        <v>4165</v>
      </c>
      <c r="D3527" s="91">
        <v>93</v>
      </c>
      <c r="E3527" s="91">
        <v>228</v>
      </c>
      <c r="F3527" s="91">
        <v>0</v>
      </c>
      <c r="G3527" s="126">
        <v>0.0112890420286636</v>
      </c>
      <c r="H3527" s="126">
        <f t="shared" si="166"/>
        <v>61.4</v>
      </c>
      <c r="I3527" s="126" t="str">
        <f t="shared" si="167"/>
        <v>0y 0d 0h 1m</v>
      </c>
    </row>
    <row r="3528" s="91" customFormat="1" spans="1:9">
      <c r="A3528" s="91" t="str">
        <f t="shared" si="165"/>
        <v>Np-229</v>
      </c>
      <c r="B3528" s="91" t="s">
        <v>4169</v>
      </c>
      <c r="C3528" s="91" t="s">
        <v>4165</v>
      </c>
      <c r="D3528" s="91">
        <v>93</v>
      </c>
      <c r="E3528" s="91">
        <v>229</v>
      </c>
      <c r="F3528" s="91">
        <v>0</v>
      </c>
      <c r="G3528" s="126">
        <v>0.0028881132523331</v>
      </c>
      <c r="H3528" s="126">
        <f t="shared" si="166"/>
        <v>240</v>
      </c>
      <c r="I3528" s="126" t="str">
        <f t="shared" si="167"/>
        <v>0y 0d 0h 4m</v>
      </c>
    </row>
    <row r="3529" s="91" customFormat="1" spans="1:9">
      <c r="A3529" s="91" t="str">
        <f t="shared" si="165"/>
        <v>Np-230</v>
      </c>
      <c r="B3529" s="91" t="s">
        <v>4170</v>
      </c>
      <c r="C3529" s="91" t="s">
        <v>4165</v>
      </c>
      <c r="D3529" s="91">
        <v>93</v>
      </c>
      <c r="E3529" s="91">
        <v>230</v>
      </c>
      <c r="F3529" s="91">
        <v>0</v>
      </c>
      <c r="G3529" s="126">
        <v>0.00251140282811574</v>
      </c>
      <c r="H3529" s="126">
        <f t="shared" si="166"/>
        <v>276</v>
      </c>
      <c r="I3529" s="126" t="str">
        <f t="shared" si="167"/>
        <v>0y 0d 0h 4m</v>
      </c>
    </row>
    <row r="3530" s="91" customFormat="1" spans="1:9">
      <c r="A3530" s="91" t="str">
        <f t="shared" si="165"/>
        <v>Np-231</v>
      </c>
      <c r="B3530" s="91" t="s">
        <v>4171</v>
      </c>
      <c r="C3530" s="91" t="s">
        <v>4165</v>
      </c>
      <c r="D3530" s="91">
        <v>93</v>
      </c>
      <c r="E3530" s="91">
        <v>231</v>
      </c>
      <c r="F3530" s="91">
        <v>0</v>
      </c>
      <c r="G3530" s="126">
        <v>0.000236730594453533</v>
      </c>
      <c r="H3530" s="126">
        <f t="shared" si="166"/>
        <v>2928</v>
      </c>
      <c r="I3530" s="126" t="str">
        <f t="shared" si="167"/>
        <v>0y 0d 0h 48m</v>
      </c>
    </row>
    <row r="3531" s="91" customFormat="1" spans="1:9">
      <c r="A3531" s="91" t="str">
        <f t="shared" si="165"/>
        <v>Np-232</v>
      </c>
      <c r="B3531" s="91" t="s">
        <v>4172</v>
      </c>
      <c r="C3531" s="91" t="s">
        <v>4165</v>
      </c>
      <c r="D3531" s="91">
        <v>93</v>
      </c>
      <c r="E3531" s="91">
        <v>232</v>
      </c>
      <c r="F3531" s="91">
        <v>0</v>
      </c>
      <c r="G3531" s="126">
        <v>0.000785881157097443</v>
      </c>
      <c r="H3531" s="126">
        <f t="shared" si="166"/>
        <v>882.000000000001</v>
      </c>
      <c r="I3531" s="126" t="str">
        <f t="shared" si="167"/>
        <v>0y 0d 0h 14m</v>
      </c>
    </row>
    <row r="3532" s="91" customFormat="1" spans="1:9">
      <c r="A3532" s="91" t="str">
        <f t="shared" si="165"/>
        <v>Np-233</v>
      </c>
      <c r="B3532" s="91" t="s">
        <v>4173</v>
      </c>
      <c r="C3532" s="91" t="s">
        <v>4165</v>
      </c>
      <c r="D3532" s="91">
        <v>93</v>
      </c>
      <c r="E3532" s="91">
        <v>233</v>
      </c>
      <c r="F3532" s="91">
        <v>0</v>
      </c>
      <c r="G3532" s="126">
        <v>0.000319128536169403</v>
      </c>
      <c r="H3532" s="126">
        <f t="shared" si="166"/>
        <v>2172.00000000001</v>
      </c>
      <c r="I3532" s="126" t="str">
        <f t="shared" si="167"/>
        <v>0y 0d 0h 36m</v>
      </c>
    </row>
    <row r="3533" s="91" customFormat="1" spans="1:9">
      <c r="A3533" s="91" t="str">
        <f t="shared" si="165"/>
        <v>Np-234</v>
      </c>
      <c r="B3533" s="91" t="s">
        <v>4174</v>
      </c>
      <c r="C3533" s="91" t="s">
        <v>4165</v>
      </c>
      <c r="D3533" s="91">
        <v>93</v>
      </c>
      <c r="E3533" s="91">
        <v>234</v>
      </c>
      <c r="F3533" s="91">
        <v>0</v>
      </c>
      <c r="G3533" s="126">
        <v>1.82330382091736e-6</v>
      </c>
      <c r="H3533" s="126">
        <f t="shared" si="166"/>
        <v>380160.000000001</v>
      </c>
      <c r="I3533" s="126" t="str">
        <f t="shared" si="167"/>
        <v>0y 4d 9h 36m</v>
      </c>
    </row>
    <row r="3534" s="91" customFormat="1" spans="1:9">
      <c r="A3534" s="91" t="str">
        <f t="shared" si="165"/>
        <v>Np-235</v>
      </c>
      <c r="B3534" s="91" t="s">
        <v>4175</v>
      </c>
      <c r="C3534" s="91" t="s">
        <v>4165</v>
      </c>
      <c r="D3534" s="91">
        <v>93</v>
      </c>
      <c r="E3534" s="91">
        <v>235</v>
      </c>
      <c r="F3534" s="91">
        <v>0</v>
      </c>
      <c r="G3534" s="126">
        <v>2.02487047249783e-8</v>
      </c>
      <c r="H3534" s="126">
        <f t="shared" si="166"/>
        <v>34231680</v>
      </c>
      <c r="I3534" s="126" t="str">
        <f t="shared" si="167"/>
        <v>1y 31d 4h 48m</v>
      </c>
    </row>
    <row r="3535" s="91" customFormat="1" spans="1:9">
      <c r="A3535" s="91" t="str">
        <f t="shared" si="165"/>
        <v>Np-236</v>
      </c>
      <c r="B3535" s="91" t="s">
        <v>4176</v>
      </c>
      <c r="C3535" s="91" t="s">
        <v>4165</v>
      </c>
      <c r="D3535" s="91">
        <v>93</v>
      </c>
      <c r="E3535" s="91">
        <v>236</v>
      </c>
      <c r="F3535" s="91">
        <v>0</v>
      </c>
      <c r="G3535" s="126">
        <v>1.43558963811342e-13</v>
      </c>
      <c r="H3535" s="126">
        <f t="shared" si="166"/>
        <v>4828310000000.03</v>
      </c>
      <c r="I3535" s="126" t="str">
        <f t="shared" si="167"/>
        <v>153104y 257d 14h 13m</v>
      </c>
    </row>
    <row r="3536" s="91" customFormat="1" spans="1:9">
      <c r="A3536" s="91" t="str">
        <f t="shared" si="165"/>
        <v>Np-236m</v>
      </c>
      <c r="B3536" s="91" t="s">
        <v>4177</v>
      </c>
      <c r="C3536" s="91" t="s">
        <v>4165</v>
      </c>
      <c r="D3536" s="91">
        <v>93</v>
      </c>
      <c r="E3536" s="91">
        <v>236</v>
      </c>
      <c r="F3536" s="91">
        <v>1</v>
      </c>
      <c r="G3536" s="126">
        <v>8.55737259950549e-6</v>
      </c>
      <c r="H3536" s="126">
        <f t="shared" si="166"/>
        <v>81000.0000000001</v>
      </c>
      <c r="I3536" s="126" t="str">
        <f t="shared" si="167"/>
        <v>0y 0d 22h 30m</v>
      </c>
    </row>
    <row r="3537" s="91" customFormat="1" spans="1:9">
      <c r="A3537" s="91" t="str">
        <f t="shared" si="165"/>
        <v>Np-237</v>
      </c>
      <c r="B3537" s="91" t="s">
        <v>4178</v>
      </c>
      <c r="C3537" s="91" t="s">
        <v>4165</v>
      </c>
      <c r="D3537" s="91">
        <v>93</v>
      </c>
      <c r="E3537" s="91">
        <v>237</v>
      </c>
      <c r="F3537" s="91">
        <v>0</v>
      </c>
      <c r="G3537" s="126">
        <v>1.02446394158979e-14</v>
      </c>
      <c r="H3537" s="126">
        <f t="shared" si="166"/>
        <v>67659500000000.1</v>
      </c>
      <c r="I3537" s="126" t="str">
        <f t="shared" si="167"/>
        <v>2145468y 244d 19h 33m</v>
      </c>
    </row>
    <row r="3538" s="91" customFormat="1" spans="1:9">
      <c r="A3538" s="91" t="str">
        <f t="shared" si="165"/>
        <v>Np-238</v>
      </c>
      <c r="B3538" s="91" t="s">
        <v>4179</v>
      </c>
      <c r="C3538" s="91" t="s">
        <v>4165</v>
      </c>
      <c r="D3538" s="91">
        <v>93</v>
      </c>
      <c r="E3538" s="91">
        <v>238</v>
      </c>
      <c r="F3538" s="91">
        <v>0</v>
      </c>
      <c r="G3538" s="126">
        <v>3.78957808787737e-6</v>
      </c>
      <c r="H3538" s="126">
        <f t="shared" si="166"/>
        <v>182908.8</v>
      </c>
      <c r="I3538" s="126" t="str">
        <f t="shared" si="167"/>
        <v>0y 2d 2h 48m</v>
      </c>
    </row>
    <row r="3539" s="91" customFormat="1" spans="1:9">
      <c r="A3539" s="91" t="str">
        <f t="shared" si="165"/>
        <v>Np-239</v>
      </c>
      <c r="B3539" s="91" t="s">
        <v>4180</v>
      </c>
      <c r="C3539" s="91" t="s">
        <v>4165</v>
      </c>
      <c r="D3539" s="91">
        <v>93</v>
      </c>
      <c r="E3539" s="91">
        <v>239</v>
      </c>
      <c r="F3539" s="91">
        <v>0</v>
      </c>
      <c r="G3539" s="126">
        <v>3.40515144823276e-6</v>
      </c>
      <c r="H3539" s="126">
        <f t="shared" si="166"/>
        <v>203558.400000001</v>
      </c>
      <c r="I3539" s="126" t="str">
        <f t="shared" si="167"/>
        <v>0y 2d 8h 32m</v>
      </c>
    </row>
    <row r="3540" s="91" customFormat="1" spans="1:9">
      <c r="A3540" s="91" t="str">
        <f t="shared" si="165"/>
        <v>Np-240</v>
      </c>
      <c r="B3540" s="91" t="s">
        <v>4181</v>
      </c>
      <c r="C3540" s="91" t="s">
        <v>4165</v>
      </c>
      <c r="D3540" s="91">
        <v>93</v>
      </c>
      <c r="E3540" s="91">
        <v>240</v>
      </c>
      <c r="F3540" s="91">
        <v>0</v>
      </c>
      <c r="G3540" s="126">
        <v>0.000186630904835741</v>
      </c>
      <c r="H3540" s="126">
        <f t="shared" si="166"/>
        <v>3714.00000000002</v>
      </c>
      <c r="I3540" s="126" t="str">
        <f t="shared" si="167"/>
        <v>0y 0d 1h 1m</v>
      </c>
    </row>
    <row r="3541" s="91" customFormat="1" spans="1:9">
      <c r="A3541" s="91" t="str">
        <f t="shared" si="165"/>
        <v>Np-240m</v>
      </c>
      <c r="B3541" s="91" t="s">
        <v>4182</v>
      </c>
      <c r="C3541" s="91" t="s">
        <v>4165</v>
      </c>
      <c r="D3541" s="91">
        <v>93</v>
      </c>
      <c r="E3541" s="91">
        <v>240</v>
      </c>
      <c r="F3541" s="91">
        <v>1</v>
      </c>
      <c r="G3541" s="126">
        <v>0.00160006274367485</v>
      </c>
      <c r="H3541" s="126">
        <f t="shared" si="166"/>
        <v>433.2</v>
      </c>
      <c r="I3541" s="126" t="str">
        <f t="shared" si="167"/>
        <v>0y 0d 0h 7m</v>
      </c>
    </row>
    <row r="3542" s="91" customFormat="1" spans="1:9">
      <c r="A3542" s="91" t="str">
        <f t="shared" si="165"/>
        <v>Np-241</v>
      </c>
      <c r="B3542" s="91" t="s">
        <v>4183</v>
      </c>
      <c r="C3542" s="91" t="s">
        <v>4165</v>
      </c>
      <c r="D3542" s="91">
        <v>93</v>
      </c>
      <c r="E3542" s="91">
        <v>241</v>
      </c>
      <c r="F3542" s="91">
        <v>0</v>
      </c>
      <c r="G3542" s="126">
        <v>0.000831111727290102</v>
      </c>
      <c r="H3542" s="126">
        <f t="shared" si="166"/>
        <v>834</v>
      </c>
      <c r="I3542" s="126" t="str">
        <f t="shared" si="167"/>
        <v>0y 0d 0h 13m</v>
      </c>
    </row>
    <row r="3543" s="91" customFormat="1" spans="1:9">
      <c r="A3543" s="91" t="str">
        <f t="shared" si="165"/>
        <v>Np-242</v>
      </c>
      <c r="B3543" s="91" t="s">
        <v>4184</v>
      </c>
      <c r="C3543" s="91" t="s">
        <v>4165</v>
      </c>
      <c r="D3543" s="91">
        <v>93</v>
      </c>
      <c r="E3543" s="91">
        <v>242</v>
      </c>
      <c r="F3543" s="91">
        <v>0</v>
      </c>
      <c r="G3543" s="126">
        <v>0.00525111500424201</v>
      </c>
      <c r="H3543" s="126">
        <f t="shared" si="166"/>
        <v>132</v>
      </c>
      <c r="I3543" s="126" t="str">
        <f t="shared" si="167"/>
        <v>0y 0d 0h 2m</v>
      </c>
    </row>
    <row r="3544" s="91" customFormat="1" spans="1:9">
      <c r="A3544" s="91" t="str">
        <f t="shared" si="165"/>
        <v>Np-242m</v>
      </c>
      <c r="B3544" s="91" t="s">
        <v>4185</v>
      </c>
      <c r="C3544" s="91" t="s">
        <v>4165</v>
      </c>
      <c r="D3544" s="91">
        <v>93</v>
      </c>
      <c r="E3544" s="91">
        <v>242</v>
      </c>
      <c r="F3544" s="91">
        <v>1</v>
      </c>
      <c r="G3544" s="126">
        <v>0.0021004460016968</v>
      </c>
      <c r="H3544" s="126">
        <f t="shared" si="166"/>
        <v>330.000000000001</v>
      </c>
      <c r="I3544" s="126" t="str">
        <f t="shared" si="167"/>
        <v>0y 0d 0h 5m</v>
      </c>
    </row>
    <row r="3545" s="91" customFormat="1" spans="1:9">
      <c r="A3545" s="91" t="str">
        <f t="shared" si="165"/>
        <v>Np-243</v>
      </c>
      <c r="B3545" s="91" t="s">
        <v>4186</v>
      </c>
      <c r="C3545" s="91" t="s">
        <v>4165</v>
      </c>
      <c r="D3545" s="91">
        <v>93</v>
      </c>
      <c r="E3545" s="91">
        <v>243</v>
      </c>
      <c r="F3545" s="91">
        <v>0</v>
      </c>
      <c r="G3545" s="126">
        <v>0.00624456919423374</v>
      </c>
      <c r="H3545" s="126">
        <f t="shared" si="166"/>
        <v>111</v>
      </c>
      <c r="I3545" s="126" t="str">
        <f t="shared" si="167"/>
        <v>0y 0d 0h 1m</v>
      </c>
    </row>
    <row r="3546" s="91" customFormat="1" spans="1:9">
      <c r="A3546" s="91" t="str">
        <f t="shared" si="165"/>
        <v>Np-244</v>
      </c>
      <c r="B3546" s="91" t="s">
        <v>4187</v>
      </c>
      <c r="C3546" s="91" t="s">
        <v>4165</v>
      </c>
      <c r="D3546" s="91">
        <v>93</v>
      </c>
      <c r="E3546" s="91">
        <v>244</v>
      </c>
      <c r="F3546" s="91">
        <v>0</v>
      </c>
      <c r="G3546" s="126">
        <v>0.00504473930538533</v>
      </c>
      <c r="H3546" s="126">
        <f t="shared" si="166"/>
        <v>137.4</v>
      </c>
      <c r="I3546" s="126" t="str">
        <f t="shared" si="167"/>
        <v>0y 0d 0h 2m</v>
      </c>
    </row>
    <row r="3547" s="91" customFormat="1" spans="1:9">
      <c r="A3547" s="91" t="str">
        <f t="shared" si="165"/>
        <v>Pu-228</v>
      </c>
      <c r="B3547" s="91" t="s">
        <v>4188</v>
      </c>
      <c r="C3547" s="91" t="s">
        <v>4189</v>
      </c>
      <c r="D3547" s="91">
        <v>94</v>
      </c>
      <c r="E3547" s="91">
        <v>228</v>
      </c>
      <c r="F3547" s="91">
        <v>0</v>
      </c>
      <c r="G3547" s="126">
        <v>0.374674151654024</v>
      </c>
      <c r="H3547" s="126">
        <f t="shared" si="166"/>
        <v>1.85</v>
      </c>
      <c r="I3547" s="126" t="str">
        <f t="shared" si="167"/>
        <v>0y 0d 0h 0m</v>
      </c>
    </row>
    <row r="3548" s="91" customFormat="1" spans="1:9">
      <c r="A3548" s="91" t="str">
        <f t="shared" si="165"/>
        <v>Pu-229</v>
      </c>
      <c r="B3548" s="91" t="s">
        <v>4190</v>
      </c>
      <c r="C3548" s="91" t="s">
        <v>4189</v>
      </c>
      <c r="D3548" s="91">
        <v>94</v>
      </c>
      <c r="E3548" s="91">
        <v>229</v>
      </c>
      <c r="F3548" s="91">
        <v>0</v>
      </c>
      <c r="G3548" s="126">
        <v>0.00618881411214236</v>
      </c>
      <c r="H3548" s="126">
        <f t="shared" si="166"/>
        <v>112</v>
      </c>
      <c r="I3548" s="126" t="str">
        <f t="shared" si="167"/>
        <v>0y 0d 0h 1m</v>
      </c>
    </row>
    <row r="3549" s="91" customFormat="1" spans="1:9">
      <c r="A3549" s="91" t="str">
        <f t="shared" si="165"/>
        <v>Pu-230</v>
      </c>
      <c r="B3549" s="91" t="s">
        <v>4191</v>
      </c>
      <c r="C3549" s="91" t="s">
        <v>4189</v>
      </c>
      <c r="D3549" s="91">
        <v>94</v>
      </c>
      <c r="E3549" s="91">
        <v>230</v>
      </c>
      <c r="F3549" s="91">
        <v>0</v>
      </c>
      <c r="G3549" s="126">
        <v>0.00679556059372495</v>
      </c>
      <c r="H3549" s="126">
        <f t="shared" si="166"/>
        <v>102</v>
      </c>
      <c r="I3549" s="126" t="str">
        <f t="shared" si="167"/>
        <v>0y 0d 0h 1m</v>
      </c>
    </row>
    <row r="3550" s="91" customFormat="1" spans="1:9">
      <c r="A3550" s="91" t="str">
        <f t="shared" si="165"/>
        <v>Pu-231</v>
      </c>
      <c r="B3550" s="91" t="s">
        <v>4192</v>
      </c>
      <c r="C3550" s="91" t="s">
        <v>4189</v>
      </c>
      <c r="D3550" s="91">
        <v>94</v>
      </c>
      <c r="E3550" s="91">
        <v>231</v>
      </c>
      <c r="F3550" s="91">
        <v>0</v>
      </c>
      <c r="G3550" s="126">
        <v>0.00134330848945725</v>
      </c>
      <c r="H3550" s="126">
        <f t="shared" si="166"/>
        <v>516.000000000003</v>
      </c>
      <c r="I3550" s="126" t="str">
        <f t="shared" si="167"/>
        <v>0y 0d 0h 8m</v>
      </c>
    </row>
    <row r="3551" s="91" customFormat="1" spans="1:9">
      <c r="A3551" s="91" t="str">
        <f t="shared" si="165"/>
        <v>Pu-232</v>
      </c>
      <c r="B3551" s="91" t="s">
        <v>4193</v>
      </c>
      <c r="C3551" s="91" t="s">
        <v>4189</v>
      </c>
      <c r="D3551" s="91">
        <v>94</v>
      </c>
      <c r="E3551" s="91">
        <v>232</v>
      </c>
      <c r="F3551" s="91">
        <v>0</v>
      </c>
      <c r="G3551" s="126">
        <v>0.000341788550571965</v>
      </c>
      <c r="H3551" s="126">
        <f t="shared" si="166"/>
        <v>2028</v>
      </c>
      <c r="I3551" s="126" t="str">
        <f t="shared" si="167"/>
        <v>0y 0d 0h 33m</v>
      </c>
    </row>
    <row r="3552" s="91" customFormat="1" spans="1:9">
      <c r="A3552" s="91" t="str">
        <f t="shared" si="165"/>
        <v>Pu-233</v>
      </c>
      <c r="B3552" s="91" t="s">
        <v>4194</v>
      </c>
      <c r="C3552" s="91" t="s">
        <v>4189</v>
      </c>
      <c r="D3552" s="91">
        <v>94</v>
      </c>
      <c r="E3552" s="91">
        <v>233</v>
      </c>
      <c r="F3552" s="91">
        <v>0</v>
      </c>
      <c r="G3552" s="126">
        <v>0.000552748947814948</v>
      </c>
      <c r="H3552" s="126">
        <f t="shared" si="166"/>
        <v>1254</v>
      </c>
      <c r="I3552" s="126" t="str">
        <f t="shared" si="167"/>
        <v>0y 0d 0h 20m</v>
      </c>
    </row>
    <row r="3553" s="91" customFormat="1" spans="1:9">
      <c r="A3553" s="91" t="str">
        <f t="shared" si="165"/>
        <v>Pu-234</v>
      </c>
      <c r="B3553" s="91" t="s">
        <v>4195</v>
      </c>
      <c r="C3553" s="91" t="s">
        <v>4189</v>
      </c>
      <c r="D3553" s="91">
        <v>94</v>
      </c>
      <c r="E3553" s="91">
        <v>234</v>
      </c>
      <c r="F3553" s="91">
        <v>0</v>
      </c>
      <c r="G3553" s="126">
        <v>2.18796458510083e-5</v>
      </c>
      <c r="H3553" s="126">
        <f t="shared" si="166"/>
        <v>31680.0000000001</v>
      </c>
      <c r="I3553" s="126" t="str">
        <f t="shared" si="167"/>
        <v>0y 0d 8h 48m</v>
      </c>
    </row>
    <row r="3554" s="91" customFormat="1" spans="1:9">
      <c r="A3554" s="91" t="str">
        <f t="shared" si="165"/>
        <v>Pu-235</v>
      </c>
      <c r="B3554" s="91" t="s">
        <v>4196</v>
      </c>
      <c r="C3554" s="91" t="s">
        <v>4189</v>
      </c>
      <c r="D3554" s="91">
        <v>94</v>
      </c>
      <c r="E3554" s="91">
        <v>235</v>
      </c>
      <c r="F3554" s="91">
        <v>0</v>
      </c>
      <c r="G3554" s="126">
        <v>0.000456618696021044</v>
      </c>
      <c r="H3554" s="126">
        <f t="shared" si="166"/>
        <v>1518</v>
      </c>
      <c r="I3554" s="126" t="str">
        <f t="shared" si="167"/>
        <v>0y 0d 0h 25m</v>
      </c>
    </row>
    <row r="3555" s="91" customFormat="1" spans="1:9">
      <c r="A3555" s="91" t="str">
        <f t="shared" si="165"/>
        <v>Pu-236</v>
      </c>
      <c r="B3555" s="91" t="s">
        <v>4197</v>
      </c>
      <c r="C3555" s="91" t="s">
        <v>4189</v>
      </c>
      <c r="D3555" s="91">
        <v>94</v>
      </c>
      <c r="E3555" s="91">
        <v>236</v>
      </c>
      <c r="F3555" s="91">
        <v>0</v>
      </c>
      <c r="G3555" s="126">
        <v>7.68527254039727e-9</v>
      </c>
      <c r="H3555" s="126">
        <f t="shared" si="166"/>
        <v>90191620</v>
      </c>
      <c r="I3555" s="126" t="str">
        <f t="shared" si="167"/>
        <v>2y 313d 21h 13m</v>
      </c>
    </row>
    <row r="3556" s="91" customFormat="1" spans="1:9">
      <c r="A3556" s="91" t="str">
        <f t="shared" si="165"/>
        <v>Pu-237</v>
      </c>
      <c r="B3556" s="91" t="s">
        <v>4198</v>
      </c>
      <c r="C3556" s="91" t="s">
        <v>4189</v>
      </c>
      <c r="D3556" s="91">
        <v>94</v>
      </c>
      <c r="E3556" s="91">
        <v>237</v>
      </c>
      <c r="F3556" s="91">
        <v>0</v>
      </c>
      <c r="G3556" s="126">
        <v>1.75778633041989e-7</v>
      </c>
      <c r="H3556" s="126">
        <f t="shared" si="166"/>
        <v>3943296.00000001</v>
      </c>
      <c r="I3556" s="126" t="str">
        <f t="shared" si="167"/>
        <v>0y 45d 15h 21m</v>
      </c>
    </row>
    <row r="3557" s="91" customFormat="1" spans="1:9">
      <c r="A3557" s="91" t="str">
        <f t="shared" si="165"/>
        <v>Pu-237m</v>
      </c>
      <c r="B3557" s="91" t="s">
        <v>4199</v>
      </c>
      <c r="C3557" s="91" t="s">
        <v>4189</v>
      </c>
      <c r="D3557" s="91">
        <v>94</v>
      </c>
      <c r="E3557" s="91">
        <v>237</v>
      </c>
      <c r="F3557" s="91">
        <v>1</v>
      </c>
      <c r="G3557" s="126">
        <v>3.85081766977747</v>
      </c>
      <c r="H3557" s="126">
        <f t="shared" si="166"/>
        <v>0.18</v>
      </c>
      <c r="I3557" s="126" t="str">
        <f t="shared" si="167"/>
        <v>0y 0d 0h 0m</v>
      </c>
    </row>
    <row r="3558" s="91" customFormat="1" spans="1:9">
      <c r="A3558" s="91" t="str">
        <f t="shared" si="165"/>
        <v>Pu-238</v>
      </c>
      <c r="B3558" s="91" t="s">
        <v>4200</v>
      </c>
      <c r="C3558" s="91" t="s">
        <v>4189</v>
      </c>
      <c r="D3558" s="91">
        <v>94</v>
      </c>
      <c r="E3558" s="91">
        <v>238</v>
      </c>
      <c r="F3558" s="91">
        <v>0</v>
      </c>
      <c r="G3558" s="126">
        <v>2.50450455144903e-10</v>
      </c>
      <c r="H3558" s="126">
        <f t="shared" si="166"/>
        <v>2767602000.00001</v>
      </c>
      <c r="I3558" s="126" t="str">
        <f t="shared" si="167"/>
        <v>87y 277d 10h 20m</v>
      </c>
    </row>
    <row r="3559" s="91" customFormat="1" spans="1:9">
      <c r="A3559" s="91" t="str">
        <f t="shared" si="165"/>
        <v>Pu-239</v>
      </c>
      <c r="B3559" s="91" t="s">
        <v>4201</v>
      </c>
      <c r="C3559" s="91" t="s">
        <v>4189</v>
      </c>
      <c r="D3559" s="91">
        <v>94</v>
      </c>
      <c r="E3559" s="91">
        <v>239</v>
      </c>
      <c r="F3559" s="91">
        <v>0</v>
      </c>
      <c r="G3559" s="126">
        <v>9.11012074011499e-13</v>
      </c>
      <c r="H3559" s="126">
        <f t="shared" si="166"/>
        <v>760854000000</v>
      </c>
      <c r="I3559" s="126" t="str">
        <f t="shared" si="167"/>
        <v>24126y 190d 13h 20m</v>
      </c>
    </row>
    <row r="3560" s="91" customFormat="1" spans="1:9">
      <c r="A3560" s="91" t="str">
        <f t="shared" si="165"/>
        <v>Pu-240</v>
      </c>
      <c r="B3560" s="91" t="s">
        <v>4202</v>
      </c>
      <c r="C3560" s="91" t="s">
        <v>4189</v>
      </c>
      <c r="D3560" s="91">
        <v>94</v>
      </c>
      <c r="E3560" s="91">
        <v>240</v>
      </c>
      <c r="F3560" s="91">
        <v>0</v>
      </c>
      <c r="G3560" s="126">
        <v>3.34774464286205e-12</v>
      </c>
      <c r="H3560" s="126">
        <f t="shared" si="166"/>
        <v>207049000000</v>
      </c>
      <c r="I3560" s="126" t="str">
        <f t="shared" si="167"/>
        <v>6565y 175d 11h 6m</v>
      </c>
    </row>
    <row r="3561" s="91" customFormat="1" spans="1:9">
      <c r="A3561" s="91" t="str">
        <f t="shared" si="165"/>
        <v>Pu-241</v>
      </c>
      <c r="B3561" s="91" t="s">
        <v>4203</v>
      </c>
      <c r="C3561" s="91" t="s">
        <v>4189</v>
      </c>
      <c r="D3561" s="91">
        <v>94</v>
      </c>
      <c r="E3561" s="91">
        <v>241</v>
      </c>
      <c r="F3561" s="91">
        <v>0</v>
      </c>
      <c r="G3561" s="126">
        <v>1.53705450807945e-9</v>
      </c>
      <c r="H3561" s="126">
        <f t="shared" si="166"/>
        <v>450958100.000001</v>
      </c>
      <c r="I3561" s="126" t="str">
        <f t="shared" si="167"/>
        <v>14y 109d 10h 8m</v>
      </c>
    </row>
    <row r="3562" s="91" customFormat="1" spans="1:9">
      <c r="A3562" s="91" t="str">
        <f t="shared" si="165"/>
        <v>Pu-242</v>
      </c>
      <c r="B3562" s="91" t="s">
        <v>4204</v>
      </c>
      <c r="C3562" s="91" t="s">
        <v>4189</v>
      </c>
      <c r="D3562" s="91">
        <v>94</v>
      </c>
      <c r="E3562" s="91">
        <v>242</v>
      </c>
      <c r="F3562" s="91">
        <v>0</v>
      </c>
      <c r="G3562" s="126">
        <v>5.88070706688791e-14</v>
      </c>
      <c r="H3562" s="126">
        <f t="shared" si="166"/>
        <v>11786800000000</v>
      </c>
      <c r="I3562" s="126" t="str">
        <f t="shared" si="167"/>
        <v>373756y 356d 7h 6m</v>
      </c>
    </row>
    <row r="3563" s="91" customFormat="1" spans="1:9">
      <c r="A3563" s="91" t="str">
        <f t="shared" si="165"/>
        <v>Pu-243</v>
      </c>
      <c r="B3563" s="91" t="s">
        <v>4205</v>
      </c>
      <c r="C3563" s="91" t="s">
        <v>4189</v>
      </c>
      <c r="D3563" s="91">
        <v>94</v>
      </c>
      <c r="E3563" s="91">
        <v>243</v>
      </c>
      <c r="F3563" s="91">
        <v>0</v>
      </c>
      <c r="G3563" s="126">
        <v>3.88500572011448e-5</v>
      </c>
      <c r="H3563" s="126">
        <f t="shared" si="166"/>
        <v>17841.6</v>
      </c>
      <c r="I3563" s="126" t="str">
        <f t="shared" si="167"/>
        <v>0y 0d 4h 57m</v>
      </c>
    </row>
    <row r="3564" s="91" customFormat="1" spans="1:9">
      <c r="A3564" s="91" t="str">
        <f t="shared" si="165"/>
        <v>Pu-244</v>
      </c>
      <c r="B3564" s="91" t="s">
        <v>4206</v>
      </c>
      <c r="C3564" s="91" t="s">
        <v>4189</v>
      </c>
      <c r="D3564" s="91">
        <v>94</v>
      </c>
      <c r="E3564" s="91">
        <v>244</v>
      </c>
      <c r="F3564" s="91">
        <v>0</v>
      </c>
      <c r="G3564" s="126">
        <v>2.70832557304262e-16</v>
      </c>
      <c r="H3564" s="126">
        <f t="shared" si="166"/>
        <v>2559320000000010</v>
      </c>
      <c r="I3564" s="126" t="str">
        <f t="shared" si="167"/>
        <v>81155504y 299d 6h 13m</v>
      </c>
    </row>
    <row r="3565" s="91" customFormat="1" spans="1:9">
      <c r="A3565" s="91" t="str">
        <f t="shared" si="165"/>
        <v>Pu-245</v>
      </c>
      <c r="B3565" s="91" t="s">
        <v>4207</v>
      </c>
      <c r="C3565" s="91" t="s">
        <v>4189</v>
      </c>
      <c r="D3565" s="91">
        <v>94</v>
      </c>
      <c r="E3565" s="91">
        <v>245</v>
      </c>
      <c r="F3565" s="91">
        <v>0</v>
      </c>
      <c r="G3565" s="126">
        <v>1.83372269989403e-5</v>
      </c>
      <c r="H3565" s="126">
        <f t="shared" si="166"/>
        <v>37800.0000000001</v>
      </c>
      <c r="I3565" s="126" t="str">
        <f t="shared" si="167"/>
        <v>0y 0d 10h 30m</v>
      </c>
    </row>
    <row r="3566" s="91" customFormat="1" spans="1:9">
      <c r="A3566" s="91" t="str">
        <f t="shared" si="165"/>
        <v>Pu-246</v>
      </c>
      <c r="B3566" s="91" t="s">
        <v>4208</v>
      </c>
      <c r="C3566" s="91" t="s">
        <v>4189</v>
      </c>
      <c r="D3566" s="91">
        <v>94</v>
      </c>
      <c r="E3566" s="91">
        <v>246</v>
      </c>
      <c r="F3566" s="91">
        <v>0</v>
      </c>
      <c r="G3566" s="126">
        <v>7.40086421774575e-7</v>
      </c>
      <c r="H3566" s="126">
        <f t="shared" si="166"/>
        <v>936576.000000001</v>
      </c>
      <c r="I3566" s="126" t="str">
        <f t="shared" si="167"/>
        <v>0y 10d 20h 9m</v>
      </c>
    </row>
    <row r="3567" s="91" customFormat="1" spans="1:9">
      <c r="A3567" s="91" t="str">
        <f t="shared" si="165"/>
        <v>Pu-247</v>
      </c>
      <c r="B3567" s="91" t="s">
        <v>4209</v>
      </c>
      <c r="C3567" s="91" t="s">
        <v>4189</v>
      </c>
      <c r="D3567" s="91">
        <v>94</v>
      </c>
      <c r="E3567" s="91">
        <v>247</v>
      </c>
      <c r="F3567" s="91">
        <v>0</v>
      </c>
      <c r="G3567" s="126">
        <v>3.53415718591912e-6</v>
      </c>
      <c r="H3567" s="126">
        <f t="shared" si="166"/>
        <v>196128</v>
      </c>
      <c r="I3567" s="126" t="str">
        <f t="shared" si="167"/>
        <v>0y 2d 6h 28m</v>
      </c>
    </row>
    <row r="3568" s="91" customFormat="1" spans="1:9">
      <c r="A3568" s="91" t="str">
        <f t="shared" si="165"/>
        <v>Am-231</v>
      </c>
      <c r="B3568" s="91" t="s">
        <v>4210</v>
      </c>
      <c r="C3568" s="91" t="s">
        <v>4211</v>
      </c>
      <c r="D3568" s="91">
        <v>95</v>
      </c>
      <c r="E3568" s="91">
        <v>231</v>
      </c>
      <c r="F3568" s="91">
        <v>0</v>
      </c>
      <c r="G3568" s="126">
        <v>0.0693147180559945</v>
      </c>
      <c r="H3568" s="126">
        <f t="shared" si="166"/>
        <v>10</v>
      </c>
      <c r="I3568" s="126" t="str">
        <f t="shared" si="167"/>
        <v>0y 0d 0h 0m</v>
      </c>
    </row>
    <row r="3569" s="91" customFormat="1" spans="1:9">
      <c r="A3569" s="91" t="str">
        <f t="shared" si="165"/>
        <v>Am-232</v>
      </c>
      <c r="B3569" s="91" t="s">
        <v>4212</v>
      </c>
      <c r="C3569" s="91" t="s">
        <v>4211</v>
      </c>
      <c r="D3569" s="91">
        <v>95</v>
      </c>
      <c r="E3569" s="91">
        <v>232</v>
      </c>
      <c r="F3569" s="91">
        <v>0</v>
      </c>
      <c r="G3569" s="126">
        <v>0.00877401494379677</v>
      </c>
      <c r="H3569" s="126">
        <f t="shared" si="166"/>
        <v>79.0000000000001</v>
      </c>
      <c r="I3569" s="126" t="str">
        <f t="shared" si="167"/>
        <v>0y 0d 0h 1m</v>
      </c>
    </row>
    <row r="3570" s="91" customFormat="1" spans="1:9">
      <c r="A3570" s="91" t="str">
        <f t="shared" si="165"/>
        <v>Am-233</v>
      </c>
      <c r="B3570" s="91" t="s">
        <v>4213</v>
      </c>
      <c r="C3570" s="91" t="s">
        <v>4211</v>
      </c>
      <c r="D3570" s="91">
        <v>95</v>
      </c>
      <c r="E3570" s="91">
        <v>233</v>
      </c>
      <c r="F3570" s="91">
        <v>0</v>
      </c>
      <c r="G3570" s="126">
        <v>0.00361014156541638</v>
      </c>
      <c r="H3570" s="126">
        <f t="shared" si="166"/>
        <v>192</v>
      </c>
      <c r="I3570" s="126" t="str">
        <f t="shared" si="167"/>
        <v>0y 0d 0h 3m</v>
      </c>
    </row>
    <row r="3571" s="91" customFormat="1" spans="1:9">
      <c r="A3571" s="91" t="str">
        <f t="shared" si="165"/>
        <v>Am-234</v>
      </c>
      <c r="B3571" s="91" t="s">
        <v>4214</v>
      </c>
      <c r="C3571" s="91" t="s">
        <v>4211</v>
      </c>
      <c r="D3571" s="91">
        <v>95</v>
      </c>
      <c r="E3571" s="91">
        <v>234</v>
      </c>
      <c r="F3571" s="91">
        <v>0</v>
      </c>
      <c r="G3571" s="126">
        <v>0.00497950560747087</v>
      </c>
      <c r="H3571" s="126">
        <f t="shared" si="166"/>
        <v>139.2</v>
      </c>
      <c r="I3571" s="126" t="str">
        <f t="shared" si="167"/>
        <v>0y 0d 0h 2m</v>
      </c>
    </row>
    <row r="3572" s="91" customFormat="1" spans="1:9">
      <c r="A3572" s="91" t="str">
        <f t="shared" si="165"/>
        <v>Am-235</v>
      </c>
      <c r="B3572" s="91" t="s">
        <v>4215</v>
      </c>
      <c r="C3572" s="91" t="s">
        <v>4211</v>
      </c>
      <c r="D3572" s="91">
        <v>95</v>
      </c>
      <c r="E3572" s="91">
        <v>235</v>
      </c>
      <c r="F3572" s="91">
        <v>0</v>
      </c>
      <c r="G3572" s="126">
        <v>0.00112159737954683</v>
      </c>
      <c r="H3572" s="126">
        <f t="shared" si="166"/>
        <v>618.000000000004</v>
      </c>
      <c r="I3572" s="126" t="str">
        <f t="shared" si="167"/>
        <v>0y 0d 0h 10m</v>
      </c>
    </row>
    <row r="3573" s="91" customFormat="1" spans="1:9">
      <c r="A3573" s="91" t="str">
        <f t="shared" si="165"/>
        <v>Am-236</v>
      </c>
      <c r="B3573" s="91" t="s">
        <v>4216</v>
      </c>
      <c r="C3573" s="91" t="s">
        <v>4211</v>
      </c>
      <c r="D3573" s="91">
        <v>95</v>
      </c>
      <c r="E3573" s="91">
        <v>236</v>
      </c>
      <c r="F3573" s="91">
        <v>0</v>
      </c>
      <c r="G3573" s="126">
        <v>0.00320901472481456</v>
      </c>
      <c r="H3573" s="126">
        <f t="shared" si="166"/>
        <v>216</v>
      </c>
      <c r="I3573" s="126" t="str">
        <f t="shared" si="167"/>
        <v>0y 0d 0h 3m</v>
      </c>
    </row>
    <row r="3574" s="91" customFormat="1" spans="1:9">
      <c r="A3574" s="91" t="str">
        <f t="shared" si="165"/>
        <v>Am-237</v>
      </c>
      <c r="B3574" s="91" t="s">
        <v>4217</v>
      </c>
      <c r="C3574" s="91" t="s">
        <v>4211</v>
      </c>
      <c r="D3574" s="91">
        <v>95</v>
      </c>
      <c r="E3574" s="91">
        <v>237</v>
      </c>
      <c r="F3574" s="91">
        <v>0</v>
      </c>
      <c r="G3574" s="126">
        <v>0.000156962676757233</v>
      </c>
      <c r="H3574" s="126">
        <f t="shared" si="166"/>
        <v>4416.00000000003</v>
      </c>
      <c r="I3574" s="126" t="str">
        <f t="shared" si="167"/>
        <v>0y 0d 1h 13m</v>
      </c>
    </row>
    <row r="3575" s="91" customFormat="1" spans="1:9">
      <c r="A3575" s="91" t="str">
        <f t="shared" si="165"/>
        <v>Am-238</v>
      </c>
      <c r="B3575" s="91" t="s">
        <v>4218</v>
      </c>
      <c r="C3575" s="91" t="s">
        <v>4211</v>
      </c>
      <c r="D3575" s="91">
        <v>95</v>
      </c>
      <c r="E3575" s="91">
        <v>238</v>
      </c>
      <c r="F3575" s="91">
        <v>0</v>
      </c>
      <c r="G3575" s="126">
        <v>0.000117882173564616</v>
      </c>
      <c r="H3575" s="126">
        <f t="shared" si="166"/>
        <v>5880.00000000003</v>
      </c>
      <c r="I3575" s="126" t="str">
        <f t="shared" si="167"/>
        <v>0y 0d 1h 38m</v>
      </c>
    </row>
    <row r="3576" s="91" customFormat="1" spans="1:9">
      <c r="A3576" s="91" t="str">
        <f t="shared" si="165"/>
        <v>Am-239</v>
      </c>
      <c r="B3576" s="91" t="s">
        <v>4219</v>
      </c>
      <c r="C3576" s="91" t="s">
        <v>4211</v>
      </c>
      <c r="D3576" s="91">
        <v>95</v>
      </c>
      <c r="E3576" s="91">
        <v>239</v>
      </c>
      <c r="F3576" s="91">
        <v>0</v>
      </c>
      <c r="G3576" s="126">
        <v>1.61799061755356e-5</v>
      </c>
      <c r="H3576" s="126">
        <f t="shared" si="166"/>
        <v>42840</v>
      </c>
      <c r="I3576" s="126" t="str">
        <f t="shared" si="167"/>
        <v>0y 0d 11h 54m</v>
      </c>
    </row>
    <row r="3577" s="91" customFormat="1" spans="1:9">
      <c r="A3577" s="91" t="str">
        <f t="shared" si="165"/>
        <v>Am-240</v>
      </c>
      <c r="B3577" s="91" t="s">
        <v>4220</v>
      </c>
      <c r="C3577" s="91" t="s">
        <v>4211</v>
      </c>
      <c r="D3577" s="91">
        <v>95</v>
      </c>
      <c r="E3577" s="91">
        <v>240</v>
      </c>
      <c r="F3577" s="91">
        <v>0</v>
      </c>
      <c r="G3577" s="126">
        <v>3.79017487182822e-6</v>
      </c>
      <c r="H3577" s="126">
        <f t="shared" si="166"/>
        <v>182880</v>
      </c>
      <c r="I3577" s="126" t="str">
        <f t="shared" si="167"/>
        <v>0y 2d 2h 48m</v>
      </c>
    </row>
    <row r="3578" s="91" customFormat="1" spans="1:9">
      <c r="A3578" s="91" t="str">
        <f t="shared" si="165"/>
        <v>Am-241</v>
      </c>
      <c r="B3578" s="91" t="s">
        <v>4221</v>
      </c>
      <c r="C3578" s="91" t="s">
        <v>4211</v>
      </c>
      <c r="D3578" s="91">
        <v>95</v>
      </c>
      <c r="E3578" s="91">
        <v>241</v>
      </c>
      <c r="F3578" s="91">
        <v>0</v>
      </c>
      <c r="G3578" s="126">
        <v>5.07733178452618e-11</v>
      </c>
      <c r="H3578" s="126">
        <f t="shared" si="166"/>
        <v>13651800000</v>
      </c>
      <c r="I3578" s="126" t="str">
        <f t="shared" si="167"/>
        <v>432y 326d 22h 40m</v>
      </c>
    </row>
    <row r="3579" s="91" customFormat="1" spans="1:9">
      <c r="A3579" s="91" t="str">
        <f t="shared" si="165"/>
        <v>Am-242</v>
      </c>
      <c r="B3579" s="91" t="s">
        <v>4222</v>
      </c>
      <c r="C3579" s="91" t="s">
        <v>4211</v>
      </c>
      <c r="D3579" s="91">
        <v>95</v>
      </c>
      <c r="E3579" s="91">
        <v>242</v>
      </c>
      <c r="F3579" s="91">
        <v>0</v>
      </c>
      <c r="G3579" s="126">
        <v>1.20187817408785e-5</v>
      </c>
      <c r="H3579" s="126">
        <f t="shared" si="166"/>
        <v>57672</v>
      </c>
      <c r="I3579" s="126" t="str">
        <f t="shared" si="167"/>
        <v>0y 0d 16h 1m</v>
      </c>
    </row>
    <row r="3580" s="91" customFormat="1" spans="1:9">
      <c r="A3580" s="91" t="str">
        <f t="shared" si="165"/>
        <v>Am-242m</v>
      </c>
      <c r="B3580" s="91" t="s">
        <v>4223</v>
      </c>
      <c r="C3580" s="91" t="s">
        <v>4211</v>
      </c>
      <c r="D3580" s="91">
        <v>95</v>
      </c>
      <c r="E3580" s="91">
        <v>242</v>
      </c>
      <c r="F3580" s="91">
        <v>1</v>
      </c>
      <c r="G3580" s="126">
        <v>1.55776643624996e-10</v>
      </c>
      <c r="H3580" s="126">
        <f t="shared" si="166"/>
        <v>4449622000.00002</v>
      </c>
      <c r="I3580" s="126" t="str">
        <f t="shared" si="167"/>
        <v>141y 35d 6h 6m</v>
      </c>
    </row>
    <row r="3581" s="91" customFormat="1" spans="1:9">
      <c r="A3581" s="91" t="str">
        <f t="shared" si="165"/>
        <v>Am-242m2</v>
      </c>
      <c r="B3581" s="91" t="s">
        <v>4224</v>
      </c>
      <c r="C3581" s="91" t="s">
        <v>4211</v>
      </c>
      <c r="D3581" s="91">
        <v>95</v>
      </c>
      <c r="E3581" s="91">
        <v>242</v>
      </c>
      <c r="F3581" s="91">
        <v>2</v>
      </c>
      <c r="G3581" s="126">
        <v>49.5105128971389</v>
      </c>
      <c r="H3581" s="126">
        <f t="shared" si="166"/>
        <v>0.014</v>
      </c>
      <c r="I3581" s="126" t="str">
        <f t="shared" si="167"/>
        <v>0y 0d 0h 0m</v>
      </c>
    </row>
    <row r="3582" s="91" customFormat="1" spans="1:9">
      <c r="A3582" s="91" t="str">
        <f t="shared" si="165"/>
        <v>Am-243</v>
      </c>
      <c r="B3582" s="91" t="s">
        <v>4225</v>
      </c>
      <c r="C3582" s="91" t="s">
        <v>4211</v>
      </c>
      <c r="D3582" s="91">
        <v>95</v>
      </c>
      <c r="E3582" s="91">
        <v>243</v>
      </c>
      <c r="F3582" s="91">
        <v>0</v>
      </c>
      <c r="G3582" s="126">
        <v>2.98025273265089e-12</v>
      </c>
      <c r="H3582" s="126">
        <f t="shared" si="166"/>
        <v>232580000000</v>
      </c>
      <c r="I3582" s="126" t="str">
        <f t="shared" si="167"/>
        <v>7375y 23d 3h 33m</v>
      </c>
    </row>
    <row r="3583" s="91" customFormat="1" spans="1:9">
      <c r="A3583" s="91" t="str">
        <f t="shared" si="165"/>
        <v>Am-244</v>
      </c>
      <c r="B3583" s="91" t="s">
        <v>4226</v>
      </c>
      <c r="C3583" s="91" t="s">
        <v>4211</v>
      </c>
      <c r="D3583" s="91">
        <v>95</v>
      </c>
      <c r="E3583" s="91">
        <v>244</v>
      </c>
      <c r="F3583" s="91">
        <v>0</v>
      </c>
      <c r="G3583" s="126">
        <v>1.90634538107795e-5</v>
      </c>
      <c r="H3583" s="126">
        <f t="shared" si="166"/>
        <v>36360.0000000001</v>
      </c>
      <c r="I3583" s="126" t="str">
        <f t="shared" si="167"/>
        <v>0y 0d 10h 6m</v>
      </c>
    </row>
    <row r="3584" s="91" customFormat="1" spans="1:9">
      <c r="A3584" s="91" t="str">
        <f t="shared" si="165"/>
        <v>Am-244m</v>
      </c>
      <c r="B3584" s="91" t="s">
        <v>4227</v>
      </c>
      <c r="C3584" s="91" t="s">
        <v>4211</v>
      </c>
      <c r="D3584" s="91">
        <v>95</v>
      </c>
      <c r="E3584" s="91">
        <v>244</v>
      </c>
      <c r="F3584" s="91">
        <v>1</v>
      </c>
      <c r="G3584" s="126">
        <v>0.000444325115743554</v>
      </c>
      <c r="H3584" s="126">
        <f t="shared" si="166"/>
        <v>1560</v>
      </c>
      <c r="I3584" s="126" t="str">
        <f t="shared" si="167"/>
        <v>0y 0d 0h 26m</v>
      </c>
    </row>
    <row r="3585" s="91" customFormat="1" spans="1:9">
      <c r="A3585" s="91" t="str">
        <f t="shared" si="165"/>
        <v>Am-245</v>
      </c>
      <c r="B3585" s="91" t="s">
        <v>4228</v>
      </c>
      <c r="C3585" s="91" t="s">
        <v>4211</v>
      </c>
      <c r="D3585" s="91">
        <v>95</v>
      </c>
      <c r="E3585" s="91">
        <v>245</v>
      </c>
      <c r="F3585" s="91">
        <v>0</v>
      </c>
      <c r="G3585" s="126">
        <v>9.39223821896944e-5</v>
      </c>
      <c r="H3585" s="126">
        <f t="shared" si="166"/>
        <v>7380.00000000001</v>
      </c>
      <c r="I3585" s="126" t="str">
        <f t="shared" si="167"/>
        <v>0y 0d 2h 3m</v>
      </c>
    </row>
    <row r="3586" s="91" customFormat="1" spans="1:9">
      <c r="A3586" s="91" t="str">
        <f t="shared" ref="A3586:A3649" si="168">C3586&amp;"-"&amp;E3586&amp;_xlfn.IFS(F3586=0,"",F3586=1,"m",F3586&gt;1,"m"&amp;F3586)</f>
        <v>Am-246</v>
      </c>
      <c r="B3586" s="91" t="s">
        <v>4229</v>
      </c>
      <c r="C3586" s="91" t="s">
        <v>4211</v>
      </c>
      <c r="D3586" s="91">
        <v>95</v>
      </c>
      <c r="E3586" s="91">
        <v>246</v>
      </c>
      <c r="F3586" s="91">
        <v>0</v>
      </c>
      <c r="G3586" s="126">
        <v>0.000296216743829036</v>
      </c>
      <c r="H3586" s="126">
        <f t="shared" ref="H3586:H3649" si="169">IF(G3586&gt;0,LN(2)/G3586,0)</f>
        <v>2340</v>
      </c>
      <c r="I3586" s="126" t="str">
        <f t="shared" si="167"/>
        <v>0y 0d 0h 39m</v>
      </c>
    </row>
    <row r="3587" s="91" customFormat="1" spans="1:9">
      <c r="A3587" s="91" t="str">
        <f t="shared" si="168"/>
        <v>Am-246m</v>
      </c>
      <c r="B3587" s="91" t="s">
        <v>4230</v>
      </c>
      <c r="C3587" s="91" t="s">
        <v>4211</v>
      </c>
      <c r="D3587" s="91">
        <v>95</v>
      </c>
      <c r="E3587" s="91">
        <v>246</v>
      </c>
      <c r="F3587" s="91">
        <v>1</v>
      </c>
      <c r="G3587" s="126">
        <v>0.000462098120373296</v>
      </c>
      <c r="H3587" s="126">
        <f t="shared" si="169"/>
        <v>1500</v>
      </c>
      <c r="I3587" s="126" t="str">
        <f t="shared" ref="I3587:I3650" si="170">INT(H3587/31536000)&amp;"y "&amp;INT(MOD(H3587,31536000)/86400)&amp;"d "&amp;INT(MOD(MOD(H3587,31536000),86400)/3600)&amp;"h "&amp;INT(MOD(MOD(MOD(H3587,31536000),86400),3600)/60)&amp;"m"</f>
        <v>0y 0d 0h 25m</v>
      </c>
    </row>
    <row r="3588" s="91" customFormat="1" spans="1:9">
      <c r="A3588" s="91" t="str">
        <f t="shared" si="168"/>
        <v>Am-247</v>
      </c>
      <c r="B3588" s="91" t="s">
        <v>4231</v>
      </c>
      <c r="C3588" s="91" t="s">
        <v>4211</v>
      </c>
      <c r="D3588" s="91">
        <v>95</v>
      </c>
      <c r="E3588" s="91">
        <v>247</v>
      </c>
      <c r="F3588" s="91">
        <v>0</v>
      </c>
      <c r="G3588" s="126">
        <v>0.000502280565623148</v>
      </c>
      <c r="H3588" s="126">
        <f t="shared" si="169"/>
        <v>1380</v>
      </c>
      <c r="I3588" s="126" t="str">
        <f t="shared" si="170"/>
        <v>0y 0d 0h 23m</v>
      </c>
    </row>
    <row r="3589" s="91" customFormat="1" spans="1:9">
      <c r="A3589" s="91" t="str">
        <f t="shared" si="168"/>
        <v>Am-248</v>
      </c>
      <c r="B3589" s="91" t="s">
        <v>4232</v>
      </c>
      <c r="C3589" s="91" t="s">
        <v>4211</v>
      </c>
      <c r="D3589" s="91">
        <v>95</v>
      </c>
      <c r="E3589" s="91">
        <v>248</v>
      </c>
      <c r="F3589" s="91">
        <v>0</v>
      </c>
      <c r="G3589" s="126">
        <v>0.00115524530093324</v>
      </c>
      <c r="H3589" s="126">
        <f t="shared" si="169"/>
        <v>600.000000000001</v>
      </c>
      <c r="I3589" s="126" t="str">
        <f t="shared" si="170"/>
        <v>0y 0d 0h 10m</v>
      </c>
    </row>
    <row r="3590" s="91" customFormat="1" spans="1:9">
      <c r="A3590" s="91" t="str">
        <f t="shared" si="168"/>
        <v>Am-249</v>
      </c>
      <c r="B3590" s="91" t="s">
        <v>4233</v>
      </c>
      <c r="C3590" s="91" t="s">
        <v>4211</v>
      </c>
      <c r="D3590" s="91">
        <v>95</v>
      </c>
      <c r="E3590" s="91">
        <v>249</v>
      </c>
      <c r="F3590" s="91">
        <v>0</v>
      </c>
      <c r="G3590" s="126">
        <v>0.00577622650466621</v>
      </c>
      <c r="H3590" s="126">
        <f t="shared" si="169"/>
        <v>120</v>
      </c>
      <c r="I3590" s="126" t="str">
        <f t="shared" si="170"/>
        <v>0y 0d 0h 2m</v>
      </c>
    </row>
    <row r="3591" s="91" customFormat="1" spans="1:9">
      <c r="A3591" s="91" t="str">
        <f t="shared" si="168"/>
        <v>Cm-233</v>
      </c>
      <c r="B3591" s="91" t="s">
        <v>4234</v>
      </c>
      <c r="C3591" s="91" t="s">
        <v>4235</v>
      </c>
      <c r="D3591" s="91">
        <v>96</v>
      </c>
      <c r="E3591" s="91">
        <v>233</v>
      </c>
      <c r="F3591" s="91">
        <v>0</v>
      </c>
      <c r="G3591" s="126">
        <v>0.0391608576587539</v>
      </c>
      <c r="H3591" s="126">
        <f t="shared" si="169"/>
        <v>17.7</v>
      </c>
      <c r="I3591" s="126" t="str">
        <f t="shared" si="170"/>
        <v>0y 0d 0h 0m</v>
      </c>
    </row>
    <row r="3592" s="91" customFormat="1" spans="1:9">
      <c r="A3592" s="91" t="str">
        <f t="shared" si="168"/>
        <v>Cm-234</v>
      </c>
      <c r="B3592" s="91" t="s">
        <v>4236</v>
      </c>
      <c r="C3592" s="91" t="s">
        <v>4235</v>
      </c>
      <c r="D3592" s="91">
        <v>96</v>
      </c>
      <c r="E3592" s="91">
        <v>234</v>
      </c>
      <c r="F3592" s="91">
        <v>0</v>
      </c>
      <c r="G3592" s="126">
        <v>0.0135911211874499</v>
      </c>
      <c r="H3592" s="126">
        <f t="shared" si="169"/>
        <v>51</v>
      </c>
      <c r="I3592" s="126" t="str">
        <f t="shared" si="170"/>
        <v>0y 0d 0h 0m</v>
      </c>
    </row>
    <row r="3593" s="91" customFormat="1" spans="1:9">
      <c r="A3593" s="91" t="str">
        <f t="shared" si="168"/>
        <v>Cm-235</v>
      </c>
      <c r="B3593" s="91" t="s">
        <v>4237</v>
      </c>
      <c r="C3593" s="91" t="s">
        <v>4235</v>
      </c>
      <c r="D3593" s="91">
        <v>96</v>
      </c>
      <c r="E3593" s="91">
        <v>235</v>
      </c>
      <c r="F3593" s="91">
        <v>0</v>
      </c>
      <c r="G3593" s="126">
        <v>0.00231049060186648</v>
      </c>
      <c r="H3593" s="126">
        <f t="shared" si="169"/>
        <v>300.000000000001</v>
      </c>
      <c r="I3593" s="126" t="str">
        <f t="shared" si="170"/>
        <v>0y 0d 0h 5m</v>
      </c>
    </row>
    <row r="3594" s="91" customFormat="1" spans="1:9">
      <c r="A3594" s="91" t="str">
        <f t="shared" si="168"/>
        <v>Cm-236</v>
      </c>
      <c r="B3594" s="91" t="s">
        <v>4238</v>
      </c>
      <c r="C3594" s="91" t="s">
        <v>4235</v>
      </c>
      <c r="D3594" s="91">
        <v>96</v>
      </c>
      <c r="E3594" s="91">
        <v>236</v>
      </c>
      <c r="F3594" s="91">
        <v>0</v>
      </c>
      <c r="G3594" s="126">
        <v>0.000364814305557865</v>
      </c>
      <c r="H3594" s="126">
        <f t="shared" si="169"/>
        <v>1900</v>
      </c>
      <c r="I3594" s="126" t="str">
        <f t="shared" si="170"/>
        <v>0y 0d 0h 31m</v>
      </c>
    </row>
    <row r="3595" s="91" customFormat="1" spans="1:9">
      <c r="A3595" s="91" t="str">
        <f t="shared" si="168"/>
        <v>Cm-237</v>
      </c>
      <c r="B3595" s="91" t="s">
        <v>4239</v>
      </c>
      <c r="C3595" s="91" t="s">
        <v>4235</v>
      </c>
      <c r="D3595" s="91">
        <v>96</v>
      </c>
      <c r="E3595" s="91">
        <v>237</v>
      </c>
      <c r="F3595" s="91">
        <v>0</v>
      </c>
      <c r="G3595" s="126">
        <v>0.000577622650466621</v>
      </c>
      <c r="H3595" s="126">
        <f t="shared" si="169"/>
        <v>1200</v>
      </c>
      <c r="I3595" s="126" t="str">
        <f t="shared" si="170"/>
        <v>0y 0d 0h 20m</v>
      </c>
    </row>
    <row r="3596" s="91" customFormat="1" spans="1:9">
      <c r="A3596" s="91" t="str">
        <f t="shared" si="168"/>
        <v>Cm-238</v>
      </c>
      <c r="B3596" s="91" t="s">
        <v>4240</v>
      </c>
      <c r="C3596" s="91" t="s">
        <v>4235</v>
      </c>
      <c r="D3596" s="91">
        <v>96</v>
      </c>
      <c r="E3596" s="91">
        <v>238</v>
      </c>
      <c r="F3596" s="91">
        <v>0</v>
      </c>
      <c r="G3596" s="126">
        <v>8.0225368120364e-5</v>
      </c>
      <c r="H3596" s="126">
        <f t="shared" si="169"/>
        <v>8640</v>
      </c>
      <c r="I3596" s="126" t="str">
        <f t="shared" si="170"/>
        <v>0y 0d 2h 24m</v>
      </c>
    </row>
    <row r="3597" s="91" customFormat="1" spans="1:9">
      <c r="A3597" s="91" t="str">
        <f t="shared" si="168"/>
        <v>Cm-239</v>
      </c>
      <c r="B3597" s="91" t="s">
        <v>4241</v>
      </c>
      <c r="C3597" s="91" t="s">
        <v>4235</v>
      </c>
      <c r="D3597" s="91">
        <v>96</v>
      </c>
      <c r="E3597" s="91">
        <v>239</v>
      </c>
      <c r="F3597" s="91">
        <v>0</v>
      </c>
      <c r="G3597" s="126">
        <v>6.63934080996116e-5</v>
      </c>
      <c r="H3597" s="126">
        <f t="shared" si="169"/>
        <v>10440</v>
      </c>
      <c r="I3597" s="126" t="str">
        <f t="shared" si="170"/>
        <v>0y 0d 2h 54m</v>
      </c>
    </row>
    <row r="3598" s="91" customFormat="1" spans="1:9">
      <c r="A3598" s="91" t="str">
        <f t="shared" si="168"/>
        <v>Cm-240</v>
      </c>
      <c r="B3598" s="91" t="s">
        <v>4242</v>
      </c>
      <c r="C3598" s="91" t="s">
        <v>4235</v>
      </c>
      <c r="D3598" s="91">
        <v>96</v>
      </c>
      <c r="E3598" s="91">
        <v>240</v>
      </c>
      <c r="F3598" s="91">
        <v>0</v>
      </c>
      <c r="G3598" s="126">
        <v>2.97130993038385e-7</v>
      </c>
      <c r="H3598" s="126">
        <f t="shared" si="169"/>
        <v>2332800</v>
      </c>
      <c r="I3598" s="126" t="str">
        <f t="shared" si="170"/>
        <v>0y 27d 0h 0m</v>
      </c>
    </row>
    <row r="3599" s="91" customFormat="1" spans="1:9">
      <c r="A3599" s="91" t="str">
        <f t="shared" si="168"/>
        <v>Cm-241</v>
      </c>
      <c r="B3599" s="91" t="s">
        <v>4243</v>
      </c>
      <c r="C3599" s="91" t="s">
        <v>4235</v>
      </c>
      <c r="D3599" s="91">
        <v>96</v>
      </c>
      <c r="E3599" s="91">
        <v>241</v>
      </c>
      <c r="F3599" s="91">
        <v>0</v>
      </c>
      <c r="G3599" s="126">
        <v>2.44589536952329e-7</v>
      </c>
      <c r="H3599" s="126">
        <f t="shared" si="169"/>
        <v>2833920</v>
      </c>
      <c r="I3599" s="126" t="str">
        <f t="shared" si="170"/>
        <v>0y 32d 19h 12m</v>
      </c>
    </row>
    <row r="3600" s="91" customFormat="1" spans="1:9">
      <c r="A3600" s="91" t="str">
        <f t="shared" si="168"/>
        <v>Cm-242</v>
      </c>
      <c r="B3600" s="91" t="s">
        <v>4244</v>
      </c>
      <c r="C3600" s="91" t="s">
        <v>4235</v>
      </c>
      <c r="D3600" s="91">
        <v>96</v>
      </c>
      <c r="E3600" s="91">
        <v>242</v>
      </c>
      <c r="F3600" s="91">
        <v>0</v>
      </c>
      <c r="G3600" s="126">
        <v>4.92361269951275e-8</v>
      </c>
      <c r="H3600" s="126">
        <f t="shared" si="169"/>
        <v>14078020</v>
      </c>
      <c r="I3600" s="126" t="str">
        <f t="shared" si="170"/>
        <v>0y 162d 22h 33m</v>
      </c>
    </row>
    <row r="3601" s="91" customFormat="1" spans="1:9">
      <c r="A3601" s="91" t="str">
        <f t="shared" si="168"/>
        <v>Cm-243</v>
      </c>
      <c r="B3601" s="91" t="s">
        <v>4245</v>
      </c>
      <c r="C3601" s="91" t="s">
        <v>4235</v>
      </c>
      <c r="D3601" s="91">
        <v>96</v>
      </c>
      <c r="E3601" s="91">
        <v>243</v>
      </c>
      <c r="F3601" s="91">
        <v>0</v>
      </c>
      <c r="G3601" s="126">
        <v>7.54794081405872e-10</v>
      </c>
      <c r="H3601" s="126">
        <f t="shared" si="169"/>
        <v>918326200</v>
      </c>
      <c r="I3601" s="126" t="str">
        <f t="shared" si="170"/>
        <v>29y 43d 18h 36m</v>
      </c>
    </row>
    <row r="3602" s="91" customFormat="1" spans="1:9">
      <c r="A3602" s="91" t="str">
        <f t="shared" si="168"/>
        <v>Cm-244</v>
      </c>
      <c r="B3602" s="91" t="s">
        <v>4246</v>
      </c>
      <c r="C3602" s="91" t="s">
        <v>4235</v>
      </c>
      <c r="D3602" s="91">
        <v>96</v>
      </c>
      <c r="E3602" s="91">
        <v>244</v>
      </c>
      <c r="F3602" s="91">
        <v>0</v>
      </c>
      <c r="G3602" s="126">
        <v>1.2128387691442e-9</v>
      </c>
      <c r="H3602" s="126">
        <f t="shared" si="169"/>
        <v>571508100.000004</v>
      </c>
      <c r="I3602" s="126" t="str">
        <f t="shared" si="170"/>
        <v>18y 44d 16h 15m</v>
      </c>
    </row>
    <row r="3603" s="91" customFormat="1" spans="1:9">
      <c r="A3603" s="91" t="str">
        <f t="shared" si="168"/>
        <v>Cm-244m</v>
      </c>
      <c r="B3603" s="91" t="s">
        <v>4247</v>
      </c>
      <c r="C3603" s="91" t="s">
        <v>4235</v>
      </c>
      <c r="D3603" s="91">
        <v>96</v>
      </c>
      <c r="E3603" s="91">
        <v>244</v>
      </c>
      <c r="F3603" s="91">
        <v>1</v>
      </c>
      <c r="G3603" s="126">
        <v>1386294.36111989</v>
      </c>
      <c r="H3603" s="126">
        <f t="shared" si="169"/>
        <v>5e-7</v>
      </c>
      <c r="I3603" s="126" t="str">
        <f t="shared" si="170"/>
        <v>0y 0d 0h 0m</v>
      </c>
    </row>
    <row r="3604" s="91" customFormat="1" spans="1:9">
      <c r="A3604" s="91" t="str">
        <f t="shared" si="168"/>
        <v>Cm-245</v>
      </c>
      <c r="B3604" s="91" t="s">
        <v>4248</v>
      </c>
      <c r="C3604" s="91" t="s">
        <v>4235</v>
      </c>
      <c r="D3604" s="91">
        <v>96</v>
      </c>
      <c r="E3604" s="91">
        <v>245</v>
      </c>
      <c r="F3604" s="91">
        <v>0</v>
      </c>
      <c r="G3604" s="126">
        <v>2.58405599671915e-12</v>
      </c>
      <c r="H3604" s="126">
        <f t="shared" si="169"/>
        <v>268240000000</v>
      </c>
      <c r="I3604" s="126" t="str">
        <f t="shared" si="170"/>
        <v>8505y 304d 15h 6m</v>
      </c>
    </row>
    <row r="3605" s="91" customFormat="1" spans="1:9">
      <c r="A3605" s="91" t="str">
        <f t="shared" si="168"/>
        <v>Cm-246</v>
      </c>
      <c r="B3605" s="91" t="s">
        <v>4249</v>
      </c>
      <c r="C3605" s="91" t="s">
        <v>4235</v>
      </c>
      <c r="D3605" s="91">
        <v>96</v>
      </c>
      <c r="E3605" s="91">
        <v>246</v>
      </c>
      <c r="F3605" s="91">
        <v>0</v>
      </c>
      <c r="G3605" s="126">
        <v>4.61439799592544e-12</v>
      </c>
      <c r="H3605" s="126">
        <f t="shared" si="169"/>
        <v>150214000000</v>
      </c>
      <c r="I3605" s="126" t="str">
        <f t="shared" si="170"/>
        <v>4763y 92d 23h 6m</v>
      </c>
    </row>
    <row r="3606" s="91" customFormat="1" spans="1:9">
      <c r="A3606" s="91" t="str">
        <f t="shared" si="168"/>
        <v>Cm-247</v>
      </c>
      <c r="B3606" s="91" t="s">
        <v>4250</v>
      </c>
      <c r="C3606" s="91" t="s">
        <v>4235</v>
      </c>
      <c r="D3606" s="91">
        <v>96</v>
      </c>
      <c r="E3606" s="91">
        <v>247</v>
      </c>
      <c r="F3606" s="91">
        <v>0</v>
      </c>
      <c r="G3606" s="126">
        <v>1.4079800701605e-15</v>
      </c>
      <c r="H3606" s="126">
        <f t="shared" si="169"/>
        <v>492299000000001</v>
      </c>
      <c r="I3606" s="126" t="str">
        <f t="shared" si="170"/>
        <v>15610698y 322d 14h 13m</v>
      </c>
    </row>
    <row r="3607" s="91" customFormat="1" spans="1:9">
      <c r="A3607" s="91" t="str">
        <f t="shared" si="168"/>
        <v>Cm-248</v>
      </c>
      <c r="B3607" s="91" t="s">
        <v>4251</v>
      </c>
      <c r="C3607" s="91" t="s">
        <v>4235</v>
      </c>
      <c r="D3607" s="91">
        <v>96</v>
      </c>
      <c r="E3607" s="91">
        <v>248</v>
      </c>
      <c r="F3607" s="91">
        <v>0</v>
      </c>
      <c r="G3607" s="126">
        <v>6.31166618612224e-14</v>
      </c>
      <c r="H3607" s="126">
        <f t="shared" si="169"/>
        <v>10982000000000</v>
      </c>
      <c r="I3607" s="126" t="str">
        <f t="shared" si="170"/>
        <v>348236y 341d 11h 33m</v>
      </c>
    </row>
    <row r="3608" s="91" customFormat="1" spans="1:9">
      <c r="A3608" s="91" t="str">
        <f t="shared" si="168"/>
        <v>Cm-249</v>
      </c>
      <c r="B3608" s="91" t="s">
        <v>4252</v>
      </c>
      <c r="C3608" s="91" t="s">
        <v>4235</v>
      </c>
      <c r="D3608" s="91">
        <v>96</v>
      </c>
      <c r="E3608" s="91">
        <v>249</v>
      </c>
      <c r="F3608" s="91">
        <v>0</v>
      </c>
      <c r="G3608" s="126">
        <v>0.000180085004042594</v>
      </c>
      <c r="H3608" s="126">
        <f t="shared" si="169"/>
        <v>3849.00000000001</v>
      </c>
      <c r="I3608" s="126" t="str">
        <f t="shared" si="170"/>
        <v>0y 0d 1h 4m</v>
      </c>
    </row>
    <row r="3609" s="91" customFormat="1" spans="1:9">
      <c r="A3609" s="91" t="str">
        <f t="shared" si="168"/>
        <v>Cm-250</v>
      </c>
      <c r="B3609" s="91" t="s">
        <v>4253</v>
      </c>
      <c r="C3609" s="91" t="s">
        <v>4235</v>
      </c>
      <c r="D3609" s="91">
        <v>96</v>
      </c>
      <c r="E3609" s="91">
        <v>250</v>
      </c>
      <c r="F3609" s="91">
        <v>0</v>
      </c>
      <c r="G3609" s="126">
        <v>2.64632716074625e-12</v>
      </c>
      <c r="H3609" s="126">
        <f t="shared" si="169"/>
        <v>261928000000.001</v>
      </c>
      <c r="I3609" s="126" t="str">
        <f t="shared" si="170"/>
        <v>8305y 249d 1h 46m</v>
      </c>
    </row>
    <row r="3610" s="91" customFormat="1" spans="1:9">
      <c r="A3610" s="91" t="str">
        <f t="shared" si="168"/>
        <v>Cm-251</v>
      </c>
      <c r="B3610" s="91" t="s">
        <v>4254</v>
      </c>
      <c r="C3610" s="91" t="s">
        <v>4235</v>
      </c>
      <c r="D3610" s="91">
        <v>96</v>
      </c>
      <c r="E3610" s="91">
        <v>251</v>
      </c>
      <c r="F3610" s="91">
        <v>0</v>
      </c>
      <c r="G3610" s="126">
        <v>0.000687646012460263</v>
      </c>
      <c r="H3610" s="126">
        <f t="shared" si="169"/>
        <v>1008</v>
      </c>
      <c r="I3610" s="126" t="str">
        <f t="shared" si="170"/>
        <v>0y 0d 0h 16m</v>
      </c>
    </row>
    <row r="3611" s="91" customFormat="1" spans="1:9">
      <c r="A3611" s="91" t="str">
        <f t="shared" si="168"/>
        <v>Bk-235</v>
      </c>
      <c r="B3611" s="91" t="s">
        <v>4255</v>
      </c>
      <c r="C3611" s="91" t="s">
        <v>4256</v>
      </c>
      <c r="D3611" s="91">
        <v>97</v>
      </c>
      <c r="E3611" s="91">
        <v>235</v>
      </c>
      <c r="F3611" s="91">
        <v>0</v>
      </c>
      <c r="G3611" s="126">
        <v>0.0346573590279972</v>
      </c>
      <c r="H3611" s="126">
        <f t="shared" si="169"/>
        <v>20</v>
      </c>
      <c r="I3611" s="126" t="str">
        <f t="shared" si="170"/>
        <v>0y 0d 0h 0m</v>
      </c>
    </row>
    <row r="3612" s="91" customFormat="1" spans="1:9">
      <c r="A3612" s="91" t="str">
        <f t="shared" si="168"/>
        <v>Bk-237</v>
      </c>
      <c r="B3612" s="91" t="s">
        <v>4257</v>
      </c>
      <c r="C3612" s="91" t="s">
        <v>4256</v>
      </c>
      <c r="D3612" s="91">
        <v>97</v>
      </c>
      <c r="E3612" s="91">
        <v>237</v>
      </c>
      <c r="F3612" s="91">
        <v>0</v>
      </c>
      <c r="G3612" s="126">
        <v>0.0115524530093324</v>
      </c>
      <c r="H3612" s="126">
        <f t="shared" si="169"/>
        <v>60.0000000000001</v>
      </c>
      <c r="I3612" s="126" t="str">
        <f t="shared" si="170"/>
        <v>0y 0d 0h 1m</v>
      </c>
    </row>
    <row r="3613" s="91" customFormat="1" spans="1:9">
      <c r="A3613" s="91" t="str">
        <f t="shared" si="168"/>
        <v>Bk-238</v>
      </c>
      <c r="B3613" s="91" t="s">
        <v>4258</v>
      </c>
      <c r="C3613" s="91" t="s">
        <v>4256</v>
      </c>
      <c r="D3613" s="91">
        <v>97</v>
      </c>
      <c r="E3613" s="91">
        <v>238</v>
      </c>
      <c r="F3613" s="91">
        <v>0</v>
      </c>
      <c r="G3613" s="126">
        <v>0.00481352208722184</v>
      </c>
      <c r="H3613" s="126">
        <f t="shared" si="169"/>
        <v>144</v>
      </c>
      <c r="I3613" s="126" t="str">
        <f t="shared" si="170"/>
        <v>0y 0d 0h 2m</v>
      </c>
    </row>
    <row r="3614" s="91" customFormat="1" spans="1:9">
      <c r="A3614" s="91" t="str">
        <f t="shared" si="168"/>
        <v>Bk-240</v>
      </c>
      <c r="B3614" s="91" t="s">
        <v>4259</v>
      </c>
      <c r="C3614" s="91" t="s">
        <v>4256</v>
      </c>
      <c r="D3614" s="91">
        <v>97</v>
      </c>
      <c r="E3614" s="91">
        <v>240</v>
      </c>
      <c r="F3614" s="91">
        <v>0</v>
      </c>
      <c r="G3614" s="126">
        <v>0.00240676104361092</v>
      </c>
      <c r="H3614" s="126">
        <f t="shared" si="169"/>
        <v>288</v>
      </c>
      <c r="I3614" s="126" t="str">
        <f t="shared" si="170"/>
        <v>0y 0d 0h 4m</v>
      </c>
    </row>
    <row r="3615" s="91" customFormat="1" spans="1:9">
      <c r="A3615" s="91" t="str">
        <f t="shared" si="168"/>
        <v>Bk-241</v>
      </c>
      <c r="B3615" s="91" t="s">
        <v>4260</v>
      </c>
      <c r="C3615" s="91" t="s">
        <v>4256</v>
      </c>
      <c r="D3615" s="91">
        <v>97</v>
      </c>
      <c r="E3615" s="91">
        <v>241</v>
      </c>
      <c r="F3615" s="91">
        <v>0</v>
      </c>
      <c r="G3615" s="126">
        <v>0.00251140282811574</v>
      </c>
      <c r="H3615" s="126">
        <f t="shared" si="169"/>
        <v>276</v>
      </c>
      <c r="I3615" s="126" t="str">
        <f t="shared" si="170"/>
        <v>0y 0d 0h 4m</v>
      </c>
    </row>
    <row r="3616" s="91" customFormat="1" spans="1:9">
      <c r="A3616" s="91" t="str">
        <f t="shared" si="168"/>
        <v>Bk-242</v>
      </c>
      <c r="B3616" s="91" t="s">
        <v>4261</v>
      </c>
      <c r="C3616" s="91" t="s">
        <v>4256</v>
      </c>
      <c r="D3616" s="91">
        <v>97</v>
      </c>
      <c r="E3616" s="91">
        <v>242</v>
      </c>
      <c r="F3616" s="91">
        <v>0</v>
      </c>
      <c r="G3616" s="126">
        <v>0.00165035042990463</v>
      </c>
      <c r="H3616" s="126">
        <f t="shared" si="169"/>
        <v>420</v>
      </c>
      <c r="I3616" s="126" t="str">
        <f t="shared" si="170"/>
        <v>0y 0d 0h 7m</v>
      </c>
    </row>
    <row r="3617" s="91" customFormat="1" spans="1:9">
      <c r="A3617" s="91" t="str">
        <f t="shared" si="168"/>
        <v>Bk-243</v>
      </c>
      <c r="B3617" s="91" t="s">
        <v>4262</v>
      </c>
      <c r="C3617" s="91" t="s">
        <v>4256</v>
      </c>
      <c r="D3617" s="91">
        <v>97</v>
      </c>
      <c r="E3617" s="91">
        <v>243</v>
      </c>
      <c r="F3617" s="91">
        <v>0</v>
      </c>
      <c r="G3617" s="126">
        <v>4.27868629975274e-5</v>
      </c>
      <c r="H3617" s="126">
        <f t="shared" si="169"/>
        <v>16200</v>
      </c>
      <c r="I3617" s="126" t="str">
        <f t="shared" si="170"/>
        <v>0y 0d 4h 30m</v>
      </c>
    </row>
    <row r="3618" s="91" customFormat="1" spans="1:9">
      <c r="A3618" s="91" t="str">
        <f t="shared" si="168"/>
        <v>Bk-244</v>
      </c>
      <c r="B3618" s="91" t="s">
        <v>4263</v>
      </c>
      <c r="C3618" s="91" t="s">
        <v>4256</v>
      </c>
      <c r="D3618" s="91">
        <v>97</v>
      </c>
      <c r="E3618" s="91">
        <v>244</v>
      </c>
      <c r="F3618" s="91">
        <v>0</v>
      </c>
      <c r="G3618" s="126">
        <v>4.42622720664077e-5</v>
      </c>
      <c r="H3618" s="126">
        <f t="shared" si="169"/>
        <v>15660</v>
      </c>
      <c r="I3618" s="126" t="str">
        <f t="shared" si="170"/>
        <v>0y 0d 4h 21m</v>
      </c>
    </row>
    <row r="3619" s="91" customFormat="1" spans="1:9">
      <c r="A3619" s="91" t="str">
        <f t="shared" si="168"/>
        <v>Bk-245</v>
      </c>
      <c r="B3619" s="91" t="s">
        <v>4264</v>
      </c>
      <c r="C3619" s="91" t="s">
        <v>4256</v>
      </c>
      <c r="D3619" s="91">
        <v>97</v>
      </c>
      <c r="E3619" s="91">
        <v>245</v>
      </c>
      <c r="F3619" s="91">
        <v>0</v>
      </c>
      <c r="G3619" s="126">
        <v>1.62399530608024e-6</v>
      </c>
      <c r="H3619" s="126">
        <f t="shared" si="169"/>
        <v>426816.000000001</v>
      </c>
      <c r="I3619" s="126" t="str">
        <f t="shared" si="170"/>
        <v>0y 4d 22h 33m</v>
      </c>
    </row>
    <row r="3620" s="91" customFormat="1" spans="1:9">
      <c r="A3620" s="91" t="str">
        <f t="shared" si="168"/>
        <v>Bk-246</v>
      </c>
      <c r="B3620" s="91" t="s">
        <v>4265</v>
      </c>
      <c r="C3620" s="91" t="s">
        <v>4256</v>
      </c>
      <c r="D3620" s="91">
        <v>97</v>
      </c>
      <c r="E3620" s="91">
        <v>246</v>
      </c>
      <c r="F3620" s="91">
        <v>0</v>
      </c>
      <c r="G3620" s="126">
        <v>4.45696489557578e-6</v>
      </c>
      <c r="H3620" s="126">
        <f t="shared" si="169"/>
        <v>155520</v>
      </c>
      <c r="I3620" s="126" t="str">
        <f t="shared" si="170"/>
        <v>0y 1d 19h 12m</v>
      </c>
    </row>
    <row r="3621" s="91" customFormat="1" spans="1:9">
      <c r="A3621" s="91" t="str">
        <f t="shared" si="168"/>
        <v>Bk-247</v>
      </c>
      <c r="B3621" s="91" t="s">
        <v>4266</v>
      </c>
      <c r="C3621" s="91" t="s">
        <v>4256</v>
      </c>
      <c r="D3621" s="91">
        <v>97</v>
      </c>
      <c r="E3621" s="91">
        <v>247</v>
      </c>
      <c r="F3621" s="91">
        <v>0</v>
      </c>
      <c r="G3621" s="126">
        <v>1.59163062850307e-11</v>
      </c>
      <c r="H3621" s="126">
        <f t="shared" si="169"/>
        <v>43549500000.0001</v>
      </c>
      <c r="I3621" s="126" t="str">
        <f t="shared" si="170"/>
        <v>1380y 345d 3h 20m</v>
      </c>
    </row>
    <row r="3622" s="91" customFormat="1" spans="1:9">
      <c r="A3622" s="91" t="str">
        <f t="shared" si="168"/>
        <v>Bk-248</v>
      </c>
      <c r="B3622" s="91" t="s">
        <v>4267</v>
      </c>
      <c r="C3622" s="91" t="s">
        <v>4256</v>
      </c>
      <c r="D3622" s="91">
        <v>97</v>
      </c>
      <c r="E3622" s="91">
        <v>248</v>
      </c>
      <c r="F3622" s="91">
        <v>0</v>
      </c>
      <c r="G3622" s="126">
        <v>2.44217254552097e-9</v>
      </c>
      <c r="H3622" s="126">
        <f t="shared" si="169"/>
        <v>283824000.000001</v>
      </c>
      <c r="I3622" s="126" t="str">
        <f t="shared" si="170"/>
        <v>9y 0d 0h 0m</v>
      </c>
    </row>
    <row r="3623" s="91" customFormat="1" spans="1:9">
      <c r="A3623" s="91" t="str">
        <f t="shared" si="168"/>
        <v>Bk-248m</v>
      </c>
      <c r="B3623" s="91" t="s">
        <v>4268</v>
      </c>
      <c r="C3623" s="91" t="s">
        <v>4256</v>
      </c>
      <c r="D3623" s="91">
        <v>97</v>
      </c>
      <c r="E3623" s="91">
        <v>248</v>
      </c>
      <c r="F3623" s="91">
        <v>1</v>
      </c>
      <c r="G3623" s="126">
        <v>8.12408791092294e-6</v>
      </c>
      <c r="H3623" s="126">
        <f t="shared" si="169"/>
        <v>85320</v>
      </c>
      <c r="I3623" s="126" t="str">
        <f t="shared" si="170"/>
        <v>0y 0d 23h 42m</v>
      </c>
    </row>
    <row r="3624" s="91" customFormat="1" spans="1:9">
      <c r="A3624" s="91" t="str">
        <f t="shared" si="168"/>
        <v>Bk-249</v>
      </c>
      <c r="B3624" s="91" t="s">
        <v>4269</v>
      </c>
      <c r="C3624" s="91" t="s">
        <v>4256</v>
      </c>
      <c r="D3624" s="91">
        <v>97</v>
      </c>
      <c r="E3624" s="91">
        <v>249</v>
      </c>
      <c r="F3624" s="91">
        <v>0</v>
      </c>
      <c r="G3624" s="126">
        <v>2.50704275376137e-8</v>
      </c>
      <c r="H3624" s="126">
        <f t="shared" si="169"/>
        <v>27648000.0000001</v>
      </c>
      <c r="I3624" s="126" t="str">
        <f t="shared" si="170"/>
        <v>0y 320d 0h 0m</v>
      </c>
    </row>
    <row r="3625" s="91" customFormat="1" spans="1:9">
      <c r="A3625" s="91" t="str">
        <f t="shared" si="168"/>
        <v>Bk-250</v>
      </c>
      <c r="B3625" s="91" t="s">
        <v>4270</v>
      </c>
      <c r="C3625" s="91" t="s">
        <v>4256</v>
      </c>
      <c r="D3625" s="91">
        <v>97</v>
      </c>
      <c r="E3625" s="91">
        <v>250</v>
      </c>
      <c r="F3625" s="91">
        <v>0</v>
      </c>
      <c r="G3625" s="126">
        <v>5.99442352082421e-5</v>
      </c>
      <c r="H3625" s="126">
        <f t="shared" si="169"/>
        <v>11563.2</v>
      </c>
      <c r="I3625" s="126" t="str">
        <f t="shared" si="170"/>
        <v>0y 0d 3h 12m</v>
      </c>
    </row>
    <row r="3626" s="91" customFormat="1" spans="1:9">
      <c r="A3626" s="91" t="str">
        <f t="shared" si="168"/>
        <v>Bk-251</v>
      </c>
      <c r="B3626" s="91" t="s">
        <v>4271</v>
      </c>
      <c r="C3626" s="91" t="s">
        <v>4256</v>
      </c>
      <c r="D3626" s="91">
        <v>97</v>
      </c>
      <c r="E3626" s="91">
        <v>251</v>
      </c>
      <c r="F3626" s="91">
        <v>0</v>
      </c>
      <c r="G3626" s="126">
        <v>0.000207777931822525</v>
      </c>
      <c r="H3626" s="126">
        <f t="shared" si="169"/>
        <v>3336.00000000001</v>
      </c>
      <c r="I3626" s="126" t="str">
        <f t="shared" si="170"/>
        <v>0y 0d 0h 55m</v>
      </c>
    </row>
    <row r="3627" s="91" customFormat="1" spans="1:9">
      <c r="A3627" s="91" t="str">
        <f t="shared" si="168"/>
        <v>Bk-253</v>
      </c>
      <c r="B3627" s="91" t="s">
        <v>4272</v>
      </c>
      <c r="C3627" s="91" t="s">
        <v>4256</v>
      </c>
      <c r="D3627" s="91">
        <v>97</v>
      </c>
      <c r="E3627" s="91">
        <v>253</v>
      </c>
      <c r="F3627" s="91">
        <v>0</v>
      </c>
      <c r="G3627" s="126">
        <v>0.00115524530093324</v>
      </c>
      <c r="H3627" s="126">
        <f t="shared" si="169"/>
        <v>600.000000000001</v>
      </c>
      <c r="I3627" s="126" t="str">
        <f t="shared" si="170"/>
        <v>0y 0d 0h 10m</v>
      </c>
    </row>
    <row r="3628" s="91" customFormat="1" spans="1:9">
      <c r="A3628" s="91" t="str">
        <f t="shared" si="168"/>
        <v>Bk-254</v>
      </c>
      <c r="B3628" s="91" t="s">
        <v>4273</v>
      </c>
      <c r="C3628" s="91" t="s">
        <v>4256</v>
      </c>
      <c r="D3628" s="91">
        <v>97</v>
      </c>
      <c r="E3628" s="91">
        <v>254</v>
      </c>
      <c r="F3628" s="91">
        <v>0</v>
      </c>
      <c r="G3628" s="126">
        <v>0.00577622650466621</v>
      </c>
      <c r="H3628" s="126">
        <f t="shared" si="169"/>
        <v>120</v>
      </c>
      <c r="I3628" s="126" t="str">
        <f t="shared" si="170"/>
        <v>0y 0d 0h 2m</v>
      </c>
    </row>
    <row r="3629" s="91" customFormat="1" spans="1:9">
      <c r="A3629" s="91" t="str">
        <f t="shared" si="168"/>
        <v>Cf-237</v>
      </c>
      <c r="B3629" s="91" t="s">
        <v>4274</v>
      </c>
      <c r="C3629" s="91" t="s">
        <v>4275</v>
      </c>
      <c r="D3629" s="91">
        <v>98</v>
      </c>
      <c r="E3629" s="91">
        <v>237</v>
      </c>
      <c r="F3629" s="91">
        <v>0</v>
      </c>
      <c r="G3629" s="126">
        <v>0.330070085980926</v>
      </c>
      <c r="H3629" s="126">
        <f t="shared" si="169"/>
        <v>2.1</v>
      </c>
      <c r="I3629" s="126" t="str">
        <f t="shared" si="170"/>
        <v>0y 0d 0h 0m</v>
      </c>
    </row>
    <row r="3630" s="91" customFormat="1" spans="1:9">
      <c r="A3630" s="91" t="str">
        <f t="shared" si="168"/>
        <v>Cf-238</v>
      </c>
      <c r="B3630" s="91" t="s">
        <v>4276</v>
      </c>
      <c r="C3630" s="91" t="s">
        <v>4275</v>
      </c>
      <c r="D3630" s="91">
        <v>98</v>
      </c>
      <c r="E3630" s="91">
        <v>238</v>
      </c>
      <c r="F3630" s="91">
        <v>0</v>
      </c>
      <c r="G3630" s="126">
        <v>33.0070085980926</v>
      </c>
      <c r="H3630" s="126">
        <f t="shared" si="169"/>
        <v>0.021</v>
      </c>
      <c r="I3630" s="126" t="str">
        <f t="shared" si="170"/>
        <v>0y 0d 0h 0m</v>
      </c>
    </row>
    <row r="3631" s="91" customFormat="1" spans="1:9">
      <c r="A3631" s="91" t="str">
        <f t="shared" si="168"/>
        <v>Cf-239</v>
      </c>
      <c r="B3631" s="91" t="s">
        <v>4277</v>
      </c>
      <c r="C3631" s="91" t="s">
        <v>4275</v>
      </c>
      <c r="D3631" s="91">
        <v>98</v>
      </c>
      <c r="E3631" s="91">
        <v>239</v>
      </c>
      <c r="F3631" s="91">
        <v>0</v>
      </c>
      <c r="G3631" s="126">
        <v>0.013459168554562</v>
      </c>
      <c r="H3631" s="126">
        <f t="shared" si="169"/>
        <v>51.5000000000002</v>
      </c>
      <c r="I3631" s="126" t="str">
        <f t="shared" si="170"/>
        <v>0y 0d 0h 0m</v>
      </c>
    </row>
    <row r="3632" s="91" customFormat="1" spans="1:9">
      <c r="A3632" s="91" t="str">
        <f t="shared" si="168"/>
        <v>Cf-240</v>
      </c>
      <c r="B3632" s="91" t="s">
        <v>4278</v>
      </c>
      <c r="C3632" s="91" t="s">
        <v>4275</v>
      </c>
      <c r="D3632" s="91">
        <v>98</v>
      </c>
      <c r="E3632" s="91">
        <v>240</v>
      </c>
      <c r="F3632" s="91">
        <v>0</v>
      </c>
      <c r="G3632" s="126">
        <v>0.0120338052180546</v>
      </c>
      <c r="H3632" s="126">
        <f t="shared" si="169"/>
        <v>57.6</v>
      </c>
      <c r="I3632" s="126" t="str">
        <f t="shared" si="170"/>
        <v>0y 0d 0h 0m</v>
      </c>
    </row>
    <row r="3633" s="91" customFormat="1" spans="1:9">
      <c r="A3633" s="91" t="str">
        <f t="shared" si="168"/>
        <v>Cf-241</v>
      </c>
      <c r="B3633" s="91" t="s">
        <v>4279</v>
      </c>
      <c r="C3633" s="91" t="s">
        <v>4275</v>
      </c>
      <c r="D3633" s="91">
        <v>98</v>
      </c>
      <c r="E3633" s="91">
        <v>241</v>
      </c>
      <c r="F3633" s="91">
        <v>0</v>
      </c>
      <c r="G3633" s="126">
        <v>0.00305620449982339</v>
      </c>
      <c r="H3633" s="126">
        <f t="shared" si="169"/>
        <v>226.8</v>
      </c>
      <c r="I3633" s="126" t="str">
        <f t="shared" si="170"/>
        <v>0y 0d 0h 3m</v>
      </c>
    </row>
    <row r="3634" s="91" customFormat="1" spans="1:9">
      <c r="A3634" s="91" t="str">
        <f t="shared" si="168"/>
        <v>Cf-242</v>
      </c>
      <c r="B3634" s="91" t="s">
        <v>4280</v>
      </c>
      <c r="C3634" s="91" t="s">
        <v>4275</v>
      </c>
      <c r="D3634" s="91">
        <v>98</v>
      </c>
      <c r="E3634" s="91">
        <v>242</v>
      </c>
      <c r="F3634" s="91">
        <v>0</v>
      </c>
      <c r="G3634" s="126">
        <v>0.00312228459711687</v>
      </c>
      <c r="H3634" s="126">
        <f t="shared" si="169"/>
        <v>222</v>
      </c>
      <c r="I3634" s="126" t="str">
        <f t="shared" si="170"/>
        <v>0y 0d 0h 3m</v>
      </c>
    </row>
    <row r="3635" s="91" customFormat="1" spans="1:9">
      <c r="A3635" s="91" t="str">
        <f t="shared" si="168"/>
        <v>Cf-243</v>
      </c>
      <c r="B3635" s="91" t="s">
        <v>4281</v>
      </c>
      <c r="C3635" s="91" t="s">
        <v>4275</v>
      </c>
      <c r="D3635" s="91">
        <v>98</v>
      </c>
      <c r="E3635" s="91">
        <v>243</v>
      </c>
      <c r="F3635" s="91">
        <v>0</v>
      </c>
      <c r="G3635" s="126">
        <v>0.00107966850554508</v>
      </c>
      <c r="H3635" s="126">
        <f t="shared" si="169"/>
        <v>642.000000000004</v>
      </c>
      <c r="I3635" s="126" t="str">
        <f t="shared" si="170"/>
        <v>0y 0d 0h 10m</v>
      </c>
    </row>
    <row r="3636" s="91" customFormat="1" spans="1:9">
      <c r="A3636" s="91" t="str">
        <f t="shared" si="168"/>
        <v>Cf-244</v>
      </c>
      <c r="B3636" s="91" t="s">
        <v>4282</v>
      </c>
      <c r="C3636" s="91" t="s">
        <v>4275</v>
      </c>
      <c r="D3636" s="91">
        <v>98</v>
      </c>
      <c r="E3636" s="91">
        <v>244</v>
      </c>
      <c r="F3636" s="91">
        <v>0</v>
      </c>
      <c r="G3636" s="126">
        <v>0.000595487268522289</v>
      </c>
      <c r="H3636" s="126">
        <f t="shared" si="169"/>
        <v>1164</v>
      </c>
      <c r="I3636" s="126" t="str">
        <f t="shared" si="170"/>
        <v>0y 0d 0h 19m</v>
      </c>
    </row>
    <row r="3637" s="91" customFormat="1" spans="1:9">
      <c r="A3637" s="91" t="str">
        <f t="shared" si="168"/>
        <v>Cf-245</v>
      </c>
      <c r="B3637" s="91" t="s">
        <v>4283</v>
      </c>
      <c r="C3637" s="91" t="s">
        <v>4275</v>
      </c>
      <c r="D3637" s="91">
        <v>98</v>
      </c>
      <c r="E3637" s="91">
        <v>245</v>
      </c>
      <c r="F3637" s="91">
        <v>0</v>
      </c>
      <c r="G3637" s="126">
        <v>0.000256721177985164</v>
      </c>
      <c r="H3637" s="126">
        <f t="shared" si="169"/>
        <v>2700.00000000001</v>
      </c>
      <c r="I3637" s="126" t="str">
        <f t="shared" si="170"/>
        <v>0y 0d 0h 45m</v>
      </c>
    </row>
    <row r="3638" s="91" customFormat="1" spans="1:9">
      <c r="A3638" s="91" t="str">
        <f t="shared" si="168"/>
        <v>Cf-246</v>
      </c>
      <c r="B3638" s="91" t="s">
        <v>4284</v>
      </c>
      <c r="C3638" s="91" t="s">
        <v>4275</v>
      </c>
      <c r="D3638" s="91">
        <v>98</v>
      </c>
      <c r="E3638" s="91">
        <v>246</v>
      </c>
      <c r="F3638" s="91">
        <v>0</v>
      </c>
      <c r="G3638" s="126">
        <v>5.39330205851186e-6</v>
      </c>
      <c r="H3638" s="126">
        <f t="shared" si="169"/>
        <v>128520</v>
      </c>
      <c r="I3638" s="126" t="str">
        <f t="shared" si="170"/>
        <v>0y 1d 11h 42m</v>
      </c>
    </row>
    <row r="3639" s="91" customFormat="1" spans="1:9">
      <c r="A3639" s="91" t="str">
        <f t="shared" si="168"/>
        <v>Cf-247</v>
      </c>
      <c r="B3639" s="91" t="s">
        <v>4285</v>
      </c>
      <c r="C3639" s="91" t="s">
        <v>4275</v>
      </c>
      <c r="D3639" s="91">
        <v>98</v>
      </c>
      <c r="E3639" s="91">
        <v>247</v>
      </c>
      <c r="F3639" s="91">
        <v>0</v>
      </c>
      <c r="G3639" s="126">
        <v>6.19102519256828e-5</v>
      </c>
      <c r="H3639" s="126">
        <f t="shared" si="169"/>
        <v>11196</v>
      </c>
      <c r="I3639" s="126" t="str">
        <f t="shared" si="170"/>
        <v>0y 0d 3h 6m</v>
      </c>
    </row>
    <row r="3640" s="91" customFormat="1" spans="1:9">
      <c r="A3640" s="91" t="str">
        <f t="shared" si="168"/>
        <v>Cf-248</v>
      </c>
      <c r="B3640" s="91" t="s">
        <v>4286</v>
      </c>
      <c r="C3640" s="91" t="s">
        <v>4275</v>
      </c>
      <c r="D3640" s="91">
        <v>98</v>
      </c>
      <c r="E3640" s="91">
        <v>248</v>
      </c>
      <c r="F3640" s="91">
        <v>0</v>
      </c>
      <c r="G3640" s="126">
        <v>2.40555826447868e-8</v>
      </c>
      <c r="H3640" s="126">
        <f t="shared" si="169"/>
        <v>28814400</v>
      </c>
      <c r="I3640" s="126" t="str">
        <f t="shared" si="170"/>
        <v>0y 333d 12h 0m</v>
      </c>
    </row>
    <row r="3641" s="91" customFormat="1" spans="1:9">
      <c r="A3641" s="91" t="str">
        <f t="shared" si="168"/>
        <v>Cf-249</v>
      </c>
      <c r="B3641" s="91" t="s">
        <v>4287</v>
      </c>
      <c r="C3641" s="91" t="s">
        <v>4275</v>
      </c>
      <c r="D3641" s="91">
        <v>98</v>
      </c>
      <c r="E3641" s="91">
        <v>249</v>
      </c>
      <c r="F3641" s="91">
        <v>0</v>
      </c>
      <c r="G3641" s="126">
        <v>6.25770473660878e-11</v>
      </c>
      <c r="H3641" s="126">
        <f t="shared" si="169"/>
        <v>11076700000</v>
      </c>
      <c r="I3641" s="126" t="str">
        <f t="shared" si="170"/>
        <v>351y 87d 13h 6m</v>
      </c>
    </row>
    <row r="3642" s="91" customFormat="1" spans="1:9">
      <c r="A3642" s="91" t="str">
        <f t="shared" si="168"/>
        <v>Cf-250</v>
      </c>
      <c r="B3642" s="91" t="s">
        <v>4288</v>
      </c>
      <c r="C3642" s="91" t="s">
        <v>4275</v>
      </c>
      <c r="D3642" s="91">
        <v>98</v>
      </c>
      <c r="E3642" s="91">
        <v>250</v>
      </c>
      <c r="F3642" s="91">
        <v>0</v>
      </c>
      <c r="G3642" s="126">
        <v>1.67924381890874e-9</v>
      </c>
      <c r="H3642" s="126">
        <f t="shared" si="169"/>
        <v>412773400</v>
      </c>
      <c r="I3642" s="126" t="str">
        <f t="shared" si="170"/>
        <v>13y 32d 11h 16m</v>
      </c>
    </row>
    <row r="3643" s="91" customFormat="1" spans="1:9">
      <c r="A3643" s="91" t="str">
        <f t="shared" si="168"/>
        <v>Cf-251</v>
      </c>
      <c r="B3643" s="91" t="s">
        <v>4289</v>
      </c>
      <c r="C3643" s="91" t="s">
        <v>4275</v>
      </c>
      <c r="D3643" s="91">
        <v>98</v>
      </c>
      <c r="E3643" s="91">
        <v>251</v>
      </c>
      <c r="F3643" s="91">
        <v>0</v>
      </c>
      <c r="G3643" s="126">
        <v>2.44593852420875e-11</v>
      </c>
      <c r="H3643" s="126">
        <f t="shared" si="169"/>
        <v>28338700000</v>
      </c>
      <c r="I3643" s="126" t="str">
        <f t="shared" si="170"/>
        <v>898y 224d 5h 6m</v>
      </c>
    </row>
    <row r="3644" s="91" customFormat="1" spans="1:9">
      <c r="A3644" s="91" t="str">
        <f t="shared" si="168"/>
        <v>Cf-252</v>
      </c>
      <c r="B3644" s="91" t="s">
        <v>4290</v>
      </c>
      <c r="C3644" s="91" t="s">
        <v>4275</v>
      </c>
      <c r="D3644" s="91">
        <v>98</v>
      </c>
      <c r="E3644" s="91">
        <v>252</v>
      </c>
      <c r="F3644" s="91">
        <v>0</v>
      </c>
      <c r="G3644" s="126">
        <v>8.30433937863838e-9</v>
      </c>
      <c r="H3644" s="126">
        <f t="shared" si="169"/>
        <v>83468070.0000001</v>
      </c>
      <c r="I3644" s="126" t="str">
        <f t="shared" si="170"/>
        <v>2y 236d 1h 34m</v>
      </c>
    </row>
    <row r="3645" s="91" customFormat="1" spans="1:9">
      <c r="A3645" s="91" t="str">
        <f t="shared" si="168"/>
        <v>Cf-253</v>
      </c>
      <c r="B3645" s="91" t="s">
        <v>4291</v>
      </c>
      <c r="C3645" s="91" t="s">
        <v>4275</v>
      </c>
      <c r="D3645" s="91">
        <v>98</v>
      </c>
      <c r="E3645" s="91">
        <v>253</v>
      </c>
      <c r="F3645" s="91">
        <v>0</v>
      </c>
      <c r="G3645" s="126">
        <v>4.50451252781381e-7</v>
      </c>
      <c r="H3645" s="126">
        <f t="shared" si="169"/>
        <v>1538784</v>
      </c>
      <c r="I3645" s="126" t="str">
        <f t="shared" si="170"/>
        <v>0y 17d 19h 26m</v>
      </c>
    </row>
    <row r="3646" s="91" customFormat="1" spans="1:9">
      <c r="A3646" s="91" t="str">
        <f t="shared" si="168"/>
        <v>Cf-254</v>
      </c>
      <c r="B3646" s="91" t="s">
        <v>4292</v>
      </c>
      <c r="C3646" s="91" t="s">
        <v>4275</v>
      </c>
      <c r="D3646" s="91">
        <v>98</v>
      </c>
      <c r="E3646" s="91">
        <v>254</v>
      </c>
      <c r="F3646" s="91">
        <v>0</v>
      </c>
      <c r="G3646" s="126">
        <v>1.32603914248535e-7</v>
      </c>
      <c r="H3646" s="126">
        <f t="shared" si="169"/>
        <v>5227200.00000002</v>
      </c>
      <c r="I3646" s="126" t="str">
        <f t="shared" si="170"/>
        <v>0y 60d 12h 0m</v>
      </c>
    </row>
    <row r="3647" s="91" customFormat="1" spans="1:9">
      <c r="A3647" s="91" t="str">
        <f t="shared" si="168"/>
        <v>Cf-255</v>
      </c>
      <c r="B3647" s="91" t="s">
        <v>4293</v>
      </c>
      <c r="C3647" s="91" t="s">
        <v>4275</v>
      </c>
      <c r="D3647" s="91">
        <v>98</v>
      </c>
      <c r="E3647" s="91">
        <v>255</v>
      </c>
      <c r="F3647" s="91">
        <v>0</v>
      </c>
      <c r="G3647" s="126">
        <v>0.000135911211874499</v>
      </c>
      <c r="H3647" s="126">
        <f t="shared" si="169"/>
        <v>5100</v>
      </c>
      <c r="I3647" s="126" t="str">
        <f t="shared" si="170"/>
        <v>0y 0d 1h 25m</v>
      </c>
    </row>
    <row r="3648" s="91" customFormat="1" spans="1:9">
      <c r="A3648" s="91" t="str">
        <f t="shared" si="168"/>
        <v>Cf-256</v>
      </c>
      <c r="B3648" s="91" t="s">
        <v>4294</v>
      </c>
      <c r="C3648" s="91" t="s">
        <v>4275</v>
      </c>
      <c r="D3648" s="91">
        <v>98</v>
      </c>
      <c r="E3648" s="91">
        <v>256</v>
      </c>
      <c r="F3648" s="91">
        <v>0</v>
      </c>
      <c r="G3648" s="126">
        <v>0.000939223821896944</v>
      </c>
      <c r="H3648" s="126">
        <f t="shared" si="169"/>
        <v>738.000000000001</v>
      </c>
      <c r="I3648" s="126" t="str">
        <f t="shared" si="170"/>
        <v>0y 0d 0h 12m</v>
      </c>
    </row>
    <row r="3649" s="91" customFormat="1" spans="1:9">
      <c r="A3649" s="91" t="str">
        <f t="shared" si="168"/>
        <v>Es-240</v>
      </c>
      <c r="B3649" s="91" t="s">
        <v>4295</v>
      </c>
      <c r="C3649" s="91" t="s">
        <v>4296</v>
      </c>
      <c r="D3649" s="91">
        <v>99</v>
      </c>
      <c r="E3649" s="91">
        <v>240</v>
      </c>
      <c r="F3649" s="91">
        <v>0</v>
      </c>
      <c r="G3649" s="126">
        <v>0.693147180559945</v>
      </c>
      <c r="H3649" s="126">
        <f t="shared" si="169"/>
        <v>1</v>
      </c>
      <c r="I3649" s="126" t="str">
        <f t="shared" si="170"/>
        <v>0y 0d 0h 0m</v>
      </c>
    </row>
    <row r="3650" s="91" customFormat="1" spans="1:9">
      <c r="A3650" s="91" t="str">
        <f t="shared" ref="A3650:A3713" si="171">C3650&amp;"-"&amp;E3650&amp;_xlfn.IFS(F3650=0,"",F3650=1,"m",F3650&gt;1,"m"&amp;F3650)</f>
        <v>Es-241</v>
      </c>
      <c r="B3650" s="91" t="s">
        <v>4297</v>
      </c>
      <c r="C3650" s="91" t="s">
        <v>4296</v>
      </c>
      <c r="D3650" s="91">
        <v>99</v>
      </c>
      <c r="E3650" s="91">
        <v>241</v>
      </c>
      <c r="F3650" s="91">
        <v>0</v>
      </c>
      <c r="G3650" s="126">
        <v>0.0815467271246994</v>
      </c>
      <c r="H3650" s="126">
        <f t="shared" ref="H3650:H3713" si="172">IF(G3650&gt;0,LN(2)/G3650,0)</f>
        <v>8.5</v>
      </c>
      <c r="I3650" s="126" t="str">
        <f t="shared" si="170"/>
        <v>0y 0d 0h 0m</v>
      </c>
    </row>
    <row r="3651" s="91" customFormat="1" spans="1:9">
      <c r="A3651" s="91" t="str">
        <f t="shared" si="171"/>
        <v>Es-242</v>
      </c>
      <c r="B3651" s="91" t="s">
        <v>4298</v>
      </c>
      <c r="C3651" s="91" t="s">
        <v>4296</v>
      </c>
      <c r="D3651" s="91">
        <v>99</v>
      </c>
      <c r="E3651" s="91">
        <v>242</v>
      </c>
      <c r="F3651" s="91">
        <v>0</v>
      </c>
      <c r="G3651" s="126">
        <v>0.0513442355970329</v>
      </c>
      <c r="H3651" s="126">
        <f t="shared" si="172"/>
        <v>13.5</v>
      </c>
      <c r="I3651" s="126" t="str">
        <f t="shared" ref="I3651:I3714" si="173">INT(H3651/31536000)&amp;"y "&amp;INT(MOD(H3651,31536000)/86400)&amp;"d "&amp;INT(MOD(MOD(H3651,31536000),86400)/3600)&amp;"h "&amp;INT(MOD(MOD(MOD(H3651,31536000),86400),3600)/60)&amp;"m"</f>
        <v>0y 0d 0h 0m</v>
      </c>
    </row>
    <row r="3652" s="91" customFormat="1" spans="1:9">
      <c r="A3652" s="91" t="str">
        <f t="shared" si="171"/>
        <v>Es-243</v>
      </c>
      <c r="B3652" s="91" t="s">
        <v>4299</v>
      </c>
      <c r="C3652" s="91" t="s">
        <v>4296</v>
      </c>
      <c r="D3652" s="91">
        <v>99</v>
      </c>
      <c r="E3652" s="91">
        <v>243</v>
      </c>
      <c r="F3652" s="91">
        <v>0</v>
      </c>
      <c r="G3652" s="126">
        <v>0.0330070085980926</v>
      </c>
      <c r="H3652" s="126">
        <f t="shared" si="172"/>
        <v>21</v>
      </c>
      <c r="I3652" s="126" t="str">
        <f t="shared" si="173"/>
        <v>0y 0d 0h 0m</v>
      </c>
    </row>
    <row r="3653" s="91" customFormat="1" spans="1:9">
      <c r="A3653" s="91" t="str">
        <f t="shared" si="171"/>
        <v>Es-244</v>
      </c>
      <c r="B3653" s="91" t="s">
        <v>4300</v>
      </c>
      <c r="C3653" s="91" t="s">
        <v>4296</v>
      </c>
      <c r="D3653" s="91">
        <v>99</v>
      </c>
      <c r="E3653" s="91">
        <v>244</v>
      </c>
      <c r="F3653" s="91">
        <v>0</v>
      </c>
      <c r="G3653" s="126">
        <v>0.0187337075827012</v>
      </c>
      <c r="H3653" s="126">
        <f t="shared" si="172"/>
        <v>37</v>
      </c>
      <c r="I3653" s="126" t="str">
        <f t="shared" si="173"/>
        <v>0y 0d 0h 0m</v>
      </c>
    </row>
    <row r="3654" s="91" customFormat="1" spans="1:9">
      <c r="A3654" s="91" t="str">
        <f t="shared" si="171"/>
        <v>Es-245</v>
      </c>
      <c r="B3654" s="91" t="s">
        <v>4301</v>
      </c>
      <c r="C3654" s="91" t="s">
        <v>4296</v>
      </c>
      <c r="D3654" s="91">
        <v>99</v>
      </c>
      <c r="E3654" s="91">
        <v>245</v>
      </c>
      <c r="F3654" s="91">
        <v>0</v>
      </c>
      <c r="G3654" s="126">
        <v>0.010502230008484</v>
      </c>
      <c r="H3654" s="126">
        <f t="shared" si="172"/>
        <v>66.0000000000001</v>
      </c>
      <c r="I3654" s="126" t="str">
        <f t="shared" si="173"/>
        <v>0y 0d 0h 1m</v>
      </c>
    </row>
    <row r="3655" s="91" customFormat="1" spans="1:9">
      <c r="A3655" s="91" t="str">
        <f t="shared" si="171"/>
        <v>Es-246</v>
      </c>
      <c r="B3655" s="91" t="s">
        <v>4302</v>
      </c>
      <c r="C3655" s="91" t="s">
        <v>4296</v>
      </c>
      <c r="D3655" s="91">
        <v>99</v>
      </c>
      <c r="E3655" s="91">
        <v>246</v>
      </c>
      <c r="F3655" s="91">
        <v>0</v>
      </c>
      <c r="G3655" s="126">
        <v>0.00150031857264057</v>
      </c>
      <c r="H3655" s="126">
        <f t="shared" si="172"/>
        <v>462.000000000001</v>
      </c>
      <c r="I3655" s="126" t="str">
        <f t="shared" si="173"/>
        <v>0y 0d 0h 7m</v>
      </c>
    </row>
    <row r="3656" s="91" customFormat="1" spans="1:9">
      <c r="A3656" s="91" t="str">
        <f t="shared" si="171"/>
        <v>Es-247</v>
      </c>
      <c r="B3656" s="91" t="s">
        <v>4303</v>
      </c>
      <c r="C3656" s="91" t="s">
        <v>4296</v>
      </c>
      <c r="D3656" s="91">
        <v>99</v>
      </c>
      <c r="E3656" s="91">
        <v>247</v>
      </c>
      <c r="F3656" s="91">
        <v>0</v>
      </c>
      <c r="G3656" s="126">
        <v>0.00253900066139174</v>
      </c>
      <c r="H3656" s="126">
        <f t="shared" si="172"/>
        <v>273</v>
      </c>
      <c r="I3656" s="126" t="str">
        <f t="shared" si="173"/>
        <v>0y 0d 0h 4m</v>
      </c>
    </row>
    <row r="3657" s="91" customFormat="1" spans="1:9">
      <c r="A3657" s="91" t="str">
        <f t="shared" si="171"/>
        <v>Es-247m</v>
      </c>
      <c r="B3657" s="91" t="s">
        <v>4304</v>
      </c>
      <c r="C3657" s="91" t="s">
        <v>4296</v>
      </c>
      <c r="D3657" s="91">
        <v>99</v>
      </c>
      <c r="E3657" s="91">
        <v>247</v>
      </c>
      <c r="F3657" s="91">
        <v>1</v>
      </c>
      <c r="G3657" s="126">
        <v>1.28360588992582e-8</v>
      </c>
      <c r="H3657" s="126">
        <f t="shared" si="172"/>
        <v>54000000.0000002</v>
      </c>
      <c r="I3657" s="126" t="str">
        <f t="shared" si="173"/>
        <v>1y 260d 0h 0m</v>
      </c>
    </row>
    <row r="3658" s="91" customFormat="1" spans="1:9">
      <c r="A3658" s="91" t="str">
        <f t="shared" si="171"/>
        <v>Es-248</v>
      </c>
      <c r="B3658" s="91" t="s">
        <v>4305</v>
      </c>
      <c r="C3658" s="91" t="s">
        <v>4296</v>
      </c>
      <c r="D3658" s="91">
        <v>99</v>
      </c>
      <c r="E3658" s="91">
        <v>248</v>
      </c>
      <c r="F3658" s="91">
        <v>0</v>
      </c>
      <c r="G3658" s="126">
        <v>0.000427868629975274</v>
      </c>
      <c r="H3658" s="126">
        <f t="shared" si="172"/>
        <v>1620</v>
      </c>
      <c r="I3658" s="126" t="str">
        <f t="shared" si="173"/>
        <v>0y 0d 0h 27m</v>
      </c>
    </row>
    <row r="3659" s="91" customFormat="1" spans="1:9">
      <c r="A3659" s="91" t="str">
        <f t="shared" si="171"/>
        <v>Es-249</v>
      </c>
      <c r="B3659" s="91" t="s">
        <v>4306</v>
      </c>
      <c r="C3659" s="91" t="s">
        <v>4296</v>
      </c>
      <c r="D3659" s="91">
        <v>99</v>
      </c>
      <c r="E3659" s="91">
        <v>249</v>
      </c>
      <c r="F3659" s="91">
        <v>0</v>
      </c>
      <c r="G3659" s="126">
        <v>0.000113037700678399</v>
      </c>
      <c r="H3659" s="126">
        <f t="shared" si="172"/>
        <v>6132.00000000002</v>
      </c>
      <c r="I3659" s="126" t="str">
        <f t="shared" si="173"/>
        <v>0y 0d 1h 42m</v>
      </c>
    </row>
    <row r="3660" s="91" customFormat="1" spans="1:9">
      <c r="A3660" s="91" t="str">
        <f t="shared" si="171"/>
        <v>Es-250</v>
      </c>
      <c r="B3660" s="91" t="s">
        <v>4307</v>
      </c>
      <c r="C3660" s="91" t="s">
        <v>4296</v>
      </c>
      <c r="D3660" s="91">
        <v>99</v>
      </c>
      <c r="E3660" s="91">
        <v>250</v>
      </c>
      <c r="F3660" s="91">
        <v>0</v>
      </c>
      <c r="G3660" s="126">
        <v>2.23884748242876e-5</v>
      </c>
      <c r="H3660" s="126">
        <f t="shared" si="172"/>
        <v>30960.0000000001</v>
      </c>
      <c r="I3660" s="126" t="str">
        <f t="shared" si="173"/>
        <v>0y 0d 8h 36m</v>
      </c>
    </row>
    <row r="3661" s="91" customFormat="1" spans="1:9">
      <c r="A3661" s="91" t="str">
        <f t="shared" si="171"/>
        <v>Es-250m</v>
      </c>
      <c r="B3661" s="91" t="s">
        <v>4308</v>
      </c>
      <c r="C3661" s="91" t="s">
        <v>4296</v>
      </c>
      <c r="D3661" s="91">
        <v>99</v>
      </c>
      <c r="E3661" s="91">
        <v>250</v>
      </c>
      <c r="F3661" s="91">
        <v>1</v>
      </c>
      <c r="G3661" s="126">
        <v>8.67301276976908e-5</v>
      </c>
      <c r="H3661" s="126">
        <f t="shared" si="172"/>
        <v>7992</v>
      </c>
      <c r="I3661" s="126" t="str">
        <f t="shared" si="173"/>
        <v>0y 0d 2h 13m</v>
      </c>
    </row>
    <row r="3662" s="91" customFormat="1" spans="1:9">
      <c r="A3662" s="91" t="str">
        <f t="shared" si="171"/>
        <v>Es-251</v>
      </c>
      <c r="B3662" s="91" t="s">
        <v>4309</v>
      </c>
      <c r="C3662" s="91" t="s">
        <v>4296</v>
      </c>
      <c r="D3662" s="91">
        <v>99</v>
      </c>
      <c r="E3662" s="91">
        <v>251</v>
      </c>
      <c r="F3662" s="91">
        <v>0</v>
      </c>
      <c r="G3662" s="126">
        <v>5.83457222693556e-6</v>
      </c>
      <c r="H3662" s="126">
        <f t="shared" si="172"/>
        <v>118800</v>
      </c>
      <c r="I3662" s="126" t="str">
        <f t="shared" si="173"/>
        <v>0y 1d 9h 0m</v>
      </c>
    </row>
    <row r="3663" s="91" customFormat="1" spans="1:9">
      <c r="A3663" s="91" t="str">
        <f t="shared" si="171"/>
        <v>Es-252</v>
      </c>
      <c r="B3663" s="91" t="s">
        <v>4310</v>
      </c>
      <c r="C3663" s="91" t="s">
        <v>4296</v>
      </c>
      <c r="D3663" s="91">
        <v>99</v>
      </c>
      <c r="E3663" s="91">
        <v>252</v>
      </c>
      <c r="F3663" s="91">
        <v>0</v>
      </c>
      <c r="G3663" s="126">
        <v>1.70077100106771e-8</v>
      </c>
      <c r="H3663" s="126">
        <f t="shared" si="172"/>
        <v>40754880.0000001</v>
      </c>
      <c r="I3663" s="126" t="str">
        <f t="shared" si="173"/>
        <v>1y 106d 16h 48m</v>
      </c>
    </row>
    <row r="3664" s="91" customFormat="1" spans="1:9">
      <c r="A3664" s="91" t="str">
        <f t="shared" si="171"/>
        <v>Es-253</v>
      </c>
      <c r="B3664" s="91" t="s">
        <v>4311</v>
      </c>
      <c r="C3664" s="91" t="s">
        <v>4296</v>
      </c>
      <c r="D3664" s="91">
        <v>99</v>
      </c>
      <c r="E3664" s="91">
        <v>253</v>
      </c>
      <c r="F3664" s="91">
        <v>0</v>
      </c>
      <c r="G3664" s="126">
        <v>3.91916795898212e-7</v>
      </c>
      <c r="H3664" s="126">
        <f t="shared" si="172"/>
        <v>1768608</v>
      </c>
      <c r="I3664" s="126" t="str">
        <f t="shared" si="173"/>
        <v>0y 20d 11h 16m</v>
      </c>
    </row>
    <row r="3665" s="91" customFormat="1" spans="1:9">
      <c r="A3665" s="91" t="str">
        <f t="shared" si="171"/>
        <v>Es-254</v>
      </c>
      <c r="B3665" s="91" t="s">
        <v>4312</v>
      </c>
      <c r="C3665" s="91" t="s">
        <v>4296</v>
      </c>
      <c r="D3665" s="91">
        <v>99</v>
      </c>
      <c r="E3665" s="91">
        <v>254</v>
      </c>
      <c r="F3665" s="91">
        <v>0</v>
      </c>
      <c r="G3665" s="126">
        <v>2.90987914836285e-8</v>
      </c>
      <c r="H3665" s="126">
        <f t="shared" si="172"/>
        <v>23820480.0000001</v>
      </c>
      <c r="I3665" s="126" t="str">
        <f t="shared" si="173"/>
        <v>0y 275d 16h 48m</v>
      </c>
    </row>
    <row r="3666" s="91" customFormat="1" spans="1:9">
      <c r="A3666" s="91" t="str">
        <f t="shared" si="171"/>
        <v>Es-254m</v>
      </c>
      <c r="B3666" s="91" t="s">
        <v>4313</v>
      </c>
      <c r="C3666" s="91" t="s">
        <v>4296</v>
      </c>
      <c r="D3666" s="91">
        <v>99</v>
      </c>
      <c r="E3666" s="91">
        <v>254</v>
      </c>
      <c r="F3666" s="91">
        <v>1</v>
      </c>
      <c r="G3666" s="126">
        <v>4.89926258472012e-6</v>
      </c>
      <c r="H3666" s="126">
        <f t="shared" si="172"/>
        <v>141479.9</v>
      </c>
      <c r="I3666" s="126" t="str">
        <f t="shared" si="173"/>
        <v>0y 1d 15h 17m</v>
      </c>
    </row>
    <row r="3667" s="91" customFormat="1" spans="1:9">
      <c r="A3667" s="91" t="str">
        <f t="shared" si="171"/>
        <v>Es-255</v>
      </c>
      <c r="B3667" s="91" t="s">
        <v>4314</v>
      </c>
      <c r="C3667" s="91" t="s">
        <v>4296</v>
      </c>
      <c r="D3667" s="91">
        <v>99</v>
      </c>
      <c r="E3667" s="91">
        <v>255</v>
      </c>
      <c r="F3667" s="91">
        <v>0</v>
      </c>
      <c r="G3667" s="126">
        <v>2.01571276684331e-7</v>
      </c>
      <c r="H3667" s="126">
        <f t="shared" si="172"/>
        <v>3438720.00000001</v>
      </c>
      <c r="I3667" s="126" t="str">
        <f t="shared" si="173"/>
        <v>0y 39d 19h 12m</v>
      </c>
    </row>
    <row r="3668" s="91" customFormat="1" spans="1:9">
      <c r="A3668" s="91" t="str">
        <f t="shared" si="171"/>
        <v>Es-256</v>
      </c>
      <c r="B3668" s="91" t="s">
        <v>4315</v>
      </c>
      <c r="C3668" s="91" t="s">
        <v>4296</v>
      </c>
      <c r="D3668" s="91">
        <v>99</v>
      </c>
      <c r="E3668" s="91">
        <v>256</v>
      </c>
      <c r="F3668" s="91">
        <v>0</v>
      </c>
      <c r="G3668" s="126">
        <v>0.000454820984619386</v>
      </c>
      <c r="H3668" s="126">
        <f t="shared" si="172"/>
        <v>1524</v>
      </c>
      <c r="I3668" s="126" t="str">
        <f t="shared" si="173"/>
        <v>0y 0d 0h 25m</v>
      </c>
    </row>
    <row r="3669" s="91" customFormat="1" spans="1:9">
      <c r="A3669" s="91" t="str">
        <f t="shared" si="171"/>
        <v>Es-256m</v>
      </c>
      <c r="B3669" s="91" t="s">
        <v>4316</v>
      </c>
      <c r="C3669" s="91" t="s">
        <v>4296</v>
      </c>
      <c r="D3669" s="91">
        <v>99</v>
      </c>
      <c r="E3669" s="91">
        <v>256</v>
      </c>
      <c r="F3669" s="91">
        <v>1</v>
      </c>
      <c r="G3669" s="126">
        <v>2.53343267748518e-5</v>
      </c>
      <c r="H3669" s="126">
        <f t="shared" si="172"/>
        <v>27360</v>
      </c>
      <c r="I3669" s="126" t="str">
        <f t="shared" si="173"/>
        <v>0y 0d 7h 36m</v>
      </c>
    </row>
    <row r="3670" s="91" customFormat="1" spans="1:9">
      <c r="A3670" s="91" t="str">
        <f t="shared" si="171"/>
        <v>Es-257</v>
      </c>
      <c r="B3670" s="91" t="s">
        <v>4317</v>
      </c>
      <c r="C3670" s="91" t="s">
        <v>4296</v>
      </c>
      <c r="D3670" s="91">
        <v>99</v>
      </c>
      <c r="E3670" s="91">
        <v>257</v>
      </c>
      <c r="F3670" s="91">
        <v>0</v>
      </c>
      <c r="G3670" s="126">
        <v>1.04188789766706e-6</v>
      </c>
      <c r="H3670" s="126">
        <f t="shared" si="172"/>
        <v>665280.000000003</v>
      </c>
      <c r="I3670" s="126" t="str">
        <f t="shared" si="173"/>
        <v>0y 7d 16h 48m</v>
      </c>
    </row>
    <row r="3671" s="91" customFormat="1" spans="1:9">
      <c r="A3671" s="91" t="str">
        <f t="shared" si="171"/>
        <v>Es-258</v>
      </c>
      <c r="B3671" s="91" t="s">
        <v>4318</v>
      </c>
      <c r="C3671" s="91" t="s">
        <v>4296</v>
      </c>
      <c r="D3671" s="91">
        <v>99</v>
      </c>
      <c r="E3671" s="91">
        <v>258</v>
      </c>
      <c r="F3671" s="91">
        <v>0</v>
      </c>
      <c r="G3671" s="126">
        <v>0.00385081766977747</v>
      </c>
      <c r="H3671" s="126">
        <f t="shared" si="172"/>
        <v>180</v>
      </c>
      <c r="I3671" s="126" t="str">
        <f t="shared" si="173"/>
        <v>0y 0d 0h 3m</v>
      </c>
    </row>
    <row r="3672" s="91" customFormat="1" spans="1:9">
      <c r="A3672" s="91" t="str">
        <f t="shared" si="171"/>
        <v>Fm-242</v>
      </c>
      <c r="B3672" s="91" t="s">
        <v>4319</v>
      </c>
      <c r="C3672" s="91" t="s">
        <v>4320</v>
      </c>
      <c r="D3672" s="91">
        <v>100</v>
      </c>
      <c r="E3672" s="91">
        <v>242</v>
      </c>
      <c r="F3672" s="91">
        <v>0</v>
      </c>
      <c r="G3672" s="126">
        <v>866.433975699931</v>
      </c>
      <c r="H3672" s="126">
        <f t="shared" si="172"/>
        <v>0.000800000000000001</v>
      </c>
      <c r="I3672" s="126" t="str">
        <f t="shared" si="173"/>
        <v>0y 0d 0h 0m</v>
      </c>
    </row>
    <row r="3673" s="91" customFormat="1" spans="1:9">
      <c r="A3673" s="91" t="str">
        <f t="shared" si="171"/>
        <v>Fm-243</v>
      </c>
      <c r="B3673" s="91" t="s">
        <v>4321</v>
      </c>
      <c r="C3673" s="91" t="s">
        <v>4320</v>
      </c>
      <c r="D3673" s="91">
        <v>100</v>
      </c>
      <c r="E3673" s="91">
        <v>243</v>
      </c>
      <c r="F3673" s="91">
        <v>0</v>
      </c>
      <c r="G3673" s="126">
        <v>3.46573590279972</v>
      </c>
      <c r="H3673" s="126">
        <f t="shared" si="172"/>
        <v>0.2</v>
      </c>
      <c r="I3673" s="126" t="str">
        <f t="shared" si="173"/>
        <v>0y 0d 0h 0m</v>
      </c>
    </row>
    <row r="3674" s="91" customFormat="1" spans="1:9">
      <c r="A3674" s="91" t="str">
        <f t="shared" si="171"/>
        <v>Fm-244</v>
      </c>
      <c r="B3674" s="91" t="s">
        <v>4322</v>
      </c>
      <c r="C3674" s="91" t="s">
        <v>4320</v>
      </c>
      <c r="D3674" s="91">
        <v>100</v>
      </c>
      <c r="E3674" s="91">
        <v>244</v>
      </c>
      <c r="F3674" s="91">
        <v>0</v>
      </c>
      <c r="G3674" s="126">
        <v>210.04460016968</v>
      </c>
      <c r="H3674" s="126">
        <f t="shared" si="172"/>
        <v>0.00330000000000001</v>
      </c>
      <c r="I3674" s="126" t="str">
        <f t="shared" si="173"/>
        <v>0y 0d 0h 0m</v>
      </c>
    </row>
    <row r="3675" s="91" customFormat="1" spans="1:9">
      <c r="A3675" s="91" t="str">
        <f t="shared" si="171"/>
        <v>Fm-245</v>
      </c>
      <c r="B3675" s="91" t="s">
        <v>4323</v>
      </c>
      <c r="C3675" s="91" t="s">
        <v>4320</v>
      </c>
      <c r="D3675" s="91">
        <v>100</v>
      </c>
      <c r="E3675" s="91">
        <v>245</v>
      </c>
      <c r="F3675" s="91">
        <v>0</v>
      </c>
      <c r="G3675" s="126">
        <v>0.165035042990463</v>
      </c>
      <c r="H3675" s="126">
        <f t="shared" si="172"/>
        <v>4.2</v>
      </c>
      <c r="I3675" s="126" t="str">
        <f t="shared" si="173"/>
        <v>0y 0d 0h 0m</v>
      </c>
    </row>
    <row r="3676" s="91" customFormat="1" spans="1:9">
      <c r="A3676" s="91" t="str">
        <f t="shared" si="171"/>
        <v>Fm-246</v>
      </c>
      <c r="B3676" s="91" t="s">
        <v>4324</v>
      </c>
      <c r="C3676" s="91" t="s">
        <v>4320</v>
      </c>
      <c r="D3676" s="91">
        <v>100</v>
      </c>
      <c r="E3676" s="91">
        <v>246</v>
      </c>
      <c r="F3676" s="91">
        <v>0</v>
      </c>
      <c r="G3676" s="126">
        <v>0.630133800509041</v>
      </c>
      <c r="H3676" s="126">
        <f t="shared" si="172"/>
        <v>1.1</v>
      </c>
      <c r="I3676" s="126" t="str">
        <f t="shared" si="173"/>
        <v>0y 0d 0h 0m</v>
      </c>
    </row>
    <row r="3677" s="91" customFormat="1" spans="1:9">
      <c r="A3677" s="91" t="str">
        <f t="shared" si="171"/>
        <v>Fm-247</v>
      </c>
      <c r="B3677" s="91" t="s">
        <v>4325</v>
      </c>
      <c r="C3677" s="91" t="s">
        <v>4320</v>
      </c>
      <c r="D3677" s="91">
        <v>100</v>
      </c>
      <c r="E3677" s="91">
        <v>247</v>
      </c>
      <c r="F3677" s="91">
        <v>0</v>
      </c>
      <c r="G3677" s="126">
        <v>0.0239016269158601</v>
      </c>
      <c r="H3677" s="126">
        <f t="shared" si="172"/>
        <v>29.0000000000001</v>
      </c>
      <c r="I3677" s="126" t="str">
        <f t="shared" si="173"/>
        <v>0y 0d 0h 0m</v>
      </c>
    </row>
    <row r="3678" s="91" customFormat="1" spans="1:9">
      <c r="A3678" s="91" t="str">
        <f t="shared" si="171"/>
        <v>Fm-248</v>
      </c>
      <c r="B3678" s="91" t="s">
        <v>4326</v>
      </c>
      <c r="C3678" s="91" t="s">
        <v>4320</v>
      </c>
      <c r="D3678" s="91">
        <v>100</v>
      </c>
      <c r="E3678" s="91">
        <v>248</v>
      </c>
      <c r="F3678" s="91">
        <v>0</v>
      </c>
      <c r="G3678" s="126">
        <v>0.0192540883488873</v>
      </c>
      <c r="H3678" s="126">
        <f t="shared" si="172"/>
        <v>36.0000000000001</v>
      </c>
      <c r="I3678" s="126" t="str">
        <f t="shared" si="173"/>
        <v>0y 0d 0h 0m</v>
      </c>
    </row>
    <row r="3679" s="91" customFormat="1" spans="1:9">
      <c r="A3679" s="91" t="str">
        <f t="shared" si="171"/>
        <v>Fm-249</v>
      </c>
      <c r="B3679" s="91" t="s">
        <v>4327</v>
      </c>
      <c r="C3679" s="91" t="s">
        <v>4320</v>
      </c>
      <c r="D3679" s="91">
        <v>100</v>
      </c>
      <c r="E3679" s="91">
        <v>249</v>
      </c>
      <c r="F3679" s="91">
        <v>0</v>
      </c>
      <c r="G3679" s="126">
        <v>0.00444325115743554</v>
      </c>
      <c r="H3679" s="126">
        <f t="shared" si="172"/>
        <v>156</v>
      </c>
      <c r="I3679" s="126" t="str">
        <f t="shared" si="173"/>
        <v>0y 0d 0h 2m</v>
      </c>
    </row>
    <row r="3680" s="91" customFormat="1" spans="1:9">
      <c r="A3680" s="91" t="str">
        <f t="shared" si="171"/>
        <v>Fm-250</v>
      </c>
      <c r="B3680" s="91" t="s">
        <v>4328</v>
      </c>
      <c r="C3680" s="91" t="s">
        <v>4320</v>
      </c>
      <c r="D3680" s="91">
        <v>100</v>
      </c>
      <c r="E3680" s="91">
        <v>250</v>
      </c>
      <c r="F3680" s="91">
        <v>0</v>
      </c>
      <c r="G3680" s="126">
        <v>0.000385081766977747</v>
      </c>
      <c r="H3680" s="126">
        <f t="shared" si="172"/>
        <v>1800</v>
      </c>
      <c r="I3680" s="126" t="str">
        <f t="shared" si="173"/>
        <v>0y 0d 0h 30m</v>
      </c>
    </row>
    <row r="3681" s="91" customFormat="1" spans="1:9">
      <c r="A3681" s="91" t="str">
        <f t="shared" si="171"/>
        <v>Fm-250m</v>
      </c>
      <c r="B3681" s="91" t="s">
        <v>4329</v>
      </c>
      <c r="C3681" s="91" t="s">
        <v>4320</v>
      </c>
      <c r="D3681" s="91">
        <v>100</v>
      </c>
      <c r="E3681" s="91">
        <v>250</v>
      </c>
      <c r="F3681" s="91">
        <v>1</v>
      </c>
      <c r="G3681" s="126">
        <v>0.385081766977747</v>
      </c>
      <c r="H3681" s="126">
        <f t="shared" si="172"/>
        <v>1.8</v>
      </c>
      <c r="I3681" s="126" t="str">
        <f t="shared" si="173"/>
        <v>0y 0d 0h 0m</v>
      </c>
    </row>
    <row r="3682" s="91" customFormat="1" spans="1:9">
      <c r="A3682" s="91" t="str">
        <f t="shared" si="171"/>
        <v>Fm-251</v>
      </c>
      <c r="B3682" s="91" t="s">
        <v>4330</v>
      </c>
      <c r="C3682" s="91" t="s">
        <v>4320</v>
      </c>
      <c r="D3682" s="91">
        <v>100</v>
      </c>
      <c r="E3682" s="91">
        <v>251</v>
      </c>
      <c r="F3682" s="91">
        <v>0</v>
      </c>
      <c r="G3682" s="126">
        <v>3.63284685828063e-5</v>
      </c>
      <c r="H3682" s="126">
        <f t="shared" si="172"/>
        <v>19080</v>
      </c>
      <c r="I3682" s="126" t="str">
        <f t="shared" si="173"/>
        <v>0y 0d 5h 18m</v>
      </c>
    </row>
    <row r="3683" s="91" customFormat="1" spans="1:9">
      <c r="A3683" s="91" t="str">
        <f t="shared" si="171"/>
        <v>Fm-252</v>
      </c>
      <c r="B3683" s="91" t="s">
        <v>4331</v>
      </c>
      <c r="C3683" s="91" t="s">
        <v>4320</v>
      </c>
      <c r="D3683" s="91">
        <v>100</v>
      </c>
      <c r="E3683" s="91">
        <v>252</v>
      </c>
      <c r="F3683" s="91">
        <v>0</v>
      </c>
      <c r="G3683" s="126">
        <v>7.58333530873862e-6</v>
      </c>
      <c r="H3683" s="126">
        <f t="shared" si="172"/>
        <v>91404.0000000001</v>
      </c>
      <c r="I3683" s="126" t="str">
        <f t="shared" si="173"/>
        <v>0y 1d 1h 23m</v>
      </c>
    </row>
    <row r="3684" s="91" customFormat="1" spans="1:9">
      <c r="A3684" s="91" t="str">
        <f t="shared" si="171"/>
        <v>Fm-253</v>
      </c>
      <c r="B3684" s="91" t="s">
        <v>4332</v>
      </c>
      <c r="C3684" s="91" t="s">
        <v>4320</v>
      </c>
      <c r="D3684" s="91">
        <v>100</v>
      </c>
      <c r="E3684" s="91">
        <v>253</v>
      </c>
      <c r="F3684" s="91">
        <v>0</v>
      </c>
      <c r="G3684" s="126">
        <v>2.67417893734546e-6</v>
      </c>
      <c r="H3684" s="126">
        <f t="shared" si="172"/>
        <v>259200.000000001</v>
      </c>
      <c r="I3684" s="126" t="str">
        <f t="shared" si="173"/>
        <v>0y 3d 0h 0m</v>
      </c>
    </row>
    <row r="3685" s="91" customFormat="1" spans="1:9">
      <c r="A3685" s="91" t="str">
        <f t="shared" si="171"/>
        <v>Fm-254</v>
      </c>
      <c r="B3685" s="91" t="s">
        <v>4333</v>
      </c>
      <c r="C3685" s="91" t="s">
        <v>4320</v>
      </c>
      <c r="D3685" s="91">
        <v>100</v>
      </c>
      <c r="E3685" s="91">
        <v>254</v>
      </c>
      <c r="F3685" s="91">
        <v>0</v>
      </c>
      <c r="G3685" s="126">
        <v>5.9426198607677e-5</v>
      </c>
      <c r="H3685" s="126">
        <f t="shared" si="172"/>
        <v>11664</v>
      </c>
      <c r="I3685" s="126" t="str">
        <f t="shared" si="173"/>
        <v>0y 0d 3h 14m</v>
      </c>
    </row>
    <row r="3686" s="91" customFormat="1" spans="1:9">
      <c r="A3686" s="91" t="str">
        <f t="shared" si="171"/>
        <v>Fm-255</v>
      </c>
      <c r="B3686" s="91" t="s">
        <v>4334</v>
      </c>
      <c r="C3686" s="91" t="s">
        <v>4320</v>
      </c>
      <c r="D3686" s="91">
        <v>100</v>
      </c>
      <c r="E3686" s="91">
        <v>255</v>
      </c>
      <c r="F3686" s="91">
        <v>0</v>
      </c>
      <c r="G3686" s="126">
        <v>9.59346703980436e-6</v>
      </c>
      <c r="H3686" s="126">
        <f t="shared" si="172"/>
        <v>72252.0000000001</v>
      </c>
      <c r="I3686" s="126" t="str">
        <f t="shared" si="173"/>
        <v>0y 0d 20h 4m</v>
      </c>
    </row>
    <row r="3687" s="91" customFormat="1" spans="1:9">
      <c r="A3687" s="91" t="str">
        <f t="shared" si="171"/>
        <v>Fm-256</v>
      </c>
      <c r="B3687" s="91" t="s">
        <v>4335</v>
      </c>
      <c r="C3687" s="91" t="s">
        <v>4320</v>
      </c>
      <c r="D3687" s="91">
        <v>100</v>
      </c>
      <c r="E3687" s="91">
        <v>256</v>
      </c>
      <c r="F3687" s="91">
        <v>0</v>
      </c>
      <c r="G3687" s="126">
        <v>7.33023668104849e-5</v>
      </c>
      <c r="H3687" s="126">
        <f t="shared" si="172"/>
        <v>9456</v>
      </c>
      <c r="I3687" s="126" t="str">
        <f t="shared" si="173"/>
        <v>0y 0d 2h 37m</v>
      </c>
    </row>
    <row r="3688" s="91" customFormat="1" spans="1:9">
      <c r="A3688" s="91" t="str">
        <f t="shared" si="171"/>
        <v>Fm-257</v>
      </c>
      <c r="B3688" s="91" t="s">
        <v>4336</v>
      </c>
      <c r="C3688" s="91" t="s">
        <v>4320</v>
      </c>
      <c r="D3688" s="91">
        <v>100</v>
      </c>
      <c r="E3688" s="91">
        <v>257</v>
      </c>
      <c r="F3688" s="91">
        <v>0</v>
      </c>
      <c r="G3688" s="126">
        <v>7.98262369356856e-8</v>
      </c>
      <c r="H3688" s="126">
        <f t="shared" si="172"/>
        <v>8683200</v>
      </c>
      <c r="I3688" s="126" t="str">
        <f t="shared" si="173"/>
        <v>0y 100d 12h 0m</v>
      </c>
    </row>
    <row r="3689" s="91" customFormat="1" spans="1:9">
      <c r="A3689" s="91" t="str">
        <f t="shared" si="171"/>
        <v>Fm-258</v>
      </c>
      <c r="B3689" s="91" t="s">
        <v>4337</v>
      </c>
      <c r="C3689" s="91" t="s">
        <v>4320</v>
      </c>
      <c r="D3689" s="91">
        <v>100</v>
      </c>
      <c r="E3689" s="91">
        <v>258</v>
      </c>
      <c r="F3689" s="91">
        <v>0</v>
      </c>
      <c r="G3689" s="126">
        <v>1873.37075827012</v>
      </c>
      <c r="H3689" s="126">
        <f t="shared" si="172"/>
        <v>0.00037</v>
      </c>
      <c r="I3689" s="126" t="str">
        <f t="shared" si="173"/>
        <v>0y 0d 0h 0m</v>
      </c>
    </row>
    <row r="3690" s="91" customFormat="1" spans="1:9">
      <c r="A3690" s="91" t="str">
        <f t="shared" si="171"/>
        <v>Fm-259</v>
      </c>
      <c r="B3690" s="91" t="s">
        <v>4338</v>
      </c>
      <c r="C3690" s="91" t="s">
        <v>4320</v>
      </c>
      <c r="D3690" s="91">
        <v>100</v>
      </c>
      <c r="E3690" s="91">
        <v>259</v>
      </c>
      <c r="F3690" s="91">
        <v>0</v>
      </c>
      <c r="G3690" s="126">
        <v>0.462098120373296</v>
      </c>
      <c r="H3690" s="126">
        <f t="shared" si="172"/>
        <v>1.5</v>
      </c>
      <c r="I3690" s="126" t="str">
        <f t="shared" si="173"/>
        <v>0y 0d 0h 0m</v>
      </c>
    </row>
    <row r="3691" s="91" customFormat="1" spans="1:9">
      <c r="A3691" s="91" t="str">
        <f t="shared" si="171"/>
        <v>Fm-260</v>
      </c>
      <c r="B3691" s="91" t="s">
        <v>4339</v>
      </c>
      <c r="C3691" s="91" t="s">
        <v>4320</v>
      </c>
      <c r="D3691" s="91">
        <v>100</v>
      </c>
      <c r="E3691" s="91">
        <v>260</v>
      </c>
      <c r="F3691" s="91">
        <v>0</v>
      </c>
      <c r="G3691" s="126">
        <v>173.286795139986</v>
      </c>
      <c r="H3691" s="126">
        <f t="shared" si="172"/>
        <v>0.00400000000000001</v>
      </c>
      <c r="I3691" s="126" t="str">
        <f t="shared" si="173"/>
        <v>0y 0d 0h 0m</v>
      </c>
    </row>
    <row r="3692" s="91" customFormat="1" spans="1:9">
      <c r="A3692" s="91" t="str">
        <f t="shared" si="171"/>
        <v>Md-245</v>
      </c>
      <c r="B3692" s="91" t="s">
        <v>4340</v>
      </c>
      <c r="C3692" s="91" t="s">
        <v>4341</v>
      </c>
      <c r="D3692" s="91">
        <v>101</v>
      </c>
      <c r="E3692" s="91">
        <v>245</v>
      </c>
      <c r="F3692" s="91">
        <v>0</v>
      </c>
      <c r="G3692" s="126">
        <v>770.163533955494</v>
      </c>
      <c r="H3692" s="126">
        <f t="shared" si="172"/>
        <v>0.000900000000000001</v>
      </c>
      <c r="I3692" s="126" t="str">
        <f t="shared" si="173"/>
        <v>0y 0d 0h 0m</v>
      </c>
    </row>
    <row r="3693" s="91" customFormat="1" spans="1:9">
      <c r="A3693" s="91" t="str">
        <f t="shared" si="171"/>
        <v>Md-245m</v>
      </c>
      <c r="B3693" s="91" t="s">
        <v>4342</v>
      </c>
      <c r="C3693" s="91" t="s">
        <v>4341</v>
      </c>
      <c r="D3693" s="91">
        <v>101</v>
      </c>
      <c r="E3693" s="91">
        <v>245</v>
      </c>
      <c r="F3693" s="91">
        <v>1</v>
      </c>
      <c r="G3693" s="126">
        <v>1.77730046297421</v>
      </c>
      <c r="H3693" s="126">
        <f t="shared" si="172"/>
        <v>0.390000000000002</v>
      </c>
      <c r="I3693" s="126" t="str">
        <f t="shared" si="173"/>
        <v>0y 0d 0h 0m</v>
      </c>
    </row>
    <row r="3694" s="91" customFormat="1" spans="1:9">
      <c r="A3694" s="91" t="str">
        <f t="shared" si="171"/>
        <v>Md-246</v>
      </c>
      <c r="B3694" s="91" t="s">
        <v>4343</v>
      </c>
      <c r="C3694" s="91" t="s">
        <v>4341</v>
      </c>
      <c r="D3694" s="91">
        <v>101</v>
      </c>
      <c r="E3694" s="91">
        <v>246</v>
      </c>
      <c r="F3694" s="91">
        <v>0</v>
      </c>
      <c r="G3694" s="126">
        <v>0.770163533955494</v>
      </c>
      <c r="H3694" s="126">
        <f t="shared" si="172"/>
        <v>0.900000000000001</v>
      </c>
      <c r="I3694" s="126" t="str">
        <f t="shared" si="173"/>
        <v>0y 0d 0h 0m</v>
      </c>
    </row>
    <row r="3695" s="91" customFormat="1" spans="1:9">
      <c r="A3695" s="91" t="str">
        <f t="shared" si="171"/>
        <v>Md-247</v>
      </c>
      <c r="B3695" s="91" t="s">
        <v>4344</v>
      </c>
      <c r="C3695" s="91" t="s">
        <v>4341</v>
      </c>
      <c r="D3695" s="91">
        <v>101</v>
      </c>
      <c r="E3695" s="91">
        <v>247</v>
      </c>
      <c r="F3695" s="91">
        <v>0</v>
      </c>
      <c r="G3695" s="126">
        <v>0.618881411214236</v>
      </c>
      <c r="H3695" s="126">
        <f t="shared" si="172"/>
        <v>1.12</v>
      </c>
      <c r="I3695" s="126" t="str">
        <f t="shared" si="173"/>
        <v>0y 0d 0h 0m</v>
      </c>
    </row>
    <row r="3696" s="91" customFormat="1" spans="1:9">
      <c r="A3696" s="91" t="str">
        <f t="shared" si="171"/>
        <v>Md-247m</v>
      </c>
      <c r="B3696" s="91" t="s">
        <v>4345</v>
      </c>
      <c r="C3696" s="91" t="s">
        <v>4341</v>
      </c>
      <c r="D3696" s="91">
        <v>101</v>
      </c>
      <c r="E3696" s="91">
        <v>247</v>
      </c>
      <c r="F3696" s="91">
        <v>1</v>
      </c>
      <c r="G3696" s="126">
        <v>2.66595069446132</v>
      </c>
      <c r="H3696" s="126">
        <f t="shared" si="172"/>
        <v>0.260000000000001</v>
      </c>
      <c r="I3696" s="126" t="str">
        <f t="shared" si="173"/>
        <v>0y 0d 0h 0m</v>
      </c>
    </row>
    <row r="3697" s="91" customFormat="1" spans="1:9">
      <c r="A3697" s="91" t="str">
        <f t="shared" si="171"/>
        <v>Md-248</v>
      </c>
      <c r="B3697" s="91" t="s">
        <v>4346</v>
      </c>
      <c r="C3697" s="91" t="s">
        <v>4341</v>
      </c>
      <c r="D3697" s="91">
        <v>101</v>
      </c>
      <c r="E3697" s="91">
        <v>248</v>
      </c>
      <c r="F3697" s="91">
        <v>0</v>
      </c>
      <c r="G3697" s="126">
        <v>0.0990210257942778</v>
      </c>
      <c r="H3697" s="126">
        <f t="shared" si="172"/>
        <v>7.00000000000001</v>
      </c>
      <c r="I3697" s="126" t="str">
        <f t="shared" si="173"/>
        <v>0y 0d 0h 0m</v>
      </c>
    </row>
    <row r="3698" s="91" customFormat="1" spans="1:9">
      <c r="A3698" s="91" t="str">
        <f t="shared" si="171"/>
        <v>Md-249</v>
      </c>
      <c r="B3698" s="91" t="s">
        <v>4347</v>
      </c>
      <c r="C3698" s="91" t="s">
        <v>4341</v>
      </c>
      <c r="D3698" s="91">
        <v>101</v>
      </c>
      <c r="E3698" s="91">
        <v>249</v>
      </c>
      <c r="F3698" s="91">
        <v>0</v>
      </c>
      <c r="G3698" s="126">
        <v>0.028881132523331</v>
      </c>
      <c r="H3698" s="126">
        <f t="shared" si="172"/>
        <v>24</v>
      </c>
      <c r="I3698" s="126" t="str">
        <f t="shared" si="173"/>
        <v>0y 0d 0h 0m</v>
      </c>
    </row>
    <row r="3699" s="91" customFormat="1" spans="1:9">
      <c r="A3699" s="91" t="str">
        <f t="shared" si="171"/>
        <v>Md-249m</v>
      </c>
      <c r="B3699" s="91" t="s">
        <v>4348</v>
      </c>
      <c r="C3699" s="91" t="s">
        <v>4341</v>
      </c>
      <c r="D3699" s="91">
        <v>101</v>
      </c>
      <c r="E3699" s="91">
        <v>249</v>
      </c>
      <c r="F3699" s="91">
        <v>1</v>
      </c>
      <c r="G3699" s="126">
        <v>0.364814305557866</v>
      </c>
      <c r="H3699" s="126">
        <f t="shared" si="172"/>
        <v>1.9</v>
      </c>
      <c r="I3699" s="126" t="str">
        <f t="shared" si="173"/>
        <v>0y 0d 0h 0m</v>
      </c>
    </row>
    <row r="3700" s="91" customFormat="1" spans="1:9">
      <c r="A3700" s="91" t="str">
        <f t="shared" si="171"/>
        <v>Md-250</v>
      </c>
      <c r="B3700" s="91" t="s">
        <v>4349</v>
      </c>
      <c r="C3700" s="91" t="s">
        <v>4341</v>
      </c>
      <c r="D3700" s="91">
        <v>101</v>
      </c>
      <c r="E3700" s="91">
        <v>250</v>
      </c>
      <c r="F3700" s="91">
        <v>0</v>
      </c>
      <c r="G3700" s="126">
        <v>0.0252053520203616</v>
      </c>
      <c r="H3700" s="126">
        <f t="shared" si="172"/>
        <v>27.5</v>
      </c>
      <c r="I3700" s="126" t="str">
        <f t="shared" si="173"/>
        <v>0y 0d 0h 0m</v>
      </c>
    </row>
    <row r="3701" s="91" customFormat="1" spans="1:9">
      <c r="A3701" s="91" t="str">
        <f t="shared" si="171"/>
        <v>Md-251</v>
      </c>
      <c r="B3701" s="91" t="s">
        <v>4350</v>
      </c>
      <c r="C3701" s="91" t="s">
        <v>4341</v>
      </c>
      <c r="D3701" s="91">
        <v>101</v>
      </c>
      <c r="E3701" s="91">
        <v>251</v>
      </c>
      <c r="F3701" s="91">
        <v>0</v>
      </c>
      <c r="G3701" s="126">
        <v>0.0028881132523331</v>
      </c>
      <c r="H3701" s="126">
        <f t="shared" si="172"/>
        <v>240</v>
      </c>
      <c r="I3701" s="126" t="str">
        <f t="shared" si="173"/>
        <v>0y 0d 0h 4m</v>
      </c>
    </row>
    <row r="3702" s="91" customFormat="1" spans="1:9">
      <c r="A3702" s="91" t="str">
        <f t="shared" si="171"/>
        <v>Md-252</v>
      </c>
      <c r="B3702" s="91" t="s">
        <v>4351</v>
      </c>
      <c r="C3702" s="91" t="s">
        <v>4341</v>
      </c>
      <c r="D3702" s="91">
        <v>101</v>
      </c>
      <c r="E3702" s="91">
        <v>252</v>
      </c>
      <c r="F3702" s="91">
        <v>0</v>
      </c>
      <c r="G3702" s="126">
        <v>0.00502280565623148</v>
      </c>
      <c r="H3702" s="126">
        <f t="shared" si="172"/>
        <v>138</v>
      </c>
      <c r="I3702" s="126" t="str">
        <f t="shared" si="173"/>
        <v>0y 0d 0h 2m</v>
      </c>
    </row>
    <row r="3703" s="91" customFormat="1" spans="1:9">
      <c r="A3703" s="91" t="str">
        <f t="shared" si="171"/>
        <v>Md-253</v>
      </c>
      <c r="B3703" s="91" t="s">
        <v>4352</v>
      </c>
      <c r="C3703" s="91" t="s">
        <v>4341</v>
      </c>
      <c r="D3703" s="91">
        <v>101</v>
      </c>
      <c r="E3703" s="91">
        <v>253</v>
      </c>
      <c r="F3703" s="91">
        <v>0</v>
      </c>
      <c r="G3703" s="126">
        <v>0.00110023361993642</v>
      </c>
      <c r="H3703" s="126">
        <f t="shared" si="172"/>
        <v>630.000000000001</v>
      </c>
      <c r="I3703" s="126" t="str">
        <f t="shared" si="173"/>
        <v>0y 0d 0h 10m</v>
      </c>
    </row>
    <row r="3704" s="91" customFormat="1" spans="1:9">
      <c r="A3704" s="91" t="str">
        <f t="shared" si="171"/>
        <v>Md-254</v>
      </c>
      <c r="B3704" s="91" t="s">
        <v>4353</v>
      </c>
      <c r="C3704" s="91" t="s">
        <v>4341</v>
      </c>
      <c r="D3704" s="91">
        <v>101</v>
      </c>
      <c r="E3704" s="91">
        <v>254</v>
      </c>
      <c r="F3704" s="91">
        <v>0</v>
      </c>
      <c r="G3704" s="126">
        <v>0.000412587607476157</v>
      </c>
      <c r="H3704" s="126">
        <f t="shared" si="172"/>
        <v>1680</v>
      </c>
      <c r="I3704" s="126" t="str">
        <f t="shared" si="173"/>
        <v>0y 0d 0h 28m</v>
      </c>
    </row>
    <row r="3705" s="91" customFormat="1" spans="1:9">
      <c r="A3705" s="91" t="str">
        <f t="shared" si="171"/>
        <v>Md-254m</v>
      </c>
      <c r="B3705" s="91" t="s">
        <v>4354</v>
      </c>
      <c r="C3705" s="91" t="s">
        <v>4341</v>
      </c>
      <c r="D3705" s="91">
        <v>101</v>
      </c>
      <c r="E3705" s="91">
        <v>254</v>
      </c>
      <c r="F3705" s="91">
        <v>1</v>
      </c>
      <c r="G3705" s="126">
        <v>0.000412587607476157</v>
      </c>
      <c r="H3705" s="126">
        <f t="shared" si="172"/>
        <v>1680</v>
      </c>
      <c r="I3705" s="126" t="str">
        <f t="shared" si="173"/>
        <v>0y 0d 0h 28m</v>
      </c>
    </row>
    <row r="3706" s="91" customFormat="1" spans="1:9">
      <c r="A3706" s="91" t="str">
        <f t="shared" si="171"/>
        <v>Md-255</v>
      </c>
      <c r="B3706" s="91" t="s">
        <v>4355</v>
      </c>
      <c r="C3706" s="91" t="s">
        <v>4341</v>
      </c>
      <c r="D3706" s="91">
        <v>101</v>
      </c>
      <c r="E3706" s="91">
        <v>255</v>
      </c>
      <c r="F3706" s="91">
        <v>0</v>
      </c>
      <c r="G3706" s="126">
        <v>0.000427868629975274</v>
      </c>
      <c r="H3706" s="126">
        <f t="shared" si="172"/>
        <v>1620</v>
      </c>
      <c r="I3706" s="126" t="str">
        <f t="shared" si="173"/>
        <v>0y 0d 0h 27m</v>
      </c>
    </row>
    <row r="3707" s="91" customFormat="1" spans="1:9">
      <c r="A3707" s="91" t="str">
        <f t="shared" si="171"/>
        <v>Md-256</v>
      </c>
      <c r="B3707" s="91" t="s">
        <v>4356</v>
      </c>
      <c r="C3707" s="91" t="s">
        <v>4341</v>
      </c>
      <c r="D3707" s="91">
        <v>101</v>
      </c>
      <c r="E3707" s="91">
        <v>256</v>
      </c>
      <c r="F3707" s="91">
        <v>0</v>
      </c>
      <c r="G3707" s="126">
        <v>0.000150031857264057</v>
      </c>
      <c r="H3707" s="126">
        <f t="shared" si="172"/>
        <v>4620.00000000001</v>
      </c>
      <c r="I3707" s="126" t="str">
        <f t="shared" si="173"/>
        <v>0y 0d 1h 17m</v>
      </c>
    </row>
    <row r="3708" s="91" customFormat="1" spans="1:9">
      <c r="A3708" s="91" t="str">
        <f t="shared" si="171"/>
        <v>Md-257</v>
      </c>
      <c r="B3708" s="91" t="s">
        <v>4357</v>
      </c>
      <c r="C3708" s="91" t="s">
        <v>4341</v>
      </c>
      <c r="D3708" s="91">
        <v>101</v>
      </c>
      <c r="E3708" s="91">
        <v>257</v>
      </c>
      <c r="F3708" s="91">
        <v>0</v>
      </c>
      <c r="G3708" s="126">
        <v>3.48805948349408e-5</v>
      </c>
      <c r="H3708" s="126">
        <f t="shared" si="172"/>
        <v>19872</v>
      </c>
      <c r="I3708" s="126" t="str">
        <f t="shared" si="173"/>
        <v>0y 0d 5h 31m</v>
      </c>
    </row>
    <row r="3709" s="91" customFormat="1" spans="1:9">
      <c r="A3709" s="91" t="str">
        <f t="shared" si="171"/>
        <v>Md-258</v>
      </c>
      <c r="B3709" s="91" t="s">
        <v>4358</v>
      </c>
      <c r="C3709" s="91" t="s">
        <v>4341</v>
      </c>
      <c r="D3709" s="91">
        <v>101</v>
      </c>
      <c r="E3709" s="91">
        <v>258</v>
      </c>
      <c r="F3709" s="91">
        <v>0</v>
      </c>
      <c r="G3709" s="126">
        <v>1.55777413825949e-7</v>
      </c>
      <c r="H3709" s="126">
        <f t="shared" si="172"/>
        <v>4449600.00000002</v>
      </c>
      <c r="I3709" s="126" t="str">
        <f t="shared" si="173"/>
        <v>0y 51d 12h 0m</v>
      </c>
    </row>
    <row r="3710" s="91" customFormat="1" spans="1:9">
      <c r="A3710" s="91" t="str">
        <f t="shared" si="171"/>
        <v>Md-258m</v>
      </c>
      <c r="B3710" s="91" t="s">
        <v>4359</v>
      </c>
      <c r="C3710" s="91" t="s">
        <v>4341</v>
      </c>
      <c r="D3710" s="91">
        <v>101</v>
      </c>
      <c r="E3710" s="91">
        <v>258</v>
      </c>
      <c r="F3710" s="91">
        <v>1</v>
      </c>
      <c r="G3710" s="126">
        <v>0.000202674614198814</v>
      </c>
      <c r="H3710" s="126">
        <f t="shared" si="172"/>
        <v>3420.00000000001</v>
      </c>
      <c r="I3710" s="126" t="str">
        <f t="shared" si="173"/>
        <v>0y 0d 0h 57m</v>
      </c>
    </row>
    <row r="3711" s="91" customFormat="1" spans="1:9">
      <c r="A3711" s="91" t="str">
        <f t="shared" si="171"/>
        <v>Md-259</v>
      </c>
      <c r="B3711" s="91" t="s">
        <v>4360</v>
      </c>
      <c r="C3711" s="91" t="s">
        <v>4341</v>
      </c>
      <c r="D3711" s="91">
        <v>101</v>
      </c>
      <c r="E3711" s="91">
        <v>259</v>
      </c>
      <c r="F3711" s="91">
        <v>0</v>
      </c>
      <c r="G3711" s="126">
        <v>0.000120338052180546</v>
      </c>
      <c r="H3711" s="126">
        <f t="shared" si="172"/>
        <v>5760</v>
      </c>
      <c r="I3711" s="126" t="str">
        <f t="shared" si="173"/>
        <v>0y 0d 1h 36m</v>
      </c>
    </row>
    <row r="3712" s="91" customFormat="1" spans="1:9">
      <c r="A3712" s="91" t="str">
        <f t="shared" si="171"/>
        <v>Md-260</v>
      </c>
      <c r="B3712" s="91" t="s">
        <v>4361</v>
      </c>
      <c r="C3712" s="91" t="s">
        <v>4341</v>
      </c>
      <c r="D3712" s="91">
        <v>101</v>
      </c>
      <c r="E3712" s="91">
        <v>260</v>
      </c>
      <c r="F3712" s="91">
        <v>0</v>
      </c>
      <c r="G3712" s="126">
        <v>2.52281031825044e-7</v>
      </c>
      <c r="H3712" s="126">
        <f t="shared" si="172"/>
        <v>2747520</v>
      </c>
      <c r="I3712" s="126" t="str">
        <f t="shared" si="173"/>
        <v>0y 31d 19h 12m</v>
      </c>
    </row>
    <row r="3713" s="91" customFormat="1" spans="1:9">
      <c r="A3713" s="91" t="str">
        <f t="shared" si="171"/>
        <v>Md-261</v>
      </c>
      <c r="B3713" s="91" t="s">
        <v>4362</v>
      </c>
      <c r="C3713" s="91" t="s">
        <v>4341</v>
      </c>
      <c r="D3713" s="91">
        <v>101</v>
      </c>
      <c r="E3713" s="91">
        <v>261</v>
      </c>
      <c r="F3713" s="91">
        <v>0</v>
      </c>
      <c r="G3713" s="126">
        <v>0.00028881132523331</v>
      </c>
      <c r="H3713" s="126">
        <f t="shared" si="172"/>
        <v>2400</v>
      </c>
      <c r="I3713" s="126" t="str">
        <f t="shared" si="173"/>
        <v>0y 0d 0h 40m</v>
      </c>
    </row>
    <row r="3714" s="91" customFormat="1" spans="1:9">
      <c r="A3714" s="91" t="str">
        <f t="shared" ref="A3714:A3777" si="174">C3714&amp;"-"&amp;E3714&amp;_xlfn.IFS(F3714=0,"",F3714=1,"m",F3714&gt;1,"m"&amp;F3714)</f>
        <v>No-250</v>
      </c>
      <c r="B3714" s="91" t="s">
        <v>4363</v>
      </c>
      <c r="C3714" s="91" t="s">
        <v>4364</v>
      </c>
      <c r="D3714" s="91">
        <v>102</v>
      </c>
      <c r="E3714" s="91">
        <v>250</v>
      </c>
      <c r="F3714" s="91">
        <v>0</v>
      </c>
      <c r="G3714" s="126">
        <v>159344.179439067</v>
      </c>
      <c r="H3714" s="126">
        <f t="shared" ref="H3714:H3777" si="175">IF(G3714&gt;0,LN(2)/G3714,0)</f>
        <v>4.35000000000002e-6</v>
      </c>
      <c r="I3714" s="126" t="str">
        <f t="shared" si="173"/>
        <v>0y 0d 0h 0m</v>
      </c>
    </row>
    <row r="3715" s="91" customFormat="1" spans="1:9">
      <c r="A3715" s="91" t="str">
        <f t="shared" si="174"/>
        <v>No-251</v>
      </c>
      <c r="B3715" s="91" t="s">
        <v>4365</v>
      </c>
      <c r="C3715" s="91" t="s">
        <v>4364</v>
      </c>
      <c r="D3715" s="91">
        <v>102</v>
      </c>
      <c r="E3715" s="91">
        <v>251</v>
      </c>
      <c r="F3715" s="91">
        <v>0</v>
      </c>
      <c r="G3715" s="126">
        <v>0.866433975699931</v>
      </c>
      <c r="H3715" s="126">
        <f t="shared" si="175"/>
        <v>0.800000000000001</v>
      </c>
      <c r="I3715" s="126" t="str">
        <f t="shared" ref="I3715:I3778" si="176">INT(H3715/31536000)&amp;"y "&amp;INT(MOD(H3715,31536000)/86400)&amp;"d "&amp;INT(MOD(MOD(H3715,31536000),86400)/3600)&amp;"h "&amp;INT(MOD(MOD(MOD(H3715,31536000),86400),3600)/60)&amp;"m"</f>
        <v>0y 0d 0h 0m</v>
      </c>
    </row>
    <row r="3716" s="91" customFormat="1" spans="1:9">
      <c r="A3716" s="91" t="str">
        <f t="shared" si="174"/>
        <v>No-251m</v>
      </c>
      <c r="B3716" s="91" t="s">
        <v>4366</v>
      </c>
      <c r="C3716" s="91" t="s">
        <v>4364</v>
      </c>
      <c r="D3716" s="91">
        <v>102</v>
      </c>
      <c r="E3716" s="91">
        <v>251</v>
      </c>
      <c r="F3716" s="91">
        <v>1</v>
      </c>
      <c r="G3716" s="126">
        <v>0.679556059372495</v>
      </c>
      <c r="H3716" s="126">
        <f t="shared" si="175"/>
        <v>1.02</v>
      </c>
      <c r="I3716" s="126" t="str">
        <f t="shared" si="176"/>
        <v>0y 0d 0h 0m</v>
      </c>
    </row>
    <row r="3717" s="91" customFormat="1" spans="1:9">
      <c r="A3717" s="91" t="str">
        <f t="shared" si="174"/>
        <v>No-252</v>
      </c>
      <c r="B3717" s="91" t="s">
        <v>4367</v>
      </c>
      <c r="C3717" s="91" t="s">
        <v>4364</v>
      </c>
      <c r="D3717" s="91">
        <v>102</v>
      </c>
      <c r="E3717" s="91">
        <v>252</v>
      </c>
      <c r="F3717" s="91">
        <v>0</v>
      </c>
      <c r="G3717" s="126">
        <v>0.284076713344239</v>
      </c>
      <c r="H3717" s="126">
        <f t="shared" si="175"/>
        <v>2.44000000000001</v>
      </c>
      <c r="I3717" s="126" t="str">
        <f t="shared" si="176"/>
        <v>0y 0d 0h 0m</v>
      </c>
    </row>
    <row r="3718" s="91" customFormat="1" spans="1:9">
      <c r="A3718" s="91" t="str">
        <f t="shared" si="174"/>
        <v>No-253</v>
      </c>
      <c r="B3718" s="91" t="s">
        <v>4368</v>
      </c>
      <c r="C3718" s="91" t="s">
        <v>4364</v>
      </c>
      <c r="D3718" s="91">
        <v>102</v>
      </c>
      <c r="E3718" s="91">
        <v>253</v>
      </c>
      <c r="F3718" s="91">
        <v>0</v>
      </c>
      <c r="G3718" s="126">
        <v>0.00713114383292124</v>
      </c>
      <c r="H3718" s="126">
        <f t="shared" si="175"/>
        <v>97.2000000000001</v>
      </c>
      <c r="I3718" s="126" t="str">
        <f t="shared" si="176"/>
        <v>0y 0d 0h 1m</v>
      </c>
    </row>
    <row r="3719" s="91" customFormat="1" spans="1:9">
      <c r="A3719" s="91" t="str">
        <f t="shared" si="174"/>
        <v>No-254</v>
      </c>
      <c r="B3719" s="91" t="s">
        <v>4369</v>
      </c>
      <c r="C3719" s="91" t="s">
        <v>4364</v>
      </c>
      <c r="D3719" s="91">
        <v>102</v>
      </c>
      <c r="E3719" s="91">
        <v>254</v>
      </c>
      <c r="F3719" s="91">
        <v>0</v>
      </c>
      <c r="G3719" s="126">
        <v>0.0135911211874499</v>
      </c>
      <c r="H3719" s="126">
        <f t="shared" si="175"/>
        <v>51</v>
      </c>
      <c r="I3719" s="126" t="str">
        <f t="shared" si="176"/>
        <v>0y 0d 0h 0m</v>
      </c>
    </row>
    <row r="3720" s="91" customFormat="1" spans="1:9">
      <c r="A3720" s="91" t="str">
        <f t="shared" si="174"/>
        <v>No-254m</v>
      </c>
      <c r="B3720" s="91" t="s">
        <v>4370</v>
      </c>
      <c r="C3720" s="91" t="s">
        <v>4364</v>
      </c>
      <c r="D3720" s="91">
        <v>102</v>
      </c>
      <c r="E3720" s="91">
        <v>254</v>
      </c>
      <c r="F3720" s="91">
        <v>1</v>
      </c>
      <c r="G3720" s="126">
        <v>2.47552564485694</v>
      </c>
      <c r="H3720" s="126">
        <f t="shared" si="175"/>
        <v>0.280000000000001</v>
      </c>
      <c r="I3720" s="126" t="str">
        <f t="shared" si="176"/>
        <v>0y 0d 0h 0m</v>
      </c>
    </row>
    <row r="3721" s="91" customFormat="1" spans="1:9">
      <c r="A3721" s="91" t="str">
        <f t="shared" si="174"/>
        <v>No-255</v>
      </c>
      <c r="B3721" s="91" t="s">
        <v>4371</v>
      </c>
      <c r="C3721" s="91" t="s">
        <v>4364</v>
      </c>
      <c r="D3721" s="91">
        <v>102</v>
      </c>
      <c r="E3721" s="91">
        <v>255</v>
      </c>
      <c r="F3721" s="91">
        <v>0</v>
      </c>
      <c r="G3721" s="126">
        <v>0.00372659774494594</v>
      </c>
      <c r="H3721" s="126">
        <f t="shared" si="175"/>
        <v>186</v>
      </c>
      <c r="I3721" s="126" t="str">
        <f t="shared" si="176"/>
        <v>0y 0d 0h 3m</v>
      </c>
    </row>
    <row r="3722" s="91" customFormat="1" spans="1:9">
      <c r="A3722" s="91" t="str">
        <f t="shared" si="174"/>
        <v>No-256</v>
      </c>
      <c r="B3722" s="91" t="s">
        <v>4372</v>
      </c>
      <c r="C3722" s="91" t="s">
        <v>4364</v>
      </c>
      <c r="D3722" s="91">
        <v>102</v>
      </c>
      <c r="E3722" s="91">
        <v>256</v>
      </c>
      <c r="F3722" s="91">
        <v>0</v>
      </c>
      <c r="G3722" s="126">
        <v>0.238194907408915</v>
      </c>
      <c r="H3722" s="126">
        <f t="shared" si="175"/>
        <v>2.91000000000001</v>
      </c>
      <c r="I3722" s="126" t="str">
        <f t="shared" si="176"/>
        <v>0y 0d 0h 0m</v>
      </c>
    </row>
    <row r="3723" s="91" customFormat="1" spans="1:9">
      <c r="A3723" s="91" t="str">
        <f t="shared" si="174"/>
        <v>No-257</v>
      </c>
      <c r="B3723" s="91" t="s">
        <v>4373</v>
      </c>
      <c r="C3723" s="91" t="s">
        <v>4364</v>
      </c>
      <c r="D3723" s="91">
        <v>102</v>
      </c>
      <c r="E3723" s="91">
        <v>257</v>
      </c>
      <c r="F3723" s="91">
        <v>0</v>
      </c>
      <c r="G3723" s="126">
        <v>0.0277258872223978</v>
      </c>
      <c r="H3723" s="126">
        <f t="shared" si="175"/>
        <v>25</v>
      </c>
      <c r="I3723" s="126" t="str">
        <f t="shared" si="176"/>
        <v>0y 0d 0h 0m</v>
      </c>
    </row>
    <row r="3724" s="91" customFormat="1" spans="1:9">
      <c r="A3724" s="91" t="str">
        <f t="shared" si="174"/>
        <v>No-258</v>
      </c>
      <c r="B3724" s="91" t="s">
        <v>4374</v>
      </c>
      <c r="C3724" s="91" t="s">
        <v>4364</v>
      </c>
      <c r="D3724" s="91">
        <v>102</v>
      </c>
      <c r="E3724" s="91">
        <v>258</v>
      </c>
      <c r="F3724" s="91">
        <v>0</v>
      </c>
      <c r="G3724" s="126">
        <v>577.622650466621</v>
      </c>
      <c r="H3724" s="126">
        <f t="shared" si="175"/>
        <v>0.0012</v>
      </c>
      <c r="I3724" s="126" t="str">
        <f t="shared" si="176"/>
        <v>0y 0d 0h 0m</v>
      </c>
    </row>
    <row r="3725" s="91" customFormat="1" spans="1:9">
      <c r="A3725" s="91" t="str">
        <f t="shared" si="174"/>
        <v>No-259</v>
      </c>
      <c r="B3725" s="91" t="s">
        <v>4375</v>
      </c>
      <c r="C3725" s="91" t="s">
        <v>4364</v>
      </c>
      <c r="D3725" s="91">
        <v>102</v>
      </c>
      <c r="E3725" s="91">
        <v>259</v>
      </c>
      <c r="F3725" s="91">
        <v>0</v>
      </c>
      <c r="G3725" s="126">
        <v>0.000199180224298834</v>
      </c>
      <c r="H3725" s="126">
        <f t="shared" si="175"/>
        <v>3480.00000000001</v>
      </c>
      <c r="I3725" s="126" t="str">
        <f t="shared" si="176"/>
        <v>0y 0d 0h 58m</v>
      </c>
    </row>
    <row r="3726" s="91" customFormat="1" spans="1:9">
      <c r="A3726" s="91" t="str">
        <f t="shared" si="174"/>
        <v>No-260</v>
      </c>
      <c r="B3726" s="91" t="s">
        <v>4376</v>
      </c>
      <c r="C3726" s="91" t="s">
        <v>4364</v>
      </c>
      <c r="D3726" s="91">
        <v>102</v>
      </c>
      <c r="E3726" s="91">
        <v>260</v>
      </c>
      <c r="F3726" s="91">
        <v>0</v>
      </c>
      <c r="G3726" s="126">
        <v>6.53912434490514</v>
      </c>
      <c r="H3726" s="126">
        <f t="shared" si="175"/>
        <v>0.106</v>
      </c>
      <c r="I3726" s="126" t="str">
        <f t="shared" si="176"/>
        <v>0y 0d 0h 0m</v>
      </c>
    </row>
    <row r="3727" s="91" customFormat="1" spans="1:9">
      <c r="A3727" s="91" t="str">
        <f t="shared" si="174"/>
        <v>No-261</v>
      </c>
      <c r="B3727" s="91" t="s">
        <v>4377</v>
      </c>
      <c r="C3727" s="91" t="s">
        <v>4364</v>
      </c>
      <c r="D3727" s="91">
        <v>102</v>
      </c>
      <c r="E3727" s="91">
        <v>261</v>
      </c>
      <c r="F3727" s="91">
        <v>0</v>
      </c>
      <c r="G3727" s="126">
        <v>4.33216987849965e-6</v>
      </c>
      <c r="H3727" s="126">
        <f t="shared" si="175"/>
        <v>160000</v>
      </c>
      <c r="I3727" s="126" t="str">
        <f t="shared" si="176"/>
        <v>0y 1d 20h 26m</v>
      </c>
    </row>
    <row r="3728" s="91" customFormat="1" spans="1:9">
      <c r="A3728" s="91" t="str">
        <f t="shared" si="174"/>
        <v>No-262</v>
      </c>
      <c r="B3728" s="91" t="s">
        <v>4378</v>
      </c>
      <c r="C3728" s="91" t="s">
        <v>4364</v>
      </c>
      <c r="D3728" s="91">
        <v>102</v>
      </c>
      <c r="E3728" s="91">
        <v>262</v>
      </c>
      <c r="F3728" s="91">
        <v>0</v>
      </c>
      <c r="G3728" s="126">
        <v>138.629436111989</v>
      </c>
      <c r="H3728" s="126">
        <f t="shared" si="175"/>
        <v>0.005</v>
      </c>
      <c r="I3728" s="126" t="str">
        <f t="shared" si="176"/>
        <v>0y 0d 0h 0m</v>
      </c>
    </row>
    <row r="3729" s="91" customFormat="1" spans="1:9">
      <c r="A3729" s="91" t="str">
        <f t="shared" si="174"/>
        <v>Lr-251</v>
      </c>
      <c r="B3729" s="91" t="s">
        <v>4379</v>
      </c>
      <c r="C3729" s="91" t="s">
        <v>4380</v>
      </c>
      <c r="D3729" s="91">
        <v>103</v>
      </c>
      <c r="E3729" s="91">
        <v>251</v>
      </c>
      <c r="F3729" s="91">
        <v>0</v>
      </c>
      <c r="G3729" s="126">
        <v>0.516888277822479</v>
      </c>
      <c r="H3729" s="126">
        <f t="shared" si="175"/>
        <v>1.341</v>
      </c>
      <c r="I3729" s="126" t="str">
        <f t="shared" si="176"/>
        <v>0y 0d 0h 0m</v>
      </c>
    </row>
    <row r="3730" s="91" customFormat="1" spans="1:9">
      <c r="A3730" s="91" t="str">
        <f t="shared" si="174"/>
        <v>Lr-252</v>
      </c>
      <c r="B3730" s="91" t="s">
        <v>4381</v>
      </c>
      <c r="C3730" s="91" t="s">
        <v>4380</v>
      </c>
      <c r="D3730" s="91">
        <v>103</v>
      </c>
      <c r="E3730" s="91">
        <v>252</v>
      </c>
      <c r="F3730" s="91">
        <v>0</v>
      </c>
      <c r="G3730" s="126">
        <v>1.82407152778932</v>
      </c>
      <c r="H3730" s="126">
        <f t="shared" si="175"/>
        <v>0.380000000000002</v>
      </c>
      <c r="I3730" s="126" t="str">
        <f t="shared" si="176"/>
        <v>0y 0d 0h 0m</v>
      </c>
    </row>
    <row r="3731" s="91" customFormat="1" spans="1:9">
      <c r="A3731" s="91" t="str">
        <f t="shared" si="174"/>
        <v>Lr-253</v>
      </c>
      <c r="B3731" s="91" t="s">
        <v>4382</v>
      </c>
      <c r="C3731" s="91" t="s">
        <v>4380</v>
      </c>
      <c r="D3731" s="91">
        <v>103</v>
      </c>
      <c r="E3731" s="91">
        <v>253</v>
      </c>
      <c r="F3731" s="91">
        <v>0</v>
      </c>
      <c r="G3731" s="126">
        <v>1.20547335749555</v>
      </c>
      <c r="H3731" s="126">
        <f t="shared" si="175"/>
        <v>0.575000000000003</v>
      </c>
      <c r="I3731" s="126" t="str">
        <f t="shared" si="176"/>
        <v>0y 0d 0h 0m</v>
      </c>
    </row>
    <row r="3732" s="91" customFormat="1" spans="1:9">
      <c r="A3732" s="91" t="str">
        <f t="shared" si="174"/>
        <v>Lr-253m</v>
      </c>
      <c r="B3732" s="91" t="s">
        <v>4383</v>
      </c>
      <c r="C3732" s="91" t="s">
        <v>4380</v>
      </c>
      <c r="D3732" s="91">
        <v>103</v>
      </c>
      <c r="E3732" s="91">
        <v>253</v>
      </c>
      <c r="F3732" s="91">
        <v>1</v>
      </c>
      <c r="G3732" s="126">
        <v>0.451561681146544</v>
      </c>
      <c r="H3732" s="126">
        <f t="shared" si="175"/>
        <v>1.535</v>
      </c>
      <c r="I3732" s="126" t="str">
        <f t="shared" si="176"/>
        <v>0y 0d 0h 0m</v>
      </c>
    </row>
    <row r="3733" s="91" customFormat="1" spans="1:9">
      <c r="A3733" s="91" t="str">
        <f t="shared" si="174"/>
        <v>Lr-254</v>
      </c>
      <c r="B3733" s="91" t="s">
        <v>4384</v>
      </c>
      <c r="C3733" s="91" t="s">
        <v>4380</v>
      </c>
      <c r="D3733" s="91">
        <v>103</v>
      </c>
      <c r="E3733" s="91">
        <v>254</v>
      </c>
      <c r="F3733" s="91">
        <v>0</v>
      </c>
      <c r="G3733" s="126">
        <v>0.0533190138892265</v>
      </c>
      <c r="H3733" s="126">
        <f t="shared" si="175"/>
        <v>13</v>
      </c>
      <c r="I3733" s="126" t="str">
        <f t="shared" si="176"/>
        <v>0y 0d 0h 0m</v>
      </c>
    </row>
    <row r="3734" s="91" customFormat="1" spans="1:9">
      <c r="A3734" s="91" t="str">
        <f t="shared" si="174"/>
        <v>Lr-255</v>
      </c>
      <c r="B3734" s="91" t="s">
        <v>4385</v>
      </c>
      <c r="C3734" s="91" t="s">
        <v>4380</v>
      </c>
      <c r="D3734" s="91">
        <v>103</v>
      </c>
      <c r="E3734" s="91">
        <v>255</v>
      </c>
      <c r="F3734" s="91">
        <v>0</v>
      </c>
      <c r="G3734" s="126">
        <v>0.031506690025452</v>
      </c>
      <c r="H3734" s="126">
        <f t="shared" si="175"/>
        <v>22</v>
      </c>
      <c r="I3734" s="126" t="str">
        <f t="shared" si="176"/>
        <v>0y 0d 0h 0m</v>
      </c>
    </row>
    <row r="3735" s="91" customFormat="1" spans="1:9">
      <c r="A3735" s="91" t="str">
        <f t="shared" si="174"/>
        <v>Lr-255m</v>
      </c>
      <c r="B3735" s="91" t="s">
        <v>4386</v>
      </c>
      <c r="C3735" s="91" t="s">
        <v>4380</v>
      </c>
      <c r="D3735" s="91">
        <v>103</v>
      </c>
      <c r="E3735" s="91">
        <v>255</v>
      </c>
      <c r="F3735" s="91">
        <v>1</v>
      </c>
      <c r="G3735" s="126">
        <v>0.273971217612626</v>
      </c>
      <c r="H3735" s="126">
        <f t="shared" si="175"/>
        <v>2.53000000000001</v>
      </c>
      <c r="I3735" s="126" t="str">
        <f t="shared" si="176"/>
        <v>0y 0d 0h 0m</v>
      </c>
    </row>
    <row r="3736" s="91" customFormat="1" spans="1:9">
      <c r="A3736" s="91" t="str">
        <f t="shared" si="174"/>
        <v>Lr-256</v>
      </c>
      <c r="B3736" s="91" t="s">
        <v>4387</v>
      </c>
      <c r="C3736" s="91" t="s">
        <v>4380</v>
      </c>
      <c r="D3736" s="91">
        <v>103</v>
      </c>
      <c r="E3736" s="91">
        <v>256</v>
      </c>
      <c r="F3736" s="91">
        <v>0</v>
      </c>
      <c r="G3736" s="126">
        <v>0.0256721177985164</v>
      </c>
      <c r="H3736" s="126">
        <f t="shared" si="175"/>
        <v>27.0000000000001</v>
      </c>
      <c r="I3736" s="126" t="str">
        <f t="shared" si="176"/>
        <v>0y 0d 0h 0m</v>
      </c>
    </row>
    <row r="3737" s="91" customFormat="1" spans="1:9">
      <c r="A3737" s="91" t="str">
        <f t="shared" si="174"/>
        <v>Lr-257</v>
      </c>
      <c r="B3737" s="91" t="s">
        <v>4388</v>
      </c>
      <c r="C3737" s="91" t="s">
        <v>4380</v>
      </c>
      <c r="D3737" s="91">
        <v>103</v>
      </c>
      <c r="E3737" s="91">
        <v>257</v>
      </c>
      <c r="F3737" s="91">
        <v>0</v>
      </c>
      <c r="G3737" s="126">
        <v>1.07298325164078</v>
      </c>
      <c r="H3737" s="126">
        <f t="shared" si="175"/>
        <v>0.646000000000001</v>
      </c>
      <c r="I3737" s="126" t="str">
        <f t="shared" si="176"/>
        <v>0y 0d 0h 0m</v>
      </c>
    </row>
    <row r="3738" s="91" customFormat="1" spans="1:9">
      <c r="A3738" s="91" t="str">
        <f t="shared" si="174"/>
        <v>Lr-258</v>
      </c>
      <c r="B3738" s="91" t="s">
        <v>4389</v>
      </c>
      <c r="C3738" s="91" t="s">
        <v>4380</v>
      </c>
      <c r="D3738" s="91">
        <v>103</v>
      </c>
      <c r="E3738" s="91">
        <v>258</v>
      </c>
      <c r="F3738" s="91">
        <v>0</v>
      </c>
      <c r="G3738" s="126">
        <v>0.16906028794145</v>
      </c>
      <c r="H3738" s="126">
        <f t="shared" si="175"/>
        <v>4.1</v>
      </c>
      <c r="I3738" s="126" t="str">
        <f t="shared" si="176"/>
        <v>0y 0d 0h 0m</v>
      </c>
    </row>
    <row r="3739" s="91" customFormat="1" spans="1:9">
      <c r="A3739" s="91" t="str">
        <f t="shared" si="174"/>
        <v>Lr-259</v>
      </c>
      <c r="B3739" s="91" t="s">
        <v>4390</v>
      </c>
      <c r="C3739" s="91" t="s">
        <v>4380</v>
      </c>
      <c r="D3739" s="91">
        <v>103</v>
      </c>
      <c r="E3739" s="91">
        <v>259</v>
      </c>
      <c r="F3739" s="91">
        <v>0</v>
      </c>
      <c r="G3739" s="126">
        <v>0.111797932348378</v>
      </c>
      <c r="H3739" s="126">
        <f t="shared" si="175"/>
        <v>6.20000000000002</v>
      </c>
      <c r="I3739" s="126" t="str">
        <f t="shared" si="176"/>
        <v>0y 0d 0h 0m</v>
      </c>
    </row>
    <row r="3740" s="91" customFormat="1" spans="1:9">
      <c r="A3740" s="91" t="str">
        <f t="shared" si="174"/>
        <v>Lr-260</v>
      </c>
      <c r="B3740" s="91" t="s">
        <v>4391</v>
      </c>
      <c r="C3740" s="91" t="s">
        <v>4380</v>
      </c>
      <c r="D3740" s="91">
        <v>103</v>
      </c>
      <c r="E3740" s="91">
        <v>260</v>
      </c>
      <c r="F3740" s="91">
        <v>0</v>
      </c>
      <c r="G3740" s="126">
        <v>0.00385081766977747</v>
      </c>
      <c r="H3740" s="126">
        <f t="shared" si="175"/>
        <v>180</v>
      </c>
      <c r="I3740" s="126" t="str">
        <f t="shared" si="176"/>
        <v>0y 0d 0h 3m</v>
      </c>
    </row>
    <row r="3741" s="91" customFormat="1" spans="1:9">
      <c r="A3741" s="91" t="str">
        <f t="shared" si="174"/>
        <v>Lr-261</v>
      </c>
      <c r="B3741" s="91" t="s">
        <v>4392</v>
      </c>
      <c r="C3741" s="91" t="s">
        <v>4380</v>
      </c>
      <c r="D3741" s="91">
        <v>103</v>
      </c>
      <c r="E3741" s="91">
        <v>261</v>
      </c>
      <c r="F3741" s="91">
        <v>0</v>
      </c>
      <c r="G3741" s="126">
        <v>0.000296216743829036</v>
      </c>
      <c r="H3741" s="126">
        <f t="shared" si="175"/>
        <v>2340</v>
      </c>
      <c r="I3741" s="126" t="str">
        <f t="shared" si="176"/>
        <v>0y 0d 0h 39m</v>
      </c>
    </row>
    <row r="3742" s="91" customFormat="1" spans="1:9">
      <c r="A3742" s="91" t="str">
        <f t="shared" si="174"/>
        <v>Lr-262</v>
      </c>
      <c r="B3742" s="91" t="s">
        <v>4393</v>
      </c>
      <c r="C3742" s="91" t="s">
        <v>4380</v>
      </c>
      <c r="D3742" s="91">
        <v>103</v>
      </c>
      <c r="E3742" s="91">
        <v>262</v>
      </c>
      <c r="F3742" s="91">
        <v>0</v>
      </c>
      <c r="G3742" s="126">
        <v>4.81352208722184e-5</v>
      </c>
      <c r="H3742" s="126">
        <f t="shared" si="175"/>
        <v>14400</v>
      </c>
      <c r="I3742" s="126" t="str">
        <f t="shared" si="176"/>
        <v>0y 0d 4h 0m</v>
      </c>
    </row>
    <row r="3743" s="91" customFormat="1" spans="1:9">
      <c r="A3743" s="91" t="str">
        <f t="shared" si="174"/>
        <v>Lr-263</v>
      </c>
      <c r="B3743" s="91" t="s">
        <v>4394</v>
      </c>
      <c r="C3743" s="91" t="s">
        <v>4380</v>
      </c>
      <c r="D3743" s="91">
        <v>103</v>
      </c>
      <c r="E3743" s="91">
        <v>263</v>
      </c>
      <c r="F3743" s="91">
        <v>0</v>
      </c>
      <c r="G3743" s="126">
        <v>3.85081766977747e-5</v>
      </c>
      <c r="H3743" s="126">
        <f t="shared" si="175"/>
        <v>18000</v>
      </c>
      <c r="I3743" s="126" t="str">
        <f t="shared" si="176"/>
        <v>0y 0d 5h 0m</v>
      </c>
    </row>
    <row r="3744" s="91" customFormat="1" spans="1:9">
      <c r="A3744" s="91" t="str">
        <f t="shared" si="174"/>
        <v>Rf-253</v>
      </c>
      <c r="B3744" s="91" t="s">
        <v>4395</v>
      </c>
      <c r="C3744" s="91" t="s">
        <v>4396</v>
      </c>
      <c r="D3744" s="91">
        <v>104</v>
      </c>
      <c r="E3744" s="91">
        <v>253</v>
      </c>
      <c r="F3744" s="91">
        <v>0</v>
      </c>
      <c r="G3744" s="126">
        <v>13459.168554562</v>
      </c>
      <c r="H3744" s="126">
        <f t="shared" si="175"/>
        <v>5.15000000000002e-5</v>
      </c>
      <c r="I3744" s="126" t="str">
        <f t="shared" si="176"/>
        <v>0y 0d 0h 0m</v>
      </c>
    </row>
    <row r="3745" s="91" customFormat="1" spans="1:9">
      <c r="A3745" s="91" t="str">
        <f t="shared" si="174"/>
        <v>Rf-254</v>
      </c>
      <c r="B3745" s="91" t="s">
        <v>4397</v>
      </c>
      <c r="C3745" s="91" t="s">
        <v>4396</v>
      </c>
      <c r="D3745" s="91">
        <v>104</v>
      </c>
      <c r="E3745" s="91">
        <v>254</v>
      </c>
      <c r="F3745" s="91">
        <v>0</v>
      </c>
      <c r="G3745" s="126">
        <v>30136.8339373889</v>
      </c>
      <c r="H3745" s="126">
        <f t="shared" si="175"/>
        <v>2.3e-5</v>
      </c>
      <c r="I3745" s="126" t="str">
        <f t="shared" si="176"/>
        <v>0y 0d 0h 0m</v>
      </c>
    </row>
    <row r="3746" s="91" customFormat="1" spans="1:9">
      <c r="A3746" s="91" t="str">
        <f t="shared" si="174"/>
        <v>Rf-255</v>
      </c>
      <c r="B3746" s="91" t="s">
        <v>4398</v>
      </c>
      <c r="C3746" s="91" t="s">
        <v>4396</v>
      </c>
      <c r="D3746" s="91">
        <v>104</v>
      </c>
      <c r="E3746" s="91">
        <v>255</v>
      </c>
      <c r="F3746" s="91">
        <v>0</v>
      </c>
      <c r="G3746" s="126">
        <v>0.412587607476157</v>
      </c>
      <c r="H3746" s="126">
        <f t="shared" si="175"/>
        <v>1.68</v>
      </c>
      <c r="I3746" s="126" t="str">
        <f t="shared" si="176"/>
        <v>0y 0d 0h 0m</v>
      </c>
    </row>
    <row r="3747" s="91" customFormat="1" spans="1:9">
      <c r="A3747" s="91" t="str">
        <f t="shared" si="174"/>
        <v>Rf-256</v>
      </c>
      <c r="B3747" s="91" t="s">
        <v>4399</v>
      </c>
      <c r="C3747" s="91" t="s">
        <v>4396</v>
      </c>
      <c r="D3747" s="91">
        <v>104</v>
      </c>
      <c r="E3747" s="91">
        <v>256</v>
      </c>
      <c r="F3747" s="91">
        <v>0</v>
      </c>
      <c r="G3747" s="126">
        <v>108.304246962491</v>
      </c>
      <c r="H3747" s="126">
        <f t="shared" si="175"/>
        <v>0.00640000000000003</v>
      </c>
      <c r="I3747" s="126" t="str">
        <f t="shared" si="176"/>
        <v>0y 0d 0h 0m</v>
      </c>
    </row>
    <row r="3748" s="91" customFormat="1" spans="1:9">
      <c r="A3748" s="91" t="str">
        <f t="shared" si="174"/>
        <v>Rf-257</v>
      </c>
      <c r="B3748" s="91" t="s">
        <v>4400</v>
      </c>
      <c r="C3748" s="91" t="s">
        <v>4396</v>
      </c>
      <c r="D3748" s="91">
        <v>104</v>
      </c>
      <c r="E3748" s="91">
        <v>257</v>
      </c>
      <c r="F3748" s="91">
        <v>0</v>
      </c>
      <c r="G3748" s="126">
        <v>0.147478123523392</v>
      </c>
      <c r="H3748" s="126">
        <f t="shared" si="175"/>
        <v>4.70000000000002</v>
      </c>
      <c r="I3748" s="126" t="str">
        <f t="shared" si="176"/>
        <v>0y 0d 0h 0m</v>
      </c>
    </row>
    <row r="3749" s="91" customFormat="1" spans="1:9">
      <c r="A3749" s="91" t="str">
        <f t="shared" si="174"/>
        <v>Rf-257m</v>
      </c>
      <c r="B3749" s="91" t="s">
        <v>4401</v>
      </c>
      <c r="C3749" s="91" t="s">
        <v>4396</v>
      </c>
      <c r="D3749" s="91">
        <v>104</v>
      </c>
      <c r="E3749" s="91">
        <v>257</v>
      </c>
      <c r="F3749" s="91">
        <v>1</v>
      </c>
      <c r="G3749" s="126">
        <v>0.177730046297421</v>
      </c>
      <c r="H3749" s="126">
        <f t="shared" si="175"/>
        <v>3.90000000000002</v>
      </c>
      <c r="I3749" s="126" t="str">
        <f t="shared" si="176"/>
        <v>0y 0d 0h 0m</v>
      </c>
    </row>
    <row r="3750" s="91" customFormat="1" spans="1:9">
      <c r="A3750" s="91" t="str">
        <f t="shared" si="174"/>
        <v>Rf-258</v>
      </c>
      <c r="B3750" s="91" t="s">
        <v>4402</v>
      </c>
      <c r="C3750" s="91" t="s">
        <v>4396</v>
      </c>
      <c r="D3750" s="91">
        <v>104</v>
      </c>
      <c r="E3750" s="91">
        <v>258</v>
      </c>
      <c r="F3750" s="91">
        <v>0</v>
      </c>
      <c r="G3750" s="126">
        <v>57.7622650466621</v>
      </c>
      <c r="H3750" s="126">
        <f t="shared" si="175"/>
        <v>0.012</v>
      </c>
      <c r="I3750" s="126" t="str">
        <f t="shared" si="176"/>
        <v>0y 0d 0h 0m</v>
      </c>
    </row>
    <row r="3751" s="91" customFormat="1" spans="1:9">
      <c r="A3751" s="91" t="str">
        <f t="shared" si="174"/>
        <v>Rf-259</v>
      </c>
      <c r="B3751" s="91" t="s">
        <v>4403</v>
      </c>
      <c r="C3751" s="91" t="s">
        <v>4396</v>
      </c>
      <c r="D3751" s="91">
        <v>104</v>
      </c>
      <c r="E3751" s="91">
        <v>259</v>
      </c>
      <c r="F3751" s="91">
        <v>0</v>
      </c>
      <c r="G3751" s="126">
        <v>0.216608493924982</v>
      </c>
      <c r="H3751" s="126">
        <f t="shared" si="175"/>
        <v>3.20000000000001</v>
      </c>
      <c r="I3751" s="126" t="str">
        <f t="shared" si="176"/>
        <v>0y 0d 0h 0m</v>
      </c>
    </row>
    <row r="3752" s="91" customFormat="1" spans="1:9">
      <c r="A3752" s="91" t="str">
        <f t="shared" si="174"/>
        <v>Rf-260</v>
      </c>
      <c r="B3752" s="91" t="s">
        <v>4404</v>
      </c>
      <c r="C3752" s="91" t="s">
        <v>4396</v>
      </c>
      <c r="D3752" s="91">
        <v>104</v>
      </c>
      <c r="E3752" s="91">
        <v>260</v>
      </c>
      <c r="F3752" s="91">
        <v>0</v>
      </c>
      <c r="G3752" s="126">
        <v>33.0070085980926</v>
      </c>
      <c r="H3752" s="126">
        <f t="shared" si="175"/>
        <v>0.021</v>
      </c>
      <c r="I3752" s="126" t="str">
        <f t="shared" si="176"/>
        <v>0y 0d 0h 0m</v>
      </c>
    </row>
    <row r="3753" s="91" customFormat="1" spans="1:9">
      <c r="A3753" s="91" t="str">
        <f t="shared" si="174"/>
        <v>Rf-261</v>
      </c>
      <c r="B3753" s="91" t="s">
        <v>4405</v>
      </c>
      <c r="C3753" s="91" t="s">
        <v>4396</v>
      </c>
      <c r="D3753" s="91">
        <v>104</v>
      </c>
      <c r="E3753" s="91">
        <v>261</v>
      </c>
      <c r="F3753" s="91">
        <v>0</v>
      </c>
      <c r="G3753" s="126">
        <v>0.0106638027778453</v>
      </c>
      <c r="H3753" s="126">
        <f t="shared" si="175"/>
        <v>65.0000000000001</v>
      </c>
      <c r="I3753" s="126" t="str">
        <f t="shared" si="176"/>
        <v>0y 0d 0h 1m</v>
      </c>
    </row>
    <row r="3754" s="91" customFormat="1" spans="1:9">
      <c r="A3754" s="91" t="str">
        <f t="shared" si="174"/>
        <v>Rf-261m</v>
      </c>
      <c r="B3754" s="91" t="s">
        <v>4406</v>
      </c>
      <c r="C3754" s="91" t="s">
        <v>4396</v>
      </c>
      <c r="D3754" s="91">
        <v>104</v>
      </c>
      <c r="E3754" s="91">
        <v>261</v>
      </c>
      <c r="F3754" s="91">
        <v>1</v>
      </c>
      <c r="G3754" s="126">
        <v>0.00855737259950549</v>
      </c>
      <c r="H3754" s="126">
        <f t="shared" si="175"/>
        <v>81.0000000000001</v>
      </c>
      <c r="I3754" s="126" t="str">
        <f t="shared" si="176"/>
        <v>0y 0d 0h 1m</v>
      </c>
    </row>
    <row r="3755" s="91" customFormat="1" spans="1:9">
      <c r="A3755" s="91" t="str">
        <f t="shared" si="174"/>
        <v>Rf-262</v>
      </c>
      <c r="B3755" s="91" t="s">
        <v>4407</v>
      </c>
      <c r="C3755" s="91" t="s">
        <v>4396</v>
      </c>
      <c r="D3755" s="91">
        <v>104</v>
      </c>
      <c r="E3755" s="91">
        <v>262</v>
      </c>
      <c r="F3755" s="91">
        <v>0</v>
      </c>
      <c r="G3755" s="126">
        <v>0.301368339373889</v>
      </c>
      <c r="H3755" s="126">
        <f t="shared" si="175"/>
        <v>2.3</v>
      </c>
      <c r="I3755" s="126" t="str">
        <f t="shared" si="176"/>
        <v>0y 0d 0h 0m</v>
      </c>
    </row>
    <row r="3756" s="91" customFormat="1" spans="1:9">
      <c r="A3756" s="91" t="str">
        <f t="shared" si="174"/>
        <v>Rf-263</v>
      </c>
      <c r="B3756" s="91" t="s">
        <v>4408</v>
      </c>
      <c r="C3756" s="91" t="s">
        <v>4396</v>
      </c>
      <c r="D3756" s="91">
        <v>104</v>
      </c>
      <c r="E3756" s="91">
        <v>263</v>
      </c>
      <c r="F3756" s="91">
        <v>0</v>
      </c>
      <c r="G3756" s="126">
        <v>0.00115524530093324</v>
      </c>
      <c r="H3756" s="126">
        <f t="shared" si="175"/>
        <v>600.000000000001</v>
      </c>
      <c r="I3756" s="126" t="str">
        <f t="shared" si="176"/>
        <v>0y 0d 0h 10m</v>
      </c>
    </row>
    <row r="3757" s="91" customFormat="1" spans="1:9">
      <c r="A3757" s="91" t="str">
        <f t="shared" si="174"/>
        <v>Rf-264</v>
      </c>
      <c r="B3757" s="91" t="s">
        <v>4409</v>
      </c>
      <c r="C3757" s="91" t="s">
        <v>4396</v>
      </c>
      <c r="D3757" s="91">
        <v>104</v>
      </c>
      <c r="E3757" s="91">
        <v>264</v>
      </c>
      <c r="F3757" s="91">
        <v>0</v>
      </c>
      <c r="G3757" s="126">
        <v>0.000192540883488873</v>
      </c>
      <c r="H3757" s="126">
        <f t="shared" si="175"/>
        <v>3600.00000000001</v>
      </c>
      <c r="I3757" s="126" t="str">
        <f t="shared" si="176"/>
        <v>0y 0d 1h 0m</v>
      </c>
    </row>
    <row r="3758" s="91" customFormat="1" spans="1:9">
      <c r="A3758" s="91" t="str">
        <f t="shared" si="174"/>
        <v>Rf-265</v>
      </c>
      <c r="B3758" s="91" t="s">
        <v>4410</v>
      </c>
      <c r="C3758" s="91" t="s">
        <v>4396</v>
      </c>
      <c r="D3758" s="91">
        <v>104</v>
      </c>
      <c r="E3758" s="91">
        <v>265</v>
      </c>
      <c r="F3758" s="91">
        <v>0</v>
      </c>
      <c r="G3758" s="126">
        <v>0.693147180559945</v>
      </c>
      <c r="H3758" s="126">
        <f t="shared" si="175"/>
        <v>1</v>
      </c>
      <c r="I3758" s="126" t="str">
        <f t="shared" si="176"/>
        <v>0y 0d 0h 0m</v>
      </c>
    </row>
    <row r="3759" s="91" customFormat="1" spans="1:9">
      <c r="A3759" s="91" t="str">
        <f t="shared" si="174"/>
        <v>Db-255</v>
      </c>
      <c r="B3759" s="91" t="s">
        <v>4411</v>
      </c>
      <c r="C3759" s="91" t="s">
        <v>4412</v>
      </c>
      <c r="D3759" s="91">
        <v>105</v>
      </c>
      <c r="E3759" s="91">
        <v>255</v>
      </c>
      <c r="F3759" s="91">
        <v>0</v>
      </c>
      <c r="G3759" s="126">
        <v>0.407733635623497</v>
      </c>
      <c r="H3759" s="126">
        <f t="shared" si="175"/>
        <v>1.7</v>
      </c>
      <c r="I3759" s="126" t="str">
        <f t="shared" si="176"/>
        <v>0y 0d 0h 0m</v>
      </c>
    </row>
    <row r="3760" s="91" customFormat="1" spans="1:9">
      <c r="A3760" s="91" t="str">
        <f t="shared" si="174"/>
        <v>Db-256</v>
      </c>
      <c r="B3760" s="91" t="s">
        <v>4413</v>
      </c>
      <c r="C3760" s="91" t="s">
        <v>4412</v>
      </c>
      <c r="D3760" s="91">
        <v>105</v>
      </c>
      <c r="E3760" s="91">
        <v>256</v>
      </c>
      <c r="F3760" s="91">
        <v>0</v>
      </c>
      <c r="G3760" s="126">
        <v>0.407733635623497</v>
      </c>
      <c r="H3760" s="126">
        <f t="shared" si="175"/>
        <v>1.7</v>
      </c>
      <c r="I3760" s="126" t="str">
        <f t="shared" si="176"/>
        <v>0y 0d 0h 0m</v>
      </c>
    </row>
    <row r="3761" s="91" customFormat="1" spans="1:9">
      <c r="A3761" s="91" t="str">
        <f t="shared" si="174"/>
        <v>Db-257</v>
      </c>
      <c r="B3761" s="91" t="s">
        <v>4414</v>
      </c>
      <c r="C3761" s="91" t="s">
        <v>4412</v>
      </c>
      <c r="D3761" s="91">
        <v>105</v>
      </c>
      <c r="E3761" s="91">
        <v>257</v>
      </c>
      <c r="F3761" s="91">
        <v>0</v>
      </c>
      <c r="G3761" s="126">
        <v>0.456017881947332</v>
      </c>
      <c r="H3761" s="126">
        <f t="shared" si="175"/>
        <v>1.52</v>
      </c>
      <c r="I3761" s="126" t="str">
        <f t="shared" si="176"/>
        <v>0y 0d 0h 0m</v>
      </c>
    </row>
    <row r="3762" s="91" customFormat="1" spans="1:9">
      <c r="A3762" s="91" t="str">
        <f t="shared" si="174"/>
        <v>Db-257m</v>
      </c>
      <c r="B3762" s="91" t="s">
        <v>4415</v>
      </c>
      <c r="C3762" s="91" t="s">
        <v>4412</v>
      </c>
      <c r="D3762" s="91">
        <v>105</v>
      </c>
      <c r="E3762" s="91">
        <v>257</v>
      </c>
      <c r="F3762" s="91">
        <v>1</v>
      </c>
      <c r="G3762" s="126">
        <v>0.888650231487109</v>
      </c>
      <c r="H3762" s="126">
        <f t="shared" si="175"/>
        <v>0.78</v>
      </c>
      <c r="I3762" s="126" t="str">
        <f t="shared" si="176"/>
        <v>0y 0d 0h 0m</v>
      </c>
    </row>
    <row r="3763" s="91" customFormat="1" spans="1:9">
      <c r="A3763" s="91" t="str">
        <f t="shared" si="174"/>
        <v>Db-258</v>
      </c>
      <c r="B3763" s="91" t="s">
        <v>4416</v>
      </c>
      <c r="C3763" s="91" t="s">
        <v>4412</v>
      </c>
      <c r="D3763" s="91">
        <v>105</v>
      </c>
      <c r="E3763" s="91">
        <v>258</v>
      </c>
      <c r="F3763" s="91">
        <v>0</v>
      </c>
      <c r="G3763" s="126">
        <v>0.173286795139986</v>
      </c>
      <c r="H3763" s="126">
        <f t="shared" si="175"/>
        <v>4.00000000000001</v>
      </c>
      <c r="I3763" s="126" t="str">
        <f t="shared" si="176"/>
        <v>0y 0d 0h 0m</v>
      </c>
    </row>
    <row r="3764" s="91" customFormat="1" spans="1:9">
      <c r="A3764" s="91" t="str">
        <f t="shared" si="174"/>
        <v>Db-258m</v>
      </c>
      <c r="B3764" s="91" t="s">
        <v>4417</v>
      </c>
      <c r="C3764" s="91" t="s">
        <v>4412</v>
      </c>
      <c r="D3764" s="91">
        <v>105</v>
      </c>
      <c r="E3764" s="91">
        <v>258</v>
      </c>
      <c r="F3764" s="91">
        <v>1</v>
      </c>
      <c r="G3764" s="126">
        <v>0.0346573590279972</v>
      </c>
      <c r="H3764" s="126">
        <f t="shared" si="175"/>
        <v>20</v>
      </c>
      <c r="I3764" s="126" t="str">
        <f t="shared" si="176"/>
        <v>0y 0d 0h 0m</v>
      </c>
    </row>
    <row r="3765" s="91" customFormat="1" spans="1:9">
      <c r="A3765" s="91" t="str">
        <f t="shared" si="174"/>
        <v>Db-259</v>
      </c>
      <c r="B3765" s="91" t="s">
        <v>4418</v>
      </c>
      <c r="C3765" s="91" t="s">
        <v>4412</v>
      </c>
      <c r="D3765" s="91">
        <v>105</v>
      </c>
      <c r="E3765" s="91">
        <v>259</v>
      </c>
      <c r="F3765" s="91">
        <v>0</v>
      </c>
      <c r="G3765" s="126">
        <v>1.35911211874499</v>
      </c>
      <c r="H3765" s="126">
        <f t="shared" si="175"/>
        <v>0.51</v>
      </c>
      <c r="I3765" s="126" t="str">
        <f t="shared" si="176"/>
        <v>0y 0d 0h 0m</v>
      </c>
    </row>
    <row r="3766" s="91" customFormat="1" spans="1:9">
      <c r="A3766" s="91" t="str">
        <f t="shared" si="174"/>
        <v>Db-260</v>
      </c>
      <c r="B3766" s="91" t="s">
        <v>4419</v>
      </c>
      <c r="C3766" s="91" t="s">
        <v>4412</v>
      </c>
      <c r="D3766" s="91">
        <v>105</v>
      </c>
      <c r="E3766" s="91">
        <v>260</v>
      </c>
      <c r="F3766" s="91">
        <v>0</v>
      </c>
      <c r="G3766" s="126">
        <v>0.456017881947332</v>
      </c>
      <c r="H3766" s="126">
        <f t="shared" si="175"/>
        <v>1.52</v>
      </c>
      <c r="I3766" s="126" t="str">
        <f t="shared" si="176"/>
        <v>0y 0d 0h 0m</v>
      </c>
    </row>
    <row r="3767" s="91" customFormat="1" spans="1:9">
      <c r="A3767" s="91" t="str">
        <f t="shared" si="174"/>
        <v>Db-261</v>
      </c>
      <c r="B3767" s="91" t="s">
        <v>4420</v>
      </c>
      <c r="C3767" s="91" t="s">
        <v>4412</v>
      </c>
      <c r="D3767" s="91">
        <v>105</v>
      </c>
      <c r="E3767" s="91">
        <v>261</v>
      </c>
      <c r="F3767" s="91">
        <v>0</v>
      </c>
      <c r="G3767" s="126">
        <v>0.385081766977747</v>
      </c>
      <c r="H3767" s="126">
        <f t="shared" si="175"/>
        <v>1.8</v>
      </c>
      <c r="I3767" s="126" t="str">
        <f t="shared" si="176"/>
        <v>0y 0d 0h 0m</v>
      </c>
    </row>
    <row r="3768" s="91" customFormat="1" spans="1:9">
      <c r="A3768" s="91" t="str">
        <f t="shared" si="174"/>
        <v>Db-262</v>
      </c>
      <c r="B3768" s="91" t="s">
        <v>4421</v>
      </c>
      <c r="C3768" s="91" t="s">
        <v>4412</v>
      </c>
      <c r="D3768" s="91">
        <v>105</v>
      </c>
      <c r="E3768" s="91">
        <v>262</v>
      </c>
      <c r="F3768" s="91">
        <v>0</v>
      </c>
      <c r="G3768" s="126">
        <v>0.0198042051588555</v>
      </c>
      <c r="H3768" s="126">
        <f t="shared" si="175"/>
        <v>35.0000000000001</v>
      </c>
      <c r="I3768" s="126" t="str">
        <f t="shared" si="176"/>
        <v>0y 0d 0h 0m</v>
      </c>
    </row>
    <row r="3769" s="91" customFormat="1" spans="1:9">
      <c r="A3769" s="91" t="str">
        <f t="shared" si="174"/>
        <v>Db-263</v>
      </c>
      <c r="B3769" s="91" t="s">
        <v>4422</v>
      </c>
      <c r="C3769" s="91" t="s">
        <v>4412</v>
      </c>
      <c r="D3769" s="91">
        <v>105</v>
      </c>
      <c r="E3769" s="91">
        <v>263</v>
      </c>
      <c r="F3769" s="91">
        <v>0</v>
      </c>
      <c r="G3769" s="126">
        <v>0.0243209537038577</v>
      </c>
      <c r="H3769" s="126">
        <f t="shared" si="175"/>
        <v>28.5</v>
      </c>
      <c r="I3769" s="126" t="str">
        <f t="shared" si="176"/>
        <v>0y 0d 0h 0m</v>
      </c>
    </row>
    <row r="3770" s="91" customFormat="1" spans="1:9">
      <c r="A3770" s="91" t="str">
        <f t="shared" si="174"/>
        <v>Db-264</v>
      </c>
      <c r="B3770" s="91" t="s">
        <v>4423</v>
      </c>
      <c r="C3770" s="91" t="s">
        <v>4412</v>
      </c>
      <c r="D3770" s="91">
        <v>105</v>
      </c>
      <c r="E3770" s="91">
        <v>264</v>
      </c>
      <c r="F3770" s="91">
        <v>0</v>
      </c>
      <c r="G3770" s="126">
        <v>0.00385081766977747</v>
      </c>
      <c r="H3770" s="126">
        <f t="shared" si="175"/>
        <v>180</v>
      </c>
      <c r="I3770" s="126" t="str">
        <f t="shared" si="176"/>
        <v>0y 0d 0h 3m</v>
      </c>
    </row>
    <row r="3771" s="91" customFormat="1" spans="1:9">
      <c r="A3771" s="91" t="str">
        <f t="shared" si="174"/>
        <v>Db-265</v>
      </c>
      <c r="B3771" s="91" t="s">
        <v>4424</v>
      </c>
      <c r="C3771" s="91" t="s">
        <v>4412</v>
      </c>
      <c r="D3771" s="91">
        <v>105</v>
      </c>
      <c r="E3771" s="91">
        <v>265</v>
      </c>
      <c r="F3771" s="91">
        <v>0</v>
      </c>
      <c r="G3771" s="126">
        <v>0.000770163533955494</v>
      </c>
      <c r="H3771" s="126">
        <f t="shared" si="175"/>
        <v>900.000000000001</v>
      </c>
      <c r="I3771" s="126" t="str">
        <f t="shared" si="176"/>
        <v>0y 0d 0h 15m</v>
      </c>
    </row>
    <row r="3772" s="91" customFormat="1" spans="1:9">
      <c r="A3772" s="91" t="str">
        <f t="shared" si="174"/>
        <v>Sg-258</v>
      </c>
      <c r="B3772" s="91" t="s">
        <v>4425</v>
      </c>
      <c r="C3772" s="91" t="s">
        <v>4426</v>
      </c>
      <c r="D3772" s="91">
        <v>106</v>
      </c>
      <c r="E3772" s="91">
        <v>258</v>
      </c>
      <c r="F3772" s="91">
        <v>0</v>
      </c>
      <c r="G3772" s="126">
        <v>216.608493924982</v>
      </c>
      <c r="H3772" s="126">
        <f t="shared" si="175"/>
        <v>0.00320000000000001</v>
      </c>
      <c r="I3772" s="126" t="str">
        <f t="shared" si="176"/>
        <v>0y 0d 0h 0m</v>
      </c>
    </row>
    <row r="3773" s="91" customFormat="1" spans="1:9">
      <c r="A3773" s="91" t="str">
        <f t="shared" si="174"/>
        <v>Sg-259</v>
      </c>
      <c r="B3773" s="91" t="s">
        <v>4427</v>
      </c>
      <c r="C3773" s="91" t="s">
        <v>4426</v>
      </c>
      <c r="D3773" s="91">
        <v>106</v>
      </c>
      <c r="E3773" s="91">
        <v>259</v>
      </c>
      <c r="F3773" s="91">
        <v>0</v>
      </c>
      <c r="G3773" s="126">
        <v>1.24891383884674</v>
      </c>
      <c r="H3773" s="126">
        <f t="shared" si="175"/>
        <v>0.555000000000004</v>
      </c>
      <c r="I3773" s="126" t="str">
        <f t="shared" si="176"/>
        <v>0y 0d 0h 0m</v>
      </c>
    </row>
    <row r="3774" s="91" customFormat="1" spans="1:9">
      <c r="A3774" s="91" t="str">
        <f t="shared" si="174"/>
        <v>Sg-260</v>
      </c>
      <c r="B3774" s="91" t="s">
        <v>4428</v>
      </c>
      <c r="C3774" s="91" t="s">
        <v>4426</v>
      </c>
      <c r="D3774" s="91">
        <v>106</v>
      </c>
      <c r="E3774" s="91">
        <v>260</v>
      </c>
      <c r="F3774" s="91">
        <v>0</v>
      </c>
      <c r="G3774" s="126">
        <v>192.540883488873</v>
      </c>
      <c r="H3774" s="126">
        <f t="shared" si="175"/>
        <v>0.00360000000000001</v>
      </c>
      <c r="I3774" s="126" t="str">
        <f t="shared" si="176"/>
        <v>0y 0d 0h 0m</v>
      </c>
    </row>
    <row r="3775" s="91" customFormat="1" spans="1:9">
      <c r="A3775" s="91" t="str">
        <f t="shared" si="174"/>
        <v>Sg-261</v>
      </c>
      <c r="B3775" s="91" t="s">
        <v>4429</v>
      </c>
      <c r="C3775" s="91" t="s">
        <v>4426</v>
      </c>
      <c r="D3775" s="91">
        <v>106</v>
      </c>
      <c r="E3775" s="91">
        <v>261</v>
      </c>
      <c r="F3775" s="91">
        <v>0</v>
      </c>
      <c r="G3775" s="126">
        <v>3.01368339373889</v>
      </c>
      <c r="H3775" s="126">
        <f t="shared" si="175"/>
        <v>0.23</v>
      </c>
      <c r="I3775" s="126" t="str">
        <f t="shared" si="176"/>
        <v>0y 0d 0h 0m</v>
      </c>
    </row>
    <row r="3776" s="91" customFormat="1" spans="1:9">
      <c r="A3776" s="91" t="str">
        <f t="shared" si="174"/>
        <v>Sg-262</v>
      </c>
      <c r="B3776" s="91" t="s">
        <v>4430</v>
      </c>
      <c r="C3776" s="91" t="s">
        <v>4426</v>
      </c>
      <c r="D3776" s="91">
        <v>106</v>
      </c>
      <c r="E3776" s="91">
        <v>262</v>
      </c>
      <c r="F3776" s="91">
        <v>0</v>
      </c>
      <c r="G3776" s="126">
        <v>87.7401494379677</v>
      </c>
      <c r="H3776" s="126">
        <f t="shared" si="175"/>
        <v>0.0079</v>
      </c>
      <c r="I3776" s="126" t="str">
        <f t="shared" si="176"/>
        <v>0y 0d 0h 0m</v>
      </c>
    </row>
    <row r="3777" s="91" customFormat="1" spans="1:9">
      <c r="A3777" s="91" t="str">
        <f t="shared" si="174"/>
        <v>Sg-263</v>
      </c>
      <c r="B3777" s="91" t="s">
        <v>4431</v>
      </c>
      <c r="C3777" s="91" t="s">
        <v>4426</v>
      </c>
      <c r="D3777" s="91">
        <v>106</v>
      </c>
      <c r="E3777" s="91">
        <v>263</v>
      </c>
      <c r="F3777" s="91">
        <v>0</v>
      </c>
      <c r="G3777" s="126">
        <v>0.693147180559945</v>
      </c>
      <c r="H3777" s="126">
        <f t="shared" si="175"/>
        <v>1</v>
      </c>
      <c r="I3777" s="126" t="str">
        <f t="shared" si="176"/>
        <v>0y 0d 0h 0m</v>
      </c>
    </row>
    <row r="3778" s="91" customFormat="1" spans="1:9">
      <c r="A3778" s="91" t="str">
        <f t="shared" ref="A3778:A3821" si="177">C3778&amp;"-"&amp;E3778&amp;_xlfn.IFS(F3778=0,"",F3778=1,"m",F3778&gt;1,"m"&amp;F3778)</f>
        <v>Sg-263m</v>
      </c>
      <c r="B3778" s="91" t="s">
        <v>4432</v>
      </c>
      <c r="C3778" s="91" t="s">
        <v>4426</v>
      </c>
      <c r="D3778" s="91">
        <v>106</v>
      </c>
      <c r="E3778" s="91">
        <v>263</v>
      </c>
      <c r="F3778" s="91">
        <v>1</v>
      </c>
      <c r="G3778" s="126">
        <v>5.77622650466621</v>
      </c>
      <c r="H3778" s="126">
        <f t="shared" ref="H3778:H3821" si="178">IF(G3778&gt;0,LN(2)/G3778,0)</f>
        <v>0.12</v>
      </c>
      <c r="I3778" s="126" t="str">
        <f t="shared" si="176"/>
        <v>0y 0d 0h 0m</v>
      </c>
    </row>
    <row r="3779" s="91" customFormat="1" spans="1:9">
      <c r="A3779" s="91" t="str">
        <f t="shared" si="177"/>
        <v>Sg-264</v>
      </c>
      <c r="B3779" s="91" t="s">
        <v>4433</v>
      </c>
      <c r="C3779" s="91" t="s">
        <v>4426</v>
      </c>
      <c r="D3779" s="91">
        <v>106</v>
      </c>
      <c r="E3779" s="91">
        <v>264</v>
      </c>
      <c r="F3779" s="91">
        <v>0</v>
      </c>
      <c r="G3779" s="126">
        <v>15.4032706791098</v>
      </c>
      <c r="H3779" s="126">
        <f t="shared" si="178"/>
        <v>0.0450000000000003</v>
      </c>
      <c r="I3779" s="126" t="str">
        <f t="shared" ref="I3779:I3821" si="179">INT(H3779/31536000)&amp;"y "&amp;INT(MOD(H3779,31536000)/86400)&amp;"d "&amp;INT(MOD(MOD(H3779,31536000),86400)/3600)&amp;"h "&amp;INT(MOD(MOD(MOD(H3779,31536000),86400),3600)/60)&amp;"m"</f>
        <v>0y 0d 0h 0m</v>
      </c>
    </row>
    <row r="3780" s="91" customFormat="1" spans="1:9">
      <c r="A3780" s="91" t="str">
        <f t="shared" si="177"/>
        <v>Sg-265</v>
      </c>
      <c r="B3780" s="91" t="s">
        <v>4434</v>
      </c>
      <c r="C3780" s="91" t="s">
        <v>4426</v>
      </c>
      <c r="D3780" s="91">
        <v>106</v>
      </c>
      <c r="E3780" s="91">
        <v>265</v>
      </c>
      <c r="F3780" s="91">
        <v>0</v>
      </c>
      <c r="G3780" s="126">
        <v>0.0866433975699931</v>
      </c>
      <c r="H3780" s="126">
        <f t="shared" si="178"/>
        <v>8.00000000000001</v>
      </c>
      <c r="I3780" s="126" t="str">
        <f t="shared" si="179"/>
        <v>0y 0d 0h 0m</v>
      </c>
    </row>
    <row r="3781" s="91" customFormat="1" spans="1:9">
      <c r="A3781" s="91" t="str">
        <f t="shared" si="177"/>
        <v>Sg-266</v>
      </c>
      <c r="B3781" s="91" t="s">
        <v>4435</v>
      </c>
      <c r="C3781" s="91" t="s">
        <v>4426</v>
      </c>
      <c r="D3781" s="91">
        <v>106</v>
      </c>
      <c r="E3781" s="91">
        <v>266</v>
      </c>
      <c r="F3781" s="91">
        <v>0</v>
      </c>
      <c r="G3781" s="126">
        <v>0.0277258872223978</v>
      </c>
      <c r="H3781" s="126">
        <f t="shared" si="178"/>
        <v>25</v>
      </c>
      <c r="I3781" s="126" t="str">
        <f t="shared" si="179"/>
        <v>0y 0d 0h 0m</v>
      </c>
    </row>
    <row r="3782" s="91" customFormat="1" spans="1:9">
      <c r="A3782" s="91" t="str">
        <f t="shared" si="177"/>
        <v>Sg-269</v>
      </c>
      <c r="B3782" s="91" t="s">
        <v>4436</v>
      </c>
      <c r="C3782" s="91" t="s">
        <v>4426</v>
      </c>
      <c r="D3782" s="91">
        <v>106</v>
      </c>
      <c r="E3782" s="91">
        <v>269</v>
      </c>
      <c r="F3782" s="91">
        <v>0</v>
      </c>
      <c r="G3782" s="126">
        <v>0.0138629436111989</v>
      </c>
      <c r="H3782" s="126">
        <f t="shared" si="178"/>
        <v>50</v>
      </c>
      <c r="I3782" s="126" t="str">
        <f t="shared" si="179"/>
        <v>0y 0d 0h 0m</v>
      </c>
    </row>
    <row r="3783" s="91" customFormat="1" spans="1:9">
      <c r="A3783" s="91" t="str">
        <f t="shared" si="177"/>
        <v>Bh-260</v>
      </c>
      <c r="B3783" s="91" t="s">
        <v>4437</v>
      </c>
      <c r="C3783" s="91" t="s">
        <v>4438</v>
      </c>
      <c r="D3783" s="91">
        <v>107</v>
      </c>
      <c r="E3783" s="91">
        <v>260</v>
      </c>
      <c r="F3783" s="91">
        <v>0</v>
      </c>
      <c r="G3783" s="126">
        <v>2310.49060186648</v>
      </c>
      <c r="H3783" s="126">
        <f t="shared" si="178"/>
        <v>0.000300000000000001</v>
      </c>
      <c r="I3783" s="126" t="str">
        <f t="shared" si="179"/>
        <v>0y 0d 0h 0m</v>
      </c>
    </row>
    <row r="3784" s="91" customFormat="1" spans="1:9">
      <c r="A3784" s="91" t="str">
        <f t="shared" si="177"/>
        <v>Bh-261</v>
      </c>
      <c r="B3784" s="91" t="s">
        <v>4439</v>
      </c>
      <c r="C3784" s="91" t="s">
        <v>4438</v>
      </c>
      <c r="D3784" s="91">
        <v>107</v>
      </c>
      <c r="E3784" s="91">
        <v>261</v>
      </c>
      <c r="F3784" s="91">
        <v>0</v>
      </c>
      <c r="G3784" s="126">
        <v>53.3190138892265</v>
      </c>
      <c r="H3784" s="126">
        <f t="shared" si="178"/>
        <v>0.013</v>
      </c>
      <c r="I3784" s="126" t="str">
        <f t="shared" si="179"/>
        <v>0y 0d 0h 0m</v>
      </c>
    </row>
    <row r="3785" s="91" customFormat="1" spans="1:9">
      <c r="A3785" s="91" t="str">
        <f t="shared" si="177"/>
        <v>Bh-262</v>
      </c>
      <c r="B3785" s="91" t="s">
        <v>4440</v>
      </c>
      <c r="C3785" s="91" t="s">
        <v>4438</v>
      </c>
      <c r="D3785" s="91">
        <v>107</v>
      </c>
      <c r="E3785" s="91">
        <v>262</v>
      </c>
      <c r="F3785" s="91">
        <v>0</v>
      </c>
      <c r="G3785" s="126">
        <v>6.79556059372495</v>
      </c>
      <c r="H3785" s="126">
        <f t="shared" si="178"/>
        <v>0.102</v>
      </c>
      <c r="I3785" s="126" t="str">
        <f t="shared" si="179"/>
        <v>0y 0d 0h 0m</v>
      </c>
    </row>
    <row r="3786" s="91" customFormat="1" spans="1:9">
      <c r="A3786" s="91" t="str">
        <f t="shared" si="177"/>
        <v>Bh-262m</v>
      </c>
      <c r="B3786" s="91" t="s">
        <v>4441</v>
      </c>
      <c r="C3786" s="91" t="s">
        <v>4438</v>
      </c>
      <c r="D3786" s="91">
        <v>107</v>
      </c>
      <c r="E3786" s="91">
        <v>262</v>
      </c>
      <c r="F3786" s="91">
        <v>1</v>
      </c>
      <c r="G3786" s="126">
        <v>31.506690025452</v>
      </c>
      <c r="H3786" s="126">
        <f t="shared" si="178"/>
        <v>0.022</v>
      </c>
      <c r="I3786" s="126" t="str">
        <f t="shared" si="179"/>
        <v>0y 0d 0h 0m</v>
      </c>
    </row>
    <row r="3787" s="91" customFormat="1" spans="1:9">
      <c r="A3787" s="91" t="str">
        <f t="shared" si="177"/>
        <v>Bh-263</v>
      </c>
      <c r="B3787" s="91" t="s">
        <v>4442</v>
      </c>
      <c r="C3787" s="91" t="s">
        <v>4438</v>
      </c>
      <c r="D3787" s="91">
        <v>107</v>
      </c>
      <c r="E3787" s="91">
        <v>263</v>
      </c>
      <c r="F3787" s="91">
        <v>0</v>
      </c>
      <c r="G3787" s="126">
        <v>3465.73590279972</v>
      </c>
      <c r="H3787" s="126">
        <f t="shared" si="178"/>
        <v>0.0002</v>
      </c>
      <c r="I3787" s="126" t="str">
        <f t="shared" si="179"/>
        <v>0y 0d 0h 0m</v>
      </c>
    </row>
    <row r="3788" s="91" customFormat="1" spans="1:9">
      <c r="A3788" s="91" t="str">
        <f t="shared" si="177"/>
        <v>Bh-264</v>
      </c>
      <c r="B3788" s="91" t="s">
        <v>4443</v>
      </c>
      <c r="C3788" s="91" t="s">
        <v>4438</v>
      </c>
      <c r="D3788" s="91">
        <v>107</v>
      </c>
      <c r="E3788" s="91">
        <v>264</v>
      </c>
      <c r="F3788" s="91">
        <v>0</v>
      </c>
      <c r="G3788" s="126">
        <v>1.0502230008484</v>
      </c>
      <c r="H3788" s="126">
        <f t="shared" si="178"/>
        <v>0.660000000000001</v>
      </c>
      <c r="I3788" s="126" t="str">
        <f t="shared" si="179"/>
        <v>0y 0d 0h 0m</v>
      </c>
    </row>
    <row r="3789" s="91" customFormat="1" spans="1:9">
      <c r="A3789" s="91" t="str">
        <f t="shared" si="177"/>
        <v>Bh-265</v>
      </c>
      <c r="B3789" s="91" t="s">
        <v>4444</v>
      </c>
      <c r="C3789" s="91" t="s">
        <v>4438</v>
      </c>
      <c r="D3789" s="91">
        <v>107</v>
      </c>
      <c r="E3789" s="91">
        <v>265</v>
      </c>
      <c r="F3789" s="91">
        <v>0</v>
      </c>
      <c r="G3789" s="126">
        <v>0.630133800509041</v>
      </c>
      <c r="H3789" s="126">
        <f t="shared" si="178"/>
        <v>1.1</v>
      </c>
      <c r="I3789" s="126" t="str">
        <f t="shared" si="179"/>
        <v>0y 0d 0h 0m</v>
      </c>
    </row>
    <row r="3790" s="91" customFormat="1" spans="1:9">
      <c r="A3790" s="91" t="str">
        <f t="shared" si="177"/>
        <v>Bh-266</v>
      </c>
      <c r="B3790" s="91" t="s">
        <v>4445</v>
      </c>
      <c r="C3790" s="91" t="s">
        <v>4438</v>
      </c>
      <c r="D3790" s="91">
        <v>107</v>
      </c>
      <c r="E3790" s="91">
        <v>266</v>
      </c>
      <c r="F3790" s="91">
        <v>0</v>
      </c>
      <c r="G3790" s="126">
        <v>0.128360588992582</v>
      </c>
      <c r="H3790" s="126">
        <f t="shared" si="178"/>
        <v>5.40000000000002</v>
      </c>
      <c r="I3790" s="126" t="str">
        <f t="shared" si="179"/>
        <v>0y 0d 0h 0m</v>
      </c>
    </row>
    <row r="3791" s="91" customFormat="1" spans="1:9">
      <c r="A3791" s="91" t="str">
        <f t="shared" si="177"/>
        <v>Bh-267</v>
      </c>
      <c r="B3791" s="91" t="s">
        <v>4446</v>
      </c>
      <c r="C3791" s="91" t="s">
        <v>4438</v>
      </c>
      <c r="D3791" s="91">
        <v>107</v>
      </c>
      <c r="E3791" s="91">
        <v>267</v>
      </c>
      <c r="F3791" s="91">
        <v>0</v>
      </c>
      <c r="G3791" s="126">
        <v>0.0330070085980926</v>
      </c>
      <c r="H3791" s="126">
        <f t="shared" si="178"/>
        <v>21</v>
      </c>
      <c r="I3791" s="126" t="str">
        <f t="shared" si="179"/>
        <v>0y 0d 0h 0m</v>
      </c>
    </row>
    <row r="3792" s="91" customFormat="1" spans="1:9">
      <c r="A3792" s="91" t="str">
        <f t="shared" si="177"/>
        <v>Bh-269</v>
      </c>
      <c r="B3792" s="91" t="s">
        <v>4447</v>
      </c>
      <c r="C3792" s="91" t="s">
        <v>4438</v>
      </c>
      <c r="D3792" s="91">
        <v>107</v>
      </c>
      <c r="E3792" s="91">
        <v>269</v>
      </c>
      <c r="F3792" s="91">
        <v>0</v>
      </c>
      <c r="G3792" s="126">
        <v>0.0138629436111989</v>
      </c>
      <c r="H3792" s="126">
        <f t="shared" si="178"/>
        <v>50</v>
      </c>
      <c r="I3792" s="126" t="str">
        <f t="shared" si="179"/>
        <v>0y 0d 0h 0m</v>
      </c>
    </row>
    <row r="3793" s="91" customFormat="1" spans="1:9">
      <c r="A3793" s="91" t="str">
        <f t="shared" si="177"/>
        <v>Hs-263</v>
      </c>
      <c r="B3793" s="91" t="s">
        <v>4448</v>
      </c>
      <c r="C3793" s="91" t="s">
        <v>4449</v>
      </c>
      <c r="D3793" s="91">
        <v>108</v>
      </c>
      <c r="E3793" s="91">
        <v>263</v>
      </c>
      <c r="F3793" s="91">
        <v>0</v>
      </c>
      <c r="G3793" s="126">
        <v>195.252726918294</v>
      </c>
      <c r="H3793" s="126">
        <f t="shared" si="178"/>
        <v>0.00355000000000001</v>
      </c>
      <c r="I3793" s="126" t="str">
        <f t="shared" si="179"/>
        <v>0y 0d 0h 0m</v>
      </c>
    </row>
    <row r="3794" s="91" customFormat="1" spans="1:9">
      <c r="A3794" s="91" t="str">
        <f t="shared" si="177"/>
        <v>Hs-264</v>
      </c>
      <c r="B3794" s="91" t="s">
        <v>4450</v>
      </c>
      <c r="C3794" s="91" t="s">
        <v>4449</v>
      </c>
      <c r="D3794" s="91">
        <v>108</v>
      </c>
      <c r="E3794" s="91">
        <v>264</v>
      </c>
      <c r="F3794" s="91">
        <v>0</v>
      </c>
      <c r="G3794" s="126">
        <v>866.433975699931</v>
      </c>
      <c r="H3794" s="126">
        <f t="shared" si="178"/>
        <v>0.000800000000000001</v>
      </c>
      <c r="I3794" s="126" t="str">
        <f t="shared" si="179"/>
        <v>0y 0d 0h 0m</v>
      </c>
    </row>
    <row r="3795" s="91" customFormat="1" spans="1:9">
      <c r="A3795" s="91" t="str">
        <f t="shared" si="177"/>
        <v>Hs-265</v>
      </c>
      <c r="B3795" s="91" t="s">
        <v>4451</v>
      </c>
      <c r="C3795" s="91" t="s">
        <v>4449</v>
      </c>
      <c r="D3795" s="91">
        <v>108</v>
      </c>
      <c r="E3795" s="91">
        <v>265</v>
      </c>
      <c r="F3795" s="91">
        <v>0</v>
      </c>
      <c r="G3795" s="126">
        <v>338.1205758829</v>
      </c>
      <c r="H3795" s="126">
        <f t="shared" si="178"/>
        <v>0.00205</v>
      </c>
      <c r="I3795" s="126" t="str">
        <f t="shared" si="179"/>
        <v>0y 0d 0h 0m</v>
      </c>
    </row>
    <row r="3796" s="91" customFormat="1" spans="1:9">
      <c r="A3796" s="91" t="str">
        <f t="shared" si="177"/>
        <v>Hs-265m</v>
      </c>
      <c r="B3796" s="91" t="s">
        <v>4452</v>
      </c>
      <c r="C3796" s="91" t="s">
        <v>4449</v>
      </c>
      <c r="D3796" s="91">
        <v>108</v>
      </c>
      <c r="E3796" s="91">
        <v>265</v>
      </c>
      <c r="F3796" s="91">
        <v>1</v>
      </c>
      <c r="G3796" s="126">
        <v>2310.49060186648</v>
      </c>
      <c r="H3796" s="126">
        <f t="shared" si="178"/>
        <v>0.000300000000000001</v>
      </c>
      <c r="I3796" s="126" t="str">
        <f t="shared" si="179"/>
        <v>0y 0d 0h 0m</v>
      </c>
    </row>
    <row r="3797" s="91" customFormat="1" spans="1:9">
      <c r="A3797" s="91" t="str">
        <f t="shared" si="177"/>
        <v>Hs-266</v>
      </c>
      <c r="B3797" s="91" t="s">
        <v>4453</v>
      </c>
      <c r="C3797" s="91" t="s">
        <v>4449</v>
      </c>
      <c r="D3797" s="91">
        <v>108</v>
      </c>
      <c r="E3797" s="91">
        <v>266</v>
      </c>
      <c r="F3797" s="91">
        <v>0</v>
      </c>
      <c r="G3797" s="126">
        <v>261.564973796205</v>
      </c>
      <c r="H3797" s="126">
        <f t="shared" si="178"/>
        <v>0.00265000000000001</v>
      </c>
      <c r="I3797" s="126" t="str">
        <f t="shared" si="179"/>
        <v>0y 0d 0h 0m</v>
      </c>
    </row>
    <row r="3798" s="91" customFormat="1" spans="1:9">
      <c r="A3798" s="91" t="str">
        <f t="shared" si="177"/>
        <v>Hs-267</v>
      </c>
      <c r="B3798" s="91" t="s">
        <v>4454</v>
      </c>
      <c r="C3798" s="91" t="s">
        <v>4449</v>
      </c>
      <c r="D3798" s="91">
        <v>108</v>
      </c>
      <c r="E3798" s="91">
        <v>267</v>
      </c>
      <c r="F3798" s="91">
        <v>0</v>
      </c>
      <c r="G3798" s="126">
        <v>12.7182968910081</v>
      </c>
      <c r="H3798" s="126">
        <f t="shared" si="178"/>
        <v>0.0545000000000003</v>
      </c>
      <c r="I3798" s="126" t="str">
        <f t="shared" si="179"/>
        <v>0y 0d 0h 0m</v>
      </c>
    </row>
    <row r="3799" s="91" customFormat="1" spans="1:9">
      <c r="A3799" s="91" t="str">
        <f t="shared" si="177"/>
        <v>Hs-268</v>
      </c>
      <c r="B3799" s="91" t="s">
        <v>4455</v>
      </c>
      <c r="C3799" s="91" t="s">
        <v>4449</v>
      </c>
      <c r="D3799" s="91">
        <v>108</v>
      </c>
      <c r="E3799" s="91">
        <v>268</v>
      </c>
      <c r="F3799" s="91">
        <v>0</v>
      </c>
      <c r="G3799" s="126">
        <v>0.577622650466621</v>
      </c>
      <c r="H3799" s="126">
        <f t="shared" si="178"/>
        <v>1.2</v>
      </c>
      <c r="I3799" s="126" t="str">
        <f t="shared" si="179"/>
        <v>0y 0d 0h 0m</v>
      </c>
    </row>
    <row r="3800" s="91" customFormat="1" spans="1:9">
      <c r="A3800" s="91" t="str">
        <f t="shared" si="177"/>
        <v>Hs-269</v>
      </c>
      <c r="B3800" s="91" t="s">
        <v>4456</v>
      </c>
      <c r="C3800" s="91" t="s">
        <v>4449</v>
      </c>
      <c r="D3800" s="91">
        <v>108</v>
      </c>
      <c r="E3800" s="91">
        <v>269</v>
      </c>
      <c r="F3800" s="91">
        <v>0</v>
      </c>
      <c r="G3800" s="126">
        <v>0.0537323395782903</v>
      </c>
      <c r="H3800" s="126">
        <f t="shared" si="178"/>
        <v>12.9</v>
      </c>
      <c r="I3800" s="126" t="str">
        <f t="shared" si="179"/>
        <v>0y 0d 0h 0m</v>
      </c>
    </row>
    <row r="3801" s="91" customFormat="1" spans="1:9">
      <c r="A3801" s="91" t="str">
        <f t="shared" si="177"/>
        <v>Hs-273</v>
      </c>
      <c r="B3801" s="91" t="s">
        <v>4457</v>
      </c>
      <c r="C3801" s="91" t="s">
        <v>4449</v>
      </c>
      <c r="D3801" s="91">
        <v>108</v>
      </c>
      <c r="E3801" s="91">
        <v>273</v>
      </c>
      <c r="F3801" s="91">
        <v>0</v>
      </c>
      <c r="G3801" s="126">
        <v>0.0138629436111989</v>
      </c>
      <c r="H3801" s="126">
        <f t="shared" si="178"/>
        <v>50</v>
      </c>
      <c r="I3801" s="126" t="str">
        <f t="shared" si="179"/>
        <v>0y 0d 0h 0m</v>
      </c>
    </row>
    <row r="3802" s="91" customFormat="1" spans="1:9">
      <c r="A3802" s="91" t="str">
        <f t="shared" si="177"/>
        <v>Mt-265</v>
      </c>
      <c r="B3802" s="91" t="s">
        <v>4458</v>
      </c>
      <c r="C3802" s="91" t="s">
        <v>4459</v>
      </c>
      <c r="D3802" s="91">
        <v>109</v>
      </c>
      <c r="E3802" s="91">
        <v>265</v>
      </c>
      <c r="F3802" s="91">
        <v>0</v>
      </c>
      <c r="G3802" s="126">
        <v>0.00577622650466621</v>
      </c>
      <c r="H3802" s="126">
        <f t="shared" si="178"/>
        <v>120</v>
      </c>
      <c r="I3802" s="126" t="str">
        <f t="shared" si="179"/>
        <v>0y 0d 0h 2m</v>
      </c>
    </row>
    <row r="3803" s="91" customFormat="1" spans="1:9">
      <c r="A3803" s="91" t="str">
        <f t="shared" si="177"/>
        <v>Mt-266</v>
      </c>
      <c r="B3803" s="91" t="s">
        <v>4460</v>
      </c>
      <c r="C3803" s="91" t="s">
        <v>4459</v>
      </c>
      <c r="D3803" s="91">
        <v>109</v>
      </c>
      <c r="E3803" s="91">
        <v>266</v>
      </c>
      <c r="F3803" s="91">
        <v>0</v>
      </c>
      <c r="G3803" s="126">
        <v>385.081766977747</v>
      </c>
      <c r="H3803" s="126">
        <f t="shared" si="178"/>
        <v>0.0018</v>
      </c>
      <c r="I3803" s="126" t="str">
        <f t="shared" si="179"/>
        <v>0y 0d 0h 0m</v>
      </c>
    </row>
    <row r="3804" s="91" customFormat="1" spans="1:9">
      <c r="A3804" s="91" t="str">
        <f t="shared" si="177"/>
        <v>Mt-266m</v>
      </c>
      <c r="B3804" s="91" t="s">
        <v>4461</v>
      </c>
      <c r="C3804" s="91" t="s">
        <v>4459</v>
      </c>
      <c r="D3804" s="91">
        <v>109</v>
      </c>
      <c r="E3804" s="91">
        <v>266</v>
      </c>
      <c r="F3804" s="91">
        <v>1</v>
      </c>
      <c r="G3804" s="126">
        <v>407.733635623497</v>
      </c>
      <c r="H3804" s="126">
        <f t="shared" si="178"/>
        <v>0.0017</v>
      </c>
      <c r="I3804" s="126" t="str">
        <f t="shared" si="179"/>
        <v>0y 0d 0h 0m</v>
      </c>
    </row>
    <row r="3805" s="91" customFormat="1" spans="1:9">
      <c r="A3805" s="91" t="str">
        <f t="shared" si="177"/>
        <v>Mt-267</v>
      </c>
      <c r="B3805" s="91" t="s">
        <v>4462</v>
      </c>
      <c r="C3805" s="91" t="s">
        <v>4459</v>
      </c>
      <c r="D3805" s="91">
        <v>109</v>
      </c>
      <c r="E3805" s="91">
        <v>267</v>
      </c>
      <c r="F3805" s="91">
        <v>0</v>
      </c>
      <c r="G3805" s="126">
        <v>69.3147180559945</v>
      </c>
      <c r="H3805" s="126">
        <f t="shared" si="178"/>
        <v>0.01</v>
      </c>
      <c r="I3805" s="126" t="str">
        <f t="shared" si="179"/>
        <v>0y 0d 0h 0m</v>
      </c>
    </row>
    <row r="3806" s="91" customFormat="1" spans="1:9">
      <c r="A3806" s="91" t="str">
        <f t="shared" si="177"/>
        <v>Mt-268</v>
      </c>
      <c r="B3806" s="91" t="s">
        <v>4463</v>
      </c>
      <c r="C3806" s="91" t="s">
        <v>4459</v>
      </c>
      <c r="D3806" s="91">
        <v>109</v>
      </c>
      <c r="E3806" s="91">
        <v>268</v>
      </c>
      <c r="F3806" s="91">
        <v>0</v>
      </c>
      <c r="G3806" s="126">
        <v>30.8065413582197</v>
      </c>
      <c r="H3806" s="126">
        <f t="shared" si="178"/>
        <v>0.0225000000000001</v>
      </c>
      <c r="I3806" s="126" t="str">
        <f t="shared" si="179"/>
        <v>0y 0d 0h 0m</v>
      </c>
    </row>
    <row r="3807" s="91" customFormat="1" spans="1:9">
      <c r="A3807" s="91" t="str">
        <f t="shared" si="177"/>
        <v>Mt-269</v>
      </c>
      <c r="B3807" s="91" t="s">
        <v>4464</v>
      </c>
      <c r="C3807" s="91" t="s">
        <v>4459</v>
      </c>
      <c r="D3807" s="91">
        <v>109</v>
      </c>
      <c r="E3807" s="91">
        <v>269</v>
      </c>
      <c r="F3807" s="91">
        <v>0</v>
      </c>
      <c r="G3807" s="126">
        <v>13.8629436111989</v>
      </c>
      <c r="H3807" s="126">
        <f t="shared" si="178"/>
        <v>0.05</v>
      </c>
      <c r="I3807" s="126" t="str">
        <f t="shared" si="179"/>
        <v>0y 0d 0h 0m</v>
      </c>
    </row>
    <row r="3808" s="91" customFormat="1" spans="1:9">
      <c r="A3808" s="91" t="str">
        <f t="shared" si="177"/>
        <v>Mt-270</v>
      </c>
      <c r="B3808" s="91" t="s">
        <v>4465</v>
      </c>
      <c r="C3808" s="91" t="s">
        <v>4459</v>
      </c>
      <c r="D3808" s="91">
        <v>109</v>
      </c>
      <c r="E3808" s="91">
        <v>270</v>
      </c>
      <c r="F3808" s="91">
        <v>0</v>
      </c>
      <c r="G3808" s="126">
        <v>114.569781910734</v>
      </c>
      <c r="H3808" s="126">
        <f t="shared" si="178"/>
        <v>0.00605000000000004</v>
      </c>
      <c r="I3808" s="126" t="str">
        <f t="shared" si="179"/>
        <v>0y 0d 0h 0m</v>
      </c>
    </row>
    <row r="3809" s="91" customFormat="1" spans="1:9">
      <c r="A3809" s="91" t="str">
        <f t="shared" si="177"/>
        <v>Mt-271</v>
      </c>
      <c r="B3809" s="91" t="s">
        <v>4466</v>
      </c>
      <c r="C3809" s="91" t="s">
        <v>4459</v>
      </c>
      <c r="D3809" s="91">
        <v>109</v>
      </c>
      <c r="E3809" s="91">
        <v>271</v>
      </c>
      <c r="F3809" s="91">
        <v>0</v>
      </c>
      <c r="G3809" s="126">
        <v>0.138629436111989</v>
      </c>
      <c r="H3809" s="126">
        <f t="shared" si="178"/>
        <v>5</v>
      </c>
      <c r="I3809" s="126" t="str">
        <f t="shared" si="179"/>
        <v>0y 0d 0h 0m</v>
      </c>
    </row>
    <row r="3810" s="91" customFormat="1" spans="1:9">
      <c r="A3810" s="91" t="str">
        <f t="shared" si="177"/>
        <v>Mt-273</v>
      </c>
      <c r="B3810" s="91" t="s">
        <v>4467</v>
      </c>
      <c r="C3810" s="91" t="s">
        <v>4459</v>
      </c>
      <c r="D3810" s="91">
        <v>109</v>
      </c>
      <c r="E3810" s="91">
        <v>273</v>
      </c>
      <c r="F3810" s="91">
        <v>0</v>
      </c>
      <c r="G3810" s="126">
        <v>0.0346573590279972</v>
      </c>
      <c r="H3810" s="126">
        <f t="shared" si="178"/>
        <v>20</v>
      </c>
      <c r="I3810" s="126" t="str">
        <f t="shared" si="179"/>
        <v>0y 0d 0h 0m</v>
      </c>
    </row>
    <row r="3811" s="91" customFormat="1" spans="1:9">
      <c r="A3811" s="91" t="str">
        <f t="shared" si="177"/>
        <v>Ds-267</v>
      </c>
      <c r="B3811" s="91" t="s">
        <v>4468</v>
      </c>
      <c r="C3811" s="91" t="s">
        <v>4469</v>
      </c>
      <c r="D3811" s="91">
        <v>110</v>
      </c>
      <c r="E3811" s="91">
        <v>267</v>
      </c>
      <c r="F3811" s="91">
        <v>0</v>
      </c>
      <c r="G3811" s="126">
        <v>247552.564485694</v>
      </c>
      <c r="H3811" s="126">
        <f t="shared" si="178"/>
        <v>2.80000000000001e-6</v>
      </c>
      <c r="I3811" s="126" t="str">
        <f t="shared" si="179"/>
        <v>0y 0d 0h 0m</v>
      </c>
    </row>
    <row r="3812" s="91" customFormat="1" spans="1:9">
      <c r="A3812" s="91" t="str">
        <f t="shared" si="177"/>
        <v>Ds-268</v>
      </c>
      <c r="B3812" s="91" t="s">
        <v>4470</v>
      </c>
      <c r="C3812" s="91" t="s">
        <v>4469</v>
      </c>
      <c r="D3812" s="91">
        <v>110</v>
      </c>
      <c r="E3812" s="91">
        <v>268</v>
      </c>
      <c r="F3812" s="91">
        <v>0</v>
      </c>
      <c r="G3812" s="126">
        <v>6931.47180559945</v>
      </c>
      <c r="H3812" s="126">
        <f t="shared" si="178"/>
        <v>0.0001</v>
      </c>
      <c r="I3812" s="126" t="str">
        <f t="shared" si="179"/>
        <v>0y 0d 0h 0m</v>
      </c>
    </row>
    <row r="3813" s="91" customFormat="1" spans="1:9">
      <c r="A3813" s="91" t="str">
        <f t="shared" si="177"/>
        <v>Ds-269</v>
      </c>
      <c r="B3813" s="91" t="s">
        <v>4471</v>
      </c>
      <c r="C3813" s="91" t="s">
        <v>4469</v>
      </c>
      <c r="D3813" s="91">
        <v>110</v>
      </c>
      <c r="E3813" s="91">
        <v>269</v>
      </c>
      <c r="F3813" s="91">
        <v>0</v>
      </c>
      <c r="G3813" s="126">
        <v>2586.37007671621</v>
      </c>
      <c r="H3813" s="126">
        <f t="shared" si="178"/>
        <v>0.000268</v>
      </c>
      <c r="I3813" s="126" t="str">
        <f t="shared" si="179"/>
        <v>0y 0d 0h 0m</v>
      </c>
    </row>
    <row r="3814" s="91" customFormat="1" spans="1:9">
      <c r="A3814" s="91" t="str">
        <f t="shared" si="177"/>
        <v>Ds-270</v>
      </c>
      <c r="B3814" s="91" t="s">
        <v>4472</v>
      </c>
      <c r="C3814" s="91" t="s">
        <v>4469</v>
      </c>
      <c r="D3814" s="91">
        <v>110</v>
      </c>
      <c r="E3814" s="91">
        <v>270</v>
      </c>
      <c r="F3814" s="91">
        <v>0</v>
      </c>
      <c r="G3814" s="126">
        <v>4620.98120373296</v>
      </c>
      <c r="H3814" s="126">
        <f t="shared" si="178"/>
        <v>0.00015</v>
      </c>
      <c r="I3814" s="126" t="str">
        <f t="shared" si="179"/>
        <v>0y 0d 0h 0m</v>
      </c>
    </row>
    <row r="3815" s="91" customFormat="1" spans="1:9">
      <c r="A3815" s="91" t="str">
        <f t="shared" si="177"/>
        <v>Ds-270m</v>
      </c>
      <c r="B3815" s="91" t="s">
        <v>4473</v>
      </c>
      <c r="C3815" s="91" t="s">
        <v>4469</v>
      </c>
      <c r="D3815" s="91">
        <v>110</v>
      </c>
      <c r="E3815" s="91">
        <v>270</v>
      </c>
      <c r="F3815" s="91">
        <v>1</v>
      </c>
      <c r="G3815" s="126">
        <v>77.0163533955494</v>
      </c>
      <c r="H3815" s="126">
        <f t="shared" si="178"/>
        <v>0.00900000000000001</v>
      </c>
      <c r="I3815" s="126" t="str">
        <f t="shared" si="179"/>
        <v>0y 0d 0h 0m</v>
      </c>
    </row>
    <row r="3816" s="91" customFormat="1" spans="1:9">
      <c r="A3816" s="91" t="str">
        <f t="shared" si="177"/>
        <v>Ds-271</v>
      </c>
      <c r="B3816" s="91" t="s">
        <v>4474</v>
      </c>
      <c r="C3816" s="91" t="s">
        <v>4469</v>
      </c>
      <c r="D3816" s="91">
        <v>110</v>
      </c>
      <c r="E3816" s="91">
        <v>271</v>
      </c>
      <c r="F3816" s="91">
        <v>0</v>
      </c>
      <c r="G3816" s="126">
        <v>406.537935812284</v>
      </c>
      <c r="H3816" s="126">
        <f t="shared" si="178"/>
        <v>0.001705</v>
      </c>
      <c r="I3816" s="126" t="str">
        <f t="shared" si="179"/>
        <v>0y 0d 0h 0m</v>
      </c>
    </row>
    <row r="3817" s="91" customFormat="1" spans="1:9">
      <c r="A3817" s="91" t="str">
        <f t="shared" si="177"/>
        <v>Ds-271m</v>
      </c>
      <c r="B3817" s="91" t="s">
        <v>4475</v>
      </c>
      <c r="C3817" s="91" t="s">
        <v>4469</v>
      </c>
      <c r="D3817" s="91">
        <v>110</v>
      </c>
      <c r="E3817" s="91">
        <v>271</v>
      </c>
      <c r="F3817" s="91">
        <v>1</v>
      </c>
      <c r="G3817" s="126">
        <v>8.01326220300514</v>
      </c>
      <c r="H3817" s="126">
        <f t="shared" si="178"/>
        <v>0.0865000000000001</v>
      </c>
      <c r="I3817" s="126" t="str">
        <f t="shared" si="179"/>
        <v>0y 0d 0h 0m</v>
      </c>
    </row>
    <row r="3818" s="91" customFormat="1" spans="1:9">
      <c r="A3818" s="91" t="str">
        <f t="shared" si="177"/>
        <v>Ds-272</v>
      </c>
      <c r="B3818" s="91" t="s">
        <v>4476</v>
      </c>
      <c r="C3818" s="91" t="s">
        <v>4469</v>
      </c>
      <c r="D3818" s="91">
        <v>110</v>
      </c>
      <c r="E3818" s="91">
        <v>272</v>
      </c>
      <c r="F3818" s="91">
        <v>0</v>
      </c>
      <c r="G3818" s="126">
        <v>0.693147180559945</v>
      </c>
      <c r="H3818" s="126">
        <f t="shared" si="178"/>
        <v>1</v>
      </c>
      <c r="I3818" s="126" t="str">
        <f t="shared" si="179"/>
        <v>0y 0d 0h 0m</v>
      </c>
    </row>
    <row r="3819" s="91" customFormat="1" spans="1:9">
      <c r="A3819" s="91" t="str">
        <f t="shared" si="177"/>
        <v>Ds-273</v>
      </c>
      <c r="B3819" s="91" t="s">
        <v>4477</v>
      </c>
      <c r="C3819" s="91" t="s">
        <v>4469</v>
      </c>
      <c r="D3819" s="91">
        <v>110</v>
      </c>
      <c r="E3819" s="91">
        <v>273</v>
      </c>
      <c r="F3819" s="91">
        <v>0</v>
      </c>
      <c r="G3819" s="126">
        <v>3080.65413582197</v>
      </c>
      <c r="H3819" s="126">
        <f t="shared" si="178"/>
        <v>0.000225000000000001</v>
      </c>
      <c r="I3819" s="126" t="str">
        <f t="shared" si="179"/>
        <v>0y 0d 0h 0m</v>
      </c>
    </row>
    <row r="3820" s="91" customFormat="1" spans="1:9">
      <c r="A3820" s="91" t="str">
        <f t="shared" si="177"/>
        <v>Ds-279m</v>
      </c>
      <c r="B3820" s="91" t="s">
        <v>4478</v>
      </c>
      <c r="C3820" s="91" t="s">
        <v>4469</v>
      </c>
      <c r="D3820" s="91">
        <v>110</v>
      </c>
      <c r="E3820" s="91">
        <v>279</v>
      </c>
      <c r="F3820" s="91">
        <v>1</v>
      </c>
      <c r="G3820" s="126">
        <v>3.64814305557865</v>
      </c>
      <c r="H3820" s="126">
        <f t="shared" si="178"/>
        <v>0.190000000000001</v>
      </c>
      <c r="I3820" s="126" t="str">
        <f t="shared" si="179"/>
        <v>0y 0d 0h 0m</v>
      </c>
    </row>
    <row r="3821" s="91" customFormat="1" spans="1:9">
      <c r="A3821" s="91" t="str">
        <f t="shared" si="177"/>
        <v>Rg-272</v>
      </c>
      <c r="B3821" s="91" t="s">
        <v>4479</v>
      </c>
      <c r="C3821" s="91" t="s">
        <v>4480</v>
      </c>
      <c r="D3821" s="91">
        <v>111</v>
      </c>
      <c r="E3821" s="91">
        <v>272</v>
      </c>
      <c r="F3821" s="91">
        <v>0</v>
      </c>
      <c r="G3821" s="126">
        <v>169.06028794145</v>
      </c>
      <c r="H3821" s="126">
        <f t="shared" si="178"/>
        <v>0.0041</v>
      </c>
      <c r="I3821" s="126" t="str">
        <f t="shared" si="179"/>
        <v>0y 0d 0h 0m</v>
      </c>
    </row>
  </sheetData>
  <pageMargins left="0.75" right="0.75" top="1" bottom="1" header="0.5" footer="0.5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XFD121"/>
  <sheetViews>
    <sheetView zoomScale="70" zoomScaleNormal="70" workbookViewId="0">
      <selection activeCell="P5" sqref="P5"/>
    </sheetView>
  </sheetViews>
  <sheetFormatPr defaultColWidth="9" defaultRowHeight="15"/>
  <cols>
    <col min="1" max="1" width="9" style="30"/>
    <col min="2" max="5" width="9.50833333333333" style="30" customWidth="1"/>
    <col min="6" max="6" width="11.125" style="30" customWidth="1"/>
    <col min="7" max="11" width="9.50833333333333" style="30" customWidth="1"/>
    <col min="12" max="12" width="10.875" style="30" customWidth="1"/>
    <col min="13" max="21" width="9.50833333333333" style="30" customWidth="1"/>
    <col min="22" max="22" width="13.75" style="30"/>
    <col min="23" max="23" width="12.625" style="30"/>
    <col min="24" max="24" width="13.75" style="30"/>
    <col min="25" max="26" width="12.8833333333333" style="30"/>
    <col min="27" max="27" width="12.875" style="30" customWidth="1"/>
    <col min="28" max="29" width="10.375" style="30" customWidth="1"/>
    <col min="30" max="30" width="11.5083333333333" style="30" customWidth="1"/>
    <col min="31" max="31" width="9.375" style="30" customWidth="1"/>
    <col min="32" max="32" width="10.375" style="30" customWidth="1"/>
    <col min="33" max="35" width="9" style="30"/>
    <col min="36" max="40" width="9.375" style="30"/>
    <col min="41" max="16380" width="9" style="30"/>
    <col min="16381" max="16384" width="9" style="91"/>
  </cols>
  <sheetData>
    <row r="2" s="30" customFormat="1" spans="8:41">
      <c r="H2" s="51" t="s">
        <v>4481</v>
      </c>
      <c r="I2" s="51" t="s">
        <v>4482</v>
      </c>
      <c r="J2" s="51" t="s">
        <v>4483</v>
      </c>
      <c r="K2" s="51" t="s">
        <v>4484</v>
      </c>
      <c r="L2" s="30" t="s">
        <v>4484</v>
      </c>
      <c r="P2" s="99" t="s">
        <v>4485</v>
      </c>
      <c r="Q2" s="92"/>
      <c r="R2" s="92"/>
      <c r="S2" s="92"/>
      <c r="T2" s="103" t="s">
        <v>4486</v>
      </c>
      <c r="U2" s="92"/>
      <c r="AB2" s="106" t="s">
        <v>4485</v>
      </c>
      <c r="AC2" s="92"/>
      <c r="AD2" s="92"/>
      <c r="AE2" s="92"/>
      <c r="AF2" s="103" t="s">
        <v>395</v>
      </c>
      <c r="AG2" s="92"/>
      <c r="AJ2" s="92" t="s">
        <v>4487</v>
      </c>
      <c r="AK2" s="92"/>
      <c r="AL2" s="92"/>
      <c r="AM2" s="92"/>
      <c r="AN2" s="103" t="s">
        <v>4486</v>
      </c>
      <c r="AO2" s="92"/>
    </row>
    <row r="3" s="30" customFormat="1" ht="19.5" spans="8:33">
      <c r="H3" s="51"/>
      <c r="I3" s="51" t="s">
        <v>4488</v>
      </c>
      <c r="J3" s="51" t="s">
        <v>4488</v>
      </c>
      <c r="K3" s="53" t="s">
        <v>4489</v>
      </c>
      <c r="L3" s="30" t="s">
        <v>4488</v>
      </c>
      <c r="P3" s="100" t="s">
        <v>4490</v>
      </c>
      <c r="Q3" s="104">
        <v>0.00035</v>
      </c>
      <c r="R3" s="104">
        <v>0.00035</v>
      </c>
      <c r="S3" s="104">
        <v>0.00018</v>
      </c>
      <c r="T3" s="104">
        <v>0.00023</v>
      </c>
      <c r="U3" s="104">
        <v>0.00023</v>
      </c>
      <c r="W3" s="61" t="s">
        <v>4491</v>
      </c>
      <c r="X3"/>
      <c r="Y3"/>
      <c r="Z3"/>
      <c r="AB3" s="100" t="s">
        <v>4490</v>
      </c>
      <c r="AC3" s="104">
        <v>0.00035</v>
      </c>
      <c r="AD3" s="104">
        <v>0.00035</v>
      </c>
      <c r="AE3" s="104">
        <v>0.00018</v>
      </c>
      <c r="AF3" s="104">
        <v>0.00023</v>
      </c>
      <c r="AG3" s="104">
        <v>0.00023</v>
      </c>
    </row>
    <row r="4" s="30" customFormat="1" ht="27" spans="1:41">
      <c r="A4" s="92" t="s">
        <v>4481</v>
      </c>
      <c r="B4" s="92" t="s">
        <v>266</v>
      </c>
      <c r="C4" s="92" t="s">
        <v>4492</v>
      </c>
      <c r="D4" s="92" t="s">
        <v>4493</v>
      </c>
      <c r="E4" s="92" t="s">
        <v>4494</v>
      </c>
      <c r="F4" s="92" t="s">
        <v>4495</v>
      </c>
      <c r="H4" s="51"/>
      <c r="I4" s="51" t="s">
        <v>4496</v>
      </c>
      <c r="J4" s="51" t="s">
        <v>4497</v>
      </c>
      <c r="K4" s="55">
        <f>30*24*3600</f>
        <v>2592000</v>
      </c>
      <c r="L4" s="30" t="s">
        <v>4498</v>
      </c>
      <c r="M4" s="56" t="s">
        <v>4499</v>
      </c>
      <c r="N4" s="30" t="s">
        <v>4500</v>
      </c>
      <c r="P4" s="92" t="s">
        <v>4501</v>
      </c>
      <c r="Q4" s="92" t="s">
        <v>4502</v>
      </c>
      <c r="R4" s="92" t="s">
        <v>4503</v>
      </c>
      <c r="S4" s="92" t="s">
        <v>4504</v>
      </c>
      <c r="T4" s="92" t="s">
        <v>4505</v>
      </c>
      <c r="U4" s="92" t="s">
        <v>4506</v>
      </c>
      <c r="W4" s="62" t="s">
        <v>35</v>
      </c>
      <c r="X4" s="62" t="s">
        <v>4507</v>
      </c>
      <c r="Y4" s="80" t="s">
        <v>4508</v>
      </c>
      <c r="Z4" s="62" t="s">
        <v>4509</v>
      </c>
      <c r="AB4" s="92" t="s">
        <v>4501</v>
      </c>
      <c r="AC4" s="92" t="s">
        <v>4502</v>
      </c>
      <c r="AD4" s="92" t="s">
        <v>4503</v>
      </c>
      <c r="AE4" s="92" t="s">
        <v>4504</v>
      </c>
      <c r="AF4" s="92" t="s">
        <v>4505</v>
      </c>
      <c r="AG4" s="92" t="s">
        <v>4506</v>
      </c>
      <c r="AJ4" s="92"/>
      <c r="AK4" s="92" t="s">
        <v>266</v>
      </c>
      <c r="AL4" s="92" t="s">
        <v>4510</v>
      </c>
      <c r="AM4" s="92" t="s">
        <v>235</v>
      </c>
      <c r="AN4" s="92" t="s">
        <v>4511</v>
      </c>
      <c r="AO4" s="92" t="s">
        <v>4512</v>
      </c>
    </row>
    <row r="5" s="30" customFormat="1" ht="15.75" spans="1:46">
      <c r="A5" s="37" t="s">
        <v>46</v>
      </c>
      <c r="B5" s="38" t="e">
        <f>#REF!+#REF!</f>
        <v>#REF!</v>
      </c>
      <c r="C5" s="38">
        <v>4051957.14155858</v>
      </c>
      <c r="D5" s="38">
        <v>451723.573261753</v>
      </c>
      <c r="E5" s="38">
        <v>988.354457791315</v>
      </c>
      <c r="F5" s="38">
        <v>1.04911059438965e-9</v>
      </c>
      <c r="G5" s="35" t="str">
        <f t="shared" ref="G5:G29" si="0">A5</f>
        <v>Kr-83m</v>
      </c>
      <c r="H5" s="39" t="str">
        <f t="shared" ref="H5:K5" si="1">W5</f>
        <v>Kr-83m</v>
      </c>
      <c r="I5" s="39">
        <f t="shared" si="1"/>
        <v>2.43e-18</v>
      </c>
      <c r="J5" s="39">
        <f t="shared" si="1"/>
        <v>0</v>
      </c>
      <c r="K5" s="39">
        <f t="shared" si="1"/>
        <v>0</v>
      </c>
      <c r="L5" s="30">
        <v>0</v>
      </c>
      <c r="M5" s="56">
        <v>0.000105</v>
      </c>
      <c r="N5" s="56">
        <v>0.0015</v>
      </c>
      <c r="O5" s="56"/>
      <c r="P5" s="57"/>
      <c r="Q5" s="39"/>
      <c r="R5" s="39"/>
      <c r="S5" s="39"/>
      <c r="T5" s="39"/>
      <c r="U5" s="39"/>
      <c r="W5" s="71" t="s">
        <v>46</v>
      </c>
      <c r="X5" s="72">
        <v>2.43e-18</v>
      </c>
      <c r="Y5" s="83">
        <v>0</v>
      </c>
      <c r="Z5" s="72">
        <v>0</v>
      </c>
      <c r="AB5" s="107" t="s">
        <v>4513</v>
      </c>
      <c r="AC5" s="108">
        <v>0.0063</v>
      </c>
      <c r="AD5" s="108">
        <v>0.00435</v>
      </c>
      <c r="AE5" s="108">
        <v>0.00361</v>
      </c>
      <c r="AF5" s="108">
        <v>0.00241</v>
      </c>
      <c r="AG5" s="108">
        <v>0.00135</v>
      </c>
      <c r="AJ5" s="107" t="s">
        <v>4513</v>
      </c>
      <c r="AK5" s="98">
        <v>0.0292</v>
      </c>
      <c r="AL5" s="98">
        <v>0.0188</v>
      </c>
      <c r="AM5" s="98">
        <v>0.0151</v>
      </c>
      <c r="AN5" s="98">
        <v>0.0094</v>
      </c>
      <c r="AO5" s="98">
        <v>0.00475</v>
      </c>
      <c r="AP5" s="118" t="e">
        <f t="shared" ref="AP5:AT5" si="2">AK5/Q6</f>
        <v>#DIV/0!</v>
      </c>
      <c r="AQ5" s="118" t="e">
        <f t="shared" si="2"/>
        <v>#DIV/0!</v>
      </c>
      <c r="AR5" s="118" t="e">
        <f t="shared" si="2"/>
        <v>#DIV/0!</v>
      </c>
      <c r="AS5" s="118" t="e">
        <f t="shared" si="2"/>
        <v>#DIV/0!</v>
      </c>
      <c r="AT5" s="118" t="e">
        <f t="shared" si="2"/>
        <v>#DIV/0!</v>
      </c>
    </row>
    <row r="6" s="30" customFormat="1" ht="15.75" spans="1:46">
      <c r="A6" s="37" t="s">
        <v>47</v>
      </c>
      <c r="B6" s="38" t="e">
        <f>#REF!+#REF!</f>
        <v>#REF!</v>
      </c>
      <c r="C6" s="38">
        <v>287530.495155419</v>
      </c>
      <c r="D6" s="38">
        <v>732456.297659344</v>
      </c>
      <c r="E6" s="38">
        <v>2752868.83685689</v>
      </c>
      <c r="F6" s="38">
        <v>7271911.1312923</v>
      </c>
      <c r="G6" s="35" t="str">
        <f t="shared" si="0"/>
        <v>Kr-85</v>
      </c>
      <c r="H6" s="39" t="str">
        <f t="shared" ref="H6:K6" si="3">W6</f>
        <v>Kr-85</v>
      </c>
      <c r="I6" s="39">
        <f t="shared" si="3"/>
        <v>2.56e-16</v>
      </c>
      <c r="J6" s="39">
        <f t="shared" si="3"/>
        <v>0</v>
      </c>
      <c r="K6" s="39">
        <f t="shared" si="3"/>
        <v>0</v>
      </c>
      <c r="L6" s="30">
        <v>0</v>
      </c>
      <c r="M6" s="56">
        <v>2.04e-9</v>
      </c>
      <c r="N6" s="56">
        <v>0.0015</v>
      </c>
      <c r="O6" s="56"/>
      <c r="P6" s="57"/>
      <c r="Q6" s="39"/>
      <c r="R6" s="39"/>
      <c r="S6" s="39"/>
      <c r="T6" s="39"/>
      <c r="U6" s="39"/>
      <c r="W6" s="71" t="s">
        <v>47</v>
      </c>
      <c r="X6" s="72">
        <v>2.56e-16</v>
      </c>
      <c r="Y6" s="83">
        <v>0</v>
      </c>
      <c r="Z6" s="72">
        <v>0</v>
      </c>
      <c r="AB6" s="107" t="s">
        <v>297</v>
      </c>
      <c r="AC6" s="108">
        <v>0.00112</v>
      </c>
      <c r="AD6" s="108">
        <v>0.000757</v>
      </c>
      <c r="AE6" s="108">
        <v>0.000623</v>
      </c>
      <c r="AF6" s="108">
        <v>0.000407</v>
      </c>
      <c r="AG6" s="108">
        <v>0.000222</v>
      </c>
      <c r="AJ6" s="107" t="s">
        <v>297</v>
      </c>
      <c r="AK6" s="98">
        <v>0.00442</v>
      </c>
      <c r="AL6" s="98">
        <v>0.0028</v>
      </c>
      <c r="AM6" s="98">
        <v>0.00223</v>
      </c>
      <c r="AN6" s="98">
        <v>0.00135</v>
      </c>
      <c r="AO6" s="98">
        <v>0.000665</v>
      </c>
      <c r="AP6" s="118">
        <f t="shared" ref="AP6:AT6" si="4">AK6/Q9</f>
        <v>29.8648648648649</v>
      </c>
      <c r="AQ6" s="118">
        <f t="shared" si="4"/>
        <v>33.5329341317365</v>
      </c>
      <c r="AR6" s="118">
        <f t="shared" si="4"/>
        <v>35.5095541401274</v>
      </c>
      <c r="AS6" s="118">
        <f t="shared" si="4"/>
        <v>39.9408284023669</v>
      </c>
      <c r="AT6" s="118">
        <f t="shared" si="4"/>
        <v>35.752688172043</v>
      </c>
    </row>
    <row r="7" s="30" customFormat="1" ht="15.75" spans="1:46">
      <c r="A7" s="37" t="s">
        <v>48</v>
      </c>
      <c r="B7" s="38" t="e">
        <f>#REF!+#REF!</f>
        <v>#REF!</v>
      </c>
      <c r="C7" s="38">
        <v>45741228.6641041</v>
      </c>
      <c r="D7" s="38">
        <v>26432486.5288895</v>
      </c>
      <c r="E7" s="38">
        <v>2257715.46930495</v>
      </c>
      <c r="F7" s="38">
        <v>24.28865482887</v>
      </c>
      <c r="G7" s="35" t="str">
        <f t="shared" si="0"/>
        <v>Kr-85m</v>
      </c>
      <c r="H7" s="39" t="str">
        <f t="shared" ref="H7:K7" si="5">W7</f>
        <v>Kr-85m</v>
      </c>
      <c r="I7" s="39">
        <f t="shared" si="5"/>
        <v>6.83e-15</v>
      </c>
      <c r="J7" s="39">
        <f t="shared" si="5"/>
        <v>0</v>
      </c>
      <c r="K7" s="39">
        <f t="shared" si="5"/>
        <v>0</v>
      </c>
      <c r="L7" s="30">
        <v>0</v>
      </c>
      <c r="M7" s="56">
        <v>4.3e-5</v>
      </c>
      <c r="N7" s="56">
        <v>0.0015</v>
      </c>
      <c r="O7" s="56"/>
      <c r="P7" s="57"/>
      <c r="Q7" s="39"/>
      <c r="R7" s="39"/>
      <c r="S7" s="39"/>
      <c r="T7" s="39"/>
      <c r="U7" s="39"/>
      <c r="W7" s="71" t="s">
        <v>48</v>
      </c>
      <c r="X7" s="72">
        <v>6.83e-15</v>
      </c>
      <c r="Y7" s="83">
        <v>0</v>
      </c>
      <c r="Z7" s="72">
        <v>0</v>
      </c>
      <c r="AB7" s="107" t="s">
        <v>298</v>
      </c>
      <c r="AC7" s="108">
        <v>0.000513</v>
      </c>
      <c r="AD7" s="108">
        <v>0.000345</v>
      </c>
      <c r="AE7" s="108">
        <v>0.000282</v>
      </c>
      <c r="AF7" s="108">
        <v>0.000183</v>
      </c>
      <c r="AG7" s="108">
        <v>9.84e-5</v>
      </c>
      <c r="AJ7" s="107" t="s">
        <v>298</v>
      </c>
      <c r="AK7" s="98">
        <v>0.00187</v>
      </c>
      <c r="AL7" s="98">
        <v>0.00118</v>
      </c>
      <c r="AM7" s="98">
        <v>0.000932</v>
      </c>
      <c r="AN7" s="98">
        <v>0.000563</v>
      </c>
      <c r="AO7" s="98">
        <v>0.000273</v>
      </c>
      <c r="AP7" s="118">
        <f t="shared" ref="AP7:AT7" si="6">AK7/Q11</f>
        <v>3.24652777777778</v>
      </c>
      <c r="AQ7" s="118">
        <f t="shared" si="6"/>
        <v>4.77732793522267</v>
      </c>
      <c r="AR7" s="118">
        <f t="shared" si="6"/>
        <v>5.7888198757764</v>
      </c>
      <c r="AS7" s="118">
        <f t="shared" si="6"/>
        <v>8.75583203732504</v>
      </c>
      <c r="AT7" s="118">
        <f t="shared" si="6"/>
        <v>15.8720930232558</v>
      </c>
    </row>
    <row r="8" s="30" customFormat="1" ht="15.75" spans="1:46">
      <c r="A8" s="37" t="s">
        <v>49</v>
      </c>
      <c r="B8" s="38" t="e">
        <f>#REF!+#REF!</f>
        <v>#REF!</v>
      </c>
      <c r="C8" s="38">
        <v>10939277.9970965</v>
      </c>
      <c r="D8" s="38">
        <v>420859.763507369</v>
      </c>
      <c r="E8" s="38">
        <v>64.2269571818147</v>
      </c>
      <c r="F8" s="38">
        <v>4.30059806421103e-16</v>
      </c>
      <c r="G8" s="35" t="str">
        <f t="shared" si="0"/>
        <v>Kr-87</v>
      </c>
      <c r="H8" s="39" t="str">
        <f t="shared" ref="H8:K8" si="7">W8</f>
        <v>Kr-87</v>
      </c>
      <c r="I8" s="39">
        <f t="shared" si="7"/>
        <v>3.94e-14</v>
      </c>
      <c r="J8" s="39">
        <f t="shared" si="7"/>
        <v>0</v>
      </c>
      <c r="K8" s="39">
        <f t="shared" si="7"/>
        <v>0</v>
      </c>
      <c r="L8" s="30">
        <v>0</v>
      </c>
      <c r="M8" s="56">
        <v>0.000151</v>
      </c>
      <c r="N8" s="56">
        <v>0.0015</v>
      </c>
      <c r="O8" s="56"/>
      <c r="P8" s="57" t="s">
        <v>298</v>
      </c>
      <c r="Q8" s="39">
        <v>0.000441</v>
      </c>
      <c r="R8" s="39">
        <v>0.000286</v>
      </c>
      <c r="S8" s="39">
        <v>0.00023</v>
      </c>
      <c r="T8" s="39">
        <v>0.000145</v>
      </c>
      <c r="U8" s="39">
        <v>9.04e-5</v>
      </c>
      <c r="W8" s="71" t="s">
        <v>49</v>
      </c>
      <c r="X8" s="72">
        <v>3.94e-14</v>
      </c>
      <c r="Y8" s="83">
        <v>0</v>
      </c>
      <c r="Z8" s="72">
        <v>0</v>
      </c>
      <c r="AB8" s="107" t="s">
        <v>299</v>
      </c>
      <c r="AC8" s="108">
        <v>0.000133</v>
      </c>
      <c r="AD8" s="108">
        <v>8.18e-5</v>
      </c>
      <c r="AE8" s="108">
        <v>6.42e-5</v>
      </c>
      <c r="AF8" s="108">
        <v>3.8e-5</v>
      </c>
      <c r="AG8" s="108">
        <v>1.79e-5</v>
      </c>
      <c r="AJ8" s="107" t="s">
        <v>299</v>
      </c>
      <c r="AK8" s="98">
        <v>0.000432</v>
      </c>
      <c r="AL8" s="98">
        <v>0.00025</v>
      </c>
      <c r="AM8" s="98">
        <v>0.00019</v>
      </c>
      <c r="AN8" s="98">
        <v>0.000104</v>
      </c>
      <c r="AO8" s="98">
        <v>4.43e-5</v>
      </c>
      <c r="AP8" s="118">
        <f t="shared" ref="AP8:AT8" si="8">AK8/Q12</f>
        <v>7.91208791208791</v>
      </c>
      <c r="AQ8" s="118">
        <f t="shared" si="8"/>
        <v>9.72762645914397</v>
      </c>
      <c r="AR8" s="118">
        <f t="shared" si="8"/>
        <v>10.7954545454545</v>
      </c>
      <c r="AS8" s="118">
        <f t="shared" si="8"/>
        <v>13.3848133848134</v>
      </c>
      <c r="AT8" s="118">
        <f t="shared" si="8"/>
        <v>18.4583333333333</v>
      </c>
    </row>
    <row r="9" s="30" customFormat="1" ht="15.75" spans="1:46">
      <c r="A9" s="37" t="s">
        <v>50</v>
      </c>
      <c r="B9" s="38" t="e">
        <f>#REF!+#REF!</f>
        <v>#REF!</v>
      </c>
      <c r="C9" s="38">
        <v>71143942.6945976</v>
      </c>
      <c r="D9" s="38">
        <v>20324726.0149388</v>
      </c>
      <c r="E9" s="38">
        <v>390291.134910931</v>
      </c>
      <c r="F9" s="38">
        <v>0.00675078040000755</v>
      </c>
      <c r="G9" s="35" t="str">
        <f t="shared" si="0"/>
        <v>Kr-88</v>
      </c>
      <c r="H9" s="39" t="str">
        <f t="shared" ref="H9:K9" si="9">W9</f>
        <v>Kr-88</v>
      </c>
      <c r="I9" s="39">
        <f t="shared" si="9"/>
        <v>9.72e-14</v>
      </c>
      <c r="J9" s="39">
        <f t="shared" si="9"/>
        <v>0</v>
      </c>
      <c r="K9" s="39">
        <f t="shared" si="9"/>
        <v>0</v>
      </c>
      <c r="L9" s="30">
        <v>0</v>
      </c>
      <c r="M9" s="56">
        <v>6.88e-5</v>
      </c>
      <c r="N9" s="56">
        <v>0.0015</v>
      </c>
      <c r="O9" s="56"/>
      <c r="P9" s="57" t="s">
        <v>299</v>
      </c>
      <c r="Q9" s="39">
        <v>0.000148</v>
      </c>
      <c r="R9" s="39">
        <v>8.35e-5</v>
      </c>
      <c r="S9" s="39">
        <v>6.28e-5</v>
      </c>
      <c r="T9" s="39">
        <v>3.38e-5</v>
      </c>
      <c r="U9" s="39">
        <v>1.86e-5</v>
      </c>
      <c r="W9" s="71" t="s">
        <v>50</v>
      </c>
      <c r="X9" s="72">
        <v>9.72e-14</v>
      </c>
      <c r="Y9" s="83">
        <v>0</v>
      </c>
      <c r="Z9" s="72">
        <v>0</v>
      </c>
      <c r="AB9" s="107" t="s">
        <v>4514</v>
      </c>
      <c r="AC9" s="108">
        <v>7.64e-5</v>
      </c>
      <c r="AD9" s="108">
        <v>4.26e-5</v>
      </c>
      <c r="AE9" s="108">
        <v>3.18e-5</v>
      </c>
      <c r="AF9" s="108">
        <v>1.69e-5</v>
      </c>
      <c r="AG9" s="108">
        <v>6.8e-6</v>
      </c>
      <c r="AJ9" s="107" t="s">
        <v>4514</v>
      </c>
      <c r="AK9" s="98">
        <v>0.000273</v>
      </c>
      <c r="AL9" s="98">
        <v>0.000142</v>
      </c>
      <c r="AM9" s="98">
        <v>0.000102</v>
      </c>
      <c r="AN9" s="98">
        <v>5.02e-5</v>
      </c>
      <c r="AO9" s="98">
        <v>1.81e-5</v>
      </c>
      <c r="AP9" s="118">
        <f t="shared" ref="AP9:AT9" si="10">AK9/Q13</f>
        <v>0.87220447284345</v>
      </c>
      <c r="AQ9" s="118">
        <f t="shared" si="10"/>
        <v>1.19327731092437</v>
      </c>
      <c r="AR9" s="118">
        <f t="shared" si="10"/>
        <v>1.38775510204082</v>
      </c>
      <c r="AS9" s="118">
        <f t="shared" si="10"/>
        <v>1.94573643410853</v>
      </c>
      <c r="AT9" s="118">
        <f t="shared" si="10"/>
        <v>3.16987740805604</v>
      </c>
    </row>
    <row r="10" s="30" customFormat="1" ht="15.75" spans="1:46">
      <c r="A10" s="37" t="s">
        <v>51</v>
      </c>
      <c r="B10" s="38" t="e">
        <f>#REF!+#REF!</f>
        <v>#REF!</v>
      </c>
      <c r="C10" s="38">
        <v>6226334.43552209</v>
      </c>
      <c r="D10" s="38">
        <v>15446022.8723328</v>
      </c>
      <c r="E10" s="38">
        <v>52442109.0696208</v>
      </c>
      <c r="F10" s="38">
        <v>84712445.6400748</v>
      </c>
      <c r="G10" s="35" t="str">
        <f t="shared" si="0"/>
        <v>Xe-131m</v>
      </c>
      <c r="H10" s="39" t="str">
        <f t="shared" ref="H10:K10" si="11">W10</f>
        <v>Xe-131m</v>
      </c>
      <c r="I10" s="39">
        <f t="shared" si="11"/>
        <v>3.7e-16</v>
      </c>
      <c r="J10" s="39">
        <f t="shared" si="11"/>
        <v>0</v>
      </c>
      <c r="K10" s="39">
        <f t="shared" si="11"/>
        <v>0</v>
      </c>
      <c r="L10" s="30">
        <v>0</v>
      </c>
      <c r="M10" s="56">
        <v>6.68e-7</v>
      </c>
      <c r="N10" s="56">
        <v>0.0015</v>
      </c>
      <c r="O10" s="56"/>
      <c r="P10" s="57" t="s">
        <v>4514</v>
      </c>
      <c r="Q10" s="39">
        <v>0.0001</v>
      </c>
      <c r="R10" s="39">
        <v>4.94e-5</v>
      </c>
      <c r="S10" s="39">
        <v>3.47e-5</v>
      </c>
      <c r="T10" s="39">
        <v>1.89e-5</v>
      </c>
      <c r="U10" s="39">
        <v>7.89e-6</v>
      </c>
      <c r="W10" s="71" t="s">
        <v>51</v>
      </c>
      <c r="X10" s="72">
        <v>3.7e-16</v>
      </c>
      <c r="Y10" s="83">
        <v>0</v>
      </c>
      <c r="Z10" s="72">
        <v>0</v>
      </c>
      <c r="AB10" s="107" t="s">
        <v>4515</v>
      </c>
      <c r="AC10" s="108">
        <v>3.36e-5</v>
      </c>
      <c r="AD10" s="108">
        <v>1.67e-5</v>
      </c>
      <c r="AE10" s="108">
        <v>1.18e-5</v>
      </c>
      <c r="AF10" s="108">
        <v>5.53e-6</v>
      </c>
      <c r="AG10" s="108">
        <v>1.87e-6</v>
      </c>
      <c r="AJ10" s="107" t="s">
        <v>4515</v>
      </c>
      <c r="AK10" s="98">
        <v>0.000145</v>
      </c>
      <c r="AL10" s="98">
        <v>6.66e-5</v>
      </c>
      <c r="AM10" s="98">
        <v>4.52e-5</v>
      </c>
      <c r="AN10" s="98">
        <v>1.95e-5</v>
      </c>
      <c r="AO10" s="98">
        <v>5.81e-6</v>
      </c>
      <c r="AP10" s="118">
        <f t="shared" ref="AP10:AT10" si="12">AK10/Q15</f>
        <v>22.0030349013657</v>
      </c>
      <c r="AQ10" s="118">
        <f t="shared" si="12"/>
        <v>27.1836734693878</v>
      </c>
      <c r="AR10" s="118">
        <f t="shared" si="12"/>
        <v>30.3355704697987</v>
      </c>
      <c r="AS10" s="118">
        <f t="shared" si="12"/>
        <v>34.452296819788</v>
      </c>
      <c r="AT10" s="118">
        <f t="shared" si="12"/>
        <v>40.3472222222222</v>
      </c>
    </row>
    <row r="11" s="30" customFormat="1" ht="15.75" spans="1:41">
      <c r="A11" s="37" t="s">
        <v>52</v>
      </c>
      <c r="B11" s="38" t="e">
        <f>#REF!+#REF!</f>
        <v>#REF!</v>
      </c>
      <c r="C11" s="38">
        <v>1303437345.62782</v>
      </c>
      <c r="D11" s="38">
        <v>3127597237.64107</v>
      </c>
      <c r="E11" s="38">
        <v>9372451363.38416</v>
      </c>
      <c r="F11" s="38">
        <v>9285595658.86786</v>
      </c>
      <c r="G11" s="35" t="str">
        <f t="shared" si="0"/>
        <v>Xe-133</v>
      </c>
      <c r="H11" s="39" t="str">
        <f t="shared" ref="H11:K11" si="13">W11</f>
        <v>Xe-133</v>
      </c>
      <c r="I11" s="39">
        <f t="shared" si="13"/>
        <v>1.39e-15</v>
      </c>
      <c r="J11" s="39">
        <f t="shared" si="13"/>
        <v>0</v>
      </c>
      <c r="K11" s="39">
        <f t="shared" si="13"/>
        <v>0</v>
      </c>
      <c r="L11" s="30">
        <v>0</v>
      </c>
      <c r="M11" s="56">
        <v>1.52e-6</v>
      </c>
      <c r="N11" s="56">
        <v>0.0015</v>
      </c>
      <c r="O11" s="56"/>
      <c r="P11" s="36" t="s">
        <v>4516</v>
      </c>
      <c r="Q11" s="39">
        <v>0.000576</v>
      </c>
      <c r="R11" s="39">
        <v>0.000247</v>
      </c>
      <c r="S11" s="39">
        <v>0.000161</v>
      </c>
      <c r="T11" s="39">
        <v>6.43e-5</v>
      </c>
      <c r="U11" s="39">
        <v>1.72e-5</v>
      </c>
      <c r="W11" s="71" t="s">
        <v>52</v>
      </c>
      <c r="X11" s="72">
        <v>1.39e-15</v>
      </c>
      <c r="Y11" s="83">
        <v>0</v>
      </c>
      <c r="Z11" s="72">
        <v>0</v>
      </c>
      <c r="AB11" s="107" t="s">
        <v>4517</v>
      </c>
      <c r="AC11" s="108">
        <v>3.73e-6</v>
      </c>
      <c r="AD11" s="108">
        <v>1.63e-6</v>
      </c>
      <c r="AE11" s="108">
        <v>1.07e-6</v>
      </c>
      <c r="AF11" s="108">
        <v>4.37e-7</v>
      </c>
      <c r="AG11" s="108">
        <v>1.2e-7</v>
      </c>
      <c r="AJ11" s="92" t="s">
        <v>4518</v>
      </c>
      <c r="AK11" s="98">
        <v>9.76e-5</v>
      </c>
      <c r="AL11" s="98">
        <v>4.25e-5</v>
      </c>
      <c r="AM11" s="98">
        <v>2.81e-5</v>
      </c>
      <c r="AN11" s="98">
        <v>1.14e-5</v>
      </c>
      <c r="AO11" s="98">
        <v>3.12e-6</v>
      </c>
    </row>
    <row r="12" s="30" customFormat="1" ht="15.75" spans="1:46">
      <c r="A12" s="37" t="s">
        <v>53</v>
      </c>
      <c r="B12" s="38" t="e">
        <f>#REF!+#REF!</f>
        <v>#REF!</v>
      </c>
      <c r="C12" s="38">
        <v>40608742.0575901</v>
      </c>
      <c r="D12" s="38">
        <v>89718140.7768456</v>
      </c>
      <c r="E12" s="38">
        <v>199971367.089982</v>
      </c>
      <c r="F12" s="38">
        <v>80351551.2809756</v>
      </c>
      <c r="G12" s="35" t="str">
        <f t="shared" si="0"/>
        <v>Xe-133m</v>
      </c>
      <c r="H12" s="39" t="str">
        <f t="shared" ref="H12:K12" si="14">W12</f>
        <v>Xe-133m</v>
      </c>
      <c r="I12" s="39">
        <f t="shared" si="14"/>
        <v>1.27e-15</v>
      </c>
      <c r="J12" s="39">
        <f t="shared" si="14"/>
        <v>0</v>
      </c>
      <c r="K12" s="39">
        <f t="shared" si="14"/>
        <v>0</v>
      </c>
      <c r="L12" s="30">
        <v>0</v>
      </c>
      <c r="M12" s="56">
        <v>3.65e-6</v>
      </c>
      <c r="N12" s="56">
        <v>0.0015</v>
      </c>
      <c r="O12" s="56"/>
      <c r="P12" s="57" t="s">
        <v>4515</v>
      </c>
      <c r="Q12" s="39">
        <v>5.46e-5</v>
      </c>
      <c r="R12" s="39">
        <v>2.57e-5</v>
      </c>
      <c r="S12" s="39">
        <v>1.76e-5</v>
      </c>
      <c r="T12" s="39">
        <v>7.77e-6</v>
      </c>
      <c r="U12" s="39">
        <v>2.4e-6</v>
      </c>
      <c r="W12" s="71" t="s">
        <v>53</v>
      </c>
      <c r="X12" s="72">
        <v>1.27e-15</v>
      </c>
      <c r="Y12" s="83">
        <v>0</v>
      </c>
      <c r="Z12" s="72">
        <v>0</v>
      </c>
      <c r="AJ12" s="107" t="s">
        <v>4517</v>
      </c>
      <c r="AK12" s="98">
        <v>2.73e-5</v>
      </c>
      <c r="AL12" s="98">
        <v>1.1e-5</v>
      </c>
      <c r="AM12" s="98">
        <v>6.97e-6</v>
      </c>
      <c r="AN12" s="98">
        <v>2.6e-6</v>
      </c>
      <c r="AO12" s="98">
        <v>6.28e-7</v>
      </c>
      <c r="AP12" s="118">
        <f t="shared" ref="AP12:AT12" si="15">AK12/Q18</f>
        <v>1.73885350318471</v>
      </c>
      <c r="AQ12" s="118">
        <f t="shared" si="15"/>
        <v>1.99637023593466</v>
      </c>
      <c r="AR12" s="118">
        <f t="shared" si="15"/>
        <v>2.13803680981595</v>
      </c>
      <c r="AS12" s="118">
        <f t="shared" si="15"/>
        <v>2.47619047619048</v>
      </c>
      <c r="AT12" s="118">
        <f t="shared" si="15"/>
        <v>3.06341463414634</v>
      </c>
    </row>
    <row r="13" s="30" customFormat="1" ht="15.75" spans="1:26">
      <c r="A13" s="37" t="s">
        <v>54</v>
      </c>
      <c r="B13" s="38" t="e">
        <f>#REF!+#REF!</f>
        <v>#REF!</v>
      </c>
      <c r="C13" s="38">
        <v>139593107.290263</v>
      </c>
      <c r="D13" s="38">
        <v>163580557.696323</v>
      </c>
      <c r="E13" s="38">
        <v>62793908.3020162</v>
      </c>
      <c r="F13" s="38">
        <v>198448.238168596</v>
      </c>
      <c r="G13" s="35" t="str">
        <f t="shared" si="0"/>
        <v>Xe-135</v>
      </c>
      <c r="H13" s="39" t="str">
        <f t="shared" ref="H13:K13" si="16">W13</f>
        <v>Xe-135</v>
      </c>
      <c r="I13" s="39">
        <f t="shared" si="16"/>
        <v>1.11e-14</v>
      </c>
      <c r="J13" s="39">
        <f t="shared" si="16"/>
        <v>0</v>
      </c>
      <c r="K13" s="39">
        <f t="shared" si="16"/>
        <v>0</v>
      </c>
      <c r="L13" s="30">
        <v>0</v>
      </c>
      <c r="M13" s="56">
        <v>2.1e-5</v>
      </c>
      <c r="N13" s="56">
        <v>0.0015</v>
      </c>
      <c r="O13" s="56"/>
      <c r="P13" s="36" t="s">
        <v>4518</v>
      </c>
      <c r="Q13" s="39">
        <v>0.000313</v>
      </c>
      <c r="R13" s="39">
        <v>0.000119</v>
      </c>
      <c r="S13" s="39">
        <v>7.35e-5</v>
      </c>
      <c r="T13" s="39">
        <v>2.58e-5</v>
      </c>
      <c r="U13" s="39">
        <v>5.71e-6</v>
      </c>
      <c r="W13" s="71" t="s">
        <v>54</v>
      </c>
      <c r="X13" s="72">
        <v>1.11e-14</v>
      </c>
      <c r="Y13" s="83">
        <v>0</v>
      </c>
      <c r="Z13" s="72">
        <v>0</v>
      </c>
    </row>
    <row r="14" s="30" customFormat="1" ht="15.75" spans="1:41">
      <c r="A14" s="37" t="s">
        <v>55</v>
      </c>
      <c r="B14" s="38" t="e">
        <f>#REF!+#REF!</f>
        <v>#REF!</v>
      </c>
      <c r="C14" s="38">
        <v>3092780950.69349</v>
      </c>
      <c r="D14" s="38">
        <v>7576356601.99078</v>
      </c>
      <c r="E14" s="38">
        <v>24527072336.0844</v>
      </c>
      <c r="F14" s="38">
        <v>32483664005.9644</v>
      </c>
      <c r="G14" s="35" t="str">
        <f t="shared" si="0"/>
        <v>I-131</v>
      </c>
      <c r="H14" s="39" t="str">
        <f t="shared" ref="H14:K14" si="17">W16</f>
        <v>I-131</v>
      </c>
      <c r="I14" s="39">
        <f t="shared" si="17"/>
        <v>1.84e-14</v>
      </c>
      <c r="J14" s="39">
        <f t="shared" si="17"/>
        <v>2e-8</v>
      </c>
      <c r="K14" s="101">
        <f t="shared" ref="K14:K29" si="18">(1-EXP(-M14*$K$4))/M14*L14*N14</f>
        <v>3.53311728904109e-12</v>
      </c>
      <c r="L14" s="30">
        <v>3.81e-16</v>
      </c>
      <c r="M14" s="56">
        <v>9.97e-7</v>
      </c>
      <c r="N14" s="30">
        <v>0.01</v>
      </c>
      <c r="P14" s="36" t="s">
        <v>4519</v>
      </c>
      <c r="Q14" s="39">
        <v>0.000142</v>
      </c>
      <c r="R14" s="39">
        <v>4.97e-5</v>
      </c>
      <c r="S14" s="39">
        <v>2.94e-5</v>
      </c>
      <c r="T14" s="39">
        <v>9.39e-6</v>
      </c>
      <c r="U14" s="39">
        <v>1.83e-6</v>
      </c>
      <c r="W14" s="71" t="s">
        <v>421</v>
      </c>
      <c r="X14" s="72">
        <v>1.84e-14</v>
      </c>
      <c r="Y14" s="83">
        <v>0</v>
      </c>
      <c r="Z14" s="72">
        <v>0</v>
      </c>
      <c r="AB14" s="106" t="s">
        <v>4485</v>
      </c>
      <c r="AC14" s="92"/>
      <c r="AD14" s="92"/>
      <c r="AE14" s="92"/>
      <c r="AF14" s="103" t="s">
        <v>395</v>
      </c>
      <c r="AG14" s="92"/>
      <c r="AJ14" s="92" t="s">
        <v>4487</v>
      </c>
      <c r="AK14" s="92"/>
      <c r="AL14" s="92"/>
      <c r="AM14" s="92"/>
      <c r="AN14" s="103" t="s">
        <v>4486</v>
      </c>
      <c r="AO14" s="92"/>
    </row>
    <row r="15" s="30" customFormat="1" ht="15.75" spans="1:33">
      <c r="A15" s="37" t="s">
        <v>56</v>
      </c>
      <c r="B15" s="38" t="e">
        <f>#REF!+#REF!</f>
        <v>#REF!</v>
      </c>
      <c r="C15" s="38">
        <v>134888490.136019</v>
      </c>
      <c r="D15" s="38">
        <v>25363297.0480414</v>
      </c>
      <c r="E15" s="38">
        <v>190466.16391895</v>
      </c>
      <c r="F15" s="38">
        <v>5.07517702385134e-5</v>
      </c>
      <c r="G15" s="35" t="str">
        <f t="shared" si="0"/>
        <v>I-132</v>
      </c>
      <c r="H15" s="39" t="str">
        <f t="shared" ref="H15:K15" si="19">W17</f>
        <v>I-132</v>
      </c>
      <c r="I15" s="39">
        <f t="shared" si="19"/>
        <v>1.14e-13</v>
      </c>
      <c r="J15" s="39">
        <f t="shared" si="19"/>
        <v>3.1e-10</v>
      </c>
      <c r="K15" s="101">
        <f t="shared" si="18"/>
        <v>2.72401433691756e-13</v>
      </c>
      <c r="L15" s="30">
        <v>2.28e-15</v>
      </c>
      <c r="M15" s="56">
        <v>8.37e-5</v>
      </c>
      <c r="N15" s="30">
        <v>0.01</v>
      </c>
      <c r="P15" s="57" t="s">
        <v>4517</v>
      </c>
      <c r="Q15" s="39">
        <v>6.59e-6</v>
      </c>
      <c r="R15" s="39">
        <v>2.45e-6</v>
      </c>
      <c r="S15" s="39">
        <v>1.49e-6</v>
      </c>
      <c r="T15" s="39">
        <v>5.66e-7</v>
      </c>
      <c r="U15" s="39">
        <v>1.44e-7</v>
      </c>
      <c r="W15" s="71" t="s">
        <v>4520</v>
      </c>
      <c r="X15" s="72">
        <v>5.44e-14</v>
      </c>
      <c r="Y15" s="83">
        <v>0</v>
      </c>
      <c r="Z15" s="72">
        <v>0</v>
      </c>
      <c r="AB15" s="100" t="s">
        <v>4490</v>
      </c>
      <c r="AC15" s="104">
        <v>0.00035</v>
      </c>
      <c r="AD15" s="104">
        <v>0.00035</v>
      </c>
      <c r="AE15" s="104">
        <v>0.00018</v>
      </c>
      <c r="AF15" s="104">
        <v>0.00023</v>
      </c>
      <c r="AG15" s="104">
        <v>0.00023</v>
      </c>
    </row>
    <row r="16" s="30" customFormat="1" ht="15.75" spans="1:41">
      <c r="A16" s="37" t="s">
        <v>57</v>
      </c>
      <c r="B16" s="38" t="e">
        <f>#REF!+#REF!</f>
        <v>#REF!</v>
      </c>
      <c r="C16" s="38">
        <v>1486383077.01741</v>
      </c>
      <c r="D16" s="38">
        <v>2658106592.91614</v>
      </c>
      <c r="E16" s="38">
        <v>3016764848.47765</v>
      </c>
      <c r="F16" s="38">
        <v>217500572.737967</v>
      </c>
      <c r="G16" s="35" t="str">
        <f t="shared" si="0"/>
        <v>I-133</v>
      </c>
      <c r="H16" s="39" t="str">
        <f t="shared" ref="H16:K16" si="20">W18</f>
        <v>I-133</v>
      </c>
      <c r="I16" s="39">
        <f t="shared" si="20"/>
        <v>3.01e-14</v>
      </c>
      <c r="J16" s="39">
        <f t="shared" si="20"/>
        <v>4e-9</v>
      </c>
      <c r="K16" s="101">
        <f t="shared" si="18"/>
        <v>6.83585313149189e-13</v>
      </c>
      <c r="L16" s="30">
        <v>6.33e-16</v>
      </c>
      <c r="M16" s="56">
        <v>9.26e-6</v>
      </c>
      <c r="N16" s="30">
        <v>0.01</v>
      </c>
      <c r="P16" s="57" t="s">
        <v>4521</v>
      </c>
      <c r="Q16" s="39">
        <v>3.68e-6</v>
      </c>
      <c r="R16" s="39">
        <v>1.38e-6</v>
      </c>
      <c r="S16" s="39">
        <v>8.56e-7</v>
      </c>
      <c r="T16" s="39">
        <v>3.29e-7</v>
      </c>
      <c r="U16" s="39">
        <v>8.33e-8</v>
      </c>
      <c r="W16" s="71" t="s">
        <v>55</v>
      </c>
      <c r="X16" s="72">
        <v>1.84e-14</v>
      </c>
      <c r="Y16" s="83">
        <v>2e-8</v>
      </c>
      <c r="Z16" s="72">
        <v>3.81e-16</v>
      </c>
      <c r="AB16" s="92" t="s">
        <v>4501</v>
      </c>
      <c r="AC16" s="92" t="s">
        <v>4502</v>
      </c>
      <c r="AD16" s="92" t="s">
        <v>4503</v>
      </c>
      <c r="AE16" s="92" t="s">
        <v>4504</v>
      </c>
      <c r="AF16" s="92" t="s">
        <v>4505</v>
      </c>
      <c r="AG16" s="92" t="s">
        <v>4506</v>
      </c>
      <c r="AJ16" s="92"/>
      <c r="AK16" s="92" t="s">
        <v>266</v>
      </c>
      <c r="AL16" s="92" t="s">
        <v>4510</v>
      </c>
      <c r="AM16" s="92" t="s">
        <v>235</v>
      </c>
      <c r="AN16" s="92" t="s">
        <v>4511</v>
      </c>
      <c r="AO16" s="92" t="s">
        <v>4512</v>
      </c>
    </row>
    <row r="17" s="30" customFormat="1" ht="15.75" spans="1:41">
      <c r="A17" s="37" t="s">
        <v>58</v>
      </c>
      <c r="B17" s="38" t="e">
        <f>#REF!+#REF!</f>
        <v>#REF!</v>
      </c>
      <c r="C17" s="38">
        <v>18631614.6519839</v>
      </c>
      <c r="D17" s="38">
        <v>158072.10353989</v>
      </c>
      <c r="E17" s="38">
        <v>0.462759183892578</v>
      </c>
      <c r="F17" s="38">
        <v>5.8156530203566e-26</v>
      </c>
      <c r="G17" s="35" t="str">
        <f t="shared" si="0"/>
        <v>I-134</v>
      </c>
      <c r="H17" s="39" t="str">
        <f t="shared" ref="H17:K17" si="21">W19</f>
        <v>I-134</v>
      </c>
      <c r="I17" s="39">
        <f t="shared" si="21"/>
        <v>1.33e-13</v>
      </c>
      <c r="J17" s="39">
        <f t="shared" si="21"/>
        <v>1.5e-10</v>
      </c>
      <c r="K17" s="101">
        <f t="shared" si="18"/>
        <v>1.19545454545455e-13</v>
      </c>
      <c r="L17" s="30">
        <v>2.63e-15</v>
      </c>
      <c r="M17" s="56">
        <v>0.00022</v>
      </c>
      <c r="N17" s="30">
        <v>0.01</v>
      </c>
      <c r="P17" s="57" t="s">
        <v>4522</v>
      </c>
      <c r="Q17" s="39">
        <v>3.14e-6</v>
      </c>
      <c r="R17" s="39">
        <v>1.13e-6</v>
      </c>
      <c r="S17" s="39">
        <v>6.74e-7</v>
      </c>
      <c r="T17" s="39">
        <v>2.44e-7</v>
      </c>
      <c r="U17" s="39">
        <v>5.87e-8</v>
      </c>
      <c r="W17" s="71" t="s">
        <v>56</v>
      </c>
      <c r="X17" s="72">
        <v>1.14e-13</v>
      </c>
      <c r="Y17" s="83">
        <v>3.1e-10</v>
      </c>
      <c r="Z17" s="72">
        <v>2.28e-15</v>
      </c>
      <c r="AB17" s="109" t="s">
        <v>4523</v>
      </c>
      <c r="AC17" s="108">
        <v>0.0559</v>
      </c>
      <c r="AD17" s="108">
        <v>0.0397</v>
      </c>
      <c r="AE17" s="108">
        <v>0.0334</v>
      </c>
      <c r="AF17" s="108">
        <v>0.023</v>
      </c>
      <c r="AG17" s="108">
        <v>0.0135</v>
      </c>
      <c r="AJ17" s="107" t="s">
        <v>4513</v>
      </c>
      <c r="AK17" s="98">
        <v>0.0292</v>
      </c>
      <c r="AL17" s="98">
        <v>0.0188</v>
      </c>
      <c r="AM17" s="98">
        <v>0.0151</v>
      </c>
      <c r="AN17" s="98">
        <v>0.0094</v>
      </c>
      <c r="AO17" s="98">
        <v>0.00475</v>
      </c>
    </row>
    <row r="18" s="30" customFormat="1" ht="15.75" spans="1:41">
      <c r="A18" s="37" t="s">
        <v>59</v>
      </c>
      <c r="B18" s="38" t="e">
        <f>#REF!+#REF!</f>
        <v>#REF!</v>
      </c>
      <c r="C18" s="38">
        <v>475720560.379053</v>
      </c>
      <c r="D18" s="38">
        <v>422622968.468577</v>
      </c>
      <c r="E18" s="38">
        <v>88350671.4452316</v>
      </c>
      <c r="F18" s="38">
        <v>32894.5779763727</v>
      </c>
      <c r="G18" s="35" t="str">
        <f t="shared" si="0"/>
        <v>I-135</v>
      </c>
      <c r="H18" s="39" t="str">
        <f t="shared" ref="H18:K18" si="22">W20</f>
        <v>I-135</v>
      </c>
      <c r="I18" s="39">
        <f t="shared" si="22"/>
        <v>8.24e-14</v>
      </c>
      <c r="J18" s="39">
        <f t="shared" si="22"/>
        <v>9.2e-10</v>
      </c>
      <c r="K18" s="101">
        <f t="shared" si="18"/>
        <v>5.29616724738676e-13</v>
      </c>
      <c r="L18" s="30">
        <v>1.52e-15</v>
      </c>
      <c r="M18" s="56">
        <v>2.87e-5</v>
      </c>
      <c r="N18" s="30">
        <v>0.01</v>
      </c>
      <c r="P18" s="36" t="s">
        <v>4524</v>
      </c>
      <c r="Q18" s="39">
        <v>1.57e-5</v>
      </c>
      <c r="R18" s="39">
        <v>5.51e-6</v>
      </c>
      <c r="S18" s="39">
        <v>3.26e-6</v>
      </c>
      <c r="T18" s="39">
        <v>1.05e-6</v>
      </c>
      <c r="U18" s="39">
        <v>2.05e-7</v>
      </c>
      <c r="W18" s="71" t="s">
        <v>57</v>
      </c>
      <c r="X18" s="72">
        <v>3.01e-14</v>
      </c>
      <c r="Y18" s="83">
        <v>4e-9</v>
      </c>
      <c r="Z18" s="72">
        <v>6.34e-16</v>
      </c>
      <c r="AB18" s="107" t="s">
        <v>4513</v>
      </c>
      <c r="AC18" s="108">
        <v>0.0063</v>
      </c>
      <c r="AD18" s="108">
        <v>0.00435</v>
      </c>
      <c r="AE18" s="108">
        <v>0.00361</v>
      </c>
      <c r="AF18" s="108">
        <v>0.00241</v>
      </c>
      <c r="AG18" s="108">
        <v>0.00135</v>
      </c>
      <c r="AJ18" s="107" t="s">
        <v>4525</v>
      </c>
      <c r="AK18" s="98">
        <v>0.00602</v>
      </c>
      <c r="AL18" s="98">
        <v>0.00382</v>
      </c>
      <c r="AM18" s="98">
        <v>0.00304</v>
      </c>
      <c r="AN18" s="98">
        <v>0.00186</v>
      </c>
      <c r="AO18" s="98">
        <v>0.000915</v>
      </c>
    </row>
    <row r="19" s="30" customFormat="1" ht="15.75" spans="1:41">
      <c r="A19" s="37" t="s">
        <v>60</v>
      </c>
      <c r="B19" s="38" t="e">
        <f>#REF!+#REF!</f>
        <v>#REF!</v>
      </c>
      <c r="C19" s="38">
        <v>86980216.8753353</v>
      </c>
      <c r="D19" s="38">
        <v>220212987.603477</v>
      </c>
      <c r="E19" s="38">
        <v>808188778.918278</v>
      </c>
      <c r="F19" s="38">
        <v>1884479958.22521</v>
      </c>
      <c r="G19" s="35" t="str">
        <f t="shared" si="0"/>
        <v>Sr-89</v>
      </c>
      <c r="H19" s="39" t="str">
        <f t="shared" ref="H19:K19" si="23">W26</f>
        <v>Sr-89</v>
      </c>
      <c r="I19" s="39">
        <f t="shared" si="23"/>
        <v>4.44e-16</v>
      </c>
      <c r="J19" s="39">
        <f t="shared" si="23"/>
        <v>6.1e-9</v>
      </c>
      <c r="K19" s="101">
        <f t="shared" si="18"/>
        <v>2.22412100215773e-13</v>
      </c>
      <c r="L19" s="102">
        <v>6.98e-17</v>
      </c>
      <c r="M19" s="56">
        <v>1.59e-7</v>
      </c>
      <c r="N19" s="56">
        <v>0.0015</v>
      </c>
      <c r="O19" s="56"/>
      <c r="P19" s="36" t="s">
        <v>4526</v>
      </c>
      <c r="Q19" s="39">
        <v>1.42e-5</v>
      </c>
      <c r="R19" s="39">
        <v>4.84e-6</v>
      </c>
      <c r="S19" s="39">
        <v>2.82e-6</v>
      </c>
      <c r="T19" s="39">
        <v>8.78e-7</v>
      </c>
      <c r="U19" s="39">
        <v>1.64e-7</v>
      </c>
      <c r="W19" s="71" t="s">
        <v>58</v>
      </c>
      <c r="X19" s="72">
        <v>1.33e-13</v>
      </c>
      <c r="Y19" s="83">
        <v>1.5e-10</v>
      </c>
      <c r="Z19" s="72">
        <v>2.63e-15</v>
      </c>
      <c r="AB19" s="109" t="s">
        <v>296</v>
      </c>
      <c r="AC19" s="108">
        <v>0.00212</v>
      </c>
      <c r="AD19" s="108">
        <v>0.00144</v>
      </c>
      <c r="AE19" s="108">
        <v>0.00119</v>
      </c>
      <c r="AF19" s="108">
        <v>0.000784</v>
      </c>
      <c r="AG19" s="108">
        <v>0.00043</v>
      </c>
      <c r="AJ19" s="107" t="s">
        <v>297</v>
      </c>
      <c r="AK19" s="98">
        <v>0.00442</v>
      </c>
      <c r="AL19" s="98">
        <v>0.0028</v>
      </c>
      <c r="AM19" s="98">
        <v>0.00223</v>
      </c>
      <c r="AN19" s="98">
        <v>0.00135</v>
      </c>
      <c r="AO19" s="98">
        <v>0.000665</v>
      </c>
    </row>
    <row r="20" s="30" customFormat="1" ht="15.75" spans="1:41">
      <c r="A20" s="37" t="s">
        <v>61</v>
      </c>
      <c r="B20" s="38" t="e">
        <f>#REF!+#REF!</f>
        <v>#REF!</v>
      </c>
      <c r="C20" s="38">
        <v>13707148.9797269</v>
      </c>
      <c r="D20" s="38">
        <v>34919400.9084447</v>
      </c>
      <c r="E20" s="38">
        <v>131266879.423298</v>
      </c>
      <c r="F20" s="38">
        <v>347115022.0259</v>
      </c>
      <c r="G20" s="35" t="str">
        <f t="shared" si="0"/>
        <v>Sr-90</v>
      </c>
      <c r="H20" s="39" t="str">
        <f t="shared" ref="H20:K20" si="24">W27</f>
        <v>Sr-90</v>
      </c>
      <c r="I20" s="39">
        <f t="shared" si="24"/>
        <v>9.83e-17</v>
      </c>
      <c r="J20" s="39">
        <f t="shared" si="24"/>
        <v>3.6e-8</v>
      </c>
      <c r="K20" s="101">
        <f t="shared" si="18"/>
        <v>4.3113705746689e-13</v>
      </c>
      <c r="L20" s="102">
        <v>1.11e-16</v>
      </c>
      <c r="M20" s="56">
        <v>7.71e-10</v>
      </c>
      <c r="N20" s="56">
        <v>0.0015</v>
      </c>
      <c r="O20" s="56"/>
      <c r="P20" s="36" t="s">
        <v>4527</v>
      </c>
      <c r="Q20" s="39">
        <v>1.3e-5</v>
      </c>
      <c r="R20" s="39">
        <v>4.33e-6</v>
      </c>
      <c r="S20" s="39">
        <v>2.5e-6</v>
      </c>
      <c r="T20" s="39">
        <v>7.55e-7</v>
      </c>
      <c r="U20" s="39">
        <v>1.36e-7</v>
      </c>
      <c r="W20" s="71" t="s">
        <v>59</v>
      </c>
      <c r="X20" s="72">
        <v>8.24e-14</v>
      </c>
      <c r="Y20" s="83">
        <v>9.2e-10</v>
      </c>
      <c r="Z20" s="72">
        <v>1.52e-15</v>
      </c>
      <c r="AB20" s="107" t="s">
        <v>4525</v>
      </c>
      <c r="AC20" s="108">
        <v>0.00149</v>
      </c>
      <c r="AD20" s="108">
        <v>0.00101</v>
      </c>
      <c r="AE20" s="108">
        <v>0.000833</v>
      </c>
      <c r="AF20" s="108">
        <v>0.000547</v>
      </c>
      <c r="AG20" s="108">
        <v>0.000298</v>
      </c>
      <c r="AJ20" s="107" t="s">
        <v>298</v>
      </c>
      <c r="AK20" s="98">
        <v>0.00187</v>
      </c>
      <c r="AL20" s="98">
        <v>0.00118</v>
      </c>
      <c r="AM20" s="98">
        <v>0.000932</v>
      </c>
      <c r="AN20" s="98">
        <v>0.000563</v>
      </c>
      <c r="AO20" s="98">
        <v>0.000273</v>
      </c>
    </row>
    <row r="21" s="30" customFormat="1" ht="15.75" spans="1:41">
      <c r="A21" s="37" t="s">
        <v>62</v>
      </c>
      <c r="B21" s="38" t="e">
        <f>#REF!+#REF!</f>
        <v>#REF!</v>
      </c>
      <c r="C21" s="38">
        <v>955178529.125452</v>
      </c>
      <c r="D21" s="38">
        <v>2432403377.38387</v>
      </c>
      <c r="E21" s="38">
        <v>9130011299.21093</v>
      </c>
      <c r="F21" s="38">
        <v>23948693371.7621</v>
      </c>
      <c r="G21" s="35" t="str">
        <f t="shared" si="0"/>
        <v>Cs-134</v>
      </c>
      <c r="H21" s="39" t="str">
        <f t="shared" ref="H21:K21" si="25">W23</f>
        <v>Cs-134</v>
      </c>
      <c r="I21" s="39">
        <f t="shared" si="25"/>
        <v>7.61e-14</v>
      </c>
      <c r="J21" s="39">
        <f t="shared" si="25"/>
        <v>6.6e-9</v>
      </c>
      <c r="K21" s="101">
        <f t="shared" si="18"/>
        <v>5.943597960136e-12</v>
      </c>
      <c r="L21" s="30">
        <v>1.55e-15</v>
      </c>
      <c r="M21" s="56">
        <v>1.07e-8</v>
      </c>
      <c r="N21" s="56">
        <v>0.0015</v>
      </c>
      <c r="O21" s="56"/>
      <c r="P21" s="36"/>
      <c r="Q21" s="39"/>
      <c r="R21" s="39"/>
      <c r="S21" s="39"/>
      <c r="T21" s="39"/>
      <c r="U21" s="39"/>
      <c r="W21" s="71" t="s">
        <v>4528</v>
      </c>
      <c r="X21" s="72">
        <v>4.76e-14</v>
      </c>
      <c r="Y21" s="83">
        <v>3.1e-9</v>
      </c>
      <c r="Z21" s="72">
        <v>9.5e-16</v>
      </c>
      <c r="AB21" s="107" t="s">
        <v>297</v>
      </c>
      <c r="AC21" s="108">
        <v>0.00112</v>
      </c>
      <c r="AD21" s="108">
        <v>0.000757</v>
      </c>
      <c r="AE21" s="108">
        <v>0.000623</v>
      </c>
      <c r="AF21" s="108">
        <v>0.000407</v>
      </c>
      <c r="AG21" s="108">
        <v>0.000222</v>
      </c>
      <c r="AJ21" s="107" t="s">
        <v>299</v>
      </c>
      <c r="AK21" s="98">
        <v>0.000432</v>
      </c>
      <c r="AL21" s="98">
        <v>0.00025</v>
      </c>
      <c r="AM21" s="98">
        <v>0.00019</v>
      </c>
      <c r="AN21" s="98">
        <v>0.000104</v>
      </c>
      <c r="AO21" s="98">
        <v>4.43e-5</v>
      </c>
    </row>
    <row r="22" s="30" customFormat="1" ht="15.75" spans="1:41">
      <c r="A22" s="37" t="s">
        <v>63</v>
      </c>
      <c r="B22" s="38" t="e">
        <f>#REF!+#REF!</f>
        <v>#REF!</v>
      </c>
      <c r="C22" s="38">
        <v>12461052378.4219</v>
      </c>
      <c r="D22" s="38">
        <v>31744970762.9324</v>
      </c>
      <c r="E22" s="38">
        <v>119334349908.235</v>
      </c>
      <c r="F22" s="38">
        <v>315569749940.88</v>
      </c>
      <c r="G22" s="35" t="str">
        <f t="shared" si="0"/>
        <v>Cs-137</v>
      </c>
      <c r="H22" s="39" t="str">
        <f t="shared" ref="H22:K22" si="26">W24</f>
        <v>Cs-137</v>
      </c>
      <c r="I22" s="39">
        <f t="shared" si="26"/>
        <v>2.76e-14</v>
      </c>
      <c r="J22" s="39">
        <f t="shared" si="26"/>
        <v>4.6e-9</v>
      </c>
      <c r="K22" s="101">
        <f t="shared" si="18"/>
        <v>2.21794898109007e-12</v>
      </c>
      <c r="L22" s="30">
        <v>5.71e-16</v>
      </c>
      <c r="M22" s="56">
        <v>7.3e-10</v>
      </c>
      <c r="N22" s="56">
        <v>0.0015</v>
      </c>
      <c r="O22" s="56"/>
      <c r="P22" s="36"/>
      <c r="Q22" s="39"/>
      <c r="R22" s="39"/>
      <c r="S22" s="39"/>
      <c r="T22" s="39"/>
      <c r="U22" s="39"/>
      <c r="W22" s="71" t="s">
        <v>67</v>
      </c>
      <c r="X22" s="72">
        <v>1.26e-13</v>
      </c>
      <c r="Y22" s="83">
        <v>1e-8</v>
      </c>
      <c r="Z22" s="72">
        <v>2.38e-15</v>
      </c>
      <c r="AB22" s="109" t="s">
        <v>4529</v>
      </c>
      <c r="AC22" s="108">
        <v>0.000716</v>
      </c>
      <c r="AD22" s="108">
        <v>0.000483</v>
      </c>
      <c r="AE22" s="108">
        <v>0.000397</v>
      </c>
      <c r="AF22" s="108">
        <v>0.000259</v>
      </c>
      <c r="AG22" s="108">
        <v>0.00014</v>
      </c>
      <c r="AJ22" s="107" t="s">
        <v>4514</v>
      </c>
      <c r="AK22" s="98">
        <v>0.000273</v>
      </c>
      <c r="AL22" s="98">
        <v>0.000142</v>
      </c>
      <c r="AM22" s="98">
        <v>0.000102</v>
      </c>
      <c r="AN22" s="98">
        <v>5.02e-5</v>
      </c>
      <c r="AO22" s="98">
        <v>1.81e-5</v>
      </c>
    </row>
    <row r="23" s="30" customFormat="1" ht="15.75" spans="1:41">
      <c r="A23" s="37" t="s">
        <v>64</v>
      </c>
      <c r="B23" s="38" t="e">
        <f>#REF!+#REF!</f>
        <v>#REF!</v>
      </c>
      <c r="C23" s="38">
        <v>247771832.762068</v>
      </c>
      <c r="D23" s="38">
        <v>630428857.417601</v>
      </c>
      <c r="E23" s="38">
        <v>2358588704.9158</v>
      </c>
      <c r="F23" s="38">
        <v>6079572395.38303</v>
      </c>
      <c r="G23" s="35" t="str">
        <f t="shared" si="0"/>
        <v>Ag-110m</v>
      </c>
      <c r="H23" s="39" t="str">
        <f t="shared" ref="H23:K23" si="27">W28</f>
        <v>Ag-110m</v>
      </c>
      <c r="I23" s="39">
        <f t="shared" si="27"/>
        <v>1.36e-13</v>
      </c>
      <c r="J23" s="39">
        <f t="shared" si="27"/>
        <v>7.6e-9</v>
      </c>
      <c r="K23" s="101">
        <f t="shared" si="18"/>
        <v>9.88747855931754e-12</v>
      </c>
      <c r="L23" s="30">
        <v>2.65e-15</v>
      </c>
      <c r="M23" s="56">
        <v>3.2e-8</v>
      </c>
      <c r="N23" s="56">
        <v>0.0015</v>
      </c>
      <c r="O23" s="56"/>
      <c r="P23" s="39"/>
      <c r="Q23" s="39"/>
      <c r="R23" s="39"/>
      <c r="S23" s="39"/>
      <c r="T23" s="39"/>
      <c r="U23" s="39"/>
      <c r="W23" s="71" t="s">
        <v>62</v>
      </c>
      <c r="X23" s="72">
        <v>7.61e-14</v>
      </c>
      <c r="Y23" s="83">
        <v>6.6e-9</v>
      </c>
      <c r="Z23" s="72">
        <v>1.55e-15</v>
      </c>
      <c r="AB23" s="107" t="s">
        <v>298</v>
      </c>
      <c r="AC23" s="108">
        <v>0.000513</v>
      </c>
      <c r="AD23" s="108">
        <v>0.000345</v>
      </c>
      <c r="AE23" s="108">
        <v>0.000282</v>
      </c>
      <c r="AF23" s="108">
        <v>0.000183</v>
      </c>
      <c r="AG23" s="108">
        <v>9.84e-5</v>
      </c>
      <c r="AJ23" s="92" t="s">
        <v>4516</v>
      </c>
      <c r="AK23" s="98">
        <v>0.000178</v>
      </c>
      <c r="AL23" s="98">
        <v>8.5e-5</v>
      </c>
      <c r="AM23" s="98">
        <v>5.87e-5</v>
      </c>
      <c r="AN23" s="98">
        <v>2.63e-5</v>
      </c>
      <c r="AO23" s="98">
        <v>8.3e-6</v>
      </c>
    </row>
    <row r="24" s="30" customFormat="1" ht="15.75" spans="1:41">
      <c r="A24" s="37" t="s">
        <v>65</v>
      </c>
      <c r="B24" s="38" t="e">
        <f>#REF!+#REF!</f>
        <v>#REF!</v>
      </c>
      <c r="C24" s="38">
        <v>562704161.14933</v>
      </c>
      <c r="D24" s="38">
        <v>1433449373.88156</v>
      </c>
      <c r="E24" s="38">
        <v>5387698711.08505</v>
      </c>
      <c r="F24" s="38">
        <v>14235036353.4833</v>
      </c>
      <c r="G24" s="35" t="str">
        <f t="shared" si="0"/>
        <v>H-3</v>
      </c>
      <c r="H24" s="36" t="str">
        <f t="shared" ref="H24:K24" si="28">W29</f>
        <v>H-3</v>
      </c>
      <c r="I24" s="36">
        <f t="shared" si="28"/>
        <v>0</v>
      </c>
      <c r="J24" s="36">
        <f t="shared" si="28"/>
        <v>4.5e-11</v>
      </c>
      <c r="K24" s="101">
        <f t="shared" si="18"/>
        <v>0</v>
      </c>
      <c r="L24" s="30">
        <v>0</v>
      </c>
      <c r="M24" s="56">
        <v>1.79e-9</v>
      </c>
      <c r="N24" s="56">
        <v>0.0015</v>
      </c>
      <c r="O24" s="56"/>
      <c r="P24" s="39"/>
      <c r="Q24" s="39"/>
      <c r="R24" s="39"/>
      <c r="S24" s="39"/>
      <c r="T24" s="39"/>
      <c r="U24" s="39"/>
      <c r="W24" s="71" t="s">
        <v>63</v>
      </c>
      <c r="X24" s="72">
        <v>2.76e-14</v>
      </c>
      <c r="Y24" s="83">
        <v>4.6e-9</v>
      </c>
      <c r="Z24" s="72">
        <v>5.71e-16</v>
      </c>
      <c r="AB24" s="107" t="s">
        <v>299</v>
      </c>
      <c r="AC24" s="108">
        <v>0.000133</v>
      </c>
      <c r="AD24" s="108">
        <v>8.18e-5</v>
      </c>
      <c r="AE24" s="108">
        <v>6.42e-5</v>
      </c>
      <c r="AF24" s="108">
        <v>3.8e-5</v>
      </c>
      <c r="AG24" s="108">
        <v>1.79e-5</v>
      </c>
      <c r="AJ24" s="107" t="s">
        <v>4515</v>
      </c>
      <c r="AK24" s="98">
        <v>0.000145</v>
      </c>
      <c r="AL24" s="98">
        <v>6.66e-5</v>
      </c>
      <c r="AM24" s="98">
        <v>4.52e-5</v>
      </c>
      <c r="AN24" s="98">
        <v>1.95e-5</v>
      </c>
      <c r="AO24" s="98">
        <v>5.81e-6</v>
      </c>
    </row>
    <row r="25" s="30" customFormat="1" ht="15.75" spans="1:41">
      <c r="A25" s="37" t="s">
        <v>66</v>
      </c>
      <c r="B25" s="38" t="e">
        <f>#REF!+#REF!</f>
        <v>#REF!</v>
      </c>
      <c r="C25" s="38">
        <v>826375.178086999</v>
      </c>
      <c r="D25" s="38">
        <v>2105280.06778594</v>
      </c>
      <c r="E25" s="38">
        <v>7914954.91410636</v>
      </c>
      <c r="F25" s="38">
        <v>20942904.9235312</v>
      </c>
      <c r="G25" s="35" t="str">
        <f t="shared" si="0"/>
        <v>C-14</v>
      </c>
      <c r="H25" s="36" t="str">
        <f t="shared" ref="H25:K25" si="29">W30</f>
        <v>C-14</v>
      </c>
      <c r="I25" s="36">
        <f t="shared" si="29"/>
        <v>0</v>
      </c>
      <c r="J25" s="36">
        <f t="shared" si="29"/>
        <v>2e-9</v>
      </c>
      <c r="K25" s="101">
        <f t="shared" si="18"/>
        <v>3.24646388556121e-14</v>
      </c>
      <c r="L25" s="102">
        <v>8.35e-18</v>
      </c>
      <c r="M25" s="56">
        <v>3.83e-12</v>
      </c>
      <c r="N25" s="56">
        <v>0.0015</v>
      </c>
      <c r="O25" s="56"/>
      <c r="P25" s="36"/>
      <c r="Q25" s="39"/>
      <c r="R25" s="39"/>
      <c r="S25" s="39"/>
      <c r="T25" s="39"/>
      <c r="U25" s="39"/>
      <c r="W25" s="71" t="s">
        <v>72</v>
      </c>
      <c r="X25" s="72">
        <v>1.43e-13</v>
      </c>
      <c r="Y25" s="83">
        <v>2.4e-11</v>
      </c>
      <c r="Z25" s="72">
        <v>2.19e-15</v>
      </c>
      <c r="AB25" s="107" t="s">
        <v>4514</v>
      </c>
      <c r="AC25" s="108">
        <v>7.64e-5</v>
      </c>
      <c r="AD25" s="108">
        <v>4.26e-5</v>
      </c>
      <c r="AE25" s="108">
        <v>3.18e-5</v>
      </c>
      <c r="AF25" s="108">
        <v>1.69e-5</v>
      </c>
      <c r="AG25" s="108">
        <v>6.8e-6</v>
      </c>
      <c r="AJ25" s="92" t="s">
        <v>4518</v>
      </c>
      <c r="AK25" s="98">
        <v>9.76e-5</v>
      </c>
      <c r="AL25" s="98">
        <v>4.25e-5</v>
      </c>
      <c r="AM25" s="98">
        <v>2.81e-5</v>
      </c>
      <c r="AN25" s="98">
        <v>1.14e-5</v>
      </c>
      <c r="AO25" s="98">
        <v>3.12e-6</v>
      </c>
    </row>
    <row r="26" s="30" customFormat="1" ht="15.75" spans="1:41">
      <c r="A26" s="37" t="s">
        <v>67</v>
      </c>
      <c r="B26" s="38" t="e">
        <f>#REF!+#REF!</f>
        <v>#REF!</v>
      </c>
      <c r="C26" s="38">
        <v>9443585.76969218</v>
      </c>
      <c r="D26" s="38">
        <v>24054616.9195357</v>
      </c>
      <c r="E26" s="38">
        <v>90377799.4905062</v>
      </c>
      <c r="F26" s="38">
        <v>238324732.155892</v>
      </c>
      <c r="G26" s="35" t="str">
        <f t="shared" si="0"/>
        <v>Co-60</v>
      </c>
      <c r="H26" s="39" t="str">
        <f t="shared" ref="H26:K26" si="30">W22</f>
        <v>Co-60</v>
      </c>
      <c r="I26" s="39">
        <f t="shared" si="30"/>
        <v>1.26e-13</v>
      </c>
      <c r="J26" s="39">
        <f t="shared" si="30"/>
        <v>1e-8</v>
      </c>
      <c r="K26" s="101">
        <f t="shared" si="18"/>
        <v>9.20325395560475e-12</v>
      </c>
      <c r="L26" s="30">
        <v>2.38e-15</v>
      </c>
      <c r="M26" s="56">
        <v>4.2e-9</v>
      </c>
      <c r="N26" s="56">
        <v>0.0015</v>
      </c>
      <c r="O26" s="56"/>
      <c r="P26" s="36"/>
      <c r="Q26" s="39"/>
      <c r="R26" s="39"/>
      <c r="S26" s="39"/>
      <c r="T26" s="39"/>
      <c r="U26" s="39"/>
      <c r="W26" s="71" t="s">
        <v>60</v>
      </c>
      <c r="X26" s="72">
        <v>4.44e-16</v>
      </c>
      <c r="Y26" s="83">
        <v>6.1e-9</v>
      </c>
      <c r="Z26" s="72">
        <v>6.98e-17</v>
      </c>
      <c r="AB26" s="109" t="s">
        <v>4530</v>
      </c>
      <c r="AC26" s="108">
        <v>6.22e-5</v>
      </c>
      <c r="AD26" s="108">
        <v>3.36e-5</v>
      </c>
      <c r="AE26" s="108">
        <v>2.47e-5</v>
      </c>
      <c r="AF26" s="108">
        <v>1.26e-5</v>
      </c>
      <c r="AG26" s="108">
        <v>4.83e-6</v>
      </c>
      <c r="AJ26" s="92" t="s">
        <v>4519</v>
      </c>
      <c r="AK26" s="98">
        <v>4.8e-5</v>
      </c>
      <c r="AL26" s="98">
        <v>1.97e-5</v>
      </c>
      <c r="AM26" s="98">
        <v>1.26e-5</v>
      </c>
      <c r="AN26" s="98">
        <v>4.79e-6</v>
      </c>
      <c r="AO26" s="98">
        <v>1.2e-6</v>
      </c>
    </row>
    <row r="27" s="30" customFormat="1" ht="15.75" spans="1:41">
      <c r="A27" s="37" t="s">
        <v>68</v>
      </c>
      <c r="B27" s="38" t="e">
        <f>#REF!+#REF!</f>
        <v>#REF!</v>
      </c>
      <c r="C27" s="38">
        <v>0</v>
      </c>
      <c r="D27" s="38">
        <v>0</v>
      </c>
      <c r="E27" s="38">
        <v>0</v>
      </c>
      <c r="F27" s="38">
        <v>0</v>
      </c>
      <c r="G27" s="35" t="str">
        <f t="shared" si="0"/>
        <v>Ar-41</v>
      </c>
      <c r="H27" s="39" t="str">
        <f t="shared" ref="H27:K27" si="31">W31</f>
        <v>Ar-41</v>
      </c>
      <c r="I27" s="39">
        <f t="shared" si="31"/>
        <v>6.13e-14</v>
      </c>
      <c r="J27" s="39">
        <f t="shared" si="31"/>
        <v>0</v>
      </c>
      <c r="K27" s="101">
        <f t="shared" si="18"/>
        <v>0</v>
      </c>
      <c r="L27" s="30">
        <v>0</v>
      </c>
      <c r="M27" s="56">
        <v>0.000106</v>
      </c>
      <c r="N27" s="56">
        <v>0.0015</v>
      </c>
      <c r="O27" s="56"/>
      <c r="P27" s="36"/>
      <c r="Q27" s="39"/>
      <c r="R27" s="39"/>
      <c r="S27" s="39"/>
      <c r="T27" s="39"/>
      <c r="U27" s="39"/>
      <c r="W27" s="71" t="s">
        <v>61</v>
      </c>
      <c r="X27" s="72">
        <v>9.83e-17</v>
      </c>
      <c r="Y27" s="83">
        <v>3.6e-8</v>
      </c>
      <c r="Z27" s="72">
        <v>1.11e-16</v>
      </c>
      <c r="AB27" s="107" t="s">
        <v>4515</v>
      </c>
      <c r="AC27" s="108">
        <v>3.36e-5</v>
      </c>
      <c r="AD27" s="108">
        <v>1.67e-5</v>
      </c>
      <c r="AE27" s="108">
        <v>1.18e-5</v>
      </c>
      <c r="AF27" s="108">
        <v>5.53e-6</v>
      </c>
      <c r="AG27" s="108">
        <v>1.87e-6</v>
      </c>
      <c r="AJ27" s="107" t="s">
        <v>4517</v>
      </c>
      <c r="AK27" s="98">
        <v>2.73e-5</v>
      </c>
      <c r="AL27" s="98">
        <v>1.1e-5</v>
      </c>
      <c r="AM27" s="98">
        <v>6.97e-6</v>
      </c>
      <c r="AN27" s="98">
        <v>2.6e-6</v>
      </c>
      <c r="AO27" s="98">
        <v>6.28e-7</v>
      </c>
    </row>
    <row r="28" s="30" customFormat="1" ht="15.75" spans="1:41">
      <c r="A28" s="92" t="s">
        <v>71</v>
      </c>
      <c r="B28" s="38"/>
      <c r="C28" s="38">
        <v>0</v>
      </c>
      <c r="D28" s="38">
        <v>0</v>
      </c>
      <c r="E28" s="38">
        <v>0</v>
      </c>
      <c r="F28" s="38">
        <v>0</v>
      </c>
      <c r="G28" s="35" t="str">
        <f t="shared" si="0"/>
        <v>Rb-88</v>
      </c>
      <c r="H28" s="39" t="str">
        <f t="shared" ref="H28:K28" si="32">W32</f>
        <v>Rb-88</v>
      </c>
      <c r="I28" s="39">
        <f t="shared" si="32"/>
        <v>3.54e-14</v>
      </c>
      <c r="J28" s="39">
        <f t="shared" si="32"/>
        <v>1.6e-11</v>
      </c>
      <c r="K28" s="101">
        <f t="shared" si="18"/>
        <v>1.72615384615385e-15</v>
      </c>
      <c r="L28" s="30">
        <v>7.48e-16</v>
      </c>
      <c r="M28" s="56">
        <v>0.00065</v>
      </c>
      <c r="N28" s="56">
        <v>0.0015</v>
      </c>
      <c r="O28" s="56"/>
      <c r="P28" s="36"/>
      <c r="Q28" s="39"/>
      <c r="R28" s="39"/>
      <c r="S28" s="39"/>
      <c r="T28" s="39"/>
      <c r="U28" s="39"/>
      <c r="W28" s="71" t="s">
        <v>64</v>
      </c>
      <c r="X28" s="72">
        <v>1.36e-13</v>
      </c>
      <c r="Y28" s="83">
        <v>7.6e-9</v>
      </c>
      <c r="Z28" s="72">
        <v>2.65e-15</v>
      </c>
      <c r="AB28" s="109" t="s">
        <v>4531</v>
      </c>
      <c r="AC28" s="108">
        <v>2.19e-5</v>
      </c>
      <c r="AD28" s="108">
        <v>1.04e-5</v>
      </c>
      <c r="AE28" s="108">
        <v>7.18e-6</v>
      </c>
      <c r="AF28" s="108">
        <v>3.21e-6</v>
      </c>
      <c r="AG28" s="108">
        <v>1.01e-6</v>
      </c>
      <c r="AJ28" s="107" t="s">
        <v>4521</v>
      </c>
      <c r="AK28" s="98">
        <v>1.87e-5</v>
      </c>
      <c r="AL28" s="98">
        <v>7.46e-6</v>
      </c>
      <c r="AM28" s="98">
        <v>4.71e-6</v>
      </c>
      <c r="AN28" s="98">
        <v>1.73e-6</v>
      </c>
      <c r="AO28" s="98">
        <v>4.13e-7</v>
      </c>
    </row>
    <row r="29" s="30" customFormat="1" ht="15.75" spans="1:41">
      <c r="A29" s="92" t="s">
        <v>72</v>
      </c>
      <c r="B29" s="38"/>
      <c r="C29" s="38">
        <v>0</v>
      </c>
      <c r="D29" s="38">
        <v>0</v>
      </c>
      <c r="E29" s="38">
        <v>0</v>
      </c>
      <c r="F29" s="38">
        <v>0</v>
      </c>
      <c r="G29" s="35" t="str">
        <f t="shared" si="0"/>
        <v>Cs-138</v>
      </c>
      <c r="H29" s="39" t="str">
        <f t="shared" ref="H29:K29" si="33">W25</f>
        <v>Cs-138</v>
      </c>
      <c r="I29" s="39">
        <f t="shared" si="33"/>
        <v>1.43e-13</v>
      </c>
      <c r="J29" s="39">
        <f t="shared" si="33"/>
        <v>2.4e-11</v>
      </c>
      <c r="K29" s="101">
        <f t="shared" si="18"/>
        <v>9.15041782729805e-15</v>
      </c>
      <c r="L29" s="30">
        <v>2.19e-15</v>
      </c>
      <c r="M29" s="56">
        <v>0.000359</v>
      </c>
      <c r="N29" s="56">
        <v>0.0015</v>
      </c>
      <c r="O29" s="56"/>
      <c r="P29" s="36"/>
      <c r="Q29" s="39"/>
      <c r="R29" s="39"/>
      <c r="S29" s="39"/>
      <c r="T29" s="39"/>
      <c r="U29" s="39"/>
      <c r="W29" s="71" t="s">
        <v>65</v>
      </c>
      <c r="X29" s="72">
        <v>0</v>
      </c>
      <c r="Y29" s="83">
        <v>4.5e-11</v>
      </c>
      <c r="Z29" s="72">
        <v>0</v>
      </c>
      <c r="AB29" s="109" t="s">
        <v>4532</v>
      </c>
      <c r="AC29" s="108">
        <v>1.36e-5</v>
      </c>
      <c r="AD29" s="108">
        <v>6.22e-6</v>
      </c>
      <c r="AE29" s="108">
        <v>4.21e-6</v>
      </c>
      <c r="AF29" s="108">
        <v>1.8e-6</v>
      </c>
      <c r="AG29" s="108">
        <v>5.34e-7</v>
      </c>
      <c r="AJ29" s="107" t="s">
        <v>4522</v>
      </c>
      <c r="AK29" s="98">
        <v>1.6e-5</v>
      </c>
      <c r="AL29" s="98">
        <v>6.18e-6</v>
      </c>
      <c r="AM29" s="98">
        <v>3.85e-6</v>
      </c>
      <c r="AN29" s="98">
        <v>1.38e-6</v>
      </c>
      <c r="AO29" s="98">
        <v>3.14e-7</v>
      </c>
    </row>
    <row r="30" s="30" customFormat="1" ht="15.75" spans="1:41">
      <c r="A30" s="42"/>
      <c r="B30" s="43"/>
      <c r="C30" s="43"/>
      <c r="D30" s="93"/>
      <c r="E30" s="93"/>
      <c r="F30" s="94"/>
      <c r="G30" s="94"/>
      <c r="H30" s="95"/>
      <c r="I30" s="95"/>
      <c r="J30" s="95"/>
      <c r="K30" s="94"/>
      <c r="L30" s="94"/>
      <c r="M30" s="94"/>
      <c r="N30" s="94"/>
      <c r="O30" s="94"/>
      <c r="P30" s="92"/>
      <c r="Q30" s="98"/>
      <c r="R30" s="98"/>
      <c r="S30" s="98"/>
      <c r="T30" s="98"/>
      <c r="U30" s="98"/>
      <c r="W30" s="71" t="s">
        <v>66</v>
      </c>
      <c r="X30" s="72">
        <v>0</v>
      </c>
      <c r="Y30" s="83">
        <v>2e-9</v>
      </c>
      <c r="Z30" s="72">
        <v>8.35e-18</v>
      </c>
      <c r="AB30" s="110" t="s">
        <v>4517</v>
      </c>
      <c r="AC30" s="111">
        <v>3.73e-6</v>
      </c>
      <c r="AD30" s="111">
        <v>1.63e-6</v>
      </c>
      <c r="AE30" s="111">
        <v>1.07e-6</v>
      </c>
      <c r="AF30" s="111">
        <v>4.37e-7</v>
      </c>
      <c r="AG30" s="111">
        <v>1.2e-7</v>
      </c>
      <c r="AJ30" s="114" t="s">
        <v>4524</v>
      </c>
      <c r="AK30" s="115">
        <v>1.51e-5</v>
      </c>
      <c r="AL30" s="115">
        <v>5.67e-6</v>
      </c>
      <c r="AM30" s="115">
        <v>3.47e-6</v>
      </c>
      <c r="AN30" s="115">
        <v>1.19e-6</v>
      </c>
      <c r="AO30" s="115">
        <v>2.58e-7</v>
      </c>
    </row>
    <row r="31" s="30" customFormat="1" ht="15.75" spans="1:16384">
      <c r="A31" s="46"/>
      <c r="B31" s="47"/>
      <c r="C31" s="47"/>
      <c r="D31" s="96"/>
      <c r="E31" s="96"/>
      <c r="H31" s="56"/>
      <c r="I31" s="56"/>
      <c r="J31" s="56"/>
      <c r="P31" s="56"/>
      <c r="Q31" s="56"/>
      <c r="R31" s="56"/>
      <c r="S31" s="56"/>
      <c r="T31" s="56"/>
      <c r="W31" s="71" t="s">
        <v>68</v>
      </c>
      <c r="X31" s="72">
        <v>6.13e-14</v>
      </c>
      <c r="Y31" s="83">
        <v>0</v>
      </c>
      <c r="Z31" s="72">
        <v>0</v>
      </c>
      <c r="AB31" s="112" t="s">
        <v>4521</v>
      </c>
      <c r="AC31" s="113">
        <v>2.46e-6</v>
      </c>
      <c r="AD31" s="113">
        <v>1.05e-6</v>
      </c>
      <c r="AE31" s="113">
        <v>6.85e-7</v>
      </c>
      <c r="AF31" s="113">
        <v>2.71e-7</v>
      </c>
      <c r="AG31" s="113">
        <v>7.18e-8</v>
      </c>
      <c r="AJ31" s="116" t="s">
        <v>4526</v>
      </c>
      <c r="AK31" s="117">
        <v>1.44e-5</v>
      </c>
      <c r="AL31" s="117">
        <v>5.25e-6</v>
      </c>
      <c r="AM31" s="117">
        <v>3.17e-6</v>
      </c>
      <c r="AN31" s="117">
        <v>1.06e-6</v>
      </c>
      <c r="AO31" s="117">
        <v>2.19e-7</v>
      </c>
      <c r="XFA31" s="119"/>
      <c r="XFB31" s="119"/>
      <c r="XFC31" s="119"/>
      <c r="XFD31" s="119"/>
    </row>
    <row r="32" s="30" customFormat="1" ht="15.75" spans="1:41">
      <c r="A32" s="92" t="s">
        <v>4533</v>
      </c>
      <c r="B32" s="97">
        <f>P5</f>
        <v>0</v>
      </c>
      <c r="C32" s="97">
        <f>P6</f>
        <v>0</v>
      </c>
      <c r="D32" s="97">
        <f>P7</f>
        <v>0</v>
      </c>
      <c r="E32" s="97" t="str">
        <f>P8</f>
        <v>500m</v>
      </c>
      <c r="F32" s="97" t="str">
        <f>P9</f>
        <v>1500m</v>
      </c>
      <c r="G32" s="97" t="str">
        <f>P10</f>
        <v>2500m</v>
      </c>
      <c r="H32" s="97" t="str">
        <f>P11</f>
        <v>4000m</v>
      </c>
      <c r="I32" s="97" t="str">
        <f>P12</f>
        <v>5000m</v>
      </c>
      <c r="J32" s="97" t="str">
        <f>P13</f>
        <v>7500m</v>
      </c>
      <c r="K32" s="97" t="str">
        <f>P14</f>
        <v>15000m</v>
      </c>
      <c r="L32" s="97" t="str">
        <f>P15</f>
        <v>25000m</v>
      </c>
      <c r="M32" s="97" t="str">
        <f>P16</f>
        <v>35000m</v>
      </c>
      <c r="N32" s="97" t="str">
        <f>P17</f>
        <v>45000m</v>
      </c>
      <c r="O32" s="97" t="str">
        <f>P18</f>
        <v>55000m</v>
      </c>
      <c r="P32" s="97" t="str">
        <f>P19</f>
        <v>65000m</v>
      </c>
      <c r="Q32" s="97" t="str">
        <f>P20</f>
        <v>75000m</v>
      </c>
      <c r="W32" s="71" t="s">
        <v>71</v>
      </c>
      <c r="X32" s="72">
        <v>3.54e-14</v>
      </c>
      <c r="Y32" s="83">
        <v>1.6e-11</v>
      </c>
      <c r="Z32" s="72">
        <v>7.48e-16</v>
      </c>
      <c r="AB32" s="107" t="s">
        <v>4522</v>
      </c>
      <c r="AC32" s="108">
        <v>2.08e-6</v>
      </c>
      <c r="AD32" s="108">
        <v>8.49e-7</v>
      </c>
      <c r="AE32" s="108">
        <v>5.43e-7</v>
      </c>
      <c r="AF32" s="108">
        <v>2.06e-7</v>
      </c>
      <c r="AG32" s="108">
        <v>5.11e-8</v>
      </c>
      <c r="AJ32" s="92" t="s">
        <v>4527</v>
      </c>
      <c r="AK32" s="98">
        <v>1.39e-5</v>
      </c>
      <c r="AL32" s="98">
        <v>4.93e-6</v>
      </c>
      <c r="AM32" s="98">
        <v>2.94e-6</v>
      </c>
      <c r="AN32" s="98">
        <v>9.57e-7</v>
      </c>
      <c r="AO32" s="98">
        <v>1.91e-7</v>
      </c>
    </row>
    <row r="33" s="30" customFormat="1" spans="1:26">
      <c r="A33" s="92" t="str">
        <f t="shared" ref="A33:A55" si="34">A5</f>
        <v>Kr-83m</v>
      </c>
      <c r="B33" s="98" t="e">
        <f>($B5*$Q$5+$C5*$R$5+$D5*$S$5+$E5*$T$5+$F5*$U$5)*$I5</f>
        <v>#REF!</v>
      </c>
      <c r="C33" s="98" t="e">
        <f t="shared" ref="C33:C55" si="35">($B5*$Q$6+$C5*$R$6+$D5*$S$6+$E5*$T$6+$F5*$U$6)*$I5</f>
        <v>#REF!</v>
      </c>
      <c r="D33" s="98" t="e">
        <f t="shared" ref="D33:D55" si="36">($B5*$Q$7+$C5*$R$7+$D5*$S$7+$E5*$T$7+$F5*$U$7)*$I5</f>
        <v>#REF!</v>
      </c>
      <c r="E33" s="98" t="e">
        <f t="shared" ref="E33:E55" si="37">($B5*$Q$8+$C5*$R$8+$D5*$S$8+$E5*$T$8+$F5*$U$8)*$I5</f>
        <v>#REF!</v>
      </c>
      <c r="F33" s="98" t="e">
        <f t="shared" ref="F33:F55" si="38">($B5*$Q$9+$C5*$R$9+$D5*$S$9+$E5*$T$9+$F5*$U$9)*$I5</f>
        <v>#REF!</v>
      </c>
      <c r="G33" s="98" t="e">
        <f t="shared" ref="G33:G55" si="39">($B5*$Q$10+$C5*$R$10+$D5*$S$10+$E5*$T$10+$F5*$U$10)*$I5</f>
        <v>#REF!</v>
      </c>
      <c r="H33" s="98" t="e">
        <f t="shared" ref="H33:H55" si="40">($B5*$Q$11+$C5*$R$11+$D5*$S$11+$E5*$T$11+$F5*$U$11)*$I5</f>
        <v>#REF!</v>
      </c>
      <c r="I33" s="98" t="e">
        <f t="shared" ref="I33:I55" si="41">($B5*$Q$12+$C5*$R$12+$D5*$S$12+$E5*$T$12+$F5*$U$12)*$I5</f>
        <v>#REF!</v>
      </c>
      <c r="J33" s="98" t="e">
        <f t="shared" ref="J33:J55" si="42">($B5*$Q$13+$C5*$R$13+$D5*$S$13+$E5*$T$13+$F5*$U$13)*$I5</f>
        <v>#REF!</v>
      </c>
      <c r="K33" s="98" t="e">
        <f t="shared" ref="K33:K55" si="43">($B5*$Q$14+$C5*$R$14+$D5*$S$14+$E5*$T$14+$F5*$U$14)*$I5</f>
        <v>#REF!</v>
      </c>
      <c r="L33" s="98" t="e">
        <f t="shared" ref="L33:L55" si="44">($B5*$Q$15+$C5*$R$15+$D5*$S$15+$E5*$T$15+$F5*$U$15)*$I5</f>
        <v>#REF!</v>
      </c>
      <c r="M33" s="98" t="e">
        <f t="shared" ref="M33:M55" si="45">($B5*$Q$16+$C5*$R$16+$D5*$S$16+$E5*$T$16+$F5*$U$16)*$I5</f>
        <v>#REF!</v>
      </c>
      <c r="N33" s="98" t="e">
        <f t="shared" ref="N33:N55" si="46">($B5*$Q$17+$C5*$R$17+$D5*$S$17+$E5*$T$17+$F5*$U$17)*$I5</f>
        <v>#REF!</v>
      </c>
      <c r="O33" s="98" t="e">
        <f t="shared" ref="O33:O55" si="47">($B5*$Q$18+$C5*$R$18+$D5*$S$18+$E5*$T$18+$F5*$U$18)*$I5</f>
        <v>#REF!</v>
      </c>
      <c r="P33" s="98" t="e">
        <f t="shared" ref="P33:P55" si="48">($B5*$Q$19+$C5*$R$19+$D5*$S$19+$E5*$T$19+$F5*$U$19)*$I5</f>
        <v>#REF!</v>
      </c>
      <c r="Q33" s="98" t="e">
        <f t="shared" ref="Q33:Q55" si="49">($B5*$Q$20+$C5*$R$20+$D5*$S$20+$E5*$T$20+$F5*$U$20)*$I5</f>
        <v>#REF!</v>
      </c>
      <c r="Z33"/>
    </row>
    <row r="34" s="30" customFormat="1" spans="1:26">
      <c r="A34" s="92" t="str">
        <f t="shared" si="34"/>
        <v>Kr-85</v>
      </c>
      <c r="B34" s="98" t="e">
        <f t="shared" ref="B34:B55" si="50">(B6*Q$5+C6*R$5+D6*S$5+E6*T$5+F6*U$5)*I6</f>
        <v>#REF!</v>
      </c>
      <c r="C34" s="98" t="e">
        <f t="shared" si="35"/>
        <v>#REF!</v>
      </c>
      <c r="D34" s="98" t="e">
        <f t="shared" si="36"/>
        <v>#REF!</v>
      </c>
      <c r="E34" s="98" t="e">
        <f t="shared" si="37"/>
        <v>#REF!</v>
      </c>
      <c r="F34" s="98" t="e">
        <f t="shared" si="38"/>
        <v>#REF!</v>
      </c>
      <c r="G34" s="98" t="e">
        <f t="shared" si="39"/>
        <v>#REF!</v>
      </c>
      <c r="H34" s="98" t="e">
        <f t="shared" si="40"/>
        <v>#REF!</v>
      </c>
      <c r="I34" s="98" t="e">
        <f t="shared" si="41"/>
        <v>#REF!</v>
      </c>
      <c r="J34" s="98" t="e">
        <f t="shared" si="42"/>
        <v>#REF!</v>
      </c>
      <c r="K34" s="98" t="e">
        <f t="shared" si="43"/>
        <v>#REF!</v>
      </c>
      <c r="L34" s="98" t="e">
        <f t="shared" si="44"/>
        <v>#REF!</v>
      </c>
      <c r="M34" s="98" t="e">
        <f t="shared" si="45"/>
        <v>#REF!</v>
      </c>
      <c r="N34" s="98" t="e">
        <f t="shared" si="46"/>
        <v>#REF!</v>
      </c>
      <c r="O34" s="98" t="e">
        <f t="shared" si="47"/>
        <v>#REF!</v>
      </c>
      <c r="P34" s="98" t="e">
        <f t="shared" si="48"/>
        <v>#REF!</v>
      </c>
      <c r="Q34" s="98" t="e">
        <f t="shared" si="49"/>
        <v>#REF!</v>
      </c>
      <c r="Z34"/>
    </row>
    <row r="35" s="30" customFormat="1" spans="1:26">
      <c r="A35" s="92" t="str">
        <f t="shared" si="34"/>
        <v>Kr-85m</v>
      </c>
      <c r="B35" s="98" t="e">
        <f t="shared" si="50"/>
        <v>#REF!</v>
      </c>
      <c r="C35" s="98" t="e">
        <f t="shared" si="35"/>
        <v>#REF!</v>
      </c>
      <c r="D35" s="98" t="e">
        <f t="shared" si="36"/>
        <v>#REF!</v>
      </c>
      <c r="E35" s="98" t="e">
        <f t="shared" si="37"/>
        <v>#REF!</v>
      </c>
      <c r="F35" s="98" t="e">
        <f t="shared" si="38"/>
        <v>#REF!</v>
      </c>
      <c r="G35" s="98" t="e">
        <f t="shared" si="39"/>
        <v>#REF!</v>
      </c>
      <c r="H35" s="98" t="e">
        <f t="shared" si="40"/>
        <v>#REF!</v>
      </c>
      <c r="I35" s="98" t="e">
        <f t="shared" si="41"/>
        <v>#REF!</v>
      </c>
      <c r="J35" s="98" t="e">
        <f t="shared" si="42"/>
        <v>#REF!</v>
      </c>
      <c r="K35" s="98" t="e">
        <f t="shared" si="43"/>
        <v>#REF!</v>
      </c>
      <c r="L35" s="98" t="e">
        <f t="shared" si="44"/>
        <v>#REF!</v>
      </c>
      <c r="M35" s="98" t="e">
        <f t="shared" si="45"/>
        <v>#REF!</v>
      </c>
      <c r="N35" s="98" t="e">
        <f t="shared" si="46"/>
        <v>#REF!</v>
      </c>
      <c r="O35" s="98" t="e">
        <f t="shared" si="47"/>
        <v>#REF!</v>
      </c>
      <c r="P35" s="98" t="e">
        <f t="shared" si="48"/>
        <v>#REF!</v>
      </c>
      <c r="Q35" s="98" t="e">
        <f t="shared" si="49"/>
        <v>#REF!</v>
      </c>
      <c r="Z35"/>
    </row>
    <row r="36" s="30" customFormat="1" spans="1:26">
      <c r="A36" s="92" t="str">
        <f t="shared" si="34"/>
        <v>Kr-87</v>
      </c>
      <c r="B36" s="98" t="e">
        <f t="shared" si="50"/>
        <v>#REF!</v>
      </c>
      <c r="C36" s="98" t="e">
        <f t="shared" si="35"/>
        <v>#REF!</v>
      </c>
      <c r="D36" s="98" t="e">
        <f t="shared" si="36"/>
        <v>#REF!</v>
      </c>
      <c r="E36" s="98" t="e">
        <f t="shared" si="37"/>
        <v>#REF!</v>
      </c>
      <c r="F36" s="98" t="e">
        <f t="shared" si="38"/>
        <v>#REF!</v>
      </c>
      <c r="G36" s="98" t="e">
        <f t="shared" si="39"/>
        <v>#REF!</v>
      </c>
      <c r="H36" s="98" t="e">
        <f t="shared" si="40"/>
        <v>#REF!</v>
      </c>
      <c r="I36" s="98" t="e">
        <f t="shared" si="41"/>
        <v>#REF!</v>
      </c>
      <c r="J36" s="98" t="e">
        <f t="shared" si="42"/>
        <v>#REF!</v>
      </c>
      <c r="K36" s="98" t="e">
        <f t="shared" si="43"/>
        <v>#REF!</v>
      </c>
      <c r="L36" s="98" t="e">
        <f t="shared" si="44"/>
        <v>#REF!</v>
      </c>
      <c r="M36" s="98" t="e">
        <f t="shared" si="45"/>
        <v>#REF!</v>
      </c>
      <c r="N36" s="98" t="e">
        <f t="shared" si="46"/>
        <v>#REF!</v>
      </c>
      <c r="O36" s="98" t="e">
        <f t="shared" si="47"/>
        <v>#REF!</v>
      </c>
      <c r="P36" s="98" t="e">
        <f t="shared" si="48"/>
        <v>#REF!</v>
      </c>
      <c r="Q36" s="98" t="e">
        <f t="shared" si="49"/>
        <v>#REF!</v>
      </c>
      <c r="Z36"/>
    </row>
    <row r="37" s="30" customFormat="1" spans="1:26">
      <c r="A37" s="92" t="str">
        <f t="shared" si="34"/>
        <v>Kr-88</v>
      </c>
      <c r="B37" s="98" t="e">
        <f t="shared" si="50"/>
        <v>#REF!</v>
      </c>
      <c r="C37" s="98" t="e">
        <f t="shared" si="35"/>
        <v>#REF!</v>
      </c>
      <c r="D37" s="98" t="e">
        <f t="shared" si="36"/>
        <v>#REF!</v>
      </c>
      <c r="E37" s="98" t="e">
        <f t="shared" si="37"/>
        <v>#REF!</v>
      </c>
      <c r="F37" s="98" t="e">
        <f t="shared" si="38"/>
        <v>#REF!</v>
      </c>
      <c r="G37" s="98" t="e">
        <f t="shared" si="39"/>
        <v>#REF!</v>
      </c>
      <c r="H37" s="98" t="e">
        <f t="shared" si="40"/>
        <v>#REF!</v>
      </c>
      <c r="I37" s="98" t="e">
        <f t="shared" si="41"/>
        <v>#REF!</v>
      </c>
      <c r="J37" s="98" t="e">
        <f t="shared" si="42"/>
        <v>#REF!</v>
      </c>
      <c r="K37" s="98" t="e">
        <f t="shared" si="43"/>
        <v>#REF!</v>
      </c>
      <c r="L37" s="98" t="e">
        <f t="shared" si="44"/>
        <v>#REF!</v>
      </c>
      <c r="M37" s="98" t="e">
        <f t="shared" si="45"/>
        <v>#REF!</v>
      </c>
      <c r="N37" s="98" t="e">
        <f t="shared" si="46"/>
        <v>#REF!</v>
      </c>
      <c r="O37" s="98" t="e">
        <f t="shared" si="47"/>
        <v>#REF!</v>
      </c>
      <c r="P37" s="98" t="e">
        <f t="shared" si="48"/>
        <v>#REF!</v>
      </c>
      <c r="Q37" s="98" t="e">
        <f t="shared" si="49"/>
        <v>#REF!</v>
      </c>
      <c r="Z37"/>
    </row>
    <row r="38" s="30" customFormat="1" spans="1:26">
      <c r="A38" s="92" t="str">
        <f t="shared" si="34"/>
        <v>Xe-131m</v>
      </c>
      <c r="B38" s="98" t="e">
        <f t="shared" si="50"/>
        <v>#REF!</v>
      </c>
      <c r="C38" s="98" t="e">
        <f t="shared" si="35"/>
        <v>#REF!</v>
      </c>
      <c r="D38" s="98" t="e">
        <f t="shared" si="36"/>
        <v>#REF!</v>
      </c>
      <c r="E38" s="98" t="e">
        <f t="shared" si="37"/>
        <v>#REF!</v>
      </c>
      <c r="F38" s="98" t="e">
        <f t="shared" si="38"/>
        <v>#REF!</v>
      </c>
      <c r="G38" s="98" t="e">
        <f t="shared" si="39"/>
        <v>#REF!</v>
      </c>
      <c r="H38" s="98" t="e">
        <f t="shared" si="40"/>
        <v>#REF!</v>
      </c>
      <c r="I38" s="98" t="e">
        <f t="shared" si="41"/>
        <v>#REF!</v>
      </c>
      <c r="J38" s="98" t="e">
        <f t="shared" si="42"/>
        <v>#REF!</v>
      </c>
      <c r="K38" s="98" t="e">
        <f t="shared" si="43"/>
        <v>#REF!</v>
      </c>
      <c r="L38" s="98" t="e">
        <f t="shared" si="44"/>
        <v>#REF!</v>
      </c>
      <c r="M38" s="98" t="e">
        <f t="shared" si="45"/>
        <v>#REF!</v>
      </c>
      <c r="N38" s="98" t="e">
        <f t="shared" si="46"/>
        <v>#REF!</v>
      </c>
      <c r="O38" s="98" t="e">
        <f t="shared" si="47"/>
        <v>#REF!</v>
      </c>
      <c r="P38" s="98" t="e">
        <f t="shared" si="48"/>
        <v>#REF!</v>
      </c>
      <c r="Q38" s="98" t="e">
        <f t="shared" si="49"/>
        <v>#REF!</v>
      </c>
      <c r="Z38"/>
    </row>
    <row r="39" s="30" customFormat="1" spans="1:26">
      <c r="A39" s="92" t="str">
        <f t="shared" si="34"/>
        <v>Xe-133</v>
      </c>
      <c r="B39" s="98" t="e">
        <f t="shared" si="50"/>
        <v>#REF!</v>
      </c>
      <c r="C39" s="98" t="e">
        <f t="shared" si="35"/>
        <v>#REF!</v>
      </c>
      <c r="D39" s="98" t="e">
        <f t="shared" si="36"/>
        <v>#REF!</v>
      </c>
      <c r="E39" s="98" t="e">
        <f t="shared" si="37"/>
        <v>#REF!</v>
      </c>
      <c r="F39" s="98" t="e">
        <f t="shared" si="38"/>
        <v>#REF!</v>
      </c>
      <c r="G39" s="98" t="e">
        <f t="shared" si="39"/>
        <v>#REF!</v>
      </c>
      <c r="H39" s="98" t="e">
        <f t="shared" si="40"/>
        <v>#REF!</v>
      </c>
      <c r="I39" s="98" t="e">
        <f t="shared" si="41"/>
        <v>#REF!</v>
      </c>
      <c r="J39" s="98" t="e">
        <f t="shared" si="42"/>
        <v>#REF!</v>
      </c>
      <c r="K39" s="98" t="e">
        <f t="shared" si="43"/>
        <v>#REF!</v>
      </c>
      <c r="L39" s="98" t="e">
        <f t="shared" si="44"/>
        <v>#REF!</v>
      </c>
      <c r="M39" s="98" t="e">
        <f t="shared" si="45"/>
        <v>#REF!</v>
      </c>
      <c r="N39" s="98" t="e">
        <f t="shared" si="46"/>
        <v>#REF!</v>
      </c>
      <c r="O39" s="98" t="e">
        <f t="shared" si="47"/>
        <v>#REF!</v>
      </c>
      <c r="P39" s="98" t="e">
        <f t="shared" si="48"/>
        <v>#REF!</v>
      </c>
      <c r="Q39" s="98" t="e">
        <f t="shared" si="49"/>
        <v>#REF!</v>
      </c>
      <c r="Z39"/>
    </row>
    <row r="40" s="30" customFormat="1" spans="1:26">
      <c r="A40" s="92" t="str">
        <f t="shared" si="34"/>
        <v>Xe-133m</v>
      </c>
      <c r="B40" s="98" t="e">
        <f t="shared" si="50"/>
        <v>#REF!</v>
      </c>
      <c r="C40" s="98" t="e">
        <f t="shared" si="35"/>
        <v>#REF!</v>
      </c>
      <c r="D40" s="98" t="e">
        <f t="shared" si="36"/>
        <v>#REF!</v>
      </c>
      <c r="E40" s="98" t="e">
        <f t="shared" si="37"/>
        <v>#REF!</v>
      </c>
      <c r="F40" s="98" t="e">
        <f t="shared" si="38"/>
        <v>#REF!</v>
      </c>
      <c r="G40" s="98" t="e">
        <f t="shared" si="39"/>
        <v>#REF!</v>
      </c>
      <c r="H40" s="98" t="e">
        <f t="shared" si="40"/>
        <v>#REF!</v>
      </c>
      <c r="I40" s="98" t="e">
        <f t="shared" si="41"/>
        <v>#REF!</v>
      </c>
      <c r="J40" s="98" t="e">
        <f t="shared" si="42"/>
        <v>#REF!</v>
      </c>
      <c r="K40" s="98" t="e">
        <f t="shared" si="43"/>
        <v>#REF!</v>
      </c>
      <c r="L40" s="98" t="e">
        <f t="shared" si="44"/>
        <v>#REF!</v>
      </c>
      <c r="M40" s="98" t="e">
        <f t="shared" si="45"/>
        <v>#REF!</v>
      </c>
      <c r="N40" s="98" t="e">
        <f t="shared" si="46"/>
        <v>#REF!</v>
      </c>
      <c r="O40" s="98" t="e">
        <f t="shared" si="47"/>
        <v>#REF!</v>
      </c>
      <c r="P40" s="98" t="e">
        <f t="shared" si="48"/>
        <v>#REF!</v>
      </c>
      <c r="Q40" s="98" t="e">
        <f t="shared" si="49"/>
        <v>#REF!</v>
      </c>
      <c r="Z40"/>
    </row>
    <row r="41" s="30" customFormat="1" spans="1:26">
      <c r="A41" s="92" t="str">
        <f t="shared" si="34"/>
        <v>Xe-135</v>
      </c>
      <c r="B41" s="98" t="e">
        <f t="shared" si="50"/>
        <v>#REF!</v>
      </c>
      <c r="C41" s="98" t="e">
        <f t="shared" si="35"/>
        <v>#REF!</v>
      </c>
      <c r="D41" s="98" t="e">
        <f t="shared" si="36"/>
        <v>#REF!</v>
      </c>
      <c r="E41" s="98" t="e">
        <f t="shared" si="37"/>
        <v>#REF!</v>
      </c>
      <c r="F41" s="98" t="e">
        <f t="shared" si="38"/>
        <v>#REF!</v>
      </c>
      <c r="G41" s="98" t="e">
        <f t="shared" si="39"/>
        <v>#REF!</v>
      </c>
      <c r="H41" s="98" t="e">
        <f t="shared" si="40"/>
        <v>#REF!</v>
      </c>
      <c r="I41" s="98" t="e">
        <f t="shared" si="41"/>
        <v>#REF!</v>
      </c>
      <c r="J41" s="98" t="e">
        <f t="shared" si="42"/>
        <v>#REF!</v>
      </c>
      <c r="K41" s="98" t="e">
        <f t="shared" si="43"/>
        <v>#REF!</v>
      </c>
      <c r="L41" s="98" t="e">
        <f t="shared" si="44"/>
        <v>#REF!</v>
      </c>
      <c r="M41" s="98" t="e">
        <f t="shared" si="45"/>
        <v>#REF!</v>
      </c>
      <c r="N41" s="98" t="e">
        <f t="shared" si="46"/>
        <v>#REF!</v>
      </c>
      <c r="O41" s="98" t="e">
        <f t="shared" si="47"/>
        <v>#REF!</v>
      </c>
      <c r="P41" s="98" t="e">
        <f t="shared" si="48"/>
        <v>#REF!</v>
      </c>
      <c r="Q41" s="98" t="e">
        <f t="shared" si="49"/>
        <v>#REF!</v>
      </c>
      <c r="Z41"/>
    </row>
    <row r="42" s="30" customFormat="1" spans="1:26">
      <c r="A42" s="92" t="str">
        <f t="shared" si="34"/>
        <v>I-131</v>
      </c>
      <c r="B42" s="98" t="e">
        <f t="shared" si="50"/>
        <v>#REF!</v>
      </c>
      <c r="C42" s="98" t="e">
        <f t="shared" si="35"/>
        <v>#REF!</v>
      </c>
      <c r="D42" s="98" t="e">
        <f t="shared" si="36"/>
        <v>#REF!</v>
      </c>
      <c r="E42" s="98" t="e">
        <f t="shared" si="37"/>
        <v>#REF!</v>
      </c>
      <c r="F42" s="98" t="e">
        <f t="shared" si="38"/>
        <v>#REF!</v>
      </c>
      <c r="G42" s="98" t="e">
        <f t="shared" si="39"/>
        <v>#REF!</v>
      </c>
      <c r="H42" s="98" t="e">
        <f t="shared" si="40"/>
        <v>#REF!</v>
      </c>
      <c r="I42" s="98" t="e">
        <f t="shared" si="41"/>
        <v>#REF!</v>
      </c>
      <c r="J42" s="98" t="e">
        <f t="shared" si="42"/>
        <v>#REF!</v>
      </c>
      <c r="K42" s="98" t="e">
        <f t="shared" si="43"/>
        <v>#REF!</v>
      </c>
      <c r="L42" s="98" t="e">
        <f t="shared" si="44"/>
        <v>#REF!</v>
      </c>
      <c r="M42" s="98" t="e">
        <f t="shared" si="45"/>
        <v>#REF!</v>
      </c>
      <c r="N42" s="98" t="e">
        <f t="shared" si="46"/>
        <v>#REF!</v>
      </c>
      <c r="O42" s="98" t="e">
        <f t="shared" si="47"/>
        <v>#REF!</v>
      </c>
      <c r="P42" s="98" t="e">
        <f t="shared" si="48"/>
        <v>#REF!</v>
      </c>
      <c r="Q42" s="98" t="e">
        <f t="shared" si="49"/>
        <v>#REF!</v>
      </c>
      <c r="Z42"/>
    </row>
    <row r="43" s="30" customFormat="1" spans="1:26">
      <c r="A43" s="92" t="str">
        <f t="shared" si="34"/>
        <v>I-132</v>
      </c>
      <c r="B43" s="98" t="e">
        <f t="shared" si="50"/>
        <v>#REF!</v>
      </c>
      <c r="C43" s="98" t="e">
        <f t="shared" si="35"/>
        <v>#REF!</v>
      </c>
      <c r="D43" s="98" t="e">
        <f t="shared" si="36"/>
        <v>#REF!</v>
      </c>
      <c r="E43" s="98" t="e">
        <f t="shared" si="37"/>
        <v>#REF!</v>
      </c>
      <c r="F43" s="98" t="e">
        <f t="shared" si="38"/>
        <v>#REF!</v>
      </c>
      <c r="G43" s="98" t="e">
        <f t="shared" si="39"/>
        <v>#REF!</v>
      </c>
      <c r="H43" s="98" t="e">
        <f t="shared" si="40"/>
        <v>#REF!</v>
      </c>
      <c r="I43" s="98" t="e">
        <f t="shared" si="41"/>
        <v>#REF!</v>
      </c>
      <c r="J43" s="98" t="e">
        <f t="shared" si="42"/>
        <v>#REF!</v>
      </c>
      <c r="K43" s="98" t="e">
        <f t="shared" si="43"/>
        <v>#REF!</v>
      </c>
      <c r="L43" s="98" t="e">
        <f t="shared" si="44"/>
        <v>#REF!</v>
      </c>
      <c r="M43" s="98" t="e">
        <f t="shared" si="45"/>
        <v>#REF!</v>
      </c>
      <c r="N43" s="98" t="e">
        <f t="shared" si="46"/>
        <v>#REF!</v>
      </c>
      <c r="O43" s="98" t="e">
        <f t="shared" si="47"/>
        <v>#REF!</v>
      </c>
      <c r="P43" s="98" t="e">
        <f t="shared" si="48"/>
        <v>#REF!</v>
      </c>
      <c r="Q43" s="98" t="e">
        <f t="shared" si="49"/>
        <v>#REF!</v>
      </c>
      <c r="Z43"/>
    </row>
    <row r="44" s="30" customFormat="1" spans="1:26">
      <c r="A44" s="92" t="str">
        <f t="shared" si="34"/>
        <v>I-133</v>
      </c>
      <c r="B44" s="98" t="e">
        <f t="shared" si="50"/>
        <v>#REF!</v>
      </c>
      <c r="C44" s="98" t="e">
        <f t="shared" si="35"/>
        <v>#REF!</v>
      </c>
      <c r="D44" s="98" t="e">
        <f t="shared" si="36"/>
        <v>#REF!</v>
      </c>
      <c r="E44" s="98" t="e">
        <f t="shared" si="37"/>
        <v>#REF!</v>
      </c>
      <c r="F44" s="98" t="e">
        <f t="shared" si="38"/>
        <v>#REF!</v>
      </c>
      <c r="G44" s="98" t="e">
        <f t="shared" si="39"/>
        <v>#REF!</v>
      </c>
      <c r="H44" s="98" t="e">
        <f t="shared" si="40"/>
        <v>#REF!</v>
      </c>
      <c r="I44" s="98" t="e">
        <f t="shared" si="41"/>
        <v>#REF!</v>
      </c>
      <c r="J44" s="98" t="e">
        <f t="shared" si="42"/>
        <v>#REF!</v>
      </c>
      <c r="K44" s="98" t="e">
        <f t="shared" si="43"/>
        <v>#REF!</v>
      </c>
      <c r="L44" s="98" t="e">
        <f t="shared" si="44"/>
        <v>#REF!</v>
      </c>
      <c r="M44" s="98" t="e">
        <f t="shared" si="45"/>
        <v>#REF!</v>
      </c>
      <c r="N44" s="98" t="e">
        <f t="shared" si="46"/>
        <v>#REF!</v>
      </c>
      <c r="O44" s="98" t="e">
        <f t="shared" si="47"/>
        <v>#REF!</v>
      </c>
      <c r="P44" s="98" t="e">
        <f t="shared" si="48"/>
        <v>#REF!</v>
      </c>
      <c r="Q44" s="98" t="e">
        <f t="shared" si="49"/>
        <v>#REF!</v>
      </c>
      <c r="Z44"/>
    </row>
    <row r="45" s="30" customFormat="1" spans="1:26">
      <c r="A45" s="92" t="str">
        <f t="shared" si="34"/>
        <v>I-134</v>
      </c>
      <c r="B45" s="98" t="e">
        <f t="shared" si="50"/>
        <v>#REF!</v>
      </c>
      <c r="C45" s="98" t="e">
        <f t="shared" si="35"/>
        <v>#REF!</v>
      </c>
      <c r="D45" s="98" t="e">
        <f t="shared" si="36"/>
        <v>#REF!</v>
      </c>
      <c r="E45" s="98" t="e">
        <f t="shared" si="37"/>
        <v>#REF!</v>
      </c>
      <c r="F45" s="98" t="e">
        <f t="shared" si="38"/>
        <v>#REF!</v>
      </c>
      <c r="G45" s="98" t="e">
        <f t="shared" si="39"/>
        <v>#REF!</v>
      </c>
      <c r="H45" s="98" t="e">
        <f t="shared" si="40"/>
        <v>#REF!</v>
      </c>
      <c r="I45" s="98" t="e">
        <f t="shared" si="41"/>
        <v>#REF!</v>
      </c>
      <c r="J45" s="98" t="e">
        <f t="shared" si="42"/>
        <v>#REF!</v>
      </c>
      <c r="K45" s="98" t="e">
        <f t="shared" si="43"/>
        <v>#REF!</v>
      </c>
      <c r="L45" s="98" t="e">
        <f t="shared" si="44"/>
        <v>#REF!</v>
      </c>
      <c r="M45" s="98" t="e">
        <f t="shared" si="45"/>
        <v>#REF!</v>
      </c>
      <c r="N45" s="98" t="e">
        <f t="shared" si="46"/>
        <v>#REF!</v>
      </c>
      <c r="O45" s="98" t="e">
        <f t="shared" si="47"/>
        <v>#REF!</v>
      </c>
      <c r="P45" s="98" t="e">
        <f t="shared" si="48"/>
        <v>#REF!</v>
      </c>
      <c r="Q45" s="98" t="e">
        <f t="shared" si="49"/>
        <v>#REF!</v>
      </c>
      <c r="Z45"/>
    </row>
    <row r="46" s="30" customFormat="1" spans="1:26">
      <c r="A46" s="92" t="str">
        <f t="shared" si="34"/>
        <v>I-135</v>
      </c>
      <c r="B46" s="98" t="e">
        <f t="shared" si="50"/>
        <v>#REF!</v>
      </c>
      <c r="C46" s="98" t="e">
        <f t="shared" si="35"/>
        <v>#REF!</v>
      </c>
      <c r="D46" s="98" t="e">
        <f t="shared" si="36"/>
        <v>#REF!</v>
      </c>
      <c r="E46" s="98" t="e">
        <f t="shared" si="37"/>
        <v>#REF!</v>
      </c>
      <c r="F46" s="98" t="e">
        <f t="shared" si="38"/>
        <v>#REF!</v>
      </c>
      <c r="G46" s="98" t="e">
        <f t="shared" si="39"/>
        <v>#REF!</v>
      </c>
      <c r="H46" s="98" t="e">
        <f t="shared" si="40"/>
        <v>#REF!</v>
      </c>
      <c r="I46" s="98" t="e">
        <f t="shared" si="41"/>
        <v>#REF!</v>
      </c>
      <c r="J46" s="98" t="e">
        <f t="shared" si="42"/>
        <v>#REF!</v>
      </c>
      <c r="K46" s="98" t="e">
        <f t="shared" si="43"/>
        <v>#REF!</v>
      </c>
      <c r="L46" s="98" t="e">
        <f t="shared" si="44"/>
        <v>#REF!</v>
      </c>
      <c r="M46" s="98" t="e">
        <f t="shared" si="45"/>
        <v>#REF!</v>
      </c>
      <c r="N46" s="98" t="e">
        <f t="shared" si="46"/>
        <v>#REF!</v>
      </c>
      <c r="O46" s="98" t="e">
        <f t="shared" si="47"/>
        <v>#REF!</v>
      </c>
      <c r="P46" s="98" t="e">
        <f t="shared" si="48"/>
        <v>#REF!</v>
      </c>
      <c r="Q46" s="98" t="e">
        <f t="shared" si="49"/>
        <v>#REF!</v>
      </c>
      <c r="Z46"/>
    </row>
    <row r="47" s="30" customFormat="1" spans="1:26">
      <c r="A47" s="92" t="str">
        <f t="shared" si="34"/>
        <v>Sr-89</v>
      </c>
      <c r="B47" s="98" t="e">
        <f t="shared" si="50"/>
        <v>#REF!</v>
      </c>
      <c r="C47" s="98" t="e">
        <f t="shared" si="35"/>
        <v>#REF!</v>
      </c>
      <c r="D47" s="98" t="e">
        <f t="shared" si="36"/>
        <v>#REF!</v>
      </c>
      <c r="E47" s="98" t="e">
        <f t="shared" si="37"/>
        <v>#REF!</v>
      </c>
      <c r="F47" s="98" t="e">
        <f t="shared" si="38"/>
        <v>#REF!</v>
      </c>
      <c r="G47" s="98" t="e">
        <f t="shared" si="39"/>
        <v>#REF!</v>
      </c>
      <c r="H47" s="98" t="e">
        <f t="shared" si="40"/>
        <v>#REF!</v>
      </c>
      <c r="I47" s="98" t="e">
        <f t="shared" si="41"/>
        <v>#REF!</v>
      </c>
      <c r="J47" s="98" t="e">
        <f t="shared" si="42"/>
        <v>#REF!</v>
      </c>
      <c r="K47" s="98" t="e">
        <f t="shared" si="43"/>
        <v>#REF!</v>
      </c>
      <c r="L47" s="98" t="e">
        <f t="shared" si="44"/>
        <v>#REF!</v>
      </c>
      <c r="M47" s="98" t="e">
        <f t="shared" si="45"/>
        <v>#REF!</v>
      </c>
      <c r="N47" s="98" t="e">
        <f t="shared" si="46"/>
        <v>#REF!</v>
      </c>
      <c r="O47" s="98" t="e">
        <f t="shared" si="47"/>
        <v>#REF!</v>
      </c>
      <c r="P47" s="98" t="e">
        <f t="shared" si="48"/>
        <v>#REF!</v>
      </c>
      <c r="Q47" s="98" t="e">
        <f t="shared" si="49"/>
        <v>#REF!</v>
      </c>
      <c r="Z47"/>
    </row>
    <row r="48" s="30" customFormat="1" spans="1:26">
      <c r="A48" s="92" t="str">
        <f t="shared" si="34"/>
        <v>Sr-90</v>
      </c>
      <c r="B48" s="98" t="e">
        <f t="shared" si="50"/>
        <v>#REF!</v>
      </c>
      <c r="C48" s="98" t="e">
        <f t="shared" si="35"/>
        <v>#REF!</v>
      </c>
      <c r="D48" s="98" t="e">
        <f t="shared" si="36"/>
        <v>#REF!</v>
      </c>
      <c r="E48" s="98" t="e">
        <f t="shared" si="37"/>
        <v>#REF!</v>
      </c>
      <c r="F48" s="98" t="e">
        <f t="shared" si="38"/>
        <v>#REF!</v>
      </c>
      <c r="G48" s="98" t="e">
        <f t="shared" si="39"/>
        <v>#REF!</v>
      </c>
      <c r="H48" s="98" t="e">
        <f t="shared" si="40"/>
        <v>#REF!</v>
      </c>
      <c r="I48" s="98" t="e">
        <f t="shared" si="41"/>
        <v>#REF!</v>
      </c>
      <c r="J48" s="98" t="e">
        <f t="shared" si="42"/>
        <v>#REF!</v>
      </c>
      <c r="K48" s="98" t="e">
        <f t="shared" si="43"/>
        <v>#REF!</v>
      </c>
      <c r="L48" s="98" t="e">
        <f t="shared" si="44"/>
        <v>#REF!</v>
      </c>
      <c r="M48" s="98" t="e">
        <f t="shared" si="45"/>
        <v>#REF!</v>
      </c>
      <c r="N48" s="98" t="e">
        <f t="shared" si="46"/>
        <v>#REF!</v>
      </c>
      <c r="O48" s="98" t="e">
        <f t="shared" si="47"/>
        <v>#REF!</v>
      </c>
      <c r="P48" s="98" t="e">
        <f t="shared" si="48"/>
        <v>#REF!</v>
      </c>
      <c r="Q48" s="98" t="e">
        <f t="shared" si="49"/>
        <v>#REF!</v>
      </c>
      <c r="Z48"/>
    </row>
    <row r="49" s="30" customFormat="1" spans="1:26">
      <c r="A49" s="92" t="str">
        <f t="shared" si="34"/>
        <v>Cs-134</v>
      </c>
      <c r="B49" s="98" t="e">
        <f t="shared" si="50"/>
        <v>#REF!</v>
      </c>
      <c r="C49" s="98" t="e">
        <f t="shared" si="35"/>
        <v>#REF!</v>
      </c>
      <c r="D49" s="98" t="e">
        <f t="shared" si="36"/>
        <v>#REF!</v>
      </c>
      <c r="E49" s="98" t="e">
        <f t="shared" si="37"/>
        <v>#REF!</v>
      </c>
      <c r="F49" s="98" t="e">
        <f t="shared" si="38"/>
        <v>#REF!</v>
      </c>
      <c r="G49" s="98" t="e">
        <f t="shared" si="39"/>
        <v>#REF!</v>
      </c>
      <c r="H49" s="98" t="e">
        <f t="shared" si="40"/>
        <v>#REF!</v>
      </c>
      <c r="I49" s="98" t="e">
        <f t="shared" si="41"/>
        <v>#REF!</v>
      </c>
      <c r="J49" s="98" t="e">
        <f t="shared" si="42"/>
        <v>#REF!</v>
      </c>
      <c r="K49" s="98" t="e">
        <f t="shared" si="43"/>
        <v>#REF!</v>
      </c>
      <c r="L49" s="98" t="e">
        <f t="shared" si="44"/>
        <v>#REF!</v>
      </c>
      <c r="M49" s="98" t="e">
        <f t="shared" si="45"/>
        <v>#REF!</v>
      </c>
      <c r="N49" s="98" t="e">
        <f t="shared" si="46"/>
        <v>#REF!</v>
      </c>
      <c r="O49" s="98" t="e">
        <f t="shared" si="47"/>
        <v>#REF!</v>
      </c>
      <c r="P49" s="98" t="e">
        <f t="shared" si="48"/>
        <v>#REF!</v>
      </c>
      <c r="Q49" s="98" t="e">
        <f t="shared" si="49"/>
        <v>#REF!</v>
      </c>
      <c r="Z49"/>
    </row>
    <row r="50" s="30" customFormat="1" spans="1:26">
      <c r="A50" s="92" t="str">
        <f t="shared" si="34"/>
        <v>Cs-137</v>
      </c>
      <c r="B50" s="98" t="e">
        <f t="shared" si="50"/>
        <v>#REF!</v>
      </c>
      <c r="C50" s="98" t="e">
        <f t="shared" si="35"/>
        <v>#REF!</v>
      </c>
      <c r="D50" s="98" t="e">
        <f t="shared" si="36"/>
        <v>#REF!</v>
      </c>
      <c r="E50" s="98" t="e">
        <f t="shared" si="37"/>
        <v>#REF!</v>
      </c>
      <c r="F50" s="98" t="e">
        <f t="shared" si="38"/>
        <v>#REF!</v>
      </c>
      <c r="G50" s="98" t="e">
        <f t="shared" si="39"/>
        <v>#REF!</v>
      </c>
      <c r="H50" s="98" t="e">
        <f t="shared" si="40"/>
        <v>#REF!</v>
      </c>
      <c r="I50" s="98" t="e">
        <f t="shared" si="41"/>
        <v>#REF!</v>
      </c>
      <c r="J50" s="98" t="e">
        <f t="shared" si="42"/>
        <v>#REF!</v>
      </c>
      <c r="K50" s="98" t="e">
        <f t="shared" si="43"/>
        <v>#REF!</v>
      </c>
      <c r="L50" s="98" t="e">
        <f t="shared" si="44"/>
        <v>#REF!</v>
      </c>
      <c r="M50" s="98" t="e">
        <f t="shared" si="45"/>
        <v>#REF!</v>
      </c>
      <c r="N50" s="98" t="e">
        <f t="shared" si="46"/>
        <v>#REF!</v>
      </c>
      <c r="O50" s="98" t="e">
        <f t="shared" si="47"/>
        <v>#REF!</v>
      </c>
      <c r="P50" s="98" t="e">
        <f t="shared" si="48"/>
        <v>#REF!</v>
      </c>
      <c r="Q50" s="98" t="e">
        <f t="shared" si="49"/>
        <v>#REF!</v>
      </c>
      <c r="Z50"/>
    </row>
    <row r="51" s="30" customFormat="1" spans="1:26">
      <c r="A51" s="92" t="str">
        <f t="shared" si="34"/>
        <v>Ag-110m</v>
      </c>
      <c r="B51" s="98" t="e">
        <f t="shared" si="50"/>
        <v>#REF!</v>
      </c>
      <c r="C51" s="98" t="e">
        <f t="shared" si="35"/>
        <v>#REF!</v>
      </c>
      <c r="D51" s="98" t="e">
        <f t="shared" si="36"/>
        <v>#REF!</v>
      </c>
      <c r="E51" s="98" t="e">
        <f t="shared" si="37"/>
        <v>#REF!</v>
      </c>
      <c r="F51" s="98" t="e">
        <f t="shared" si="38"/>
        <v>#REF!</v>
      </c>
      <c r="G51" s="98" t="e">
        <f t="shared" si="39"/>
        <v>#REF!</v>
      </c>
      <c r="H51" s="98" t="e">
        <f t="shared" si="40"/>
        <v>#REF!</v>
      </c>
      <c r="I51" s="98" t="e">
        <f t="shared" si="41"/>
        <v>#REF!</v>
      </c>
      <c r="J51" s="98" t="e">
        <f t="shared" si="42"/>
        <v>#REF!</v>
      </c>
      <c r="K51" s="98" t="e">
        <f t="shared" si="43"/>
        <v>#REF!</v>
      </c>
      <c r="L51" s="98" t="e">
        <f t="shared" si="44"/>
        <v>#REF!</v>
      </c>
      <c r="M51" s="98" t="e">
        <f t="shared" si="45"/>
        <v>#REF!</v>
      </c>
      <c r="N51" s="98" t="e">
        <f t="shared" si="46"/>
        <v>#REF!</v>
      </c>
      <c r="O51" s="98" t="e">
        <f t="shared" si="47"/>
        <v>#REF!</v>
      </c>
      <c r="P51" s="98" t="e">
        <f t="shared" si="48"/>
        <v>#REF!</v>
      </c>
      <c r="Q51" s="98" t="e">
        <f t="shared" si="49"/>
        <v>#REF!</v>
      </c>
      <c r="Z51"/>
    </row>
    <row r="52" s="30" customFormat="1" spans="1:26">
      <c r="A52" s="92" t="str">
        <f t="shared" si="34"/>
        <v>H-3</v>
      </c>
      <c r="B52" s="98" t="e">
        <f t="shared" si="50"/>
        <v>#REF!</v>
      </c>
      <c r="C52" s="98" t="e">
        <f t="shared" si="35"/>
        <v>#REF!</v>
      </c>
      <c r="D52" s="98" t="e">
        <f t="shared" si="36"/>
        <v>#REF!</v>
      </c>
      <c r="E52" s="98" t="e">
        <f t="shared" si="37"/>
        <v>#REF!</v>
      </c>
      <c r="F52" s="98" t="e">
        <f t="shared" si="38"/>
        <v>#REF!</v>
      </c>
      <c r="G52" s="98" t="e">
        <f t="shared" si="39"/>
        <v>#REF!</v>
      </c>
      <c r="H52" s="98" t="e">
        <f t="shared" si="40"/>
        <v>#REF!</v>
      </c>
      <c r="I52" s="98" t="e">
        <f t="shared" si="41"/>
        <v>#REF!</v>
      </c>
      <c r="J52" s="98" t="e">
        <f t="shared" si="42"/>
        <v>#REF!</v>
      </c>
      <c r="K52" s="98" t="e">
        <f t="shared" si="43"/>
        <v>#REF!</v>
      </c>
      <c r="L52" s="98" t="e">
        <f t="shared" si="44"/>
        <v>#REF!</v>
      </c>
      <c r="M52" s="98" t="e">
        <f t="shared" si="45"/>
        <v>#REF!</v>
      </c>
      <c r="N52" s="98" t="e">
        <f t="shared" si="46"/>
        <v>#REF!</v>
      </c>
      <c r="O52" s="98" t="e">
        <f t="shared" si="47"/>
        <v>#REF!</v>
      </c>
      <c r="P52" s="98" t="e">
        <f t="shared" si="48"/>
        <v>#REF!</v>
      </c>
      <c r="Q52" s="98" t="e">
        <f t="shared" si="49"/>
        <v>#REF!</v>
      </c>
      <c r="Z52"/>
    </row>
    <row r="53" s="30" customFormat="1" spans="1:26">
      <c r="A53" s="92" t="str">
        <f t="shared" si="34"/>
        <v>C-14</v>
      </c>
      <c r="B53" s="98" t="e">
        <f t="shared" si="50"/>
        <v>#REF!</v>
      </c>
      <c r="C53" s="98" t="e">
        <f t="shared" si="35"/>
        <v>#REF!</v>
      </c>
      <c r="D53" s="98" t="e">
        <f t="shared" si="36"/>
        <v>#REF!</v>
      </c>
      <c r="E53" s="98" t="e">
        <f t="shared" si="37"/>
        <v>#REF!</v>
      </c>
      <c r="F53" s="98" t="e">
        <f t="shared" si="38"/>
        <v>#REF!</v>
      </c>
      <c r="G53" s="98" t="e">
        <f t="shared" si="39"/>
        <v>#REF!</v>
      </c>
      <c r="H53" s="98" t="e">
        <f t="shared" si="40"/>
        <v>#REF!</v>
      </c>
      <c r="I53" s="98" t="e">
        <f t="shared" si="41"/>
        <v>#REF!</v>
      </c>
      <c r="J53" s="98" t="e">
        <f t="shared" si="42"/>
        <v>#REF!</v>
      </c>
      <c r="K53" s="98" t="e">
        <f t="shared" si="43"/>
        <v>#REF!</v>
      </c>
      <c r="L53" s="98" t="e">
        <f t="shared" si="44"/>
        <v>#REF!</v>
      </c>
      <c r="M53" s="98" t="e">
        <f t="shared" si="45"/>
        <v>#REF!</v>
      </c>
      <c r="N53" s="98" t="e">
        <f t="shared" si="46"/>
        <v>#REF!</v>
      </c>
      <c r="O53" s="98" t="e">
        <f t="shared" si="47"/>
        <v>#REF!</v>
      </c>
      <c r="P53" s="98" t="e">
        <f t="shared" si="48"/>
        <v>#REF!</v>
      </c>
      <c r="Q53" s="98" t="e">
        <f t="shared" si="49"/>
        <v>#REF!</v>
      </c>
      <c r="Z53"/>
    </row>
    <row r="54" s="30" customFormat="1" spans="1:26">
      <c r="A54" s="92" t="str">
        <f t="shared" si="34"/>
        <v>Co-60</v>
      </c>
      <c r="B54" s="98" t="e">
        <f t="shared" si="50"/>
        <v>#REF!</v>
      </c>
      <c r="C54" s="98" t="e">
        <f t="shared" si="35"/>
        <v>#REF!</v>
      </c>
      <c r="D54" s="98" t="e">
        <f t="shared" si="36"/>
        <v>#REF!</v>
      </c>
      <c r="E54" s="98" t="e">
        <f t="shared" si="37"/>
        <v>#REF!</v>
      </c>
      <c r="F54" s="98" t="e">
        <f t="shared" si="38"/>
        <v>#REF!</v>
      </c>
      <c r="G54" s="98" t="e">
        <f t="shared" si="39"/>
        <v>#REF!</v>
      </c>
      <c r="H54" s="98" t="e">
        <f t="shared" si="40"/>
        <v>#REF!</v>
      </c>
      <c r="I54" s="98" t="e">
        <f t="shared" si="41"/>
        <v>#REF!</v>
      </c>
      <c r="J54" s="98" t="e">
        <f t="shared" si="42"/>
        <v>#REF!</v>
      </c>
      <c r="K54" s="98" t="e">
        <f t="shared" si="43"/>
        <v>#REF!</v>
      </c>
      <c r="L54" s="98" t="e">
        <f t="shared" si="44"/>
        <v>#REF!</v>
      </c>
      <c r="M54" s="98" t="e">
        <f t="shared" si="45"/>
        <v>#REF!</v>
      </c>
      <c r="N54" s="98" t="e">
        <f t="shared" si="46"/>
        <v>#REF!</v>
      </c>
      <c r="O54" s="98" t="e">
        <f t="shared" si="47"/>
        <v>#REF!</v>
      </c>
      <c r="P54" s="98" t="e">
        <f t="shared" si="48"/>
        <v>#REF!</v>
      </c>
      <c r="Q54" s="98" t="e">
        <f t="shared" si="49"/>
        <v>#REF!</v>
      </c>
      <c r="Z54"/>
    </row>
    <row r="55" s="30" customFormat="1" spans="1:26">
      <c r="A55" s="92" t="str">
        <f t="shared" si="34"/>
        <v>Ar-41</v>
      </c>
      <c r="B55" s="98" t="e">
        <f t="shared" si="50"/>
        <v>#REF!</v>
      </c>
      <c r="C55" s="98" t="e">
        <f t="shared" si="35"/>
        <v>#REF!</v>
      </c>
      <c r="D55" s="98" t="e">
        <f t="shared" si="36"/>
        <v>#REF!</v>
      </c>
      <c r="E55" s="98" t="e">
        <f t="shared" si="37"/>
        <v>#REF!</v>
      </c>
      <c r="F55" s="98" t="e">
        <f t="shared" si="38"/>
        <v>#REF!</v>
      </c>
      <c r="G55" s="98" t="e">
        <f t="shared" si="39"/>
        <v>#REF!</v>
      </c>
      <c r="H55" s="98" t="e">
        <f t="shared" si="40"/>
        <v>#REF!</v>
      </c>
      <c r="I55" s="98" t="e">
        <f t="shared" si="41"/>
        <v>#REF!</v>
      </c>
      <c r="J55" s="98" t="e">
        <f t="shared" si="42"/>
        <v>#REF!</v>
      </c>
      <c r="K55" s="98" t="e">
        <f t="shared" si="43"/>
        <v>#REF!</v>
      </c>
      <c r="L55" s="98" t="e">
        <f t="shared" si="44"/>
        <v>#REF!</v>
      </c>
      <c r="M55" s="98" t="e">
        <f t="shared" si="45"/>
        <v>#REF!</v>
      </c>
      <c r="N55" s="98" t="e">
        <f t="shared" si="46"/>
        <v>#REF!</v>
      </c>
      <c r="O55" s="98" t="e">
        <f t="shared" si="47"/>
        <v>#REF!</v>
      </c>
      <c r="P55" s="98" t="e">
        <f t="shared" si="48"/>
        <v>#REF!</v>
      </c>
      <c r="Q55" s="98" t="e">
        <f t="shared" si="49"/>
        <v>#REF!</v>
      </c>
      <c r="Z55"/>
    </row>
    <row r="56" s="30" customFormat="1" spans="1:26">
      <c r="A56" s="92" t="s">
        <v>4534</v>
      </c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Z56"/>
    </row>
    <row r="57" s="30" customFormat="1" spans="1:26">
      <c r="A57" s="92" t="str">
        <f t="shared" ref="A57:A79" si="51">A33</f>
        <v>Kr-83m</v>
      </c>
      <c r="B57" s="98" t="e">
        <f t="shared" ref="B57:B79" si="52">($B5*$Q$5*$Q$3+$C5*$R$5*$R$3+$D5*$S$5*$S$3+$E5*$T$5*$T$3+$F5*$U$5*$U$3)*$J5</f>
        <v>#REF!</v>
      </c>
      <c r="C57" s="98" t="e">
        <f t="shared" ref="C57:C79" si="53">($B5*$Q$6*$Q$3+$C5*$R$6*$R$3+$D5*$S$6*$S$3+$E5*$T$6*$T$3+$F5*$U$6*$U$3)*$J5</f>
        <v>#REF!</v>
      </c>
      <c r="D57" s="98" t="e">
        <f t="shared" ref="D57:D79" si="54">($B5*$Q$7*$Q$3+$C5*$R$7*$R$3+$D5*$S$7*$S$3+$E5*$T$7*$T$3+$F5*$U$7*$U$3)*$J5</f>
        <v>#REF!</v>
      </c>
      <c r="E57" s="98" t="e">
        <f t="shared" ref="E57:E79" si="55">($B5*$Q$8*$Q$3+$C5*$R$8*$R$3+$D5*$S$8*$S$3+$E5*$T$8*$T$3+$F5*$U$8*$U$3)*$J5</f>
        <v>#REF!</v>
      </c>
      <c r="F57" s="98" t="e">
        <f t="shared" ref="F57:F79" si="56">($B5*$Q$9*$Q$3+$C5*$R$9*$R$3+$D5*$S$9*$S$3+$E5*$T$9*$T$3+$F5*$U$9*$U$3)*$J5</f>
        <v>#REF!</v>
      </c>
      <c r="G57" s="98" t="e">
        <f t="shared" ref="G57:G79" si="57">($B5*$Q$10*$Q$3+$C5*$R$10*$R$3+$D5*$S$10*$S$3+$E5*$T$10*$T$3+$F5*$U$10*$U$3)*$J5</f>
        <v>#REF!</v>
      </c>
      <c r="H57" s="98" t="e">
        <f t="shared" ref="H57:H79" si="58">($B5*$Q$11*$Q$3+$C5*$R$11*$R$3+$D5*$S$11*$S$3+$E5*$T$11*$T$3+$F5*$U$11*$U$3)*$J5</f>
        <v>#REF!</v>
      </c>
      <c r="I57" s="98" t="e">
        <f t="shared" ref="I57:I79" si="59">($B5*$Q$12*$Q$3+$C5*$R$12*$R$3+$D5*$S$12*$S$3+$E5*$T$12*$T$3+$F5*$U$12*$U$3)*$J5</f>
        <v>#REF!</v>
      </c>
      <c r="J57" s="98" t="e">
        <f t="shared" ref="J57:J79" si="60">($B5*$Q$13*$Q$3+$C5*$R$13*$R$3+$D5*$S$13*$S$3+$E5*$T$13*$T$3+$F5*$U$13*$U$3)*$J5</f>
        <v>#REF!</v>
      </c>
      <c r="K57" s="98" t="e">
        <f t="shared" ref="K57:K79" si="61">($B5*$Q$14*$Q$3+$C5*$R$14*$R$3+$D5*$S$14*$S$3+$E5*$T$14*$T$3+$F5*$U$14*$U$3)*$J5</f>
        <v>#REF!</v>
      </c>
      <c r="L57" s="98" t="e">
        <f t="shared" ref="L57:L79" si="62">($B5*$Q$15*$Q$3+$C5*$R$15*$R$3+$D5*$S$15*$S$3+$E5*$T$15*$T$3+$F5*$U$15*$U$3)*$J5</f>
        <v>#REF!</v>
      </c>
      <c r="M57" s="98" t="e">
        <f t="shared" ref="M57:M79" si="63">($B5*$Q$16*$Q$3+$C5*$R$16*$R$3+$D5*$S$16*$S$3+$E5*$T$16*$T$3+$F5*$U$16*$U$3)*$J5</f>
        <v>#REF!</v>
      </c>
      <c r="N57" s="98" t="e">
        <f t="shared" ref="N57:N79" si="64">($B5*$Q$17*$Q$3+$C5*$R$17*$R$3+$D5*$S$17*$S$3+$E5*$T$17*$T$3+$F5*$U$17*$U$3)*$J5</f>
        <v>#REF!</v>
      </c>
      <c r="O57" s="98" t="e">
        <f t="shared" ref="O57:O79" si="65">($B5*$Q$18*$Q$3+$C5*$R$18*$R$3+$D5*$S$18*$S$3+$E5*$T$18*$T$3+$F5*$U$18*$U$3)*$J5</f>
        <v>#REF!</v>
      </c>
      <c r="P57" s="98" t="e">
        <f t="shared" ref="P57:P79" si="66">($B5*$Q$19*$Q$3+$C5*$R$19*$R$3+$D5*$S$19*$S$3+$E5*$T$19*$T$3+$F5*$U$19*$U$3)*$J5</f>
        <v>#REF!</v>
      </c>
      <c r="Q57" s="98" t="e">
        <f t="shared" ref="Q57:Q79" si="67">($B5*$Q$20*$Q$3+$C5*$R$20*$R$3+$D5*$S$20*$S$3+$E5*$T$20*$T$3+$F5*$U$20*$U$3)*$J5</f>
        <v>#REF!</v>
      </c>
      <c r="U57" s="30" t="str">
        <f>A57</f>
        <v>Kr-83m</v>
      </c>
      <c r="V57" s="105" t="e">
        <f>ROUND((B33+B57+B81)/B$105*100,2)</f>
        <v>#REF!</v>
      </c>
      <c r="W57" s="105" t="e">
        <f t="shared" ref="W57:W79" si="68">ROUND((C33+C57+C81)/C$105*100,2)</f>
        <v>#REF!</v>
      </c>
      <c r="X57" s="105" t="e">
        <f t="shared" ref="X57:X79" si="69">ROUND((D33+D57+D81)/D$105*100,2)</f>
        <v>#REF!</v>
      </c>
      <c r="Y57" s="105" t="e">
        <f t="shared" ref="Y57:Y79" si="70">ROUND((E33+E57+E81)/E$105*100,2)</f>
        <v>#REF!</v>
      </c>
      <c r="Z57"/>
    </row>
    <row r="58" s="30" customFormat="1" spans="1:26">
      <c r="A58" s="92" t="str">
        <f t="shared" si="51"/>
        <v>Kr-85</v>
      </c>
      <c r="B58" s="98" t="e">
        <f t="shared" si="52"/>
        <v>#REF!</v>
      </c>
      <c r="C58" s="98" t="e">
        <f t="shared" si="53"/>
        <v>#REF!</v>
      </c>
      <c r="D58" s="98" t="e">
        <f t="shared" si="54"/>
        <v>#REF!</v>
      </c>
      <c r="E58" s="98" t="e">
        <f t="shared" si="55"/>
        <v>#REF!</v>
      </c>
      <c r="F58" s="98" t="e">
        <f t="shared" si="56"/>
        <v>#REF!</v>
      </c>
      <c r="G58" s="98" t="e">
        <f t="shared" si="57"/>
        <v>#REF!</v>
      </c>
      <c r="H58" s="98" t="e">
        <f t="shared" si="58"/>
        <v>#REF!</v>
      </c>
      <c r="I58" s="98" t="e">
        <f t="shared" si="59"/>
        <v>#REF!</v>
      </c>
      <c r="J58" s="98" t="e">
        <f t="shared" si="60"/>
        <v>#REF!</v>
      </c>
      <c r="K58" s="98" t="e">
        <f t="shared" si="61"/>
        <v>#REF!</v>
      </c>
      <c r="L58" s="98" t="e">
        <f t="shared" si="62"/>
        <v>#REF!</v>
      </c>
      <c r="M58" s="98" t="e">
        <f t="shared" si="63"/>
        <v>#REF!</v>
      </c>
      <c r="N58" s="98" t="e">
        <f t="shared" si="64"/>
        <v>#REF!</v>
      </c>
      <c r="O58" s="98" t="e">
        <f t="shared" si="65"/>
        <v>#REF!</v>
      </c>
      <c r="P58" s="98" t="e">
        <f t="shared" si="66"/>
        <v>#REF!</v>
      </c>
      <c r="Q58" s="98" t="e">
        <f t="shared" si="67"/>
        <v>#REF!</v>
      </c>
      <c r="U58" s="30" t="str">
        <f t="shared" ref="U58:U79" si="71">A58</f>
        <v>Kr-85</v>
      </c>
      <c r="V58" s="105" t="e">
        <f t="shared" ref="V58:V79" si="72">ROUND((B34+B58+B82)/B$105*100,2)</f>
        <v>#REF!</v>
      </c>
      <c r="W58" s="105" t="e">
        <f t="shared" si="68"/>
        <v>#REF!</v>
      </c>
      <c r="X58" s="105" t="e">
        <f t="shared" si="69"/>
        <v>#REF!</v>
      </c>
      <c r="Y58" s="105" t="e">
        <f t="shared" si="70"/>
        <v>#REF!</v>
      </c>
      <c r="Z58"/>
    </row>
    <row r="59" s="30" customFormat="1" spans="1:26">
      <c r="A59" s="92" t="str">
        <f t="shared" si="51"/>
        <v>Kr-85m</v>
      </c>
      <c r="B59" s="98" t="e">
        <f t="shared" si="52"/>
        <v>#REF!</v>
      </c>
      <c r="C59" s="98" t="e">
        <f t="shared" si="53"/>
        <v>#REF!</v>
      </c>
      <c r="D59" s="98" t="e">
        <f t="shared" si="54"/>
        <v>#REF!</v>
      </c>
      <c r="E59" s="98" t="e">
        <f t="shared" si="55"/>
        <v>#REF!</v>
      </c>
      <c r="F59" s="98" t="e">
        <f t="shared" si="56"/>
        <v>#REF!</v>
      </c>
      <c r="G59" s="98" t="e">
        <f t="shared" si="57"/>
        <v>#REF!</v>
      </c>
      <c r="H59" s="98" t="e">
        <f t="shared" si="58"/>
        <v>#REF!</v>
      </c>
      <c r="I59" s="98" t="e">
        <f t="shared" si="59"/>
        <v>#REF!</v>
      </c>
      <c r="J59" s="98" t="e">
        <f t="shared" si="60"/>
        <v>#REF!</v>
      </c>
      <c r="K59" s="98" t="e">
        <f t="shared" si="61"/>
        <v>#REF!</v>
      </c>
      <c r="L59" s="98" t="e">
        <f t="shared" si="62"/>
        <v>#REF!</v>
      </c>
      <c r="M59" s="98" t="e">
        <f t="shared" si="63"/>
        <v>#REF!</v>
      </c>
      <c r="N59" s="98" t="e">
        <f t="shared" si="64"/>
        <v>#REF!</v>
      </c>
      <c r="O59" s="98" t="e">
        <f t="shared" si="65"/>
        <v>#REF!</v>
      </c>
      <c r="P59" s="98" t="e">
        <f t="shared" si="66"/>
        <v>#REF!</v>
      </c>
      <c r="Q59" s="98" t="e">
        <f t="shared" si="67"/>
        <v>#REF!</v>
      </c>
      <c r="U59" s="30" t="str">
        <f t="shared" si="71"/>
        <v>Kr-85m</v>
      </c>
      <c r="V59" s="105" t="e">
        <f t="shared" si="72"/>
        <v>#REF!</v>
      </c>
      <c r="W59" s="105" t="e">
        <f t="shared" si="68"/>
        <v>#REF!</v>
      </c>
      <c r="X59" s="105" t="e">
        <f t="shared" si="69"/>
        <v>#REF!</v>
      </c>
      <c r="Y59" s="105" t="e">
        <f t="shared" si="70"/>
        <v>#REF!</v>
      </c>
      <c r="Z59"/>
    </row>
    <row r="60" s="30" customFormat="1" spans="1:26">
      <c r="A60" s="92" t="str">
        <f t="shared" si="51"/>
        <v>Kr-87</v>
      </c>
      <c r="B60" s="98" t="e">
        <f t="shared" si="52"/>
        <v>#REF!</v>
      </c>
      <c r="C60" s="98" t="e">
        <f t="shared" si="53"/>
        <v>#REF!</v>
      </c>
      <c r="D60" s="98" t="e">
        <f t="shared" si="54"/>
        <v>#REF!</v>
      </c>
      <c r="E60" s="98" t="e">
        <f t="shared" si="55"/>
        <v>#REF!</v>
      </c>
      <c r="F60" s="98" t="e">
        <f t="shared" si="56"/>
        <v>#REF!</v>
      </c>
      <c r="G60" s="98" t="e">
        <f t="shared" si="57"/>
        <v>#REF!</v>
      </c>
      <c r="H60" s="98" t="e">
        <f t="shared" si="58"/>
        <v>#REF!</v>
      </c>
      <c r="I60" s="98" t="e">
        <f t="shared" si="59"/>
        <v>#REF!</v>
      </c>
      <c r="J60" s="98" t="e">
        <f t="shared" si="60"/>
        <v>#REF!</v>
      </c>
      <c r="K60" s="98" t="e">
        <f t="shared" si="61"/>
        <v>#REF!</v>
      </c>
      <c r="L60" s="98" t="e">
        <f t="shared" si="62"/>
        <v>#REF!</v>
      </c>
      <c r="M60" s="98" t="e">
        <f t="shared" si="63"/>
        <v>#REF!</v>
      </c>
      <c r="N60" s="98" t="e">
        <f t="shared" si="64"/>
        <v>#REF!</v>
      </c>
      <c r="O60" s="98" t="e">
        <f t="shared" si="65"/>
        <v>#REF!</v>
      </c>
      <c r="P60" s="98" t="e">
        <f t="shared" si="66"/>
        <v>#REF!</v>
      </c>
      <c r="Q60" s="98" t="e">
        <f t="shared" si="67"/>
        <v>#REF!</v>
      </c>
      <c r="U60" s="30" t="str">
        <f t="shared" si="71"/>
        <v>Kr-87</v>
      </c>
      <c r="V60" s="105" t="e">
        <f t="shared" si="72"/>
        <v>#REF!</v>
      </c>
      <c r="W60" s="105" t="e">
        <f t="shared" si="68"/>
        <v>#REF!</v>
      </c>
      <c r="X60" s="105" t="e">
        <f t="shared" si="69"/>
        <v>#REF!</v>
      </c>
      <c r="Y60" s="105" t="e">
        <f t="shared" si="70"/>
        <v>#REF!</v>
      </c>
      <c r="Z60"/>
    </row>
    <row r="61" s="30" customFormat="1" spans="1:26">
      <c r="A61" s="92" t="str">
        <f t="shared" si="51"/>
        <v>Kr-88</v>
      </c>
      <c r="B61" s="98" t="e">
        <f t="shared" si="52"/>
        <v>#REF!</v>
      </c>
      <c r="C61" s="98" t="e">
        <f t="shared" si="53"/>
        <v>#REF!</v>
      </c>
      <c r="D61" s="98" t="e">
        <f t="shared" si="54"/>
        <v>#REF!</v>
      </c>
      <c r="E61" s="98" t="e">
        <f t="shared" si="55"/>
        <v>#REF!</v>
      </c>
      <c r="F61" s="98" t="e">
        <f t="shared" si="56"/>
        <v>#REF!</v>
      </c>
      <c r="G61" s="98" t="e">
        <f t="shared" si="57"/>
        <v>#REF!</v>
      </c>
      <c r="H61" s="98" t="e">
        <f t="shared" si="58"/>
        <v>#REF!</v>
      </c>
      <c r="I61" s="98" t="e">
        <f t="shared" si="59"/>
        <v>#REF!</v>
      </c>
      <c r="J61" s="98" t="e">
        <f t="shared" si="60"/>
        <v>#REF!</v>
      </c>
      <c r="K61" s="98" t="e">
        <f t="shared" si="61"/>
        <v>#REF!</v>
      </c>
      <c r="L61" s="98" t="e">
        <f t="shared" si="62"/>
        <v>#REF!</v>
      </c>
      <c r="M61" s="98" t="e">
        <f t="shared" si="63"/>
        <v>#REF!</v>
      </c>
      <c r="N61" s="98" t="e">
        <f t="shared" si="64"/>
        <v>#REF!</v>
      </c>
      <c r="O61" s="98" t="e">
        <f t="shared" si="65"/>
        <v>#REF!</v>
      </c>
      <c r="P61" s="98" t="e">
        <f t="shared" si="66"/>
        <v>#REF!</v>
      </c>
      <c r="Q61" s="98" t="e">
        <f t="shared" si="67"/>
        <v>#REF!</v>
      </c>
      <c r="U61" s="30" t="str">
        <f t="shared" si="71"/>
        <v>Kr-88</v>
      </c>
      <c r="V61" s="105" t="e">
        <f t="shared" si="72"/>
        <v>#REF!</v>
      </c>
      <c r="W61" s="105" t="e">
        <f t="shared" si="68"/>
        <v>#REF!</v>
      </c>
      <c r="X61" s="105" t="e">
        <f t="shared" si="69"/>
        <v>#REF!</v>
      </c>
      <c r="Y61" s="105" t="e">
        <f t="shared" si="70"/>
        <v>#REF!</v>
      </c>
      <c r="Z61"/>
    </row>
    <row r="62" s="30" customFormat="1" spans="1:26">
      <c r="A62" s="92" t="str">
        <f t="shared" si="51"/>
        <v>Xe-131m</v>
      </c>
      <c r="B62" s="98" t="e">
        <f t="shared" si="52"/>
        <v>#REF!</v>
      </c>
      <c r="C62" s="98" t="e">
        <f t="shared" si="53"/>
        <v>#REF!</v>
      </c>
      <c r="D62" s="98" t="e">
        <f t="shared" si="54"/>
        <v>#REF!</v>
      </c>
      <c r="E62" s="98" t="e">
        <f t="shared" si="55"/>
        <v>#REF!</v>
      </c>
      <c r="F62" s="98" t="e">
        <f t="shared" si="56"/>
        <v>#REF!</v>
      </c>
      <c r="G62" s="98" t="e">
        <f t="shared" si="57"/>
        <v>#REF!</v>
      </c>
      <c r="H62" s="98" t="e">
        <f t="shared" si="58"/>
        <v>#REF!</v>
      </c>
      <c r="I62" s="98" t="e">
        <f t="shared" si="59"/>
        <v>#REF!</v>
      </c>
      <c r="J62" s="98" t="e">
        <f t="shared" si="60"/>
        <v>#REF!</v>
      </c>
      <c r="K62" s="98" t="e">
        <f t="shared" si="61"/>
        <v>#REF!</v>
      </c>
      <c r="L62" s="98" t="e">
        <f t="shared" si="62"/>
        <v>#REF!</v>
      </c>
      <c r="M62" s="98" t="e">
        <f t="shared" si="63"/>
        <v>#REF!</v>
      </c>
      <c r="N62" s="98" t="e">
        <f t="shared" si="64"/>
        <v>#REF!</v>
      </c>
      <c r="O62" s="98" t="e">
        <f t="shared" si="65"/>
        <v>#REF!</v>
      </c>
      <c r="P62" s="98" t="e">
        <f t="shared" si="66"/>
        <v>#REF!</v>
      </c>
      <c r="Q62" s="98" t="e">
        <f t="shared" si="67"/>
        <v>#REF!</v>
      </c>
      <c r="U62" s="30" t="str">
        <f t="shared" si="71"/>
        <v>Xe-131m</v>
      </c>
      <c r="V62" s="105" t="e">
        <f t="shared" si="72"/>
        <v>#REF!</v>
      </c>
      <c r="W62" s="105" t="e">
        <f t="shared" si="68"/>
        <v>#REF!</v>
      </c>
      <c r="X62" s="105" t="e">
        <f t="shared" si="69"/>
        <v>#REF!</v>
      </c>
      <c r="Y62" s="105" t="e">
        <f t="shared" si="70"/>
        <v>#REF!</v>
      </c>
      <c r="Z62"/>
    </row>
    <row r="63" s="30" customFormat="1" spans="1:25">
      <c r="A63" s="92" t="str">
        <f t="shared" si="51"/>
        <v>Xe-133</v>
      </c>
      <c r="B63" s="98" t="e">
        <f t="shared" si="52"/>
        <v>#REF!</v>
      </c>
      <c r="C63" s="98" t="e">
        <f t="shared" si="53"/>
        <v>#REF!</v>
      </c>
      <c r="D63" s="98" t="e">
        <f t="shared" si="54"/>
        <v>#REF!</v>
      </c>
      <c r="E63" s="98" t="e">
        <f t="shared" si="55"/>
        <v>#REF!</v>
      </c>
      <c r="F63" s="98" t="e">
        <f t="shared" si="56"/>
        <v>#REF!</v>
      </c>
      <c r="G63" s="98" t="e">
        <f t="shared" si="57"/>
        <v>#REF!</v>
      </c>
      <c r="H63" s="98" t="e">
        <f t="shared" si="58"/>
        <v>#REF!</v>
      </c>
      <c r="I63" s="98" t="e">
        <f t="shared" si="59"/>
        <v>#REF!</v>
      </c>
      <c r="J63" s="98" t="e">
        <f t="shared" si="60"/>
        <v>#REF!</v>
      </c>
      <c r="K63" s="98" t="e">
        <f t="shared" si="61"/>
        <v>#REF!</v>
      </c>
      <c r="L63" s="98" t="e">
        <f t="shared" si="62"/>
        <v>#REF!</v>
      </c>
      <c r="M63" s="98" t="e">
        <f t="shared" si="63"/>
        <v>#REF!</v>
      </c>
      <c r="N63" s="98" t="e">
        <f t="shared" si="64"/>
        <v>#REF!</v>
      </c>
      <c r="O63" s="98" t="e">
        <f t="shared" si="65"/>
        <v>#REF!</v>
      </c>
      <c r="P63" s="98" t="e">
        <f t="shared" si="66"/>
        <v>#REF!</v>
      </c>
      <c r="Q63" s="98" t="e">
        <f t="shared" si="67"/>
        <v>#REF!</v>
      </c>
      <c r="U63" s="30" t="str">
        <f t="shared" si="71"/>
        <v>Xe-133</v>
      </c>
      <c r="V63" s="105" t="e">
        <f t="shared" si="72"/>
        <v>#REF!</v>
      </c>
      <c r="W63" s="105" t="e">
        <f t="shared" si="68"/>
        <v>#REF!</v>
      </c>
      <c r="X63" s="105" t="e">
        <f t="shared" si="69"/>
        <v>#REF!</v>
      </c>
      <c r="Y63" s="105" t="e">
        <f t="shared" si="70"/>
        <v>#REF!</v>
      </c>
    </row>
    <row r="64" s="30" customFormat="1" spans="1:25">
      <c r="A64" s="92" t="str">
        <f t="shared" si="51"/>
        <v>Xe-133m</v>
      </c>
      <c r="B64" s="98" t="e">
        <f t="shared" si="52"/>
        <v>#REF!</v>
      </c>
      <c r="C64" s="98" t="e">
        <f t="shared" si="53"/>
        <v>#REF!</v>
      </c>
      <c r="D64" s="98" t="e">
        <f t="shared" si="54"/>
        <v>#REF!</v>
      </c>
      <c r="E64" s="98" t="e">
        <f t="shared" si="55"/>
        <v>#REF!</v>
      </c>
      <c r="F64" s="98" t="e">
        <f t="shared" si="56"/>
        <v>#REF!</v>
      </c>
      <c r="G64" s="98" t="e">
        <f t="shared" si="57"/>
        <v>#REF!</v>
      </c>
      <c r="H64" s="98" t="e">
        <f t="shared" si="58"/>
        <v>#REF!</v>
      </c>
      <c r="I64" s="98" t="e">
        <f t="shared" si="59"/>
        <v>#REF!</v>
      </c>
      <c r="J64" s="98" t="e">
        <f t="shared" si="60"/>
        <v>#REF!</v>
      </c>
      <c r="K64" s="98" t="e">
        <f t="shared" si="61"/>
        <v>#REF!</v>
      </c>
      <c r="L64" s="98" t="e">
        <f t="shared" si="62"/>
        <v>#REF!</v>
      </c>
      <c r="M64" s="98" t="e">
        <f t="shared" si="63"/>
        <v>#REF!</v>
      </c>
      <c r="N64" s="98" t="e">
        <f t="shared" si="64"/>
        <v>#REF!</v>
      </c>
      <c r="O64" s="98" t="e">
        <f t="shared" si="65"/>
        <v>#REF!</v>
      </c>
      <c r="P64" s="98" t="e">
        <f t="shared" si="66"/>
        <v>#REF!</v>
      </c>
      <c r="Q64" s="98" t="e">
        <f t="shared" si="67"/>
        <v>#REF!</v>
      </c>
      <c r="U64" s="30" t="str">
        <f t="shared" si="71"/>
        <v>Xe-133m</v>
      </c>
      <c r="V64" s="105" t="e">
        <f t="shared" si="72"/>
        <v>#REF!</v>
      </c>
      <c r="W64" s="105" t="e">
        <f t="shared" si="68"/>
        <v>#REF!</v>
      </c>
      <c r="X64" s="105" t="e">
        <f t="shared" si="69"/>
        <v>#REF!</v>
      </c>
      <c r="Y64" s="105" t="e">
        <f t="shared" si="70"/>
        <v>#REF!</v>
      </c>
    </row>
    <row r="65" s="30" customFormat="1" spans="1:25">
      <c r="A65" s="92" t="str">
        <f t="shared" si="51"/>
        <v>Xe-135</v>
      </c>
      <c r="B65" s="98" t="e">
        <f t="shared" si="52"/>
        <v>#REF!</v>
      </c>
      <c r="C65" s="98" t="e">
        <f t="shared" si="53"/>
        <v>#REF!</v>
      </c>
      <c r="D65" s="98" t="e">
        <f t="shared" si="54"/>
        <v>#REF!</v>
      </c>
      <c r="E65" s="98" t="e">
        <f t="shared" si="55"/>
        <v>#REF!</v>
      </c>
      <c r="F65" s="98" t="e">
        <f t="shared" si="56"/>
        <v>#REF!</v>
      </c>
      <c r="G65" s="98" t="e">
        <f t="shared" si="57"/>
        <v>#REF!</v>
      </c>
      <c r="H65" s="98" t="e">
        <f t="shared" si="58"/>
        <v>#REF!</v>
      </c>
      <c r="I65" s="98" t="e">
        <f t="shared" si="59"/>
        <v>#REF!</v>
      </c>
      <c r="J65" s="98" t="e">
        <f t="shared" si="60"/>
        <v>#REF!</v>
      </c>
      <c r="K65" s="98" t="e">
        <f t="shared" si="61"/>
        <v>#REF!</v>
      </c>
      <c r="L65" s="98" t="e">
        <f t="shared" si="62"/>
        <v>#REF!</v>
      </c>
      <c r="M65" s="98" t="e">
        <f t="shared" si="63"/>
        <v>#REF!</v>
      </c>
      <c r="N65" s="98" t="e">
        <f t="shared" si="64"/>
        <v>#REF!</v>
      </c>
      <c r="O65" s="98" t="e">
        <f t="shared" si="65"/>
        <v>#REF!</v>
      </c>
      <c r="P65" s="98" t="e">
        <f t="shared" si="66"/>
        <v>#REF!</v>
      </c>
      <c r="Q65" s="98" t="e">
        <f t="shared" si="67"/>
        <v>#REF!</v>
      </c>
      <c r="U65" s="30" t="str">
        <f t="shared" si="71"/>
        <v>Xe-135</v>
      </c>
      <c r="V65" s="105" t="e">
        <f t="shared" si="72"/>
        <v>#REF!</v>
      </c>
      <c r="W65" s="105" t="e">
        <f t="shared" si="68"/>
        <v>#REF!</v>
      </c>
      <c r="X65" s="105" t="e">
        <f t="shared" si="69"/>
        <v>#REF!</v>
      </c>
      <c r="Y65" s="105" t="e">
        <f t="shared" si="70"/>
        <v>#REF!</v>
      </c>
    </row>
    <row r="66" s="30" customFormat="1" spans="1:25">
      <c r="A66" s="92" t="str">
        <f t="shared" si="51"/>
        <v>I-131</v>
      </c>
      <c r="B66" s="98" t="e">
        <f t="shared" si="52"/>
        <v>#REF!</v>
      </c>
      <c r="C66" s="98" t="e">
        <f t="shared" si="53"/>
        <v>#REF!</v>
      </c>
      <c r="D66" s="98" t="e">
        <f t="shared" si="54"/>
        <v>#REF!</v>
      </c>
      <c r="E66" s="98" t="e">
        <f t="shared" si="55"/>
        <v>#REF!</v>
      </c>
      <c r="F66" s="98" t="e">
        <f t="shared" si="56"/>
        <v>#REF!</v>
      </c>
      <c r="G66" s="98" t="e">
        <f t="shared" si="57"/>
        <v>#REF!</v>
      </c>
      <c r="H66" s="98" t="e">
        <f t="shared" si="58"/>
        <v>#REF!</v>
      </c>
      <c r="I66" s="98" t="e">
        <f t="shared" si="59"/>
        <v>#REF!</v>
      </c>
      <c r="J66" s="98" t="e">
        <f t="shared" si="60"/>
        <v>#REF!</v>
      </c>
      <c r="K66" s="98" t="e">
        <f t="shared" si="61"/>
        <v>#REF!</v>
      </c>
      <c r="L66" s="98" t="e">
        <f t="shared" si="62"/>
        <v>#REF!</v>
      </c>
      <c r="M66" s="98" t="e">
        <f t="shared" si="63"/>
        <v>#REF!</v>
      </c>
      <c r="N66" s="98" t="e">
        <f t="shared" si="64"/>
        <v>#REF!</v>
      </c>
      <c r="O66" s="98" t="e">
        <f t="shared" si="65"/>
        <v>#REF!</v>
      </c>
      <c r="P66" s="98" t="e">
        <f t="shared" si="66"/>
        <v>#REF!</v>
      </c>
      <c r="Q66" s="98" t="e">
        <f t="shared" si="67"/>
        <v>#REF!</v>
      </c>
      <c r="R66" s="56" t="e">
        <f>MAX(B66:Q66)</f>
        <v>#REF!</v>
      </c>
      <c r="S66" s="56" t="e">
        <f>R66*30</f>
        <v>#REF!</v>
      </c>
      <c r="U66" s="30" t="str">
        <f t="shared" si="71"/>
        <v>I-131</v>
      </c>
      <c r="V66" s="105" t="e">
        <f t="shared" si="72"/>
        <v>#REF!</v>
      </c>
      <c r="W66" s="105" t="e">
        <f t="shared" si="68"/>
        <v>#REF!</v>
      </c>
      <c r="X66" s="105" t="e">
        <f t="shared" si="69"/>
        <v>#REF!</v>
      </c>
      <c r="Y66" s="105" t="e">
        <f t="shared" si="70"/>
        <v>#REF!</v>
      </c>
    </row>
    <row r="67" s="30" customFormat="1" spans="1:25">
      <c r="A67" s="92" t="str">
        <f t="shared" si="51"/>
        <v>I-132</v>
      </c>
      <c r="B67" s="98" t="e">
        <f t="shared" si="52"/>
        <v>#REF!</v>
      </c>
      <c r="C67" s="98" t="e">
        <f t="shared" si="53"/>
        <v>#REF!</v>
      </c>
      <c r="D67" s="98" t="e">
        <f t="shared" si="54"/>
        <v>#REF!</v>
      </c>
      <c r="E67" s="98" t="e">
        <f t="shared" si="55"/>
        <v>#REF!</v>
      </c>
      <c r="F67" s="98" t="e">
        <f t="shared" si="56"/>
        <v>#REF!</v>
      </c>
      <c r="G67" s="98" t="e">
        <f t="shared" si="57"/>
        <v>#REF!</v>
      </c>
      <c r="H67" s="98" t="e">
        <f t="shared" si="58"/>
        <v>#REF!</v>
      </c>
      <c r="I67" s="98" t="e">
        <f t="shared" si="59"/>
        <v>#REF!</v>
      </c>
      <c r="J67" s="98" t="e">
        <f t="shared" si="60"/>
        <v>#REF!</v>
      </c>
      <c r="K67" s="98" t="e">
        <f t="shared" si="61"/>
        <v>#REF!</v>
      </c>
      <c r="L67" s="98" t="e">
        <f t="shared" si="62"/>
        <v>#REF!</v>
      </c>
      <c r="M67" s="98" t="e">
        <f t="shared" si="63"/>
        <v>#REF!</v>
      </c>
      <c r="N67" s="98" t="e">
        <f t="shared" si="64"/>
        <v>#REF!</v>
      </c>
      <c r="O67" s="98" t="e">
        <f t="shared" si="65"/>
        <v>#REF!</v>
      </c>
      <c r="P67" s="98" t="e">
        <f t="shared" si="66"/>
        <v>#REF!</v>
      </c>
      <c r="Q67" s="98" t="e">
        <f t="shared" si="67"/>
        <v>#REF!</v>
      </c>
      <c r="U67" s="30" t="str">
        <f t="shared" si="71"/>
        <v>I-132</v>
      </c>
      <c r="V67" s="105" t="e">
        <f t="shared" si="72"/>
        <v>#REF!</v>
      </c>
      <c r="W67" s="105" t="e">
        <f t="shared" si="68"/>
        <v>#REF!</v>
      </c>
      <c r="X67" s="105" t="e">
        <f t="shared" si="69"/>
        <v>#REF!</v>
      </c>
      <c r="Y67" s="105" t="e">
        <f t="shared" si="70"/>
        <v>#REF!</v>
      </c>
    </row>
    <row r="68" s="30" customFormat="1" spans="1:25">
      <c r="A68" s="92" t="str">
        <f t="shared" si="51"/>
        <v>I-133</v>
      </c>
      <c r="B68" s="98" t="e">
        <f t="shared" si="52"/>
        <v>#REF!</v>
      </c>
      <c r="C68" s="98" t="e">
        <f t="shared" si="53"/>
        <v>#REF!</v>
      </c>
      <c r="D68" s="98" t="e">
        <f t="shared" si="54"/>
        <v>#REF!</v>
      </c>
      <c r="E68" s="98" t="e">
        <f t="shared" si="55"/>
        <v>#REF!</v>
      </c>
      <c r="F68" s="98" t="e">
        <f t="shared" si="56"/>
        <v>#REF!</v>
      </c>
      <c r="G68" s="98" t="e">
        <f t="shared" si="57"/>
        <v>#REF!</v>
      </c>
      <c r="H68" s="98" t="e">
        <f t="shared" si="58"/>
        <v>#REF!</v>
      </c>
      <c r="I68" s="98" t="e">
        <f t="shared" si="59"/>
        <v>#REF!</v>
      </c>
      <c r="J68" s="98" t="e">
        <f t="shared" si="60"/>
        <v>#REF!</v>
      </c>
      <c r="K68" s="98" t="e">
        <f t="shared" si="61"/>
        <v>#REF!</v>
      </c>
      <c r="L68" s="98" t="e">
        <f t="shared" si="62"/>
        <v>#REF!</v>
      </c>
      <c r="M68" s="98" t="e">
        <f t="shared" si="63"/>
        <v>#REF!</v>
      </c>
      <c r="N68" s="98" t="e">
        <f t="shared" si="64"/>
        <v>#REF!</v>
      </c>
      <c r="O68" s="98" t="e">
        <f t="shared" si="65"/>
        <v>#REF!</v>
      </c>
      <c r="P68" s="98" t="e">
        <f t="shared" si="66"/>
        <v>#REF!</v>
      </c>
      <c r="Q68" s="98" t="e">
        <f t="shared" si="67"/>
        <v>#REF!</v>
      </c>
      <c r="U68" s="30" t="str">
        <f t="shared" si="71"/>
        <v>I-133</v>
      </c>
      <c r="V68" s="105" t="e">
        <f t="shared" si="72"/>
        <v>#REF!</v>
      </c>
      <c r="W68" s="105" t="e">
        <f t="shared" si="68"/>
        <v>#REF!</v>
      </c>
      <c r="X68" s="105" t="e">
        <f t="shared" si="69"/>
        <v>#REF!</v>
      </c>
      <c r="Y68" s="105" t="e">
        <f t="shared" si="70"/>
        <v>#REF!</v>
      </c>
    </row>
    <row r="69" s="30" customFormat="1" spans="1:25">
      <c r="A69" s="92" t="str">
        <f t="shared" si="51"/>
        <v>I-134</v>
      </c>
      <c r="B69" s="98" t="e">
        <f t="shared" si="52"/>
        <v>#REF!</v>
      </c>
      <c r="C69" s="98" t="e">
        <f t="shared" si="53"/>
        <v>#REF!</v>
      </c>
      <c r="D69" s="98" t="e">
        <f t="shared" si="54"/>
        <v>#REF!</v>
      </c>
      <c r="E69" s="98" t="e">
        <f t="shared" si="55"/>
        <v>#REF!</v>
      </c>
      <c r="F69" s="98" t="e">
        <f t="shared" si="56"/>
        <v>#REF!</v>
      </c>
      <c r="G69" s="98" t="e">
        <f t="shared" si="57"/>
        <v>#REF!</v>
      </c>
      <c r="H69" s="98" t="e">
        <f t="shared" si="58"/>
        <v>#REF!</v>
      </c>
      <c r="I69" s="98" t="e">
        <f t="shared" si="59"/>
        <v>#REF!</v>
      </c>
      <c r="J69" s="98" t="e">
        <f t="shared" si="60"/>
        <v>#REF!</v>
      </c>
      <c r="K69" s="98" t="e">
        <f t="shared" si="61"/>
        <v>#REF!</v>
      </c>
      <c r="L69" s="98" t="e">
        <f t="shared" si="62"/>
        <v>#REF!</v>
      </c>
      <c r="M69" s="98" t="e">
        <f t="shared" si="63"/>
        <v>#REF!</v>
      </c>
      <c r="N69" s="98" t="e">
        <f t="shared" si="64"/>
        <v>#REF!</v>
      </c>
      <c r="O69" s="98" t="e">
        <f t="shared" si="65"/>
        <v>#REF!</v>
      </c>
      <c r="P69" s="98" t="e">
        <f t="shared" si="66"/>
        <v>#REF!</v>
      </c>
      <c r="Q69" s="98" t="e">
        <f t="shared" si="67"/>
        <v>#REF!</v>
      </c>
      <c r="U69" s="30" t="str">
        <f t="shared" si="71"/>
        <v>I-134</v>
      </c>
      <c r="V69" s="105" t="e">
        <f t="shared" si="72"/>
        <v>#REF!</v>
      </c>
      <c r="W69" s="105" t="e">
        <f t="shared" si="68"/>
        <v>#REF!</v>
      </c>
      <c r="X69" s="105" t="e">
        <f t="shared" si="69"/>
        <v>#REF!</v>
      </c>
      <c r="Y69" s="105" t="e">
        <f t="shared" si="70"/>
        <v>#REF!</v>
      </c>
    </row>
    <row r="70" s="30" customFormat="1" spans="1:25">
      <c r="A70" s="92" t="str">
        <f t="shared" si="51"/>
        <v>I-135</v>
      </c>
      <c r="B70" s="98" t="e">
        <f t="shared" si="52"/>
        <v>#REF!</v>
      </c>
      <c r="C70" s="98" t="e">
        <f t="shared" si="53"/>
        <v>#REF!</v>
      </c>
      <c r="D70" s="98" t="e">
        <f t="shared" si="54"/>
        <v>#REF!</v>
      </c>
      <c r="E70" s="98" t="e">
        <f t="shared" si="55"/>
        <v>#REF!</v>
      </c>
      <c r="F70" s="98" t="e">
        <f t="shared" si="56"/>
        <v>#REF!</v>
      </c>
      <c r="G70" s="98" t="e">
        <f t="shared" si="57"/>
        <v>#REF!</v>
      </c>
      <c r="H70" s="98" t="e">
        <f t="shared" si="58"/>
        <v>#REF!</v>
      </c>
      <c r="I70" s="98" t="e">
        <f t="shared" si="59"/>
        <v>#REF!</v>
      </c>
      <c r="J70" s="98" t="e">
        <f t="shared" si="60"/>
        <v>#REF!</v>
      </c>
      <c r="K70" s="98" t="e">
        <f t="shared" si="61"/>
        <v>#REF!</v>
      </c>
      <c r="L70" s="98" t="e">
        <f t="shared" si="62"/>
        <v>#REF!</v>
      </c>
      <c r="M70" s="98" t="e">
        <f t="shared" si="63"/>
        <v>#REF!</v>
      </c>
      <c r="N70" s="98" t="e">
        <f t="shared" si="64"/>
        <v>#REF!</v>
      </c>
      <c r="O70" s="98" t="e">
        <f t="shared" si="65"/>
        <v>#REF!</v>
      </c>
      <c r="P70" s="98" t="e">
        <f t="shared" si="66"/>
        <v>#REF!</v>
      </c>
      <c r="Q70" s="98" t="e">
        <f t="shared" si="67"/>
        <v>#REF!</v>
      </c>
      <c r="U70" s="30" t="str">
        <f t="shared" si="71"/>
        <v>I-135</v>
      </c>
      <c r="V70" s="105" t="e">
        <f t="shared" si="72"/>
        <v>#REF!</v>
      </c>
      <c r="W70" s="105" t="e">
        <f t="shared" si="68"/>
        <v>#REF!</v>
      </c>
      <c r="X70" s="105" t="e">
        <f t="shared" si="69"/>
        <v>#REF!</v>
      </c>
      <c r="Y70" s="105" t="e">
        <f t="shared" si="70"/>
        <v>#REF!</v>
      </c>
    </row>
    <row r="71" s="30" customFormat="1" spans="1:25">
      <c r="A71" s="92" t="str">
        <f t="shared" si="51"/>
        <v>Sr-89</v>
      </c>
      <c r="B71" s="98" t="e">
        <f t="shared" si="52"/>
        <v>#REF!</v>
      </c>
      <c r="C71" s="98" t="e">
        <f t="shared" si="53"/>
        <v>#REF!</v>
      </c>
      <c r="D71" s="98" t="e">
        <f t="shared" si="54"/>
        <v>#REF!</v>
      </c>
      <c r="E71" s="98" t="e">
        <f t="shared" si="55"/>
        <v>#REF!</v>
      </c>
      <c r="F71" s="98" t="e">
        <f t="shared" si="56"/>
        <v>#REF!</v>
      </c>
      <c r="G71" s="98" t="e">
        <f t="shared" si="57"/>
        <v>#REF!</v>
      </c>
      <c r="H71" s="98" t="e">
        <f t="shared" si="58"/>
        <v>#REF!</v>
      </c>
      <c r="I71" s="98" t="e">
        <f t="shared" si="59"/>
        <v>#REF!</v>
      </c>
      <c r="J71" s="98" t="e">
        <f t="shared" si="60"/>
        <v>#REF!</v>
      </c>
      <c r="K71" s="98" t="e">
        <f t="shared" si="61"/>
        <v>#REF!</v>
      </c>
      <c r="L71" s="98" t="e">
        <f t="shared" si="62"/>
        <v>#REF!</v>
      </c>
      <c r="M71" s="98" t="e">
        <f t="shared" si="63"/>
        <v>#REF!</v>
      </c>
      <c r="N71" s="98" t="e">
        <f t="shared" si="64"/>
        <v>#REF!</v>
      </c>
      <c r="O71" s="98" t="e">
        <f t="shared" si="65"/>
        <v>#REF!</v>
      </c>
      <c r="P71" s="98" t="e">
        <f t="shared" si="66"/>
        <v>#REF!</v>
      </c>
      <c r="Q71" s="98" t="e">
        <f t="shared" si="67"/>
        <v>#REF!</v>
      </c>
      <c r="U71" s="30" t="str">
        <f t="shared" si="71"/>
        <v>Sr-89</v>
      </c>
      <c r="V71" s="105" t="e">
        <f t="shared" si="72"/>
        <v>#REF!</v>
      </c>
      <c r="W71" s="105" t="e">
        <f t="shared" si="68"/>
        <v>#REF!</v>
      </c>
      <c r="X71" s="105" t="e">
        <f t="shared" si="69"/>
        <v>#REF!</v>
      </c>
      <c r="Y71" s="105" t="e">
        <f t="shared" si="70"/>
        <v>#REF!</v>
      </c>
    </row>
    <row r="72" s="30" customFormat="1" spans="1:25">
      <c r="A72" s="92" t="str">
        <f t="shared" si="51"/>
        <v>Sr-90</v>
      </c>
      <c r="B72" s="98" t="e">
        <f t="shared" si="52"/>
        <v>#REF!</v>
      </c>
      <c r="C72" s="98" t="e">
        <f t="shared" si="53"/>
        <v>#REF!</v>
      </c>
      <c r="D72" s="98" t="e">
        <f t="shared" si="54"/>
        <v>#REF!</v>
      </c>
      <c r="E72" s="98" t="e">
        <f t="shared" si="55"/>
        <v>#REF!</v>
      </c>
      <c r="F72" s="98" t="e">
        <f t="shared" si="56"/>
        <v>#REF!</v>
      </c>
      <c r="G72" s="98" t="e">
        <f t="shared" si="57"/>
        <v>#REF!</v>
      </c>
      <c r="H72" s="98" t="e">
        <f t="shared" si="58"/>
        <v>#REF!</v>
      </c>
      <c r="I72" s="98" t="e">
        <f t="shared" si="59"/>
        <v>#REF!</v>
      </c>
      <c r="J72" s="98" t="e">
        <f t="shared" si="60"/>
        <v>#REF!</v>
      </c>
      <c r="K72" s="98" t="e">
        <f t="shared" si="61"/>
        <v>#REF!</v>
      </c>
      <c r="L72" s="98" t="e">
        <f t="shared" si="62"/>
        <v>#REF!</v>
      </c>
      <c r="M72" s="98" t="e">
        <f t="shared" si="63"/>
        <v>#REF!</v>
      </c>
      <c r="N72" s="98" t="e">
        <f t="shared" si="64"/>
        <v>#REF!</v>
      </c>
      <c r="O72" s="98" t="e">
        <f t="shared" si="65"/>
        <v>#REF!</v>
      </c>
      <c r="P72" s="98" t="e">
        <f t="shared" si="66"/>
        <v>#REF!</v>
      </c>
      <c r="Q72" s="98" t="e">
        <f t="shared" si="67"/>
        <v>#REF!</v>
      </c>
      <c r="U72" s="30" t="str">
        <f t="shared" si="71"/>
        <v>Sr-90</v>
      </c>
      <c r="V72" s="105" t="e">
        <f t="shared" si="72"/>
        <v>#REF!</v>
      </c>
      <c r="W72" s="105" t="e">
        <f t="shared" si="68"/>
        <v>#REF!</v>
      </c>
      <c r="X72" s="105" t="e">
        <f t="shared" si="69"/>
        <v>#REF!</v>
      </c>
      <c r="Y72" s="105" t="e">
        <f t="shared" si="70"/>
        <v>#REF!</v>
      </c>
    </row>
    <row r="73" s="30" customFormat="1" spans="1:25">
      <c r="A73" s="92" t="str">
        <f t="shared" si="51"/>
        <v>Cs-134</v>
      </c>
      <c r="B73" s="98" t="e">
        <f t="shared" si="52"/>
        <v>#REF!</v>
      </c>
      <c r="C73" s="98" t="e">
        <f t="shared" si="53"/>
        <v>#REF!</v>
      </c>
      <c r="D73" s="98" t="e">
        <f t="shared" si="54"/>
        <v>#REF!</v>
      </c>
      <c r="E73" s="98" t="e">
        <f t="shared" si="55"/>
        <v>#REF!</v>
      </c>
      <c r="F73" s="98" t="e">
        <f t="shared" si="56"/>
        <v>#REF!</v>
      </c>
      <c r="G73" s="98" t="e">
        <f t="shared" si="57"/>
        <v>#REF!</v>
      </c>
      <c r="H73" s="98" t="e">
        <f t="shared" si="58"/>
        <v>#REF!</v>
      </c>
      <c r="I73" s="98" t="e">
        <f t="shared" si="59"/>
        <v>#REF!</v>
      </c>
      <c r="J73" s="98" t="e">
        <f t="shared" si="60"/>
        <v>#REF!</v>
      </c>
      <c r="K73" s="98" t="e">
        <f t="shared" si="61"/>
        <v>#REF!</v>
      </c>
      <c r="L73" s="98" t="e">
        <f t="shared" si="62"/>
        <v>#REF!</v>
      </c>
      <c r="M73" s="98" t="e">
        <f t="shared" si="63"/>
        <v>#REF!</v>
      </c>
      <c r="N73" s="98" t="e">
        <f t="shared" si="64"/>
        <v>#REF!</v>
      </c>
      <c r="O73" s="98" t="e">
        <f t="shared" si="65"/>
        <v>#REF!</v>
      </c>
      <c r="P73" s="98" t="e">
        <f t="shared" si="66"/>
        <v>#REF!</v>
      </c>
      <c r="Q73" s="98" t="e">
        <f t="shared" si="67"/>
        <v>#REF!</v>
      </c>
      <c r="U73" s="30" t="str">
        <f t="shared" si="71"/>
        <v>Cs-134</v>
      </c>
      <c r="V73" s="105" t="e">
        <f t="shared" si="72"/>
        <v>#REF!</v>
      </c>
      <c r="W73" s="105" t="e">
        <f t="shared" si="68"/>
        <v>#REF!</v>
      </c>
      <c r="X73" s="105" t="e">
        <f t="shared" si="69"/>
        <v>#REF!</v>
      </c>
      <c r="Y73" s="105" t="e">
        <f t="shared" si="70"/>
        <v>#REF!</v>
      </c>
    </row>
    <row r="74" s="30" customFormat="1" spans="1:25">
      <c r="A74" s="92" t="str">
        <f t="shared" si="51"/>
        <v>Cs-137</v>
      </c>
      <c r="B74" s="98" t="e">
        <f t="shared" si="52"/>
        <v>#REF!</v>
      </c>
      <c r="C74" s="98" t="e">
        <f t="shared" si="53"/>
        <v>#REF!</v>
      </c>
      <c r="D74" s="98" t="e">
        <f t="shared" si="54"/>
        <v>#REF!</v>
      </c>
      <c r="E74" s="98" t="e">
        <f t="shared" si="55"/>
        <v>#REF!</v>
      </c>
      <c r="F74" s="98" t="e">
        <f t="shared" si="56"/>
        <v>#REF!</v>
      </c>
      <c r="G74" s="98" t="e">
        <f t="shared" si="57"/>
        <v>#REF!</v>
      </c>
      <c r="H74" s="98" t="e">
        <f t="shared" si="58"/>
        <v>#REF!</v>
      </c>
      <c r="I74" s="98" t="e">
        <f t="shared" si="59"/>
        <v>#REF!</v>
      </c>
      <c r="J74" s="98" t="e">
        <f t="shared" si="60"/>
        <v>#REF!</v>
      </c>
      <c r="K74" s="98" t="e">
        <f t="shared" si="61"/>
        <v>#REF!</v>
      </c>
      <c r="L74" s="98" t="e">
        <f t="shared" si="62"/>
        <v>#REF!</v>
      </c>
      <c r="M74" s="98" t="e">
        <f t="shared" si="63"/>
        <v>#REF!</v>
      </c>
      <c r="N74" s="98" t="e">
        <f t="shared" si="64"/>
        <v>#REF!</v>
      </c>
      <c r="O74" s="98" t="e">
        <f t="shared" si="65"/>
        <v>#REF!</v>
      </c>
      <c r="P74" s="98" t="e">
        <f t="shared" si="66"/>
        <v>#REF!</v>
      </c>
      <c r="Q74" s="98" t="e">
        <f t="shared" si="67"/>
        <v>#REF!</v>
      </c>
      <c r="U74" s="30" t="str">
        <f t="shared" si="71"/>
        <v>Cs-137</v>
      </c>
      <c r="V74" s="105" t="e">
        <f t="shared" si="72"/>
        <v>#REF!</v>
      </c>
      <c r="W74" s="105" t="e">
        <f t="shared" si="68"/>
        <v>#REF!</v>
      </c>
      <c r="X74" s="105" t="e">
        <f t="shared" si="69"/>
        <v>#REF!</v>
      </c>
      <c r="Y74" s="105" t="e">
        <f t="shared" si="70"/>
        <v>#REF!</v>
      </c>
    </row>
    <row r="75" s="30" customFormat="1" spans="1:25">
      <c r="A75" s="92" t="str">
        <f t="shared" si="51"/>
        <v>Ag-110m</v>
      </c>
      <c r="B75" s="98" t="e">
        <f t="shared" si="52"/>
        <v>#REF!</v>
      </c>
      <c r="C75" s="98" t="e">
        <f t="shared" si="53"/>
        <v>#REF!</v>
      </c>
      <c r="D75" s="98" t="e">
        <f t="shared" si="54"/>
        <v>#REF!</v>
      </c>
      <c r="E75" s="98" t="e">
        <f t="shared" si="55"/>
        <v>#REF!</v>
      </c>
      <c r="F75" s="98" t="e">
        <f t="shared" si="56"/>
        <v>#REF!</v>
      </c>
      <c r="G75" s="98" t="e">
        <f t="shared" si="57"/>
        <v>#REF!</v>
      </c>
      <c r="H75" s="98" t="e">
        <f t="shared" si="58"/>
        <v>#REF!</v>
      </c>
      <c r="I75" s="98" t="e">
        <f t="shared" si="59"/>
        <v>#REF!</v>
      </c>
      <c r="J75" s="98" t="e">
        <f t="shared" si="60"/>
        <v>#REF!</v>
      </c>
      <c r="K75" s="98" t="e">
        <f t="shared" si="61"/>
        <v>#REF!</v>
      </c>
      <c r="L75" s="98" t="e">
        <f t="shared" si="62"/>
        <v>#REF!</v>
      </c>
      <c r="M75" s="98" t="e">
        <f t="shared" si="63"/>
        <v>#REF!</v>
      </c>
      <c r="N75" s="98" t="e">
        <f t="shared" si="64"/>
        <v>#REF!</v>
      </c>
      <c r="O75" s="98" t="e">
        <f t="shared" si="65"/>
        <v>#REF!</v>
      </c>
      <c r="P75" s="98" t="e">
        <f t="shared" si="66"/>
        <v>#REF!</v>
      </c>
      <c r="Q75" s="98" t="e">
        <f t="shared" si="67"/>
        <v>#REF!</v>
      </c>
      <c r="U75" s="30" t="str">
        <f t="shared" si="71"/>
        <v>Ag-110m</v>
      </c>
      <c r="V75" s="105" t="e">
        <f t="shared" si="72"/>
        <v>#REF!</v>
      </c>
      <c r="W75" s="105" t="e">
        <f t="shared" si="68"/>
        <v>#REF!</v>
      </c>
      <c r="X75" s="105" t="e">
        <f t="shared" si="69"/>
        <v>#REF!</v>
      </c>
      <c r="Y75" s="105" t="e">
        <f t="shared" si="70"/>
        <v>#REF!</v>
      </c>
    </row>
    <row r="76" s="30" customFormat="1" spans="1:25">
      <c r="A76" s="92" t="str">
        <f t="shared" si="51"/>
        <v>H-3</v>
      </c>
      <c r="B76" s="98" t="e">
        <f t="shared" si="52"/>
        <v>#REF!</v>
      </c>
      <c r="C76" s="98" t="e">
        <f t="shared" si="53"/>
        <v>#REF!</v>
      </c>
      <c r="D76" s="98" t="e">
        <f t="shared" si="54"/>
        <v>#REF!</v>
      </c>
      <c r="E76" s="98" t="e">
        <f t="shared" si="55"/>
        <v>#REF!</v>
      </c>
      <c r="F76" s="98" t="e">
        <f t="shared" si="56"/>
        <v>#REF!</v>
      </c>
      <c r="G76" s="98" t="e">
        <f t="shared" si="57"/>
        <v>#REF!</v>
      </c>
      <c r="H76" s="98" t="e">
        <f t="shared" si="58"/>
        <v>#REF!</v>
      </c>
      <c r="I76" s="98" t="e">
        <f t="shared" si="59"/>
        <v>#REF!</v>
      </c>
      <c r="J76" s="98" t="e">
        <f t="shared" si="60"/>
        <v>#REF!</v>
      </c>
      <c r="K76" s="98" t="e">
        <f t="shared" si="61"/>
        <v>#REF!</v>
      </c>
      <c r="L76" s="98" t="e">
        <f t="shared" si="62"/>
        <v>#REF!</v>
      </c>
      <c r="M76" s="98" t="e">
        <f t="shared" si="63"/>
        <v>#REF!</v>
      </c>
      <c r="N76" s="98" t="e">
        <f t="shared" si="64"/>
        <v>#REF!</v>
      </c>
      <c r="O76" s="98" t="e">
        <f t="shared" si="65"/>
        <v>#REF!</v>
      </c>
      <c r="P76" s="98" t="e">
        <f t="shared" si="66"/>
        <v>#REF!</v>
      </c>
      <c r="Q76" s="98" t="e">
        <f t="shared" si="67"/>
        <v>#REF!</v>
      </c>
      <c r="U76" s="30" t="str">
        <f t="shared" si="71"/>
        <v>H-3</v>
      </c>
      <c r="V76" s="105" t="e">
        <f t="shared" si="72"/>
        <v>#REF!</v>
      </c>
      <c r="W76" s="105" t="e">
        <f t="shared" si="68"/>
        <v>#REF!</v>
      </c>
      <c r="X76" s="105" t="e">
        <f t="shared" si="69"/>
        <v>#REF!</v>
      </c>
      <c r="Y76" s="105" t="e">
        <f t="shared" si="70"/>
        <v>#REF!</v>
      </c>
    </row>
    <row r="77" s="30" customFormat="1" spans="1:25">
      <c r="A77" s="92" t="str">
        <f t="shared" si="51"/>
        <v>C-14</v>
      </c>
      <c r="B77" s="98" t="e">
        <f t="shared" si="52"/>
        <v>#REF!</v>
      </c>
      <c r="C77" s="98" t="e">
        <f t="shared" si="53"/>
        <v>#REF!</v>
      </c>
      <c r="D77" s="98" t="e">
        <f t="shared" si="54"/>
        <v>#REF!</v>
      </c>
      <c r="E77" s="98" t="e">
        <f t="shared" si="55"/>
        <v>#REF!</v>
      </c>
      <c r="F77" s="98" t="e">
        <f t="shared" si="56"/>
        <v>#REF!</v>
      </c>
      <c r="G77" s="98" t="e">
        <f t="shared" si="57"/>
        <v>#REF!</v>
      </c>
      <c r="H77" s="98" t="e">
        <f t="shared" si="58"/>
        <v>#REF!</v>
      </c>
      <c r="I77" s="98" t="e">
        <f t="shared" si="59"/>
        <v>#REF!</v>
      </c>
      <c r="J77" s="98" t="e">
        <f t="shared" si="60"/>
        <v>#REF!</v>
      </c>
      <c r="K77" s="98" t="e">
        <f t="shared" si="61"/>
        <v>#REF!</v>
      </c>
      <c r="L77" s="98" t="e">
        <f t="shared" si="62"/>
        <v>#REF!</v>
      </c>
      <c r="M77" s="98" t="e">
        <f t="shared" si="63"/>
        <v>#REF!</v>
      </c>
      <c r="N77" s="98" t="e">
        <f t="shared" si="64"/>
        <v>#REF!</v>
      </c>
      <c r="O77" s="98" t="e">
        <f t="shared" si="65"/>
        <v>#REF!</v>
      </c>
      <c r="P77" s="98" t="e">
        <f t="shared" si="66"/>
        <v>#REF!</v>
      </c>
      <c r="Q77" s="98" t="e">
        <f t="shared" si="67"/>
        <v>#REF!</v>
      </c>
      <c r="U77" s="30" t="str">
        <f t="shared" si="71"/>
        <v>C-14</v>
      </c>
      <c r="V77" s="105" t="e">
        <f t="shared" si="72"/>
        <v>#REF!</v>
      </c>
      <c r="W77" s="105" t="e">
        <f t="shared" si="68"/>
        <v>#REF!</v>
      </c>
      <c r="X77" s="105" t="e">
        <f t="shared" si="69"/>
        <v>#REF!</v>
      </c>
      <c r="Y77" s="105" t="e">
        <f t="shared" si="70"/>
        <v>#REF!</v>
      </c>
    </row>
    <row r="78" s="30" customFormat="1" spans="1:25">
      <c r="A78" s="92" t="str">
        <f t="shared" si="51"/>
        <v>Co-60</v>
      </c>
      <c r="B78" s="98" t="e">
        <f t="shared" si="52"/>
        <v>#REF!</v>
      </c>
      <c r="C78" s="98" t="e">
        <f t="shared" si="53"/>
        <v>#REF!</v>
      </c>
      <c r="D78" s="98" t="e">
        <f t="shared" si="54"/>
        <v>#REF!</v>
      </c>
      <c r="E78" s="98" t="e">
        <f t="shared" si="55"/>
        <v>#REF!</v>
      </c>
      <c r="F78" s="98" t="e">
        <f t="shared" si="56"/>
        <v>#REF!</v>
      </c>
      <c r="G78" s="98" t="e">
        <f t="shared" si="57"/>
        <v>#REF!</v>
      </c>
      <c r="H78" s="98" t="e">
        <f t="shared" si="58"/>
        <v>#REF!</v>
      </c>
      <c r="I78" s="98" t="e">
        <f t="shared" si="59"/>
        <v>#REF!</v>
      </c>
      <c r="J78" s="98" t="e">
        <f t="shared" si="60"/>
        <v>#REF!</v>
      </c>
      <c r="K78" s="98" t="e">
        <f t="shared" si="61"/>
        <v>#REF!</v>
      </c>
      <c r="L78" s="98" t="e">
        <f t="shared" si="62"/>
        <v>#REF!</v>
      </c>
      <c r="M78" s="98" t="e">
        <f t="shared" si="63"/>
        <v>#REF!</v>
      </c>
      <c r="N78" s="98" t="e">
        <f t="shared" si="64"/>
        <v>#REF!</v>
      </c>
      <c r="O78" s="98" t="e">
        <f t="shared" si="65"/>
        <v>#REF!</v>
      </c>
      <c r="P78" s="98" t="e">
        <f t="shared" si="66"/>
        <v>#REF!</v>
      </c>
      <c r="Q78" s="98" t="e">
        <f t="shared" si="67"/>
        <v>#REF!</v>
      </c>
      <c r="U78" s="30" t="str">
        <f t="shared" si="71"/>
        <v>Co-60</v>
      </c>
      <c r="V78" s="105" t="e">
        <f t="shared" si="72"/>
        <v>#REF!</v>
      </c>
      <c r="W78" s="105" t="e">
        <f t="shared" si="68"/>
        <v>#REF!</v>
      </c>
      <c r="X78" s="105" t="e">
        <f t="shared" si="69"/>
        <v>#REF!</v>
      </c>
      <c r="Y78" s="105" t="e">
        <f t="shared" si="70"/>
        <v>#REF!</v>
      </c>
    </row>
    <row r="79" s="30" customFormat="1" spans="1:25">
      <c r="A79" s="92" t="str">
        <f t="shared" si="51"/>
        <v>Ar-41</v>
      </c>
      <c r="B79" s="98" t="e">
        <f t="shared" si="52"/>
        <v>#REF!</v>
      </c>
      <c r="C79" s="98" t="e">
        <f t="shared" si="53"/>
        <v>#REF!</v>
      </c>
      <c r="D79" s="98" t="e">
        <f t="shared" si="54"/>
        <v>#REF!</v>
      </c>
      <c r="E79" s="98" t="e">
        <f t="shared" si="55"/>
        <v>#REF!</v>
      </c>
      <c r="F79" s="98" t="e">
        <f t="shared" si="56"/>
        <v>#REF!</v>
      </c>
      <c r="G79" s="98" t="e">
        <f t="shared" si="57"/>
        <v>#REF!</v>
      </c>
      <c r="H79" s="98" t="e">
        <f t="shared" si="58"/>
        <v>#REF!</v>
      </c>
      <c r="I79" s="98" t="e">
        <f t="shared" si="59"/>
        <v>#REF!</v>
      </c>
      <c r="J79" s="98" t="e">
        <f t="shared" si="60"/>
        <v>#REF!</v>
      </c>
      <c r="K79" s="98" t="e">
        <f t="shared" si="61"/>
        <v>#REF!</v>
      </c>
      <c r="L79" s="98" t="e">
        <f t="shared" si="62"/>
        <v>#REF!</v>
      </c>
      <c r="M79" s="98" t="e">
        <f t="shared" si="63"/>
        <v>#REF!</v>
      </c>
      <c r="N79" s="98" t="e">
        <f t="shared" si="64"/>
        <v>#REF!</v>
      </c>
      <c r="O79" s="98" t="e">
        <f t="shared" si="65"/>
        <v>#REF!</v>
      </c>
      <c r="P79" s="98" t="e">
        <f t="shared" si="66"/>
        <v>#REF!</v>
      </c>
      <c r="Q79" s="98" t="e">
        <f t="shared" si="67"/>
        <v>#REF!</v>
      </c>
      <c r="U79" s="30" t="str">
        <f t="shared" si="71"/>
        <v>Ar-41</v>
      </c>
      <c r="V79" s="105" t="e">
        <f t="shared" si="72"/>
        <v>#REF!</v>
      </c>
      <c r="W79" s="105" t="e">
        <f t="shared" si="68"/>
        <v>#REF!</v>
      </c>
      <c r="X79" s="105" t="e">
        <f t="shared" si="69"/>
        <v>#REF!</v>
      </c>
      <c r="Y79" s="105" t="e">
        <f t="shared" si="70"/>
        <v>#REF!</v>
      </c>
    </row>
    <row r="80" s="30" customFormat="1" spans="1:17">
      <c r="A80" s="92" t="s">
        <v>4484</v>
      </c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</row>
    <row r="81" s="30" customFormat="1" spans="1:19">
      <c r="A81" s="92" t="str">
        <f t="shared" ref="A81:A103" si="73">A57</f>
        <v>Kr-83m</v>
      </c>
      <c r="B81" s="98" t="e">
        <f t="shared" ref="B81:B103" si="74">($B5*$Q$5+$C5*$R$5+$D5*$S$5+$E5*$T$5+$F5*$U$5)*$K5</f>
        <v>#REF!</v>
      </c>
      <c r="C81" s="98" t="e">
        <f t="shared" ref="C81:C103" si="75">($B5*$Q$6+$C5*$R$6+$D5*$S$6+$E5*$T$6+$F5*$U$6)*$K5</f>
        <v>#REF!</v>
      </c>
      <c r="D81" s="98" t="e">
        <f t="shared" ref="D81:D103" si="76">($B5*$Q$7+$C5*$R$7+$D5*$S$7+$E5*$T$7+$F5*$U$7)*$K5</f>
        <v>#REF!</v>
      </c>
      <c r="E81" s="98" t="e">
        <f t="shared" ref="E81:E103" si="77">($B5*$Q$8+$C5*$R$8+$D5*$S$8+$E5*$T$8+$F5*$U$8)*$K5</f>
        <v>#REF!</v>
      </c>
      <c r="F81" s="98" t="e">
        <f t="shared" ref="F81:F103" si="78">($B5*$Q$9+$C5*$R$9+$D5*$S$9+$E5*$T$9+$F5*$U$9)*$K5</f>
        <v>#REF!</v>
      </c>
      <c r="G81" s="98" t="e">
        <f t="shared" ref="G81:G103" si="79">($B5*$Q$10+$C5*$R$10+$D5*$S$10+$E5*$T$10+$F5*$U$10)*$K5</f>
        <v>#REF!</v>
      </c>
      <c r="H81" s="98" t="e">
        <f t="shared" ref="H81:H103" si="80">($B5*$Q$11+$C5*$R$11+$D5*$S$11+$E5*$T$11+$F5*$U$11)*$K5</f>
        <v>#REF!</v>
      </c>
      <c r="I81" s="98" t="e">
        <f t="shared" ref="I81:I103" si="81">($B5*$Q$12+$C5*$R$12+$D5*$S$12+$E5*$T$12+$F5*$U$12)*$K5</f>
        <v>#REF!</v>
      </c>
      <c r="J81" s="98" t="e">
        <f t="shared" ref="J81:J103" si="82">($B5*$Q$13+$C5*$R$13+$D5*$S$13+$E5*$T$13+$F5*$U$13)*$K5</f>
        <v>#REF!</v>
      </c>
      <c r="K81" s="98" t="e">
        <f t="shared" ref="K81:K103" si="83">($B5*$Q$14+$C5*$R$14+$D5*$S$14+$E5*$T$14+$F5*$U$14)*$K5</f>
        <v>#REF!</v>
      </c>
      <c r="L81" s="98" t="e">
        <f t="shared" ref="L81:L103" si="84">($B5*$Q$15+$C5*$R$15+$D5*$S$15+$E5*$T$15+$F5*$U$15)*$K5</f>
        <v>#REF!</v>
      </c>
      <c r="M81" s="98" t="e">
        <f t="shared" ref="M81:M103" si="85">($B5*$Q$16+$C5*$R$16+$D5*$S$16+$E5*$T$16+$F5*$U$16)*$K5</f>
        <v>#REF!</v>
      </c>
      <c r="N81" s="98" t="e">
        <f t="shared" ref="N81:N103" si="86">($B5*$Q$17+$C5*$R$17+$D5*$S$17+$E5*$T$17+$F5*$U$17)*$K5</f>
        <v>#REF!</v>
      </c>
      <c r="O81" s="98" t="e">
        <f t="shared" ref="O81:O103" si="87">($B5*$Q$18+$C5*$R$18+$D5*$S$18+$E5*$T$18+$F5*$U$18)*$K5</f>
        <v>#REF!</v>
      </c>
      <c r="P81" s="98" t="e">
        <f t="shared" ref="P81:P103" si="88">($B5*$Q$19+$C5*$R$19+$D5*$S$19+$E5*$T$19+$F5*$U$19)*$K5</f>
        <v>#REF!</v>
      </c>
      <c r="Q81" s="98" t="e">
        <f t="shared" ref="Q81:Q103" si="89">($B5*$Q$20+$C5*$R$20+$D5*$S$20+$E5*$T$20+$F5*$U$20)*$K5</f>
        <v>#REF!</v>
      </c>
      <c r="S81" s="105" t="e">
        <f t="shared" ref="S81:S102" si="90">ROUND((O33+O57+O81)/O$105*100,2)</f>
        <v>#REF!</v>
      </c>
    </row>
    <row r="82" s="30" customFormat="1" spans="1:19">
      <c r="A82" s="92" t="str">
        <f t="shared" si="73"/>
        <v>Kr-85</v>
      </c>
      <c r="B82" s="98" t="e">
        <f t="shared" si="74"/>
        <v>#REF!</v>
      </c>
      <c r="C82" s="98" t="e">
        <f t="shared" si="75"/>
        <v>#REF!</v>
      </c>
      <c r="D82" s="98" t="e">
        <f t="shared" si="76"/>
        <v>#REF!</v>
      </c>
      <c r="E82" s="98" t="e">
        <f t="shared" si="77"/>
        <v>#REF!</v>
      </c>
      <c r="F82" s="98" t="e">
        <f t="shared" si="78"/>
        <v>#REF!</v>
      </c>
      <c r="G82" s="98" t="e">
        <f t="shared" si="79"/>
        <v>#REF!</v>
      </c>
      <c r="H82" s="98" t="e">
        <f t="shared" si="80"/>
        <v>#REF!</v>
      </c>
      <c r="I82" s="98" t="e">
        <f t="shared" si="81"/>
        <v>#REF!</v>
      </c>
      <c r="J82" s="98" t="e">
        <f t="shared" si="82"/>
        <v>#REF!</v>
      </c>
      <c r="K82" s="98" t="e">
        <f t="shared" si="83"/>
        <v>#REF!</v>
      </c>
      <c r="L82" s="98" t="e">
        <f t="shared" si="84"/>
        <v>#REF!</v>
      </c>
      <c r="M82" s="98" t="e">
        <f t="shared" si="85"/>
        <v>#REF!</v>
      </c>
      <c r="N82" s="98" t="e">
        <f t="shared" si="86"/>
        <v>#REF!</v>
      </c>
      <c r="O82" s="98" t="e">
        <f t="shared" si="87"/>
        <v>#REF!</v>
      </c>
      <c r="P82" s="98" t="e">
        <f t="shared" si="88"/>
        <v>#REF!</v>
      </c>
      <c r="Q82" s="98" t="e">
        <f t="shared" si="89"/>
        <v>#REF!</v>
      </c>
      <c r="S82" s="105" t="e">
        <f t="shared" si="90"/>
        <v>#REF!</v>
      </c>
    </row>
    <row r="83" s="30" customFormat="1" spans="1:19">
      <c r="A83" s="92" t="str">
        <f t="shared" si="73"/>
        <v>Kr-85m</v>
      </c>
      <c r="B83" s="98" t="e">
        <f t="shared" si="74"/>
        <v>#REF!</v>
      </c>
      <c r="C83" s="98" t="e">
        <f t="shared" si="75"/>
        <v>#REF!</v>
      </c>
      <c r="D83" s="98" t="e">
        <f t="shared" si="76"/>
        <v>#REF!</v>
      </c>
      <c r="E83" s="98" t="e">
        <f t="shared" si="77"/>
        <v>#REF!</v>
      </c>
      <c r="F83" s="98" t="e">
        <f t="shared" si="78"/>
        <v>#REF!</v>
      </c>
      <c r="G83" s="98" t="e">
        <f t="shared" si="79"/>
        <v>#REF!</v>
      </c>
      <c r="H83" s="98" t="e">
        <f t="shared" si="80"/>
        <v>#REF!</v>
      </c>
      <c r="I83" s="98" t="e">
        <f t="shared" si="81"/>
        <v>#REF!</v>
      </c>
      <c r="J83" s="98" t="e">
        <f t="shared" si="82"/>
        <v>#REF!</v>
      </c>
      <c r="K83" s="98" t="e">
        <f t="shared" si="83"/>
        <v>#REF!</v>
      </c>
      <c r="L83" s="98" t="e">
        <f t="shared" si="84"/>
        <v>#REF!</v>
      </c>
      <c r="M83" s="98" t="e">
        <f t="shared" si="85"/>
        <v>#REF!</v>
      </c>
      <c r="N83" s="98" t="e">
        <f t="shared" si="86"/>
        <v>#REF!</v>
      </c>
      <c r="O83" s="98" t="e">
        <f t="shared" si="87"/>
        <v>#REF!</v>
      </c>
      <c r="P83" s="98" t="e">
        <f t="shared" si="88"/>
        <v>#REF!</v>
      </c>
      <c r="Q83" s="98" t="e">
        <f t="shared" si="89"/>
        <v>#REF!</v>
      </c>
      <c r="S83" s="105" t="e">
        <f t="shared" si="90"/>
        <v>#REF!</v>
      </c>
    </row>
    <row r="84" s="30" customFormat="1" spans="1:19">
      <c r="A84" s="92" t="str">
        <f t="shared" si="73"/>
        <v>Kr-87</v>
      </c>
      <c r="B84" s="98" t="e">
        <f t="shared" si="74"/>
        <v>#REF!</v>
      </c>
      <c r="C84" s="98" t="e">
        <f t="shared" si="75"/>
        <v>#REF!</v>
      </c>
      <c r="D84" s="98" t="e">
        <f t="shared" si="76"/>
        <v>#REF!</v>
      </c>
      <c r="E84" s="98" t="e">
        <f t="shared" si="77"/>
        <v>#REF!</v>
      </c>
      <c r="F84" s="98" t="e">
        <f t="shared" si="78"/>
        <v>#REF!</v>
      </c>
      <c r="G84" s="98" t="e">
        <f t="shared" si="79"/>
        <v>#REF!</v>
      </c>
      <c r="H84" s="98" t="e">
        <f t="shared" si="80"/>
        <v>#REF!</v>
      </c>
      <c r="I84" s="98" t="e">
        <f t="shared" si="81"/>
        <v>#REF!</v>
      </c>
      <c r="J84" s="98" t="e">
        <f t="shared" si="82"/>
        <v>#REF!</v>
      </c>
      <c r="K84" s="98" t="e">
        <f t="shared" si="83"/>
        <v>#REF!</v>
      </c>
      <c r="L84" s="98" t="e">
        <f t="shared" si="84"/>
        <v>#REF!</v>
      </c>
      <c r="M84" s="98" t="e">
        <f t="shared" si="85"/>
        <v>#REF!</v>
      </c>
      <c r="N84" s="98" t="e">
        <f t="shared" si="86"/>
        <v>#REF!</v>
      </c>
      <c r="O84" s="98" t="e">
        <f t="shared" si="87"/>
        <v>#REF!</v>
      </c>
      <c r="P84" s="98" t="e">
        <f t="shared" si="88"/>
        <v>#REF!</v>
      </c>
      <c r="Q84" s="98" t="e">
        <f t="shared" si="89"/>
        <v>#REF!</v>
      </c>
      <c r="S84" s="105" t="e">
        <f t="shared" si="90"/>
        <v>#REF!</v>
      </c>
    </row>
    <row r="85" s="30" customFormat="1" spans="1:19">
      <c r="A85" s="92" t="str">
        <f t="shared" si="73"/>
        <v>Kr-88</v>
      </c>
      <c r="B85" s="98" t="e">
        <f t="shared" si="74"/>
        <v>#REF!</v>
      </c>
      <c r="C85" s="98" t="e">
        <f t="shared" si="75"/>
        <v>#REF!</v>
      </c>
      <c r="D85" s="98" t="e">
        <f t="shared" si="76"/>
        <v>#REF!</v>
      </c>
      <c r="E85" s="98" t="e">
        <f t="shared" si="77"/>
        <v>#REF!</v>
      </c>
      <c r="F85" s="98" t="e">
        <f t="shared" si="78"/>
        <v>#REF!</v>
      </c>
      <c r="G85" s="98" t="e">
        <f t="shared" si="79"/>
        <v>#REF!</v>
      </c>
      <c r="H85" s="98" t="e">
        <f t="shared" si="80"/>
        <v>#REF!</v>
      </c>
      <c r="I85" s="98" t="e">
        <f t="shared" si="81"/>
        <v>#REF!</v>
      </c>
      <c r="J85" s="98" t="e">
        <f t="shared" si="82"/>
        <v>#REF!</v>
      </c>
      <c r="K85" s="98" t="e">
        <f t="shared" si="83"/>
        <v>#REF!</v>
      </c>
      <c r="L85" s="98" t="e">
        <f t="shared" si="84"/>
        <v>#REF!</v>
      </c>
      <c r="M85" s="98" t="e">
        <f t="shared" si="85"/>
        <v>#REF!</v>
      </c>
      <c r="N85" s="98" t="e">
        <f t="shared" si="86"/>
        <v>#REF!</v>
      </c>
      <c r="O85" s="98" t="e">
        <f t="shared" si="87"/>
        <v>#REF!</v>
      </c>
      <c r="P85" s="98" t="e">
        <f t="shared" si="88"/>
        <v>#REF!</v>
      </c>
      <c r="Q85" s="98" t="e">
        <f t="shared" si="89"/>
        <v>#REF!</v>
      </c>
      <c r="S85" s="105" t="e">
        <f t="shared" si="90"/>
        <v>#REF!</v>
      </c>
    </row>
    <row r="86" s="30" customFormat="1" spans="1:19">
      <c r="A86" s="92" t="str">
        <f t="shared" si="73"/>
        <v>Xe-131m</v>
      </c>
      <c r="B86" s="98" t="e">
        <f t="shared" si="74"/>
        <v>#REF!</v>
      </c>
      <c r="C86" s="98" t="e">
        <f t="shared" si="75"/>
        <v>#REF!</v>
      </c>
      <c r="D86" s="98" t="e">
        <f t="shared" si="76"/>
        <v>#REF!</v>
      </c>
      <c r="E86" s="98" t="e">
        <f t="shared" si="77"/>
        <v>#REF!</v>
      </c>
      <c r="F86" s="98" t="e">
        <f t="shared" si="78"/>
        <v>#REF!</v>
      </c>
      <c r="G86" s="98" t="e">
        <f t="shared" si="79"/>
        <v>#REF!</v>
      </c>
      <c r="H86" s="98" t="e">
        <f t="shared" si="80"/>
        <v>#REF!</v>
      </c>
      <c r="I86" s="98" t="e">
        <f t="shared" si="81"/>
        <v>#REF!</v>
      </c>
      <c r="J86" s="98" t="e">
        <f t="shared" si="82"/>
        <v>#REF!</v>
      </c>
      <c r="K86" s="98" t="e">
        <f t="shared" si="83"/>
        <v>#REF!</v>
      </c>
      <c r="L86" s="98" t="e">
        <f t="shared" si="84"/>
        <v>#REF!</v>
      </c>
      <c r="M86" s="98" t="e">
        <f t="shared" si="85"/>
        <v>#REF!</v>
      </c>
      <c r="N86" s="98" t="e">
        <f t="shared" si="86"/>
        <v>#REF!</v>
      </c>
      <c r="O86" s="98" t="e">
        <f t="shared" si="87"/>
        <v>#REF!</v>
      </c>
      <c r="P86" s="98" t="e">
        <f t="shared" si="88"/>
        <v>#REF!</v>
      </c>
      <c r="Q86" s="98" t="e">
        <f t="shared" si="89"/>
        <v>#REF!</v>
      </c>
      <c r="S86" s="105" t="e">
        <f t="shared" si="90"/>
        <v>#REF!</v>
      </c>
    </row>
    <row r="87" s="30" customFormat="1" spans="1:19">
      <c r="A87" s="92" t="str">
        <f t="shared" si="73"/>
        <v>Xe-133</v>
      </c>
      <c r="B87" s="98" t="e">
        <f t="shared" si="74"/>
        <v>#REF!</v>
      </c>
      <c r="C87" s="98" t="e">
        <f t="shared" si="75"/>
        <v>#REF!</v>
      </c>
      <c r="D87" s="98" t="e">
        <f t="shared" si="76"/>
        <v>#REF!</v>
      </c>
      <c r="E87" s="98" t="e">
        <f t="shared" si="77"/>
        <v>#REF!</v>
      </c>
      <c r="F87" s="98" t="e">
        <f t="shared" si="78"/>
        <v>#REF!</v>
      </c>
      <c r="G87" s="98" t="e">
        <f t="shared" si="79"/>
        <v>#REF!</v>
      </c>
      <c r="H87" s="98" t="e">
        <f t="shared" si="80"/>
        <v>#REF!</v>
      </c>
      <c r="I87" s="98" t="e">
        <f t="shared" si="81"/>
        <v>#REF!</v>
      </c>
      <c r="J87" s="98" t="e">
        <f t="shared" si="82"/>
        <v>#REF!</v>
      </c>
      <c r="K87" s="98" t="e">
        <f t="shared" si="83"/>
        <v>#REF!</v>
      </c>
      <c r="L87" s="98" t="e">
        <f t="shared" si="84"/>
        <v>#REF!</v>
      </c>
      <c r="M87" s="98" t="e">
        <f t="shared" si="85"/>
        <v>#REF!</v>
      </c>
      <c r="N87" s="98" t="e">
        <f t="shared" si="86"/>
        <v>#REF!</v>
      </c>
      <c r="O87" s="98" t="e">
        <f t="shared" si="87"/>
        <v>#REF!</v>
      </c>
      <c r="P87" s="98" t="e">
        <f t="shared" si="88"/>
        <v>#REF!</v>
      </c>
      <c r="Q87" s="98" t="e">
        <f t="shared" si="89"/>
        <v>#REF!</v>
      </c>
      <c r="S87" s="105" t="e">
        <f t="shared" si="90"/>
        <v>#REF!</v>
      </c>
    </row>
    <row r="88" s="30" customFormat="1" spans="1:19">
      <c r="A88" s="92" t="str">
        <f t="shared" si="73"/>
        <v>Xe-133m</v>
      </c>
      <c r="B88" s="98" t="e">
        <f t="shared" si="74"/>
        <v>#REF!</v>
      </c>
      <c r="C88" s="98" t="e">
        <f t="shared" si="75"/>
        <v>#REF!</v>
      </c>
      <c r="D88" s="98" t="e">
        <f t="shared" si="76"/>
        <v>#REF!</v>
      </c>
      <c r="E88" s="98" t="e">
        <f t="shared" si="77"/>
        <v>#REF!</v>
      </c>
      <c r="F88" s="98" t="e">
        <f t="shared" si="78"/>
        <v>#REF!</v>
      </c>
      <c r="G88" s="98" t="e">
        <f t="shared" si="79"/>
        <v>#REF!</v>
      </c>
      <c r="H88" s="98" t="e">
        <f t="shared" si="80"/>
        <v>#REF!</v>
      </c>
      <c r="I88" s="98" t="e">
        <f t="shared" si="81"/>
        <v>#REF!</v>
      </c>
      <c r="J88" s="98" t="e">
        <f t="shared" si="82"/>
        <v>#REF!</v>
      </c>
      <c r="K88" s="98" t="e">
        <f t="shared" si="83"/>
        <v>#REF!</v>
      </c>
      <c r="L88" s="98" t="e">
        <f t="shared" si="84"/>
        <v>#REF!</v>
      </c>
      <c r="M88" s="98" t="e">
        <f t="shared" si="85"/>
        <v>#REF!</v>
      </c>
      <c r="N88" s="98" t="e">
        <f t="shared" si="86"/>
        <v>#REF!</v>
      </c>
      <c r="O88" s="98" t="e">
        <f t="shared" si="87"/>
        <v>#REF!</v>
      </c>
      <c r="P88" s="98" t="e">
        <f t="shared" si="88"/>
        <v>#REF!</v>
      </c>
      <c r="Q88" s="98" t="e">
        <f t="shared" si="89"/>
        <v>#REF!</v>
      </c>
      <c r="S88" s="105" t="e">
        <f t="shared" si="90"/>
        <v>#REF!</v>
      </c>
    </row>
    <row r="89" s="30" customFormat="1" spans="1:19">
      <c r="A89" s="92" t="str">
        <f t="shared" si="73"/>
        <v>Xe-135</v>
      </c>
      <c r="B89" s="98" t="e">
        <f t="shared" si="74"/>
        <v>#REF!</v>
      </c>
      <c r="C89" s="98" t="e">
        <f t="shared" si="75"/>
        <v>#REF!</v>
      </c>
      <c r="D89" s="98" t="e">
        <f t="shared" si="76"/>
        <v>#REF!</v>
      </c>
      <c r="E89" s="98" t="e">
        <f t="shared" si="77"/>
        <v>#REF!</v>
      </c>
      <c r="F89" s="98" t="e">
        <f t="shared" si="78"/>
        <v>#REF!</v>
      </c>
      <c r="G89" s="98" t="e">
        <f t="shared" si="79"/>
        <v>#REF!</v>
      </c>
      <c r="H89" s="98" t="e">
        <f t="shared" si="80"/>
        <v>#REF!</v>
      </c>
      <c r="I89" s="98" t="e">
        <f t="shared" si="81"/>
        <v>#REF!</v>
      </c>
      <c r="J89" s="98" t="e">
        <f t="shared" si="82"/>
        <v>#REF!</v>
      </c>
      <c r="K89" s="98" t="e">
        <f t="shared" si="83"/>
        <v>#REF!</v>
      </c>
      <c r="L89" s="98" t="e">
        <f t="shared" si="84"/>
        <v>#REF!</v>
      </c>
      <c r="M89" s="98" t="e">
        <f t="shared" si="85"/>
        <v>#REF!</v>
      </c>
      <c r="N89" s="98" t="e">
        <f t="shared" si="86"/>
        <v>#REF!</v>
      </c>
      <c r="O89" s="98" t="e">
        <f t="shared" si="87"/>
        <v>#REF!</v>
      </c>
      <c r="P89" s="98" t="e">
        <f t="shared" si="88"/>
        <v>#REF!</v>
      </c>
      <c r="Q89" s="98" t="e">
        <f t="shared" si="89"/>
        <v>#REF!</v>
      </c>
      <c r="S89" s="105" t="e">
        <f t="shared" si="90"/>
        <v>#REF!</v>
      </c>
    </row>
    <row r="90" s="30" customFormat="1" spans="1:19">
      <c r="A90" s="92" t="str">
        <f t="shared" si="73"/>
        <v>I-131</v>
      </c>
      <c r="B90" s="98" t="e">
        <f t="shared" si="74"/>
        <v>#REF!</v>
      </c>
      <c r="C90" s="98" t="e">
        <f t="shared" si="75"/>
        <v>#REF!</v>
      </c>
      <c r="D90" s="98" t="e">
        <f t="shared" si="76"/>
        <v>#REF!</v>
      </c>
      <c r="E90" s="98" t="e">
        <f t="shared" si="77"/>
        <v>#REF!</v>
      </c>
      <c r="F90" s="98" t="e">
        <f t="shared" si="78"/>
        <v>#REF!</v>
      </c>
      <c r="G90" s="98" t="e">
        <f t="shared" si="79"/>
        <v>#REF!</v>
      </c>
      <c r="H90" s="98" t="e">
        <f t="shared" si="80"/>
        <v>#REF!</v>
      </c>
      <c r="I90" s="98" t="e">
        <f t="shared" si="81"/>
        <v>#REF!</v>
      </c>
      <c r="J90" s="98" t="e">
        <f t="shared" si="82"/>
        <v>#REF!</v>
      </c>
      <c r="K90" s="98" t="e">
        <f t="shared" si="83"/>
        <v>#REF!</v>
      </c>
      <c r="L90" s="98" t="e">
        <f t="shared" si="84"/>
        <v>#REF!</v>
      </c>
      <c r="M90" s="98" t="e">
        <f t="shared" si="85"/>
        <v>#REF!</v>
      </c>
      <c r="N90" s="98" t="e">
        <f t="shared" si="86"/>
        <v>#REF!</v>
      </c>
      <c r="O90" s="98" t="e">
        <f t="shared" si="87"/>
        <v>#REF!</v>
      </c>
      <c r="P90" s="98" t="e">
        <f t="shared" si="88"/>
        <v>#REF!</v>
      </c>
      <c r="Q90" s="98" t="e">
        <f t="shared" si="89"/>
        <v>#REF!</v>
      </c>
      <c r="S90" s="105" t="e">
        <f t="shared" si="90"/>
        <v>#REF!</v>
      </c>
    </row>
    <row r="91" s="30" customFormat="1" spans="1:19">
      <c r="A91" s="92" t="str">
        <f t="shared" si="73"/>
        <v>I-132</v>
      </c>
      <c r="B91" s="98" t="e">
        <f t="shared" si="74"/>
        <v>#REF!</v>
      </c>
      <c r="C91" s="98" t="e">
        <f t="shared" si="75"/>
        <v>#REF!</v>
      </c>
      <c r="D91" s="98" t="e">
        <f t="shared" si="76"/>
        <v>#REF!</v>
      </c>
      <c r="E91" s="98" t="e">
        <f t="shared" si="77"/>
        <v>#REF!</v>
      </c>
      <c r="F91" s="98" t="e">
        <f t="shared" si="78"/>
        <v>#REF!</v>
      </c>
      <c r="G91" s="98" t="e">
        <f t="shared" si="79"/>
        <v>#REF!</v>
      </c>
      <c r="H91" s="98" t="e">
        <f t="shared" si="80"/>
        <v>#REF!</v>
      </c>
      <c r="I91" s="98" t="e">
        <f t="shared" si="81"/>
        <v>#REF!</v>
      </c>
      <c r="J91" s="98" t="e">
        <f t="shared" si="82"/>
        <v>#REF!</v>
      </c>
      <c r="K91" s="98" t="e">
        <f t="shared" si="83"/>
        <v>#REF!</v>
      </c>
      <c r="L91" s="98" t="e">
        <f t="shared" si="84"/>
        <v>#REF!</v>
      </c>
      <c r="M91" s="98" t="e">
        <f t="shared" si="85"/>
        <v>#REF!</v>
      </c>
      <c r="N91" s="98" t="e">
        <f t="shared" si="86"/>
        <v>#REF!</v>
      </c>
      <c r="O91" s="98" t="e">
        <f t="shared" si="87"/>
        <v>#REF!</v>
      </c>
      <c r="P91" s="98" t="e">
        <f t="shared" si="88"/>
        <v>#REF!</v>
      </c>
      <c r="Q91" s="98" t="e">
        <f t="shared" si="89"/>
        <v>#REF!</v>
      </c>
      <c r="S91" s="105" t="e">
        <f t="shared" si="90"/>
        <v>#REF!</v>
      </c>
    </row>
    <row r="92" s="30" customFormat="1" spans="1:19">
      <c r="A92" s="92" t="str">
        <f t="shared" si="73"/>
        <v>I-133</v>
      </c>
      <c r="B92" s="98" t="e">
        <f t="shared" si="74"/>
        <v>#REF!</v>
      </c>
      <c r="C92" s="98" t="e">
        <f t="shared" si="75"/>
        <v>#REF!</v>
      </c>
      <c r="D92" s="98" t="e">
        <f t="shared" si="76"/>
        <v>#REF!</v>
      </c>
      <c r="E92" s="98" t="e">
        <f t="shared" si="77"/>
        <v>#REF!</v>
      </c>
      <c r="F92" s="98" t="e">
        <f t="shared" si="78"/>
        <v>#REF!</v>
      </c>
      <c r="G92" s="98" t="e">
        <f t="shared" si="79"/>
        <v>#REF!</v>
      </c>
      <c r="H92" s="98" t="e">
        <f t="shared" si="80"/>
        <v>#REF!</v>
      </c>
      <c r="I92" s="98" t="e">
        <f t="shared" si="81"/>
        <v>#REF!</v>
      </c>
      <c r="J92" s="98" t="e">
        <f t="shared" si="82"/>
        <v>#REF!</v>
      </c>
      <c r="K92" s="98" t="e">
        <f t="shared" si="83"/>
        <v>#REF!</v>
      </c>
      <c r="L92" s="98" t="e">
        <f t="shared" si="84"/>
        <v>#REF!</v>
      </c>
      <c r="M92" s="98" t="e">
        <f t="shared" si="85"/>
        <v>#REF!</v>
      </c>
      <c r="N92" s="98" t="e">
        <f t="shared" si="86"/>
        <v>#REF!</v>
      </c>
      <c r="O92" s="98" t="e">
        <f t="shared" si="87"/>
        <v>#REF!</v>
      </c>
      <c r="P92" s="98" t="e">
        <f t="shared" si="88"/>
        <v>#REF!</v>
      </c>
      <c r="Q92" s="98" t="e">
        <f t="shared" si="89"/>
        <v>#REF!</v>
      </c>
      <c r="S92" s="105" t="e">
        <f t="shared" si="90"/>
        <v>#REF!</v>
      </c>
    </row>
    <row r="93" s="30" customFormat="1" spans="1:30">
      <c r="A93" s="92" t="str">
        <f t="shared" si="73"/>
        <v>I-134</v>
      </c>
      <c r="B93" s="98" t="e">
        <f t="shared" si="74"/>
        <v>#REF!</v>
      </c>
      <c r="C93" s="98" t="e">
        <f t="shared" si="75"/>
        <v>#REF!</v>
      </c>
      <c r="D93" s="98" t="e">
        <f t="shared" si="76"/>
        <v>#REF!</v>
      </c>
      <c r="E93" s="98" t="e">
        <f t="shared" si="77"/>
        <v>#REF!</v>
      </c>
      <c r="F93" s="98" t="e">
        <f t="shared" si="78"/>
        <v>#REF!</v>
      </c>
      <c r="G93" s="98" t="e">
        <f t="shared" si="79"/>
        <v>#REF!</v>
      </c>
      <c r="H93" s="98" t="e">
        <f t="shared" si="80"/>
        <v>#REF!</v>
      </c>
      <c r="I93" s="98" t="e">
        <f t="shared" si="81"/>
        <v>#REF!</v>
      </c>
      <c r="J93" s="98" t="e">
        <f t="shared" si="82"/>
        <v>#REF!</v>
      </c>
      <c r="K93" s="98" t="e">
        <f t="shared" si="83"/>
        <v>#REF!</v>
      </c>
      <c r="L93" s="98" t="e">
        <f t="shared" si="84"/>
        <v>#REF!</v>
      </c>
      <c r="M93" s="98" t="e">
        <f t="shared" si="85"/>
        <v>#REF!</v>
      </c>
      <c r="N93" s="98" t="e">
        <f t="shared" si="86"/>
        <v>#REF!</v>
      </c>
      <c r="O93" s="98" t="e">
        <f t="shared" si="87"/>
        <v>#REF!</v>
      </c>
      <c r="P93" s="98" t="e">
        <f t="shared" si="88"/>
        <v>#REF!</v>
      </c>
      <c r="Q93" s="98" t="e">
        <f t="shared" si="89"/>
        <v>#REF!</v>
      </c>
      <c r="S93" s="105" t="e">
        <f t="shared" si="90"/>
        <v>#REF!</v>
      </c>
      <c r="AB93" s="94"/>
      <c r="AC93" s="94"/>
      <c r="AD93" s="94"/>
    </row>
    <row r="94" s="30" customFormat="1" spans="1:30">
      <c r="A94" s="92" t="str">
        <f t="shared" si="73"/>
        <v>I-135</v>
      </c>
      <c r="B94" s="98" t="e">
        <f t="shared" si="74"/>
        <v>#REF!</v>
      </c>
      <c r="C94" s="98" t="e">
        <f t="shared" si="75"/>
        <v>#REF!</v>
      </c>
      <c r="D94" s="98" t="e">
        <f t="shared" si="76"/>
        <v>#REF!</v>
      </c>
      <c r="E94" s="98" t="e">
        <f t="shared" si="77"/>
        <v>#REF!</v>
      </c>
      <c r="F94" s="98" t="e">
        <f t="shared" si="78"/>
        <v>#REF!</v>
      </c>
      <c r="G94" s="98" t="e">
        <f t="shared" si="79"/>
        <v>#REF!</v>
      </c>
      <c r="H94" s="98" t="e">
        <f t="shared" si="80"/>
        <v>#REF!</v>
      </c>
      <c r="I94" s="98" t="e">
        <f t="shared" si="81"/>
        <v>#REF!</v>
      </c>
      <c r="J94" s="98" t="e">
        <f t="shared" si="82"/>
        <v>#REF!</v>
      </c>
      <c r="K94" s="98" t="e">
        <f t="shared" si="83"/>
        <v>#REF!</v>
      </c>
      <c r="L94" s="98" t="e">
        <f t="shared" si="84"/>
        <v>#REF!</v>
      </c>
      <c r="M94" s="98" t="e">
        <f t="shared" si="85"/>
        <v>#REF!</v>
      </c>
      <c r="N94" s="98" t="e">
        <f t="shared" si="86"/>
        <v>#REF!</v>
      </c>
      <c r="O94" s="98" t="e">
        <f t="shared" si="87"/>
        <v>#REF!</v>
      </c>
      <c r="P94" s="98" t="e">
        <f t="shared" si="88"/>
        <v>#REF!</v>
      </c>
      <c r="Q94" s="98" t="e">
        <f t="shared" si="89"/>
        <v>#REF!</v>
      </c>
      <c r="S94" s="105" t="e">
        <f t="shared" si="90"/>
        <v>#REF!</v>
      </c>
      <c r="AB94" s="125"/>
      <c r="AC94" s="125"/>
      <c r="AD94" s="125"/>
    </row>
    <row r="95" s="30" customFormat="1" spans="1:30">
      <c r="A95" s="92" t="str">
        <f t="shared" si="73"/>
        <v>Sr-89</v>
      </c>
      <c r="B95" s="98" t="e">
        <f t="shared" si="74"/>
        <v>#REF!</v>
      </c>
      <c r="C95" s="98" t="e">
        <f t="shared" si="75"/>
        <v>#REF!</v>
      </c>
      <c r="D95" s="98" t="e">
        <f t="shared" si="76"/>
        <v>#REF!</v>
      </c>
      <c r="E95" s="98" t="e">
        <f t="shared" si="77"/>
        <v>#REF!</v>
      </c>
      <c r="F95" s="98" t="e">
        <f t="shared" si="78"/>
        <v>#REF!</v>
      </c>
      <c r="G95" s="98" t="e">
        <f t="shared" si="79"/>
        <v>#REF!</v>
      </c>
      <c r="H95" s="98" t="e">
        <f t="shared" si="80"/>
        <v>#REF!</v>
      </c>
      <c r="I95" s="98" t="e">
        <f t="shared" si="81"/>
        <v>#REF!</v>
      </c>
      <c r="J95" s="98" t="e">
        <f t="shared" si="82"/>
        <v>#REF!</v>
      </c>
      <c r="K95" s="98" t="e">
        <f t="shared" si="83"/>
        <v>#REF!</v>
      </c>
      <c r="L95" s="98" t="e">
        <f t="shared" si="84"/>
        <v>#REF!</v>
      </c>
      <c r="M95" s="98" t="e">
        <f t="shared" si="85"/>
        <v>#REF!</v>
      </c>
      <c r="N95" s="98" t="e">
        <f t="shared" si="86"/>
        <v>#REF!</v>
      </c>
      <c r="O95" s="98" t="e">
        <f t="shared" si="87"/>
        <v>#REF!</v>
      </c>
      <c r="P95" s="98" t="e">
        <f t="shared" si="88"/>
        <v>#REF!</v>
      </c>
      <c r="Q95" s="98" t="e">
        <f t="shared" si="89"/>
        <v>#REF!</v>
      </c>
      <c r="S95" s="105" t="e">
        <f t="shared" si="90"/>
        <v>#REF!</v>
      </c>
      <c r="AB95" s="125">
        <v>25.293964572018</v>
      </c>
      <c r="AC95" s="125">
        <v>22.9362486151169</v>
      </c>
      <c r="AD95" s="125">
        <v>18.0723111029894</v>
      </c>
    </row>
    <row r="96" s="30" customFormat="1" spans="1:30">
      <c r="A96" s="92" t="str">
        <f t="shared" si="73"/>
        <v>Sr-90</v>
      </c>
      <c r="B96" s="98" t="e">
        <f t="shared" si="74"/>
        <v>#REF!</v>
      </c>
      <c r="C96" s="98" t="e">
        <f t="shared" si="75"/>
        <v>#REF!</v>
      </c>
      <c r="D96" s="98" t="e">
        <f t="shared" si="76"/>
        <v>#REF!</v>
      </c>
      <c r="E96" s="98" t="e">
        <f t="shared" si="77"/>
        <v>#REF!</v>
      </c>
      <c r="F96" s="98" t="e">
        <f t="shared" si="78"/>
        <v>#REF!</v>
      </c>
      <c r="G96" s="98" t="e">
        <f t="shared" si="79"/>
        <v>#REF!</v>
      </c>
      <c r="H96" s="98" t="e">
        <f t="shared" si="80"/>
        <v>#REF!</v>
      </c>
      <c r="I96" s="98" t="e">
        <f t="shared" si="81"/>
        <v>#REF!</v>
      </c>
      <c r="J96" s="98" t="e">
        <f t="shared" si="82"/>
        <v>#REF!</v>
      </c>
      <c r="K96" s="98" t="e">
        <f t="shared" si="83"/>
        <v>#REF!</v>
      </c>
      <c r="L96" s="98" t="e">
        <f t="shared" si="84"/>
        <v>#REF!</v>
      </c>
      <c r="M96" s="98" t="e">
        <f t="shared" si="85"/>
        <v>#REF!</v>
      </c>
      <c r="N96" s="98" t="e">
        <f t="shared" si="86"/>
        <v>#REF!</v>
      </c>
      <c r="O96" s="98" t="e">
        <f t="shared" si="87"/>
        <v>#REF!</v>
      </c>
      <c r="P96" s="98" t="e">
        <f t="shared" si="88"/>
        <v>#REF!</v>
      </c>
      <c r="Q96" s="98" t="e">
        <f t="shared" si="89"/>
        <v>#REF!</v>
      </c>
      <c r="S96" s="105" t="e">
        <f t="shared" si="90"/>
        <v>#REF!</v>
      </c>
      <c r="AB96" s="125">
        <v>70.5004257631306</v>
      </c>
      <c r="AC96" s="125">
        <v>73.548228156788</v>
      </c>
      <c r="AD96" s="125">
        <v>81.0260592013354</v>
      </c>
    </row>
    <row r="97" s="30" customFormat="1" spans="1:19">
      <c r="A97" s="92" t="str">
        <f t="shared" si="73"/>
        <v>Cs-134</v>
      </c>
      <c r="B97" s="98" t="e">
        <f t="shared" si="74"/>
        <v>#REF!</v>
      </c>
      <c r="C97" s="98" t="e">
        <f t="shared" si="75"/>
        <v>#REF!</v>
      </c>
      <c r="D97" s="98" t="e">
        <f t="shared" si="76"/>
        <v>#REF!</v>
      </c>
      <c r="E97" s="98" t="e">
        <f t="shared" si="77"/>
        <v>#REF!</v>
      </c>
      <c r="F97" s="98" t="e">
        <f t="shared" si="78"/>
        <v>#REF!</v>
      </c>
      <c r="G97" s="98" t="e">
        <f t="shared" si="79"/>
        <v>#REF!</v>
      </c>
      <c r="H97" s="98" t="e">
        <f t="shared" si="80"/>
        <v>#REF!</v>
      </c>
      <c r="I97" s="98" t="e">
        <f t="shared" si="81"/>
        <v>#REF!</v>
      </c>
      <c r="J97" s="98" t="e">
        <f t="shared" si="82"/>
        <v>#REF!</v>
      </c>
      <c r="K97" s="98" t="e">
        <f t="shared" si="83"/>
        <v>#REF!</v>
      </c>
      <c r="L97" s="98" t="e">
        <f t="shared" si="84"/>
        <v>#REF!</v>
      </c>
      <c r="M97" s="98" t="e">
        <f t="shared" si="85"/>
        <v>#REF!</v>
      </c>
      <c r="N97" s="98" t="e">
        <f t="shared" si="86"/>
        <v>#REF!</v>
      </c>
      <c r="O97" s="98" t="e">
        <f t="shared" si="87"/>
        <v>#REF!</v>
      </c>
      <c r="P97" s="98" t="e">
        <f t="shared" si="88"/>
        <v>#REF!</v>
      </c>
      <c r="Q97" s="98" t="e">
        <f t="shared" si="89"/>
        <v>#REF!</v>
      </c>
      <c r="S97" s="105" t="e">
        <f t="shared" si="90"/>
        <v>#REF!</v>
      </c>
    </row>
    <row r="98" s="30" customFormat="1" spans="1:19">
      <c r="A98" s="92" t="str">
        <f t="shared" si="73"/>
        <v>Cs-137</v>
      </c>
      <c r="B98" s="98" t="e">
        <f t="shared" si="74"/>
        <v>#REF!</v>
      </c>
      <c r="C98" s="98" t="e">
        <f t="shared" si="75"/>
        <v>#REF!</v>
      </c>
      <c r="D98" s="98" t="e">
        <f t="shared" si="76"/>
        <v>#REF!</v>
      </c>
      <c r="E98" s="98" t="e">
        <f t="shared" si="77"/>
        <v>#REF!</v>
      </c>
      <c r="F98" s="98" t="e">
        <f t="shared" si="78"/>
        <v>#REF!</v>
      </c>
      <c r="G98" s="98" t="e">
        <f t="shared" si="79"/>
        <v>#REF!</v>
      </c>
      <c r="H98" s="98" t="e">
        <f t="shared" si="80"/>
        <v>#REF!</v>
      </c>
      <c r="I98" s="98" t="e">
        <f t="shared" si="81"/>
        <v>#REF!</v>
      </c>
      <c r="J98" s="98" t="e">
        <f t="shared" si="82"/>
        <v>#REF!</v>
      </c>
      <c r="K98" s="98" t="e">
        <f t="shared" si="83"/>
        <v>#REF!</v>
      </c>
      <c r="L98" s="98" t="e">
        <f t="shared" si="84"/>
        <v>#REF!</v>
      </c>
      <c r="M98" s="98" t="e">
        <f t="shared" si="85"/>
        <v>#REF!</v>
      </c>
      <c r="N98" s="98" t="e">
        <f t="shared" si="86"/>
        <v>#REF!</v>
      </c>
      <c r="O98" s="98" t="e">
        <f t="shared" si="87"/>
        <v>#REF!</v>
      </c>
      <c r="P98" s="98" t="e">
        <f t="shared" si="88"/>
        <v>#REF!</v>
      </c>
      <c r="Q98" s="98" t="e">
        <f t="shared" si="89"/>
        <v>#REF!</v>
      </c>
      <c r="S98" s="105" t="e">
        <f t="shared" si="90"/>
        <v>#REF!</v>
      </c>
    </row>
    <row r="99" s="30" customFormat="1" spans="1:19">
      <c r="A99" s="92" t="str">
        <f t="shared" si="73"/>
        <v>Ag-110m</v>
      </c>
      <c r="B99" s="98" t="e">
        <f t="shared" si="74"/>
        <v>#REF!</v>
      </c>
      <c r="C99" s="98" t="e">
        <f t="shared" si="75"/>
        <v>#REF!</v>
      </c>
      <c r="D99" s="98" t="e">
        <f t="shared" si="76"/>
        <v>#REF!</v>
      </c>
      <c r="E99" s="98" t="e">
        <f t="shared" si="77"/>
        <v>#REF!</v>
      </c>
      <c r="F99" s="98" t="e">
        <f t="shared" si="78"/>
        <v>#REF!</v>
      </c>
      <c r="G99" s="98" t="e">
        <f t="shared" si="79"/>
        <v>#REF!</v>
      </c>
      <c r="H99" s="98" t="e">
        <f t="shared" si="80"/>
        <v>#REF!</v>
      </c>
      <c r="I99" s="98" t="e">
        <f t="shared" si="81"/>
        <v>#REF!</v>
      </c>
      <c r="J99" s="98" t="e">
        <f t="shared" si="82"/>
        <v>#REF!</v>
      </c>
      <c r="K99" s="98" t="e">
        <f t="shared" si="83"/>
        <v>#REF!</v>
      </c>
      <c r="L99" s="98" t="e">
        <f t="shared" si="84"/>
        <v>#REF!</v>
      </c>
      <c r="M99" s="98" t="e">
        <f t="shared" si="85"/>
        <v>#REF!</v>
      </c>
      <c r="N99" s="98" t="e">
        <f t="shared" si="86"/>
        <v>#REF!</v>
      </c>
      <c r="O99" s="98" t="e">
        <f t="shared" si="87"/>
        <v>#REF!</v>
      </c>
      <c r="P99" s="98" t="e">
        <f t="shared" si="88"/>
        <v>#REF!</v>
      </c>
      <c r="Q99" s="98" t="e">
        <f t="shared" si="89"/>
        <v>#REF!</v>
      </c>
      <c r="S99" s="105" t="e">
        <f t="shared" si="90"/>
        <v>#REF!</v>
      </c>
    </row>
    <row r="100" s="30" customFormat="1" spans="1:19">
      <c r="A100" s="92" t="str">
        <f t="shared" si="73"/>
        <v>H-3</v>
      </c>
      <c r="B100" s="98" t="e">
        <f t="shared" si="74"/>
        <v>#REF!</v>
      </c>
      <c r="C100" s="98" t="e">
        <f t="shared" si="75"/>
        <v>#REF!</v>
      </c>
      <c r="D100" s="98" t="e">
        <f t="shared" si="76"/>
        <v>#REF!</v>
      </c>
      <c r="E100" s="98" t="e">
        <f t="shared" si="77"/>
        <v>#REF!</v>
      </c>
      <c r="F100" s="98" t="e">
        <f t="shared" si="78"/>
        <v>#REF!</v>
      </c>
      <c r="G100" s="98" t="e">
        <f t="shared" si="79"/>
        <v>#REF!</v>
      </c>
      <c r="H100" s="98" t="e">
        <f t="shared" si="80"/>
        <v>#REF!</v>
      </c>
      <c r="I100" s="98" t="e">
        <f t="shared" si="81"/>
        <v>#REF!</v>
      </c>
      <c r="J100" s="98" t="e">
        <f t="shared" si="82"/>
        <v>#REF!</v>
      </c>
      <c r="K100" s="98" t="e">
        <f t="shared" si="83"/>
        <v>#REF!</v>
      </c>
      <c r="L100" s="98" t="e">
        <f t="shared" si="84"/>
        <v>#REF!</v>
      </c>
      <c r="M100" s="98" t="e">
        <f t="shared" si="85"/>
        <v>#REF!</v>
      </c>
      <c r="N100" s="98" t="e">
        <f t="shared" si="86"/>
        <v>#REF!</v>
      </c>
      <c r="O100" s="98" t="e">
        <f t="shared" si="87"/>
        <v>#REF!</v>
      </c>
      <c r="P100" s="98" t="e">
        <f t="shared" si="88"/>
        <v>#REF!</v>
      </c>
      <c r="Q100" s="98" t="e">
        <f t="shared" si="89"/>
        <v>#REF!</v>
      </c>
      <c r="S100" s="105" t="e">
        <f t="shared" si="90"/>
        <v>#REF!</v>
      </c>
    </row>
    <row r="101" s="30" customFormat="1" spans="1:19">
      <c r="A101" s="92" t="str">
        <f t="shared" si="73"/>
        <v>C-14</v>
      </c>
      <c r="B101" s="98" t="e">
        <f t="shared" si="74"/>
        <v>#REF!</v>
      </c>
      <c r="C101" s="98" t="e">
        <f t="shared" si="75"/>
        <v>#REF!</v>
      </c>
      <c r="D101" s="98" t="e">
        <f t="shared" si="76"/>
        <v>#REF!</v>
      </c>
      <c r="E101" s="98" t="e">
        <f t="shared" si="77"/>
        <v>#REF!</v>
      </c>
      <c r="F101" s="98" t="e">
        <f t="shared" si="78"/>
        <v>#REF!</v>
      </c>
      <c r="G101" s="98" t="e">
        <f t="shared" si="79"/>
        <v>#REF!</v>
      </c>
      <c r="H101" s="98" t="e">
        <f t="shared" si="80"/>
        <v>#REF!</v>
      </c>
      <c r="I101" s="98" t="e">
        <f t="shared" si="81"/>
        <v>#REF!</v>
      </c>
      <c r="J101" s="98" t="e">
        <f t="shared" si="82"/>
        <v>#REF!</v>
      </c>
      <c r="K101" s="98" t="e">
        <f t="shared" si="83"/>
        <v>#REF!</v>
      </c>
      <c r="L101" s="98" t="e">
        <f t="shared" si="84"/>
        <v>#REF!</v>
      </c>
      <c r="M101" s="98" t="e">
        <f t="shared" si="85"/>
        <v>#REF!</v>
      </c>
      <c r="N101" s="98" t="e">
        <f t="shared" si="86"/>
        <v>#REF!</v>
      </c>
      <c r="O101" s="98" t="e">
        <f t="shared" si="87"/>
        <v>#REF!</v>
      </c>
      <c r="P101" s="98" t="e">
        <f t="shared" si="88"/>
        <v>#REF!</v>
      </c>
      <c r="Q101" s="98" t="e">
        <f t="shared" si="89"/>
        <v>#REF!</v>
      </c>
      <c r="S101" s="105" t="e">
        <f t="shared" si="90"/>
        <v>#REF!</v>
      </c>
    </row>
    <row r="102" s="30" customFormat="1" spans="1:19">
      <c r="A102" s="92" t="str">
        <f t="shared" si="73"/>
        <v>Co-60</v>
      </c>
      <c r="B102" s="98" t="e">
        <f t="shared" si="74"/>
        <v>#REF!</v>
      </c>
      <c r="C102" s="98" t="e">
        <f t="shared" si="75"/>
        <v>#REF!</v>
      </c>
      <c r="D102" s="98" t="e">
        <f t="shared" si="76"/>
        <v>#REF!</v>
      </c>
      <c r="E102" s="98" t="e">
        <f t="shared" si="77"/>
        <v>#REF!</v>
      </c>
      <c r="F102" s="98" t="e">
        <f t="shared" si="78"/>
        <v>#REF!</v>
      </c>
      <c r="G102" s="98" t="e">
        <f t="shared" si="79"/>
        <v>#REF!</v>
      </c>
      <c r="H102" s="98" t="e">
        <f t="shared" si="80"/>
        <v>#REF!</v>
      </c>
      <c r="I102" s="98" t="e">
        <f t="shared" si="81"/>
        <v>#REF!</v>
      </c>
      <c r="J102" s="98" t="e">
        <f t="shared" si="82"/>
        <v>#REF!</v>
      </c>
      <c r="K102" s="98" t="e">
        <f t="shared" si="83"/>
        <v>#REF!</v>
      </c>
      <c r="L102" s="98" t="e">
        <f t="shared" si="84"/>
        <v>#REF!</v>
      </c>
      <c r="M102" s="98" t="e">
        <f t="shared" si="85"/>
        <v>#REF!</v>
      </c>
      <c r="N102" s="98" t="e">
        <f t="shared" si="86"/>
        <v>#REF!</v>
      </c>
      <c r="O102" s="98" t="e">
        <f t="shared" si="87"/>
        <v>#REF!</v>
      </c>
      <c r="P102" s="98" t="e">
        <f t="shared" si="88"/>
        <v>#REF!</v>
      </c>
      <c r="Q102" s="98" t="e">
        <f t="shared" si="89"/>
        <v>#REF!</v>
      </c>
      <c r="S102" s="105" t="e">
        <f t="shared" si="90"/>
        <v>#REF!</v>
      </c>
    </row>
    <row r="103" s="30" customFormat="1" spans="1:31">
      <c r="A103" s="92" t="str">
        <f t="shared" si="73"/>
        <v>Ar-41</v>
      </c>
      <c r="B103" s="98" t="e">
        <f t="shared" si="74"/>
        <v>#REF!</v>
      </c>
      <c r="C103" s="98" t="e">
        <f t="shared" si="75"/>
        <v>#REF!</v>
      </c>
      <c r="D103" s="98" t="e">
        <f t="shared" si="76"/>
        <v>#REF!</v>
      </c>
      <c r="E103" s="98" t="e">
        <f t="shared" si="77"/>
        <v>#REF!</v>
      </c>
      <c r="F103" s="98" t="e">
        <f t="shared" si="78"/>
        <v>#REF!</v>
      </c>
      <c r="G103" s="98" t="e">
        <f t="shared" si="79"/>
        <v>#REF!</v>
      </c>
      <c r="H103" s="98" t="e">
        <f t="shared" si="80"/>
        <v>#REF!</v>
      </c>
      <c r="I103" s="98" t="e">
        <f t="shared" si="81"/>
        <v>#REF!</v>
      </c>
      <c r="J103" s="98" t="e">
        <f t="shared" si="82"/>
        <v>#REF!</v>
      </c>
      <c r="K103" s="98" t="e">
        <f t="shared" si="83"/>
        <v>#REF!</v>
      </c>
      <c r="L103" s="98" t="e">
        <f t="shared" si="84"/>
        <v>#REF!</v>
      </c>
      <c r="M103" s="98" t="e">
        <f t="shared" si="85"/>
        <v>#REF!</v>
      </c>
      <c r="N103" s="98" t="e">
        <f t="shared" si="86"/>
        <v>#REF!</v>
      </c>
      <c r="O103" s="98" t="e">
        <f t="shared" si="87"/>
        <v>#REF!</v>
      </c>
      <c r="P103" s="98" t="e">
        <f t="shared" si="88"/>
        <v>#REF!</v>
      </c>
      <c r="Q103" s="98" t="e">
        <f t="shared" si="89"/>
        <v>#REF!</v>
      </c>
      <c r="S103" s="124"/>
      <c r="AE103" s="94"/>
    </row>
    <row r="104" s="30" customFormat="1" spans="2:31">
      <c r="B104" s="120"/>
      <c r="C104" s="120"/>
      <c r="D104" s="120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AE104" s="125"/>
    </row>
    <row r="105" s="30" customFormat="1" spans="1:31">
      <c r="A105" s="121" t="s">
        <v>4535</v>
      </c>
      <c r="B105" s="122" t="e">
        <f t="shared" ref="B105:Q105" si="91">SUM(B33:B103)</f>
        <v>#REF!</v>
      </c>
      <c r="C105" s="122" t="e">
        <f t="shared" si="91"/>
        <v>#REF!</v>
      </c>
      <c r="D105" s="122" t="e">
        <f t="shared" si="91"/>
        <v>#REF!</v>
      </c>
      <c r="E105" s="122" t="e">
        <f t="shared" si="91"/>
        <v>#REF!</v>
      </c>
      <c r="F105" s="122" t="e">
        <f t="shared" si="91"/>
        <v>#REF!</v>
      </c>
      <c r="G105" s="122" t="e">
        <f t="shared" si="91"/>
        <v>#REF!</v>
      </c>
      <c r="H105" s="122" t="e">
        <f t="shared" si="91"/>
        <v>#REF!</v>
      </c>
      <c r="I105" s="122" t="e">
        <f t="shared" si="91"/>
        <v>#REF!</v>
      </c>
      <c r="J105" s="122" t="e">
        <f t="shared" si="91"/>
        <v>#REF!</v>
      </c>
      <c r="K105" s="122" t="e">
        <f t="shared" si="91"/>
        <v>#REF!</v>
      </c>
      <c r="L105" s="122" t="e">
        <f t="shared" si="91"/>
        <v>#REF!</v>
      </c>
      <c r="M105" s="122" t="e">
        <f t="shared" si="91"/>
        <v>#REF!</v>
      </c>
      <c r="N105" s="122" t="e">
        <f t="shared" si="91"/>
        <v>#REF!</v>
      </c>
      <c r="O105" s="122" t="e">
        <f t="shared" si="91"/>
        <v>#REF!</v>
      </c>
      <c r="P105" s="122" t="e">
        <f t="shared" si="91"/>
        <v>#REF!</v>
      </c>
      <c r="Q105" s="122" t="e">
        <f t="shared" si="91"/>
        <v>#REF!</v>
      </c>
      <c r="R105" s="56" t="e">
        <f>MAX(B105:Q105)</f>
        <v>#REF!</v>
      </c>
      <c r="S105" s="30" t="e">
        <f>ROUND(SUM(O33:O54)/$R$105*100,1)</f>
        <v>#REF!</v>
      </c>
      <c r="V105" s="125" t="e">
        <f>SUM(B33:B54)/B105*100</f>
        <v>#REF!</v>
      </c>
      <c r="AE105" s="125">
        <v>3.3</v>
      </c>
    </row>
    <row r="106" s="30" customFormat="1" spans="2:31">
      <c r="B106" s="97">
        <f t="shared" ref="B106:Q106" si="92">B32</f>
        <v>0</v>
      </c>
      <c r="C106" s="97">
        <f t="shared" si="92"/>
        <v>0</v>
      </c>
      <c r="D106" s="97">
        <f t="shared" si="92"/>
        <v>0</v>
      </c>
      <c r="E106" s="97" t="str">
        <f t="shared" si="92"/>
        <v>500m</v>
      </c>
      <c r="F106" s="97" t="str">
        <f t="shared" si="92"/>
        <v>1500m</v>
      </c>
      <c r="G106" s="97" t="str">
        <f t="shared" si="92"/>
        <v>2500m</v>
      </c>
      <c r="H106" s="97" t="str">
        <f t="shared" si="92"/>
        <v>4000m</v>
      </c>
      <c r="I106" s="97" t="str">
        <f t="shared" si="92"/>
        <v>5000m</v>
      </c>
      <c r="J106" s="97" t="str">
        <f t="shared" si="92"/>
        <v>7500m</v>
      </c>
      <c r="K106" s="97" t="str">
        <f t="shared" si="92"/>
        <v>15000m</v>
      </c>
      <c r="L106" s="97" t="str">
        <f t="shared" si="92"/>
        <v>25000m</v>
      </c>
      <c r="M106" s="97" t="str">
        <f t="shared" si="92"/>
        <v>35000m</v>
      </c>
      <c r="N106" s="97" t="str">
        <f t="shared" si="92"/>
        <v>45000m</v>
      </c>
      <c r="O106" s="97" t="str">
        <f t="shared" si="92"/>
        <v>55000m</v>
      </c>
      <c r="P106" s="97" t="str">
        <f t="shared" si="92"/>
        <v>65000m</v>
      </c>
      <c r="Q106" s="97" t="str">
        <f t="shared" si="92"/>
        <v>75000m</v>
      </c>
      <c r="S106" s="30" t="e">
        <f>ROUND(SUM(O81:O102)/$R$105*100,1)</f>
        <v>#REF!</v>
      </c>
      <c r="V106" s="125" t="e">
        <f>SUM(B57:B78)/B105*100</f>
        <v>#REF!</v>
      </c>
      <c r="AE106" s="125">
        <v>95.3610808229406</v>
      </c>
    </row>
    <row r="107" s="30" customFormat="1" spans="21:24">
      <c r="U107" s="30" t="e">
        <f>100-SUM(S105:S106)</f>
        <v>#REF!</v>
      </c>
      <c r="X107" s="125" t="e">
        <f>SUM(B81:B102)/B105*100</f>
        <v>#REF!</v>
      </c>
    </row>
    <row r="119" s="30" customFormat="1" spans="1:19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</row>
    <row r="120" s="30" customFormat="1" spans="1:19">
      <c r="A120" s="56"/>
      <c r="B120" s="56"/>
      <c r="C120" s="123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</row>
    <row r="121" s="30" customFormat="1" spans="1:19">
      <c r="A121" s="56"/>
      <c r="B121" s="56"/>
      <c r="C121" s="123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</row>
  </sheetData>
  <pageMargins left="0.75" right="0.75" top="1" bottom="1" header="0.5" footer="0.5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E121"/>
  <sheetViews>
    <sheetView workbookViewId="0">
      <selection activeCell="L19" sqref="L19:L20"/>
    </sheetView>
  </sheetViews>
  <sheetFormatPr defaultColWidth="9" defaultRowHeight="13.5"/>
  <cols>
    <col min="1" max="1" width="9" style="35"/>
    <col min="2" max="12" width="9.50833333333333" style="35" customWidth="1"/>
    <col min="13" max="13" width="9.375" style="35" customWidth="1"/>
    <col min="14" max="14" width="10.625" style="35" customWidth="1"/>
    <col min="15" max="19" width="9.50833333333333" style="35" customWidth="1"/>
    <col min="20" max="20" width="13.75" style="35"/>
    <col min="21" max="21" width="12.625" style="35"/>
    <col min="22" max="22" width="13.75" style="35"/>
    <col min="23" max="24" width="12.8833333333333" style="35"/>
    <col min="25" max="25" width="9.375" style="35"/>
    <col min="26" max="26" width="9" style="35"/>
    <col min="28" max="16384" width="9" style="35"/>
  </cols>
  <sheetData>
    <row r="2" s="35" customFormat="1" ht="15" customHeight="1" spans="8:27">
      <c r="H2" s="36" t="s">
        <v>35</v>
      </c>
      <c r="I2" s="36" t="s">
        <v>4536</v>
      </c>
      <c r="J2" s="36" t="s">
        <v>4537</v>
      </c>
      <c r="K2" s="51" t="s">
        <v>4484</v>
      </c>
      <c r="L2" s="30" t="s">
        <v>4484</v>
      </c>
      <c r="M2" s="30"/>
      <c r="N2" s="30"/>
      <c r="O2" s="30"/>
      <c r="P2" s="52" t="s">
        <v>4538</v>
      </c>
      <c r="Q2" s="36"/>
      <c r="R2" s="36"/>
      <c r="S2" s="36"/>
      <c r="T2" s="59" t="s">
        <v>4539</v>
      </c>
      <c r="U2" s="36"/>
      <c r="AA2"/>
    </row>
    <row r="3" s="35" customFormat="1" ht="19.5" spans="8:27">
      <c r="H3" s="36"/>
      <c r="I3" s="36" t="s">
        <v>4540</v>
      </c>
      <c r="J3" s="36" t="s">
        <v>4540</v>
      </c>
      <c r="K3" s="53" t="s">
        <v>4541</v>
      </c>
      <c r="L3" s="30" t="s">
        <v>4488</v>
      </c>
      <c r="M3" s="30"/>
      <c r="N3" s="30"/>
      <c r="O3" s="30"/>
      <c r="P3" s="54" t="s">
        <v>4542</v>
      </c>
      <c r="Q3" s="60">
        <v>0.00035</v>
      </c>
      <c r="R3" s="60">
        <v>0.00035</v>
      </c>
      <c r="S3" s="60">
        <v>0.00018</v>
      </c>
      <c r="T3" s="60">
        <v>0.00023</v>
      </c>
      <c r="U3" s="60">
        <v>0.00023</v>
      </c>
      <c r="W3" s="61" t="s">
        <v>4543</v>
      </c>
      <c r="X3"/>
      <c r="Y3"/>
      <c r="Z3"/>
      <c r="AA3"/>
    </row>
    <row r="4" s="35" customFormat="1" ht="66" spans="1:27">
      <c r="A4" s="36" t="s">
        <v>35</v>
      </c>
      <c r="B4" s="36" t="s">
        <v>266</v>
      </c>
      <c r="C4" s="36" t="s">
        <v>4544</v>
      </c>
      <c r="D4" s="36" t="s">
        <v>4545</v>
      </c>
      <c r="E4" s="36" t="s">
        <v>4546</v>
      </c>
      <c r="F4" s="36" t="s">
        <v>4547</v>
      </c>
      <c r="H4" s="36"/>
      <c r="I4" s="36" t="s">
        <v>4496</v>
      </c>
      <c r="J4" s="36" t="s">
        <v>4497</v>
      </c>
      <c r="K4" s="55">
        <f>180*24*3600</f>
        <v>15552000</v>
      </c>
      <c r="L4" s="30" t="s">
        <v>4498</v>
      </c>
      <c r="M4" s="56" t="s">
        <v>4499</v>
      </c>
      <c r="N4" s="30" t="s">
        <v>4500</v>
      </c>
      <c r="O4" s="30"/>
      <c r="P4" s="36" t="s">
        <v>4501</v>
      </c>
      <c r="Q4" s="36" t="s">
        <v>4502</v>
      </c>
      <c r="R4" s="36" t="s">
        <v>4503</v>
      </c>
      <c r="S4" s="36" t="s">
        <v>4504</v>
      </c>
      <c r="T4" s="36" t="s">
        <v>4505</v>
      </c>
      <c r="U4" s="36" t="s">
        <v>4506</v>
      </c>
      <c r="W4" s="62" t="s">
        <v>35</v>
      </c>
      <c r="X4" s="62" t="s">
        <v>4507</v>
      </c>
      <c r="Y4" s="62" t="s">
        <v>4509</v>
      </c>
      <c r="Z4" s="80" t="s">
        <v>4508</v>
      </c>
      <c r="AA4"/>
    </row>
    <row r="5" s="35" customFormat="1" ht="15.75" spans="1:27">
      <c r="A5" s="37" t="s">
        <v>46</v>
      </c>
      <c r="B5" s="38">
        <v>257535996.0213</v>
      </c>
      <c r="C5" s="38">
        <v>0</v>
      </c>
      <c r="D5" s="38">
        <v>0</v>
      </c>
      <c r="E5" s="38">
        <v>0</v>
      </c>
      <c r="F5" s="38">
        <v>0</v>
      </c>
      <c r="G5" s="35" t="str">
        <f t="shared" ref="G5:G29" si="0">A5</f>
        <v>Kr-83m</v>
      </c>
      <c r="H5" s="39" t="str">
        <f t="shared" ref="H5:K5" si="1">W5</f>
        <v>Kr-83m</v>
      </c>
      <c r="I5" s="39">
        <f t="shared" si="1"/>
        <v>6.43e-19</v>
      </c>
      <c r="J5" s="39">
        <f t="shared" si="1"/>
        <v>0</v>
      </c>
      <c r="K5" s="39">
        <f t="shared" si="1"/>
        <v>0</v>
      </c>
      <c r="L5" s="30">
        <v>0</v>
      </c>
      <c r="M5" s="56">
        <v>0.000105</v>
      </c>
      <c r="N5" s="56">
        <v>0.0015</v>
      </c>
      <c r="O5" s="56"/>
      <c r="P5" s="57"/>
      <c r="Q5" s="39"/>
      <c r="R5" s="39"/>
      <c r="S5" s="39"/>
      <c r="T5" s="39"/>
      <c r="U5" s="39"/>
      <c r="W5" s="63" t="s">
        <v>46</v>
      </c>
      <c r="X5" s="64">
        <v>6.43e-19</v>
      </c>
      <c r="Y5" s="81">
        <v>0</v>
      </c>
      <c r="Z5" s="64">
        <v>0</v>
      </c>
      <c r="AA5"/>
    </row>
    <row r="6" s="35" customFormat="1" ht="15.75" spans="1:27">
      <c r="A6" s="37" t="s">
        <v>47</v>
      </c>
      <c r="B6" s="38">
        <v>1630419749.86374</v>
      </c>
      <c r="C6" s="38">
        <v>0</v>
      </c>
      <c r="D6" s="38">
        <v>0</v>
      </c>
      <c r="E6" s="38">
        <v>0</v>
      </c>
      <c r="F6" s="38">
        <v>0</v>
      </c>
      <c r="G6" s="35" t="str">
        <f t="shared" si="0"/>
        <v>Kr-85</v>
      </c>
      <c r="H6" s="39" t="str">
        <f t="shared" ref="H6:K6" si="2">W6</f>
        <v>Kr-85</v>
      </c>
      <c r="I6" s="39">
        <f t="shared" si="2"/>
        <v>1.18e-16</v>
      </c>
      <c r="J6" s="39">
        <f t="shared" si="2"/>
        <v>0</v>
      </c>
      <c r="K6" s="39">
        <f t="shared" si="2"/>
        <v>0</v>
      </c>
      <c r="L6" s="30">
        <v>0</v>
      </c>
      <c r="M6" s="56">
        <v>2.04e-9</v>
      </c>
      <c r="N6" s="56">
        <v>0.0015</v>
      </c>
      <c r="O6" s="56"/>
      <c r="P6" s="57"/>
      <c r="Q6" s="39"/>
      <c r="R6" s="39"/>
      <c r="S6" s="39"/>
      <c r="T6" s="39"/>
      <c r="U6" s="39"/>
      <c r="W6" s="65" t="s">
        <v>47</v>
      </c>
      <c r="X6" s="66">
        <v>1.18e-16</v>
      </c>
      <c r="Y6" s="82">
        <v>0</v>
      </c>
      <c r="Z6" s="66">
        <v>0</v>
      </c>
      <c r="AA6"/>
    </row>
    <row r="7" s="35" customFormat="1" ht="15.75" spans="1:27">
      <c r="A7" s="37" t="s">
        <v>48</v>
      </c>
      <c r="B7" s="38">
        <v>2247059311.85471</v>
      </c>
      <c r="C7" s="38">
        <v>0</v>
      </c>
      <c r="D7" s="38">
        <v>0</v>
      </c>
      <c r="E7" s="38">
        <v>0</v>
      </c>
      <c r="F7" s="38">
        <v>0</v>
      </c>
      <c r="G7" s="35" t="str">
        <f t="shared" si="0"/>
        <v>Kr-85m</v>
      </c>
      <c r="H7" s="39" t="str">
        <f t="shared" ref="H7:K7" si="3">W7</f>
        <v>Kr-85m</v>
      </c>
      <c r="I7" s="39">
        <f t="shared" si="3"/>
        <v>7.33e-15</v>
      </c>
      <c r="J7" s="39">
        <f t="shared" si="3"/>
        <v>0</v>
      </c>
      <c r="K7" s="39">
        <f t="shared" si="3"/>
        <v>0</v>
      </c>
      <c r="L7" s="30">
        <v>0</v>
      </c>
      <c r="M7" s="56">
        <v>4.3e-5</v>
      </c>
      <c r="N7" s="56">
        <v>0.0015</v>
      </c>
      <c r="O7" s="56"/>
      <c r="P7" s="57"/>
      <c r="Q7" s="39"/>
      <c r="R7" s="39"/>
      <c r="S7" s="39"/>
      <c r="T7" s="39"/>
      <c r="U7" s="39"/>
      <c r="W7" s="65" t="s">
        <v>48</v>
      </c>
      <c r="X7" s="66">
        <v>7.33e-15</v>
      </c>
      <c r="Y7" s="82">
        <v>0</v>
      </c>
      <c r="Z7" s="66">
        <v>0</v>
      </c>
      <c r="AA7"/>
    </row>
    <row r="8" s="35" customFormat="1" ht="15.75" spans="1:27">
      <c r="A8" s="37" t="s">
        <v>49</v>
      </c>
      <c r="B8" s="38">
        <v>938520958.436321</v>
      </c>
      <c r="C8" s="38">
        <v>0</v>
      </c>
      <c r="D8" s="38">
        <v>0</v>
      </c>
      <c r="E8" s="38">
        <v>0</v>
      </c>
      <c r="F8" s="38">
        <v>0</v>
      </c>
      <c r="G8" s="35" t="str">
        <f t="shared" si="0"/>
        <v>Kr-87</v>
      </c>
      <c r="H8" s="39" t="str">
        <f t="shared" ref="H8:K8" si="4">W8</f>
        <v>Kr-87</v>
      </c>
      <c r="I8" s="39">
        <f t="shared" si="4"/>
        <v>4.13e-14</v>
      </c>
      <c r="J8" s="39">
        <f t="shared" si="4"/>
        <v>0</v>
      </c>
      <c r="K8" s="39">
        <f t="shared" si="4"/>
        <v>0</v>
      </c>
      <c r="L8" s="30">
        <v>0</v>
      </c>
      <c r="M8" s="56">
        <v>0.000151</v>
      </c>
      <c r="N8" s="56">
        <v>0.0015</v>
      </c>
      <c r="O8" s="56"/>
      <c r="P8" s="57" t="s">
        <v>298</v>
      </c>
      <c r="Q8" s="39">
        <v>0.00305</v>
      </c>
      <c r="R8" s="39">
        <v>0.00194</v>
      </c>
      <c r="S8" s="39">
        <v>0.00155</v>
      </c>
      <c r="T8" s="39">
        <v>0.000953</v>
      </c>
      <c r="U8" s="39">
        <v>0.000473</v>
      </c>
      <c r="W8" s="65" t="s">
        <v>49</v>
      </c>
      <c r="X8" s="66">
        <v>4.13e-14</v>
      </c>
      <c r="Y8" s="82">
        <v>0</v>
      </c>
      <c r="Z8" s="66">
        <v>0</v>
      </c>
      <c r="AA8"/>
    </row>
    <row r="9" s="35" customFormat="1" ht="15.75" spans="1:27">
      <c r="A9" s="37" t="s">
        <v>50</v>
      </c>
      <c r="B9" s="38">
        <v>3472808679.72791</v>
      </c>
      <c r="C9" s="38">
        <v>0</v>
      </c>
      <c r="D9" s="38">
        <v>0</v>
      </c>
      <c r="E9" s="38">
        <v>0</v>
      </c>
      <c r="F9" s="38">
        <v>0</v>
      </c>
      <c r="G9" s="35" t="str">
        <f t="shared" si="0"/>
        <v>Kr-88</v>
      </c>
      <c r="H9" s="39" t="str">
        <f t="shared" ref="H9:K9" si="5">W9</f>
        <v>Kr-88</v>
      </c>
      <c r="I9" s="39">
        <f t="shared" si="5"/>
        <v>1.03e-13</v>
      </c>
      <c r="J9" s="39">
        <f t="shared" si="5"/>
        <v>0</v>
      </c>
      <c r="K9" s="39">
        <f t="shared" si="5"/>
        <v>0</v>
      </c>
      <c r="L9" s="30">
        <v>0</v>
      </c>
      <c r="M9" s="56">
        <v>6.88e-5</v>
      </c>
      <c r="N9" s="56">
        <v>0.0015</v>
      </c>
      <c r="O9" s="56"/>
      <c r="P9" s="57" t="s">
        <v>299</v>
      </c>
      <c r="Q9" s="39">
        <v>0.00112</v>
      </c>
      <c r="R9" s="39">
        <v>0.000619</v>
      </c>
      <c r="S9" s="39">
        <v>0.000461</v>
      </c>
      <c r="T9" s="39">
        <v>0.000243</v>
      </c>
      <c r="U9" s="39">
        <v>9.71e-5</v>
      </c>
      <c r="W9" s="65" t="s">
        <v>50</v>
      </c>
      <c r="X9" s="66">
        <v>1.03e-13</v>
      </c>
      <c r="Y9" s="82">
        <v>0</v>
      </c>
      <c r="Z9" s="66">
        <v>0</v>
      </c>
      <c r="AA9"/>
    </row>
    <row r="10" s="35" customFormat="1" ht="15.75" spans="1:27">
      <c r="A10" s="37" t="s">
        <v>51</v>
      </c>
      <c r="B10" s="38">
        <v>8219199020.64211</v>
      </c>
      <c r="C10" s="38">
        <v>0</v>
      </c>
      <c r="D10" s="38">
        <v>0</v>
      </c>
      <c r="E10" s="38">
        <v>0</v>
      </c>
      <c r="F10" s="38">
        <v>0</v>
      </c>
      <c r="G10" s="35" t="str">
        <f t="shared" si="0"/>
        <v>Xe-131m</v>
      </c>
      <c r="H10" s="39" t="str">
        <f t="shared" ref="H10:K10" si="6">W10</f>
        <v>Xe-131m</v>
      </c>
      <c r="I10" s="39">
        <f t="shared" si="6"/>
        <v>3.7e-16</v>
      </c>
      <c r="J10" s="39">
        <f t="shared" si="6"/>
        <v>0</v>
      </c>
      <c r="K10" s="39">
        <f t="shared" si="6"/>
        <v>0</v>
      </c>
      <c r="L10" s="30">
        <v>0</v>
      </c>
      <c r="M10" s="56">
        <v>6.68e-7</v>
      </c>
      <c r="N10" s="56">
        <v>0.0015</v>
      </c>
      <c r="O10" s="56"/>
      <c r="P10" s="57" t="s">
        <v>4514</v>
      </c>
      <c r="Q10" s="39">
        <v>0.000827</v>
      </c>
      <c r="R10" s="39">
        <v>0.000396</v>
      </c>
      <c r="S10" s="39">
        <v>0.000275</v>
      </c>
      <c r="T10" s="39">
        <v>0.000124</v>
      </c>
      <c r="U10" s="39">
        <v>3.94e-5</v>
      </c>
      <c r="W10" s="65" t="s">
        <v>51</v>
      </c>
      <c r="X10" s="66">
        <v>3.7e-16</v>
      </c>
      <c r="Y10" s="82">
        <v>0</v>
      </c>
      <c r="Z10" s="66">
        <v>0</v>
      </c>
      <c r="AA10"/>
    </row>
    <row r="11" s="35" customFormat="1" ht="15.75" spans="1:27">
      <c r="A11" s="37" t="s">
        <v>52</v>
      </c>
      <c r="B11" s="38">
        <v>776954524081.582</v>
      </c>
      <c r="C11" s="38">
        <v>0</v>
      </c>
      <c r="D11" s="38">
        <v>0</v>
      </c>
      <c r="E11" s="38">
        <v>0</v>
      </c>
      <c r="F11" s="38">
        <v>0</v>
      </c>
      <c r="G11" s="35" t="str">
        <f t="shared" si="0"/>
        <v>Xe-133</v>
      </c>
      <c r="H11" s="39" t="str">
        <f t="shared" ref="H11:K11" si="7">W11</f>
        <v>Xe-133</v>
      </c>
      <c r="I11" s="39">
        <f t="shared" si="7"/>
        <v>1.51e-15</v>
      </c>
      <c r="J11" s="39">
        <f t="shared" si="7"/>
        <v>0</v>
      </c>
      <c r="K11" s="39">
        <f t="shared" si="7"/>
        <v>0</v>
      </c>
      <c r="L11" s="30">
        <v>0</v>
      </c>
      <c r="M11" s="56">
        <v>1.52e-6</v>
      </c>
      <c r="N11" s="56">
        <v>0.0015</v>
      </c>
      <c r="O11" s="56"/>
      <c r="P11" s="36" t="s">
        <v>4516</v>
      </c>
      <c r="Q11" s="39">
        <v>0.000576</v>
      </c>
      <c r="R11" s="39">
        <v>0.000247</v>
      </c>
      <c r="S11" s="39">
        <v>0.000161</v>
      </c>
      <c r="T11" s="39">
        <v>6.43e-5</v>
      </c>
      <c r="U11" s="39">
        <v>1.72e-5</v>
      </c>
      <c r="W11" s="65" t="s">
        <v>52</v>
      </c>
      <c r="X11" s="66">
        <v>1.51e-15</v>
      </c>
      <c r="Y11" s="82">
        <v>0</v>
      </c>
      <c r="Z11" s="66">
        <v>0</v>
      </c>
      <c r="AA11"/>
    </row>
    <row r="12" s="35" customFormat="1" ht="15.75" spans="1:27">
      <c r="A12" s="37" t="s">
        <v>53</v>
      </c>
      <c r="B12" s="38">
        <v>10663213274.6397</v>
      </c>
      <c r="C12" s="38">
        <v>0</v>
      </c>
      <c r="D12" s="38">
        <v>0</v>
      </c>
      <c r="E12" s="38">
        <v>0</v>
      </c>
      <c r="F12" s="38">
        <v>0</v>
      </c>
      <c r="G12" s="35" t="str">
        <f t="shared" si="0"/>
        <v>Xe-133m</v>
      </c>
      <c r="H12" s="39" t="str">
        <f t="shared" ref="H12:K12" si="8">W12</f>
        <v>Xe-133m</v>
      </c>
      <c r="I12" s="39">
        <f t="shared" si="8"/>
        <v>1.36e-15</v>
      </c>
      <c r="J12" s="39">
        <f t="shared" si="8"/>
        <v>0</v>
      </c>
      <c r="K12" s="39">
        <f t="shared" si="8"/>
        <v>0</v>
      </c>
      <c r="L12" s="30">
        <v>0</v>
      </c>
      <c r="M12" s="56">
        <v>3.65e-6</v>
      </c>
      <c r="N12" s="56">
        <v>0.0015</v>
      </c>
      <c r="O12" s="56"/>
      <c r="P12" s="57" t="s">
        <v>4515</v>
      </c>
      <c r="Q12" s="39">
        <v>0.000457</v>
      </c>
      <c r="R12" s="39">
        <v>0.000188</v>
      </c>
      <c r="S12" s="39">
        <v>0.00012</v>
      </c>
      <c r="T12" s="39">
        <v>4.59e-5</v>
      </c>
      <c r="U12" s="39">
        <v>1.15e-5</v>
      </c>
      <c r="W12" s="65" t="s">
        <v>53</v>
      </c>
      <c r="X12" s="66">
        <v>1.36e-15</v>
      </c>
      <c r="Y12" s="82">
        <v>0</v>
      </c>
      <c r="Z12" s="66">
        <v>0</v>
      </c>
      <c r="AA12"/>
    </row>
    <row r="13" s="35" customFormat="1" ht="15.75" spans="1:27">
      <c r="A13" s="37" t="s">
        <v>54</v>
      </c>
      <c r="B13" s="38">
        <v>9022262559.71498</v>
      </c>
      <c r="C13" s="38">
        <v>0</v>
      </c>
      <c r="D13" s="38">
        <v>0</v>
      </c>
      <c r="E13" s="38">
        <v>0</v>
      </c>
      <c r="F13" s="38">
        <v>0</v>
      </c>
      <c r="G13" s="35" t="str">
        <f t="shared" si="0"/>
        <v>Xe-135</v>
      </c>
      <c r="H13" s="39" t="str">
        <f t="shared" ref="H13:K13" si="9">W13</f>
        <v>Xe-135</v>
      </c>
      <c r="I13" s="39">
        <f t="shared" si="9"/>
        <v>1.18e-14</v>
      </c>
      <c r="J13" s="39">
        <f t="shared" si="9"/>
        <v>0</v>
      </c>
      <c r="K13" s="39">
        <f t="shared" si="9"/>
        <v>0</v>
      </c>
      <c r="L13" s="30">
        <v>0</v>
      </c>
      <c r="M13" s="56">
        <v>2.1e-5</v>
      </c>
      <c r="N13" s="56">
        <v>0.0015</v>
      </c>
      <c r="O13" s="56"/>
      <c r="P13" s="36" t="s">
        <v>4518</v>
      </c>
      <c r="Q13" s="39">
        <v>0.000313</v>
      </c>
      <c r="R13" s="39">
        <v>0.000119</v>
      </c>
      <c r="S13" s="39">
        <v>7.35e-5</v>
      </c>
      <c r="T13" s="39">
        <v>2.58e-5</v>
      </c>
      <c r="U13" s="39">
        <v>5.71e-6</v>
      </c>
      <c r="W13" s="65" t="s">
        <v>54</v>
      </c>
      <c r="X13" s="66">
        <v>1.18e-14</v>
      </c>
      <c r="Y13" s="82">
        <v>0</v>
      </c>
      <c r="Z13" s="66">
        <v>0</v>
      </c>
      <c r="AA13"/>
    </row>
    <row r="14" s="35" customFormat="1" ht="15.75" spans="1:27">
      <c r="A14" s="37" t="s">
        <v>55</v>
      </c>
      <c r="B14" s="38">
        <v>1533570222.7121</v>
      </c>
      <c r="C14" s="38">
        <v>0</v>
      </c>
      <c r="D14" s="38">
        <v>0</v>
      </c>
      <c r="E14" s="38">
        <v>0</v>
      </c>
      <c r="F14" s="38">
        <v>0</v>
      </c>
      <c r="G14" s="35" t="str">
        <f t="shared" si="0"/>
        <v>I-131</v>
      </c>
      <c r="H14" s="39" t="str">
        <f t="shared" ref="H14:K14" si="10">W16</f>
        <v>I-131</v>
      </c>
      <c r="I14" s="39">
        <f t="shared" si="10"/>
        <v>1.81e-14</v>
      </c>
      <c r="J14" s="39">
        <f t="shared" si="10"/>
        <v>3.9e-7</v>
      </c>
      <c r="K14" s="39">
        <f t="shared" si="10"/>
        <v>3.71e-16</v>
      </c>
      <c r="L14" s="56">
        <v>3.71e-16</v>
      </c>
      <c r="M14" s="56">
        <v>9.97e-7</v>
      </c>
      <c r="N14" s="30">
        <v>0.01</v>
      </c>
      <c r="O14" s="30"/>
      <c r="P14" s="36" t="s">
        <v>4519</v>
      </c>
      <c r="Q14" s="39">
        <v>0.000142</v>
      </c>
      <c r="R14" s="39">
        <v>4.97e-5</v>
      </c>
      <c r="S14" s="39">
        <v>2.94e-5</v>
      </c>
      <c r="T14" s="39">
        <v>9.39e-6</v>
      </c>
      <c r="U14" s="39">
        <v>1.83e-6</v>
      </c>
      <c r="W14" s="65" t="s">
        <v>421</v>
      </c>
      <c r="X14" s="66">
        <v>2.04e-14</v>
      </c>
      <c r="Y14" s="82">
        <v>0</v>
      </c>
      <c r="Z14" s="66">
        <v>0</v>
      </c>
      <c r="AA14"/>
    </row>
    <row r="15" s="35" customFormat="1" ht="15.75" spans="1:27">
      <c r="A15" s="37" t="s">
        <v>56</v>
      </c>
      <c r="B15" s="38">
        <v>232108138.720876</v>
      </c>
      <c r="C15" s="38">
        <v>0</v>
      </c>
      <c r="D15" s="38">
        <v>0</v>
      </c>
      <c r="E15" s="38">
        <v>0</v>
      </c>
      <c r="F15" s="38">
        <v>0</v>
      </c>
      <c r="G15" s="35" t="str">
        <f t="shared" si="0"/>
        <v>I-132</v>
      </c>
      <c r="H15" s="39" t="str">
        <f t="shared" ref="H15:K15" si="11">W17</f>
        <v>I-132</v>
      </c>
      <c r="I15" s="39">
        <f t="shared" si="11"/>
        <v>1.12e-13</v>
      </c>
      <c r="J15" s="39">
        <f t="shared" si="11"/>
        <v>3.6e-9</v>
      </c>
      <c r="K15" s="39">
        <f t="shared" si="11"/>
        <v>2.19e-15</v>
      </c>
      <c r="L15" s="56">
        <v>2.19e-15</v>
      </c>
      <c r="M15" s="56">
        <v>8.37e-5</v>
      </c>
      <c r="N15" s="30">
        <v>0.01</v>
      </c>
      <c r="O15" s="30"/>
      <c r="P15" s="57" t="s">
        <v>4517</v>
      </c>
      <c r="Q15" s="39">
        <v>4.11e-5</v>
      </c>
      <c r="R15" s="39">
        <v>1.53e-5</v>
      </c>
      <c r="S15" s="39">
        <v>9.32e-6</v>
      </c>
      <c r="T15" s="39">
        <v>3.19e-6</v>
      </c>
      <c r="U15" s="39">
        <v>6.83e-7</v>
      </c>
      <c r="W15" s="65" t="s">
        <v>4520</v>
      </c>
      <c r="X15" s="66">
        <v>5.77e-14</v>
      </c>
      <c r="Y15" s="82">
        <v>0</v>
      </c>
      <c r="Z15" s="66">
        <v>0</v>
      </c>
      <c r="AA15"/>
    </row>
    <row r="16" s="35" customFormat="1" ht="15.75" spans="1:27">
      <c r="A16" s="37" t="s">
        <v>57</v>
      </c>
      <c r="B16" s="38">
        <v>855457105.42843</v>
      </c>
      <c r="C16" s="38">
        <v>0</v>
      </c>
      <c r="D16" s="38">
        <v>0</v>
      </c>
      <c r="E16" s="38">
        <v>0</v>
      </c>
      <c r="F16" s="38">
        <v>0</v>
      </c>
      <c r="G16" s="35" t="str">
        <f t="shared" si="0"/>
        <v>I-133</v>
      </c>
      <c r="H16" s="39" t="str">
        <f t="shared" ref="H16:K16" si="12">W18</f>
        <v>I-133</v>
      </c>
      <c r="I16" s="39">
        <f t="shared" si="12"/>
        <v>2.93e-14</v>
      </c>
      <c r="J16" s="39">
        <f t="shared" si="12"/>
        <v>7.6e-8</v>
      </c>
      <c r="K16" s="39">
        <f t="shared" si="12"/>
        <v>5.94e-16</v>
      </c>
      <c r="L16" s="56">
        <v>5.94e-16</v>
      </c>
      <c r="M16" s="56">
        <v>9.26e-6</v>
      </c>
      <c r="N16" s="30">
        <v>0.01</v>
      </c>
      <c r="O16" s="30"/>
      <c r="P16" s="57" t="s">
        <v>4521</v>
      </c>
      <c r="Q16" s="39">
        <v>2.06e-5</v>
      </c>
      <c r="R16" s="39">
        <v>7.83e-6</v>
      </c>
      <c r="S16" s="39">
        <v>4.83e-6</v>
      </c>
      <c r="T16" s="39">
        <v>1.69e-6</v>
      </c>
      <c r="U16" s="39">
        <v>3.74e-7</v>
      </c>
      <c r="W16" s="65" t="s">
        <v>55</v>
      </c>
      <c r="X16" s="66">
        <v>1.81e-14</v>
      </c>
      <c r="Y16" s="82">
        <v>3.9e-7</v>
      </c>
      <c r="Z16" s="66">
        <v>3.71e-16</v>
      </c>
      <c r="AA16"/>
    </row>
    <row r="17" s="35" customFormat="1" ht="15.75" spans="1:27">
      <c r="A17" s="37" t="s">
        <v>58</v>
      </c>
      <c r="B17" s="38">
        <v>188713286.657372</v>
      </c>
      <c r="C17" s="38">
        <v>0</v>
      </c>
      <c r="D17" s="38">
        <v>0</v>
      </c>
      <c r="E17" s="38">
        <v>0</v>
      </c>
      <c r="F17" s="38">
        <v>0</v>
      </c>
      <c r="G17" s="35" t="str">
        <f t="shared" si="0"/>
        <v>I-134</v>
      </c>
      <c r="H17" s="39" t="str">
        <f t="shared" ref="H17:K17" si="13">W19</f>
        <v>I-134</v>
      </c>
      <c r="I17" s="39">
        <f t="shared" si="13"/>
        <v>1.3e-13</v>
      </c>
      <c r="J17" s="39">
        <f t="shared" si="13"/>
        <v>7e-10</v>
      </c>
      <c r="K17" s="39">
        <f t="shared" si="13"/>
        <v>2.48e-15</v>
      </c>
      <c r="L17" s="56">
        <v>2.48e-15</v>
      </c>
      <c r="M17" s="56">
        <v>0.00022</v>
      </c>
      <c r="N17" s="30">
        <v>0.01</v>
      </c>
      <c r="O17" s="30"/>
      <c r="P17" s="57" t="s">
        <v>4522</v>
      </c>
      <c r="Q17" s="39">
        <v>1.77e-5</v>
      </c>
      <c r="R17" s="39">
        <v>6.44e-6</v>
      </c>
      <c r="S17" s="39">
        <v>3.88e-6</v>
      </c>
      <c r="T17" s="39">
        <v>1.3e-6</v>
      </c>
      <c r="U17" s="39">
        <v>2.68e-7</v>
      </c>
      <c r="W17" s="65" t="s">
        <v>56</v>
      </c>
      <c r="X17" s="66">
        <v>1.12e-13</v>
      </c>
      <c r="Y17" s="82">
        <v>3.6e-9</v>
      </c>
      <c r="Z17" s="66">
        <v>2.19e-15</v>
      </c>
      <c r="AA17"/>
    </row>
    <row r="18" s="35" customFormat="1" ht="15.75" spans="1:27">
      <c r="A18" s="37" t="s">
        <v>59</v>
      </c>
      <c r="B18" s="38">
        <v>406595815.300102</v>
      </c>
      <c r="C18" s="38">
        <v>0</v>
      </c>
      <c r="D18" s="38">
        <v>0</v>
      </c>
      <c r="E18" s="38">
        <v>0</v>
      </c>
      <c r="F18" s="38">
        <v>0</v>
      </c>
      <c r="G18" s="35" t="str">
        <f t="shared" si="0"/>
        <v>I-135</v>
      </c>
      <c r="H18" s="39" t="str">
        <f t="shared" ref="H18:K18" si="14">W20</f>
        <v>I-135</v>
      </c>
      <c r="I18" s="39">
        <f t="shared" si="14"/>
        <v>8.01e-14</v>
      </c>
      <c r="J18" s="39">
        <f t="shared" si="14"/>
        <v>1.5e-8</v>
      </c>
      <c r="K18" s="39">
        <f t="shared" si="14"/>
        <v>1.4e-15</v>
      </c>
      <c r="L18" s="56">
        <v>1.4e-15</v>
      </c>
      <c r="M18" s="56">
        <v>2.87e-5</v>
      </c>
      <c r="N18" s="30">
        <v>0.01</v>
      </c>
      <c r="O18" s="30"/>
      <c r="P18" s="36" t="s">
        <v>4524</v>
      </c>
      <c r="Q18" s="39">
        <v>1.57e-5</v>
      </c>
      <c r="R18" s="39">
        <v>5.51e-6</v>
      </c>
      <c r="S18" s="39">
        <v>3.26e-6</v>
      </c>
      <c r="T18" s="39">
        <v>1.05e-6</v>
      </c>
      <c r="U18" s="39">
        <v>2.05e-7</v>
      </c>
      <c r="W18" s="65" t="s">
        <v>57</v>
      </c>
      <c r="X18" s="66">
        <v>2.93e-14</v>
      </c>
      <c r="Y18" s="82">
        <v>7.6e-8</v>
      </c>
      <c r="Z18" s="66">
        <v>5.94e-16</v>
      </c>
      <c r="AA18"/>
    </row>
    <row r="19" s="35" customFormat="1" ht="15.75" spans="1:27">
      <c r="A19" s="37" t="s">
        <v>60</v>
      </c>
      <c r="B19" s="38">
        <v>2272948.74685426</v>
      </c>
      <c r="C19" s="38">
        <v>0</v>
      </c>
      <c r="D19" s="38">
        <v>0</v>
      </c>
      <c r="E19" s="38">
        <v>0</v>
      </c>
      <c r="F19" s="38">
        <v>0</v>
      </c>
      <c r="G19" s="35" t="str">
        <f t="shared" si="0"/>
        <v>Sr-89</v>
      </c>
      <c r="H19" s="39" t="str">
        <f t="shared" ref="H19:K19" si="15">W24</f>
        <v>Sr-89</v>
      </c>
      <c r="I19" s="39">
        <f t="shared" si="15"/>
        <v>7.6e-17</v>
      </c>
      <c r="J19" s="39">
        <f t="shared" si="15"/>
        <v>4.6e-11</v>
      </c>
      <c r="K19" s="39">
        <f t="shared" si="15"/>
        <v>2.11e-18</v>
      </c>
      <c r="L19" s="56">
        <v>2.11e-18</v>
      </c>
      <c r="M19" s="56">
        <v>1.59e-7</v>
      </c>
      <c r="N19" s="56">
        <v>0.0015</v>
      </c>
      <c r="O19" s="56"/>
      <c r="P19" s="36" t="s">
        <v>4526</v>
      </c>
      <c r="Q19" s="39">
        <v>1.42e-5</v>
      </c>
      <c r="R19" s="39">
        <v>4.84e-6</v>
      </c>
      <c r="S19" s="39">
        <v>2.82e-6</v>
      </c>
      <c r="T19" s="39">
        <v>8.78e-7</v>
      </c>
      <c r="U19" s="39">
        <v>1.64e-7</v>
      </c>
      <c r="W19" s="65" t="s">
        <v>58</v>
      </c>
      <c r="X19" s="66">
        <v>1.3e-13</v>
      </c>
      <c r="Y19" s="82">
        <v>7e-10</v>
      </c>
      <c r="Z19" s="66">
        <v>2.48e-15</v>
      </c>
      <c r="AA19"/>
    </row>
    <row r="20" s="35" customFormat="1" ht="15.75" spans="1:27">
      <c r="A20" s="37" t="s">
        <v>61</v>
      </c>
      <c r="B20" s="38">
        <v>1180000</v>
      </c>
      <c r="C20" s="38">
        <v>0</v>
      </c>
      <c r="D20" s="38">
        <v>0</v>
      </c>
      <c r="E20" s="38">
        <v>0</v>
      </c>
      <c r="F20" s="38">
        <v>0</v>
      </c>
      <c r="G20" s="35" t="str">
        <f t="shared" si="0"/>
        <v>Sr-90</v>
      </c>
      <c r="H20" s="39" t="str">
        <f t="shared" ref="H20:K20" si="16">W25</f>
        <v>Sr-90</v>
      </c>
      <c r="I20" s="39">
        <f t="shared" si="16"/>
        <v>7.33e-18</v>
      </c>
      <c r="J20" s="39">
        <f t="shared" si="16"/>
        <v>2.8e-10</v>
      </c>
      <c r="K20" s="39">
        <f t="shared" si="16"/>
        <v>2.49e-19</v>
      </c>
      <c r="L20" s="56">
        <v>2.49e-19</v>
      </c>
      <c r="M20" s="56">
        <v>7.71e-10</v>
      </c>
      <c r="N20" s="56">
        <v>0.0015</v>
      </c>
      <c r="O20" s="56"/>
      <c r="P20" s="36" t="s">
        <v>4527</v>
      </c>
      <c r="Q20" s="39">
        <v>1.3e-5</v>
      </c>
      <c r="R20" s="39">
        <v>4.33e-6</v>
      </c>
      <c r="S20" s="39">
        <v>2.5e-6</v>
      </c>
      <c r="T20" s="39">
        <v>7.55e-7</v>
      </c>
      <c r="U20" s="39">
        <v>1.36e-7</v>
      </c>
      <c r="W20" s="65" t="s">
        <v>59</v>
      </c>
      <c r="X20" s="66">
        <v>8.01e-14</v>
      </c>
      <c r="Y20" s="82">
        <v>1.5e-8</v>
      </c>
      <c r="Z20" s="66">
        <v>1.4e-15</v>
      </c>
      <c r="AA20"/>
    </row>
    <row r="21" s="35" customFormat="1" ht="15.75" spans="1:27">
      <c r="A21" s="37" t="s">
        <v>62</v>
      </c>
      <c r="B21" s="38">
        <v>196000000</v>
      </c>
      <c r="C21" s="38">
        <v>0</v>
      </c>
      <c r="D21" s="38">
        <v>0</v>
      </c>
      <c r="E21" s="38">
        <v>0</v>
      </c>
      <c r="F21" s="38">
        <v>0</v>
      </c>
      <c r="G21" s="35" t="str">
        <f t="shared" si="0"/>
        <v>Cs-134</v>
      </c>
      <c r="H21" s="39" t="str">
        <f t="shared" ref="H21:K21" si="17">W21</f>
        <v>Cs-134</v>
      </c>
      <c r="I21" s="39">
        <f t="shared" si="17"/>
        <v>7.57e-14</v>
      </c>
      <c r="J21" s="39">
        <f t="shared" si="17"/>
        <v>6.3e-9</v>
      </c>
      <c r="K21" s="39">
        <f t="shared" si="17"/>
        <v>1.52e-15</v>
      </c>
      <c r="L21" s="56">
        <v>1.52e-15</v>
      </c>
      <c r="M21" s="56">
        <v>1.07e-8</v>
      </c>
      <c r="N21" s="56">
        <v>0.0015</v>
      </c>
      <c r="O21" s="56"/>
      <c r="P21" s="36"/>
      <c r="Q21" s="39"/>
      <c r="R21" s="39"/>
      <c r="S21" s="39"/>
      <c r="T21" s="39"/>
      <c r="U21" s="39"/>
      <c r="W21" s="65" t="s">
        <v>62</v>
      </c>
      <c r="X21" s="66">
        <v>7.57e-14</v>
      </c>
      <c r="Y21" s="82">
        <v>6.3e-9</v>
      </c>
      <c r="Z21" s="66">
        <v>1.52e-15</v>
      </c>
      <c r="AA21"/>
    </row>
    <row r="22" s="35" customFormat="1" ht="15.75" spans="1:27">
      <c r="A22" s="37" t="s">
        <v>63</v>
      </c>
      <c r="B22" s="38">
        <v>1760000000</v>
      </c>
      <c r="C22" s="38">
        <v>0</v>
      </c>
      <c r="D22" s="38">
        <v>0</v>
      </c>
      <c r="E22" s="38">
        <v>0</v>
      </c>
      <c r="F22" s="38">
        <v>0</v>
      </c>
      <c r="G22" s="35" t="str">
        <f t="shared" si="0"/>
        <v>Cs-137</v>
      </c>
      <c r="H22" s="39" t="str">
        <f t="shared" ref="H22:K22" si="18">W22</f>
        <v>Cs-137</v>
      </c>
      <c r="I22" s="39">
        <f t="shared" si="18"/>
        <v>7.55e-18</v>
      </c>
      <c r="J22" s="39">
        <f t="shared" si="18"/>
        <v>4.4e-9</v>
      </c>
      <c r="K22" s="39">
        <f t="shared" si="18"/>
        <v>2.51e-19</v>
      </c>
      <c r="L22" s="56">
        <v>2.51e-19</v>
      </c>
      <c r="M22" s="56">
        <v>7.3e-10</v>
      </c>
      <c r="N22" s="56">
        <v>0.0015</v>
      </c>
      <c r="O22" s="56"/>
      <c r="P22" s="36"/>
      <c r="Q22" s="39"/>
      <c r="R22" s="39"/>
      <c r="S22" s="39"/>
      <c r="T22" s="39"/>
      <c r="U22" s="39"/>
      <c r="W22" s="65" t="s">
        <v>63</v>
      </c>
      <c r="X22" s="66">
        <v>7.55e-18</v>
      </c>
      <c r="Y22" s="82">
        <v>4.4e-9</v>
      </c>
      <c r="Z22" s="66">
        <v>2.51e-19</v>
      </c>
      <c r="AA22"/>
    </row>
    <row r="23" s="35" customFormat="1" ht="15.75" spans="1:27">
      <c r="A23" s="37" t="s">
        <v>64</v>
      </c>
      <c r="B23" s="38">
        <v>56300000</v>
      </c>
      <c r="C23" s="38">
        <v>0</v>
      </c>
      <c r="D23" s="38">
        <v>0</v>
      </c>
      <c r="E23" s="38">
        <v>0</v>
      </c>
      <c r="F23" s="38">
        <v>0</v>
      </c>
      <c r="G23" s="35" t="str">
        <f t="shared" si="0"/>
        <v>Ag-110m</v>
      </c>
      <c r="H23" s="39" t="str">
        <f t="shared" ref="H23:K23" si="19">W26</f>
        <v>Ag-110m</v>
      </c>
      <c r="I23" s="39">
        <f t="shared" si="19"/>
        <v>1.36e-13</v>
      </c>
      <c r="J23" s="39">
        <f t="shared" si="19"/>
        <v>2.3e-9</v>
      </c>
      <c r="K23" s="39">
        <f t="shared" si="19"/>
        <v>2.61e-15</v>
      </c>
      <c r="L23" s="56">
        <v>2.61e-15</v>
      </c>
      <c r="M23" s="56">
        <v>3.2e-8</v>
      </c>
      <c r="N23" s="56">
        <v>0.0015</v>
      </c>
      <c r="O23" s="56"/>
      <c r="P23" s="39"/>
      <c r="Q23" s="39"/>
      <c r="R23" s="39"/>
      <c r="S23" s="39"/>
      <c r="T23" s="39"/>
      <c r="U23" s="39"/>
      <c r="W23" s="65" t="s">
        <v>72</v>
      </c>
      <c r="X23" s="66">
        <v>1.43e-13</v>
      </c>
      <c r="Y23" s="82">
        <v>3.57e-12</v>
      </c>
      <c r="Z23" s="66">
        <v>2.06e-15</v>
      </c>
      <c r="AA23"/>
    </row>
    <row r="24" s="35" customFormat="1" ht="15.75" spans="1:27">
      <c r="A24" s="37" t="s">
        <v>65</v>
      </c>
      <c r="B24" s="38">
        <v>12806280671005.7</v>
      </c>
      <c r="C24" s="38">
        <v>0</v>
      </c>
      <c r="D24" s="38">
        <v>0</v>
      </c>
      <c r="E24" s="38">
        <v>0</v>
      </c>
      <c r="F24" s="38">
        <v>0</v>
      </c>
      <c r="G24" s="35" t="str">
        <f t="shared" si="0"/>
        <v>H-3</v>
      </c>
      <c r="H24" s="36" t="str">
        <f t="shared" ref="H24:K24" si="20">W28</f>
        <v>H-3</v>
      </c>
      <c r="I24" s="36">
        <f t="shared" si="20"/>
        <v>0</v>
      </c>
      <c r="J24" s="36">
        <f t="shared" si="20"/>
        <v>1.8e-11</v>
      </c>
      <c r="K24" s="36">
        <f t="shared" si="20"/>
        <v>0</v>
      </c>
      <c r="L24" s="56">
        <v>0</v>
      </c>
      <c r="M24" s="56">
        <v>1.79e-9</v>
      </c>
      <c r="N24" s="56">
        <v>0.0015</v>
      </c>
      <c r="O24" s="56"/>
      <c r="P24" s="39"/>
      <c r="Q24" s="39"/>
      <c r="R24" s="39"/>
      <c r="S24" s="39"/>
      <c r="T24" s="39"/>
      <c r="U24" s="39"/>
      <c r="W24" s="65" t="s">
        <v>60</v>
      </c>
      <c r="X24" s="66">
        <v>7.6e-17</v>
      </c>
      <c r="Y24" s="82">
        <v>4.6e-11</v>
      </c>
      <c r="Z24" s="66">
        <v>2.11e-18</v>
      </c>
      <c r="AA24"/>
    </row>
    <row r="25" s="35" customFormat="1" ht="15.75" spans="1:27">
      <c r="A25" s="37" t="s">
        <v>66</v>
      </c>
      <c r="B25" s="38">
        <v>18914884613.8873</v>
      </c>
      <c r="C25" s="38">
        <v>0</v>
      </c>
      <c r="D25" s="38">
        <v>0</v>
      </c>
      <c r="E25" s="38">
        <v>0</v>
      </c>
      <c r="F25" s="38">
        <v>0</v>
      </c>
      <c r="G25" s="35" t="str">
        <f t="shared" si="0"/>
        <v>C-14</v>
      </c>
      <c r="H25" s="36" t="str">
        <f t="shared" ref="H25:K25" si="21">W29</f>
        <v>C-14</v>
      </c>
      <c r="I25" s="36">
        <f t="shared" si="21"/>
        <v>0</v>
      </c>
      <c r="J25" s="36">
        <f t="shared" si="21"/>
        <v>6.8e-11</v>
      </c>
      <c r="K25" s="36">
        <f t="shared" si="21"/>
        <v>6.48e-18</v>
      </c>
      <c r="L25" s="56">
        <v>6.48e-18</v>
      </c>
      <c r="M25" s="56">
        <v>3.83e-12</v>
      </c>
      <c r="N25" s="56">
        <v>0.0015</v>
      </c>
      <c r="O25" s="56"/>
      <c r="P25" s="36"/>
      <c r="Q25" s="39"/>
      <c r="R25" s="39"/>
      <c r="S25" s="39"/>
      <c r="T25" s="39"/>
      <c r="U25" s="39"/>
      <c r="W25" s="65" t="s">
        <v>61</v>
      </c>
      <c r="X25" s="66">
        <v>7.33e-18</v>
      </c>
      <c r="Y25" s="82">
        <v>2.8e-10</v>
      </c>
      <c r="Z25" s="66">
        <v>2.49e-19</v>
      </c>
      <c r="AA25"/>
    </row>
    <row r="26" s="35" customFormat="1" ht="15.75" spans="1:27">
      <c r="A26" s="37" t="s">
        <v>67</v>
      </c>
      <c r="B26" s="38">
        <v>106894171.758342</v>
      </c>
      <c r="C26" s="38">
        <v>0</v>
      </c>
      <c r="D26" s="38">
        <v>0</v>
      </c>
      <c r="E26" s="38">
        <v>0</v>
      </c>
      <c r="F26" s="38">
        <v>0</v>
      </c>
      <c r="G26" s="35" t="str">
        <f t="shared" si="0"/>
        <v>Co-60</v>
      </c>
      <c r="H26" s="39" t="str">
        <f t="shared" ref="H26:K26" si="22">W30</f>
        <v>Co-60</v>
      </c>
      <c r="I26" s="39">
        <f t="shared" si="22"/>
        <v>1.27e-13</v>
      </c>
      <c r="J26" s="39">
        <f t="shared" si="22"/>
        <v>3.8e-9</v>
      </c>
      <c r="K26" s="39">
        <f t="shared" si="22"/>
        <v>2.25e-15</v>
      </c>
      <c r="L26" s="56">
        <v>2.25e-15</v>
      </c>
      <c r="M26" s="56">
        <v>4.2e-9</v>
      </c>
      <c r="N26" s="56">
        <v>0.0015</v>
      </c>
      <c r="O26" s="56"/>
      <c r="P26" s="36"/>
      <c r="Q26" s="39"/>
      <c r="R26" s="39"/>
      <c r="S26" s="39"/>
      <c r="T26" s="39"/>
      <c r="U26" s="39"/>
      <c r="W26" s="65" t="s">
        <v>64</v>
      </c>
      <c r="X26" s="66">
        <v>1.36e-13</v>
      </c>
      <c r="Y26" s="82">
        <v>2.3e-9</v>
      </c>
      <c r="Z26" s="66">
        <v>2.61e-15</v>
      </c>
      <c r="AA26"/>
    </row>
    <row r="27" s="35" customFormat="1" ht="15.75" spans="1:27">
      <c r="A27" s="37" t="s">
        <v>68</v>
      </c>
      <c r="B27" s="38">
        <v>0</v>
      </c>
      <c r="C27" s="38">
        <v>0</v>
      </c>
      <c r="D27" s="38">
        <v>0</v>
      </c>
      <c r="E27" s="38">
        <v>0</v>
      </c>
      <c r="F27" s="38">
        <v>0</v>
      </c>
      <c r="G27" s="35" t="str">
        <f t="shared" si="0"/>
        <v>Ar-41</v>
      </c>
      <c r="H27" s="39"/>
      <c r="I27" s="39"/>
      <c r="J27" s="39"/>
      <c r="K27" s="39"/>
      <c r="L27" s="30">
        <v>0</v>
      </c>
      <c r="M27" s="56">
        <v>0.000106</v>
      </c>
      <c r="N27" s="56">
        <v>0.0015</v>
      </c>
      <c r="O27" s="56"/>
      <c r="P27" s="36"/>
      <c r="Q27" s="39"/>
      <c r="R27" s="39"/>
      <c r="S27" s="39"/>
      <c r="T27" s="39"/>
      <c r="U27" s="39"/>
      <c r="W27" s="65" t="s">
        <v>71</v>
      </c>
      <c r="X27" s="66">
        <v>3.54e-14</v>
      </c>
      <c r="Y27" s="82">
        <v>1.37e-12</v>
      </c>
      <c r="Z27" s="66">
        <v>5.5e-16</v>
      </c>
      <c r="AA27"/>
    </row>
    <row r="28" s="35" customFormat="1" ht="15.75" spans="1:27">
      <c r="A28" s="40" t="s">
        <v>71</v>
      </c>
      <c r="B28" s="41">
        <v>3250581396.40253</v>
      </c>
      <c r="C28" s="41">
        <v>0</v>
      </c>
      <c r="D28" s="41">
        <v>0</v>
      </c>
      <c r="E28" s="41">
        <v>0</v>
      </c>
      <c r="F28" s="41">
        <v>0</v>
      </c>
      <c r="G28" s="35" t="str">
        <f t="shared" si="0"/>
        <v>Rb-88</v>
      </c>
      <c r="H28" s="39" t="str">
        <f t="shared" ref="H28:K28" si="23">W27</f>
        <v>Rb-88</v>
      </c>
      <c r="I28" s="39">
        <f t="shared" si="23"/>
        <v>3.54e-14</v>
      </c>
      <c r="J28" s="39">
        <f t="shared" si="23"/>
        <v>1.37e-12</v>
      </c>
      <c r="K28" s="39">
        <f t="shared" si="23"/>
        <v>5.5e-16</v>
      </c>
      <c r="L28" s="56">
        <v>5.5e-16</v>
      </c>
      <c r="M28" s="56">
        <v>0.00065</v>
      </c>
      <c r="N28" s="56">
        <v>0.0015</v>
      </c>
      <c r="O28" s="56"/>
      <c r="P28" s="36"/>
      <c r="Q28" s="39"/>
      <c r="R28" s="39"/>
      <c r="S28" s="39"/>
      <c r="T28" s="39"/>
      <c r="U28" s="39"/>
      <c r="W28" s="65" t="s">
        <v>65</v>
      </c>
      <c r="X28" s="66">
        <v>0</v>
      </c>
      <c r="Y28" s="82">
        <v>1.8e-11</v>
      </c>
      <c r="Z28" s="66">
        <v>0</v>
      </c>
      <c r="AA28"/>
    </row>
    <row r="29" s="35" customFormat="1" ht="15.75" spans="1:27">
      <c r="A29" s="40" t="s">
        <v>72</v>
      </c>
      <c r="B29" s="41">
        <v>360087448.088579</v>
      </c>
      <c r="C29" s="41">
        <v>0</v>
      </c>
      <c r="D29" s="41">
        <v>0</v>
      </c>
      <c r="E29" s="41">
        <v>0</v>
      </c>
      <c r="F29" s="41">
        <v>0</v>
      </c>
      <c r="G29" s="35" t="str">
        <f t="shared" si="0"/>
        <v>Cs-138</v>
      </c>
      <c r="H29" s="39" t="str">
        <f t="shared" ref="H29:K29" si="24">W23</f>
        <v>Cs-138</v>
      </c>
      <c r="I29" s="39">
        <f t="shared" si="24"/>
        <v>1.43e-13</v>
      </c>
      <c r="J29" s="39">
        <f t="shared" si="24"/>
        <v>3.57e-12</v>
      </c>
      <c r="K29" s="39">
        <f t="shared" si="24"/>
        <v>2.06e-15</v>
      </c>
      <c r="L29" s="56">
        <v>2.06e-15</v>
      </c>
      <c r="M29" s="56">
        <v>0.000359</v>
      </c>
      <c r="N29" s="56">
        <v>0.0015</v>
      </c>
      <c r="O29" s="56"/>
      <c r="P29" s="36"/>
      <c r="Q29" s="39"/>
      <c r="R29" s="39"/>
      <c r="S29" s="39"/>
      <c r="T29" s="39"/>
      <c r="U29" s="39"/>
      <c r="W29" s="65" t="s">
        <v>66</v>
      </c>
      <c r="X29" s="66">
        <v>0</v>
      </c>
      <c r="Y29" s="82">
        <v>6.8e-11</v>
      </c>
      <c r="Z29" s="66">
        <v>6.48e-18</v>
      </c>
      <c r="AA29"/>
    </row>
    <row r="30" s="35" customFormat="1" ht="15.75" spans="1:27">
      <c r="A30" s="42"/>
      <c r="B30" s="43"/>
      <c r="C30" s="43"/>
      <c r="D30" s="44"/>
      <c r="E30" s="44"/>
      <c r="F30" s="40"/>
      <c r="G30" s="40"/>
      <c r="H30" s="45"/>
      <c r="I30" s="45"/>
      <c r="J30" s="45"/>
      <c r="K30" s="40"/>
      <c r="L30" s="40"/>
      <c r="M30" s="40"/>
      <c r="N30" s="40"/>
      <c r="O30" s="40"/>
      <c r="P30" s="58"/>
      <c r="Q30" s="67"/>
      <c r="R30" s="67"/>
      <c r="S30" s="67"/>
      <c r="T30" s="67"/>
      <c r="U30" s="68"/>
      <c r="W30" s="65" t="s">
        <v>67</v>
      </c>
      <c r="X30" s="66">
        <v>1.27e-13</v>
      </c>
      <c r="Y30" s="82">
        <v>3.8e-9</v>
      </c>
      <c r="Z30" s="66">
        <v>2.25e-15</v>
      </c>
      <c r="AA30"/>
    </row>
    <row r="31" s="35" customFormat="1" ht="15.75" spans="1:27">
      <c r="A31" s="46"/>
      <c r="B31" s="47"/>
      <c r="C31" s="47"/>
      <c r="D31" s="48"/>
      <c r="E31" s="48"/>
      <c r="H31" s="49"/>
      <c r="I31" s="49"/>
      <c r="J31" s="49"/>
      <c r="N31" s="49"/>
      <c r="O31" s="49"/>
      <c r="P31" s="49"/>
      <c r="Q31" s="49"/>
      <c r="R31" s="49"/>
      <c r="T31" s="69"/>
      <c r="U31" s="70"/>
      <c r="V31" s="70"/>
      <c r="W31" s="71"/>
      <c r="X31" s="72"/>
      <c r="Y31" s="72"/>
      <c r="Z31" s="83"/>
      <c r="AA31"/>
    </row>
    <row r="32" s="35" customFormat="1" ht="14.25" spans="1:27">
      <c r="A32" s="36" t="s">
        <v>4548</v>
      </c>
      <c r="B32" s="50">
        <f>P5</f>
        <v>0</v>
      </c>
      <c r="C32" s="50">
        <f>P6</f>
        <v>0</v>
      </c>
      <c r="D32" s="50">
        <f>P7</f>
        <v>0</v>
      </c>
      <c r="E32" s="50" t="str">
        <f>P8</f>
        <v>500m</v>
      </c>
      <c r="F32" s="50" t="str">
        <f>P9</f>
        <v>1500m</v>
      </c>
      <c r="G32" s="50" t="str">
        <f>P10</f>
        <v>2500m</v>
      </c>
      <c r="H32" s="50" t="str">
        <f>P11</f>
        <v>4000m</v>
      </c>
      <c r="I32" s="50" t="str">
        <f>P12</f>
        <v>5000m</v>
      </c>
      <c r="J32" s="50" t="str">
        <f>P13</f>
        <v>7500m</v>
      </c>
      <c r="K32" s="50" t="str">
        <f>P14</f>
        <v>15000m</v>
      </c>
      <c r="L32" s="50" t="str">
        <f>P15</f>
        <v>25000m</v>
      </c>
      <c r="M32" s="50" t="str">
        <f>P16</f>
        <v>35000m</v>
      </c>
      <c r="N32" s="50" t="str">
        <f>P17</f>
        <v>45000m</v>
      </c>
      <c r="O32" s="50" t="str">
        <f>P18</f>
        <v>55000m</v>
      </c>
      <c r="P32" s="50" t="str">
        <f>P19</f>
        <v>65000m</v>
      </c>
      <c r="Q32" s="50" t="str">
        <f>P20</f>
        <v>75000m</v>
      </c>
      <c r="T32" s="69"/>
      <c r="U32" s="70"/>
      <c r="V32" s="70"/>
      <c r="W32" s="71"/>
      <c r="X32" s="72"/>
      <c r="Y32" s="72"/>
      <c r="Z32" s="83"/>
      <c r="AA32"/>
    </row>
    <row r="33" s="35" customFormat="1" spans="1:27">
      <c r="A33" s="36" t="str">
        <f t="shared" ref="A33:A55" si="25">A5</f>
        <v>Kr-83m</v>
      </c>
      <c r="B33" s="39">
        <f>($B5*$Q$5+$C5*$R$5+$D5*$S$5+$E5*$T$5+$F5*$U$5)*$I5</f>
        <v>0</v>
      </c>
      <c r="C33" s="39">
        <f t="shared" ref="C33:C55" si="26">($B5*$Q$6+$C5*$R$6+$D5*$S$6+$E5*$T$6+$F5*$U$6)*$I5</f>
        <v>0</v>
      </c>
      <c r="D33" s="39">
        <f t="shared" ref="D33:D55" si="27">($B5*$Q$7+$C5*$R$7+$D5*$S$7+$E5*$T$7+$F5*$U$7)*$I5</f>
        <v>0</v>
      </c>
      <c r="E33" s="39">
        <f t="shared" ref="E33:E55" si="28">($B5*$Q$8+$C5*$R$8+$D5*$S$8+$E5*$T$8+$F5*$U$8)*$I5</f>
        <v>5.05066718597173e-13</v>
      </c>
      <c r="F33" s="39">
        <f t="shared" ref="F33:F55" si="29">($B5*$Q$9+$C5*$R$9+$D5*$S$9+$E5*$T$9+$F5*$U$9)*$I5</f>
        <v>1.85467122894699e-13</v>
      </c>
      <c r="G33" s="39">
        <f t="shared" ref="G33:G55" si="30">($B5*$Q$10+$C5*$R$10+$D5*$S$10+$E5*$T$10+$F5*$U$10)*$I5</f>
        <v>1.36947598780282e-13</v>
      </c>
      <c r="H33" s="39">
        <f t="shared" ref="H33:H55" si="31">($B5*$Q$11+$C5*$R$11+$D5*$S$11+$E5*$T$11+$F5*$U$11)*$I5</f>
        <v>9.53830917744168e-14</v>
      </c>
      <c r="I33" s="39">
        <f t="shared" ref="I33:I55" si="32">($B5*$Q$12+$C5*$R$12+$D5*$S$12+$E5*$T$12+$F5*$U$12)*$I5</f>
        <v>7.5677209966855e-14</v>
      </c>
      <c r="J33" s="39">
        <f t="shared" ref="J33:J55" si="33">($B5*$Q$13+$C5*$R$13+$D5*$S$13+$E5*$T$13+$F5*$U$13)*$I5</f>
        <v>5.18314370232508e-14</v>
      </c>
      <c r="K33" s="39">
        <f t="shared" ref="K33:K55" si="34">($B5*$Q$14+$C5*$R$14+$D5*$S$14+$E5*$T$14+$F5*$U$14)*$I5</f>
        <v>2.35145816527208e-14</v>
      </c>
      <c r="L33" s="39">
        <f t="shared" ref="L33:L55" si="35">($B5*$Q$15+$C5*$R$15+$D5*$S$15+$E5*$T$15+$F5*$U$15)*$I5</f>
        <v>6.8059810276537e-15</v>
      </c>
      <c r="M33" s="39">
        <f t="shared" ref="M33:M55" si="36">($B5*$Q$16+$C5*$R$16+$D5*$S$16+$E5*$T$16+$F5*$U$16)*$I5</f>
        <v>3.41127029609894e-15</v>
      </c>
      <c r="N33" s="39">
        <f t="shared" ref="N33:N55" si="37">($B5*$Q$17+$C5*$R$17+$D5*$S$17+$E5*$T$17+$F5*$U$17)*$I5</f>
        <v>2.93104292431802e-15</v>
      </c>
      <c r="O33" s="39">
        <f t="shared" ref="O33:O55" si="38">($B5*$Q$18+$C5*$R$18+$D5*$S$18+$E5*$T$18+$F5*$U$18)*$I5</f>
        <v>2.59985163343463e-15</v>
      </c>
      <c r="P33" s="39">
        <f t="shared" ref="P33:P55" si="39">($B5*$Q$19+$C5*$R$19+$D5*$S$19+$E5*$T$19+$F5*$U$19)*$I5</f>
        <v>2.35145816527208e-15</v>
      </c>
      <c r="Q33" s="39">
        <f t="shared" ref="Q33:Q55" si="40">($B5*$Q$20+$C5*$R$20+$D5*$S$20+$E5*$T$20+$F5*$U$20)*$I5</f>
        <v>2.15274339074205e-15</v>
      </c>
      <c r="T33" s="69"/>
      <c r="U33" s="70"/>
      <c r="V33" s="70"/>
      <c r="W33" s="70"/>
      <c r="AA33"/>
    </row>
    <row r="34" s="35" customFormat="1" spans="1:27">
      <c r="A34" s="36" t="str">
        <f t="shared" si="25"/>
        <v>Kr-85</v>
      </c>
      <c r="B34" s="39">
        <f t="shared" ref="B34:B55" si="41">(B6*Q$5+C6*R$5+D6*S$5+E6*T$5+F6*U$5)*I6</f>
        <v>0</v>
      </c>
      <c r="C34" s="39">
        <f t="shared" si="26"/>
        <v>0</v>
      </c>
      <c r="D34" s="39">
        <f t="shared" si="27"/>
        <v>0</v>
      </c>
      <c r="E34" s="39">
        <f t="shared" si="28"/>
        <v>5.8678806797596e-10</v>
      </c>
      <c r="F34" s="39">
        <f t="shared" si="29"/>
        <v>2.15476274141992e-10</v>
      </c>
      <c r="G34" s="39">
        <f t="shared" si="30"/>
        <v>1.59106141710203e-10</v>
      </c>
      <c r="H34" s="39">
        <f t="shared" si="31"/>
        <v>1.10816369558739e-10</v>
      </c>
      <c r="I34" s="39">
        <f t="shared" si="32"/>
        <v>8.7922015431152e-11</v>
      </c>
      <c r="J34" s="39">
        <f t="shared" si="33"/>
        <v>6.02179230414674e-11</v>
      </c>
      <c r="K34" s="39">
        <f t="shared" si="34"/>
        <v>2.73193133287168e-11</v>
      </c>
      <c r="L34" s="39">
        <f t="shared" si="35"/>
        <v>7.90720970288917e-12</v>
      </c>
      <c r="M34" s="39">
        <f t="shared" si="36"/>
        <v>3.96322432796878e-12</v>
      </c>
      <c r="N34" s="39">
        <f t="shared" si="37"/>
        <v>3.40529468956541e-12</v>
      </c>
      <c r="O34" s="39">
        <f t="shared" si="38"/>
        <v>3.02051562859756e-12</v>
      </c>
      <c r="P34" s="39">
        <f t="shared" si="39"/>
        <v>2.73193133287168e-12</v>
      </c>
      <c r="Q34" s="39">
        <f t="shared" si="40"/>
        <v>2.50106389629098e-12</v>
      </c>
      <c r="AA34"/>
    </row>
    <row r="35" s="35" customFormat="1" spans="1:27">
      <c r="A35" s="36" t="str">
        <f t="shared" si="25"/>
        <v>Kr-85m</v>
      </c>
      <c r="B35" s="39">
        <f t="shared" si="41"/>
        <v>0</v>
      </c>
      <c r="C35" s="39">
        <f t="shared" si="26"/>
        <v>0</v>
      </c>
      <c r="D35" s="39">
        <f t="shared" si="27"/>
        <v>0</v>
      </c>
      <c r="E35" s="39">
        <f t="shared" si="28"/>
        <v>5.02363815054798e-8</v>
      </c>
      <c r="F35" s="39">
        <f t="shared" si="29"/>
        <v>1.84474581266024e-8</v>
      </c>
      <c r="G35" s="39">
        <f t="shared" si="30"/>
        <v>1.36214713131252e-8</v>
      </c>
      <c r="H35" s="39">
        <f t="shared" si="31"/>
        <v>9.48726417939554e-9</v>
      </c>
      <c r="I35" s="39">
        <f t="shared" si="32"/>
        <v>7.52722175344403e-9</v>
      </c>
      <c r="J35" s="39">
        <f t="shared" si="33"/>
        <v>5.15540570859514e-9</v>
      </c>
      <c r="K35" s="39">
        <f t="shared" si="34"/>
        <v>2.33887415533709e-9</v>
      </c>
      <c r="L35" s="39">
        <f t="shared" si="35"/>
        <v>6.76955829467286e-10</v>
      </c>
      <c r="M35" s="39">
        <f t="shared" si="36"/>
        <v>3.39301461971438e-10</v>
      </c>
      <c r="N35" s="39">
        <f t="shared" si="37"/>
        <v>2.91535722179342e-10</v>
      </c>
      <c r="O35" s="39">
        <f t="shared" si="38"/>
        <v>2.58593832667552e-10</v>
      </c>
      <c r="P35" s="39">
        <f t="shared" si="39"/>
        <v>2.33887415533709e-10</v>
      </c>
      <c r="Q35" s="39">
        <f t="shared" si="40"/>
        <v>2.14122281826635e-10</v>
      </c>
      <c r="AA35"/>
    </row>
    <row r="36" s="35" customFormat="1" ht="20.25" spans="1:27">
      <c r="A36" s="36" t="str">
        <f t="shared" si="25"/>
        <v>Kr-87</v>
      </c>
      <c r="B36" s="39">
        <f t="shared" si="41"/>
        <v>0</v>
      </c>
      <c r="C36" s="39">
        <f t="shared" si="26"/>
        <v>0</v>
      </c>
      <c r="D36" s="39">
        <f t="shared" si="27"/>
        <v>0</v>
      </c>
      <c r="E36" s="39">
        <f t="shared" si="28"/>
        <v>1.18220792529431e-7</v>
      </c>
      <c r="F36" s="39">
        <f t="shared" si="29"/>
        <v>4.34122254534305e-8</v>
      </c>
      <c r="G36" s="39">
        <f t="shared" si="30"/>
        <v>3.20552771874884e-8</v>
      </c>
      <c r="H36" s="39">
        <f t="shared" si="31"/>
        <v>2.232628737605e-8</v>
      </c>
      <c r="I36" s="39">
        <f t="shared" si="32"/>
        <v>1.7713738421623e-8</v>
      </c>
      <c r="J36" s="39">
        <f t="shared" si="33"/>
        <v>1.21321665776105e-8</v>
      </c>
      <c r="K36" s="39">
        <f t="shared" si="34"/>
        <v>5.50405001284565e-9</v>
      </c>
      <c r="L36" s="39">
        <f t="shared" si="35"/>
        <v>1.59307363047856e-9</v>
      </c>
      <c r="M36" s="39">
        <f t="shared" si="36"/>
        <v>7.98474861018453e-10</v>
      </c>
      <c r="N36" s="39">
        <f t="shared" si="37"/>
        <v>6.86068205826535e-10</v>
      </c>
      <c r="O36" s="39">
        <f t="shared" si="38"/>
        <v>6.08546374659695e-10</v>
      </c>
      <c r="P36" s="39">
        <f t="shared" si="39"/>
        <v>5.50405001284565e-10</v>
      </c>
      <c r="Q36" s="39">
        <f t="shared" si="40"/>
        <v>5.03891902584461e-10</v>
      </c>
      <c r="T36" s="61" t="s">
        <v>4549</v>
      </c>
      <c r="U36"/>
      <c r="V36"/>
      <c r="W36"/>
      <c r="X36"/>
      <c r="Y36"/>
      <c r="AA36"/>
    </row>
    <row r="37" s="35" customFormat="1" ht="16.5" spans="1:27">
      <c r="A37" s="36" t="str">
        <f t="shared" si="25"/>
        <v>Kr-88</v>
      </c>
      <c r="B37" s="39">
        <f t="shared" si="41"/>
        <v>0</v>
      </c>
      <c r="C37" s="39">
        <f t="shared" si="26"/>
        <v>0</v>
      </c>
      <c r="D37" s="39">
        <f t="shared" si="27"/>
        <v>0</v>
      </c>
      <c r="E37" s="39">
        <f t="shared" si="28"/>
        <v>1.09098284673652e-6</v>
      </c>
      <c r="F37" s="39">
        <f t="shared" si="29"/>
        <v>4.00623209293412e-7</v>
      </c>
      <c r="G37" s="39">
        <f t="shared" si="30"/>
        <v>2.95817316147903e-7</v>
      </c>
      <c r="H37" s="39">
        <f t="shared" si="31"/>
        <v>2.06034793350897e-7</v>
      </c>
      <c r="I37" s="39">
        <f t="shared" si="32"/>
        <v>1.63468577363472e-7</v>
      </c>
      <c r="J37" s="39">
        <f t="shared" si="33"/>
        <v>1.11959879025748e-7</v>
      </c>
      <c r="K37" s="39">
        <f t="shared" si="34"/>
        <v>5.07932997497004e-8</v>
      </c>
      <c r="L37" s="39">
        <f t="shared" si="35"/>
        <v>1.47014409838922e-8</v>
      </c>
      <c r="M37" s="39">
        <f t="shared" si="36"/>
        <v>7.36860545664668e-9</v>
      </c>
      <c r="N37" s="39">
        <f t="shared" si="37"/>
        <v>6.33127750401195e-9</v>
      </c>
      <c r="O37" s="39">
        <f t="shared" si="38"/>
        <v>5.615878915988e-9</v>
      </c>
      <c r="P37" s="39">
        <f t="shared" si="39"/>
        <v>5.07932997497004e-9</v>
      </c>
      <c r="Q37" s="39">
        <f t="shared" si="40"/>
        <v>4.65009082215567e-9</v>
      </c>
      <c r="T37" s="73" t="s">
        <v>289</v>
      </c>
      <c r="U37" s="74" t="s">
        <v>4550</v>
      </c>
      <c r="V37" s="74"/>
      <c r="W37" s="74"/>
      <c r="X37" s="74"/>
      <c r="Y37" s="74"/>
      <c r="AA37"/>
    </row>
    <row r="38" s="35" customFormat="1" ht="16.5" spans="1:27">
      <c r="A38" s="36" t="str">
        <f t="shared" si="25"/>
        <v>Xe-131m</v>
      </c>
      <c r="B38" s="39">
        <f t="shared" si="41"/>
        <v>0</v>
      </c>
      <c r="C38" s="39">
        <f t="shared" si="26"/>
        <v>0</v>
      </c>
      <c r="D38" s="39">
        <f t="shared" si="27"/>
        <v>0</v>
      </c>
      <c r="E38" s="39">
        <f t="shared" si="28"/>
        <v>9.27536609479462e-9</v>
      </c>
      <c r="F38" s="39">
        <f t="shared" si="29"/>
        <v>3.40603607415409e-9</v>
      </c>
      <c r="G38" s="39">
        <f t="shared" si="30"/>
        <v>2.51499270832628e-9</v>
      </c>
      <c r="H38" s="39">
        <f t="shared" si="31"/>
        <v>1.75167569527925e-9</v>
      </c>
      <c r="I38" s="39">
        <f t="shared" si="32"/>
        <v>1.38978436240037e-9</v>
      </c>
      <c r="J38" s="39">
        <f t="shared" si="33"/>
        <v>9.51865438580563e-10</v>
      </c>
      <c r="K38" s="39">
        <f t="shared" si="34"/>
        <v>4.31836716544536e-10</v>
      </c>
      <c r="L38" s="39">
        <f t="shared" si="35"/>
        <v>1.24989359506905e-10</v>
      </c>
      <c r="M38" s="39">
        <f t="shared" si="36"/>
        <v>6.26467349353342e-11</v>
      </c>
      <c r="N38" s="39">
        <f t="shared" si="37"/>
        <v>5.38275343861852e-11</v>
      </c>
      <c r="O38" s="39">
        <f t="shared" si="38"/>
        <v>4.774532711091e-11</v>
      </c>
      <c r="P38" s="39">
        <f t="shared" si="39"/>
        <v>4.31836716544536e-11</v>
      </c>
      <c r="Q38" s="39">
        <f t="shared" si="40"/>
        <v>3.95343472892885e-11</v>
      </c>
      <c r="T38" s="75" t="s">
        <v>4551</v>
      </c>
      <c r="U38" s="75" t="s">
        <v>266</v>
      </c>
      <c r="V38" s="76" t="s">
        <v>4510</v>
      </c>
      <c r="W38" s="76" t="s">
        <v>4552</v>
      </c>
      <c r="X38" s="76" t="s">
        <v>4553</v>
      </c>
      <c r="Y38" s="74" t="s">
        <v>4554</v>
      </c>
      <c r="AA38"/>
    </row>
    <row r="39" s="35" customFormat="1" ht="16.5" spans="1:27">
      <c r="A39" s="36" t="str">
        <f t="shared" si="25"/>
        <v>Xe-133</v>
      </c>
      <c r="B39" s="39">
        <f t="shared" si="41"/>
        <v>0</v>
      </c>
      <c r="C39" s="39">
        <f t="shared" si="26"/>
        <v>0</v>
      </c>
      <c r="D39" s="39">
        <f t="shared" si="27"/>
        <v>0</v>
      </c>
      <c r="E39" s="39">
        <f t="shared" si="28"/>
        <v>3.57826406065773e-6</v>
      </c>
      <c r="F39" s="39">
        <f t="shared" si="29"/>
        <v>1.31398549112677e-6</v>
      </c>
      <c r="G39" s="39">
        <f t="shared" si="30"/>
        <v>9.70237501037357e-7</v>
      </c>
      <c r="H39" s="39">
        <f t="shared" si="31"/>
        <v>6.75763966865197e-7</v>
      </c>
      <c r="I39" s="39">
        <f t="shared" si="32"/>
        <v>5.36153008432977e-7</v>
      </c>
      <c r="J39" s="39">
        <f t="shared" si="33"/>
        <v>3.67212016716678e-7</v>
      </c>
      <c r="K39" s="39">
        <f t="shared" si="34"/>
        <v>1.66594589053573e-7</v>
      </c>
      <c r="L39" s="39">
        <f t="shared" si="35"/>
        <v>4.82185747190271e-8</v>
      </c>
      <c r="M39" s="39">
        <f t="shared" si="36"/>
        <v>2.41679474260817e-8</v>
      </c>
      <c r="N39" s="39">
        <f t="shared" si="37"/>
        <v>2.07656635651284e-8</v>
      </c>
      <c r="O39" s="39">
        <f t="shared" si="38"/>
        <v>1.84192609024021e-8</v>
      </c>
      <c r="P39" s="39">
        <f t="shared" si="39"/>
        <v>1.66594589053573e-8</v>
      </c>
      <c r="Q39" s="39">
        <f t="shared" si="40"/>
        <v>1.52516173077215e-8</v>
      </c>
      <c r="T39" s="77">
        <v>0.5</v>
      </c>
      <c r="U39" s="78">
        <v>0.00305</v>
      </c>
      <c r="V39" s="78">
        <v>0.00194</v>
      </c>
      <c r="W39" s="78">
        <v>0.00155</v>
      </c>
      <c r="X39" s="78">
        <v>0.000953</v>
      </c>
      <c r="Y39" s="84">
        <v>0.000473</v>
      </c>
      <c r="AA39"/>
    </row>
    <row r="40" s="35" customFormat="1" ht="16.5" spans="1:27">
      <c r="A40" s="36" t="str">
        <f t="shared" si="25"/>
        <v>Xe-133m</v>
      </c>
      <c r="B40" s="39">
        <f t="shared" si="41"/>
        <v>0</v>
      </c>
      <c r="C40" s="39">
        <f t="shared" si="26"/>
        <v>0</v>
      </c>
      <c r="D40" s="39">
        <f t="shared" si="27"/>
        <v>0</v>
      </c>
      <c r="E40" s="39">
        <f t="shared" si="28"/>
        <v>4.42310086632055e-8</v>
      </c>
      <c r="F40" s="39">
        <f t="shared" si="29"/>
        <v>1.62422064599312e-8</v>
      </c>
      <c r="G40" s="39">
        <f t="shared" si="30"/>
        <v>1.19931292342528e-8</v>
      </c>
      <c r="H40" s="39">
        <f t="shared" si="31"/>
        <v>8.35313475082176e-9</v>
      </c>
      <c r="I40" s="39">
        <f t="shared" si="32"/>
        <v>6.62740031445407e-9</v>
      </c>
      <c r="J40" s="39">
        <f t="shared" si="33"/>
        <v>4.53911662674863e-9</v>
      </c>
      <c r="K40" s="39">
        <f t="shared" si="34"/>
        <v>2.05927974759842e-9</v>
      </c>
      <c r="L40" s="39">
        <f t="shared" si="35"/>
        <v>5.96030969199261e-10</v>
      </c>
      <c r="M40" s="39">
        <f t="shared" si="36"/>
        <v>2.98740583102306e-10</v>
      </c>
      <c r="N40" s="39">
        <f t="shared" si="37"/>
        <v>2.56684869947127e-10</v>
      </c>
      <c r="O40" s="39">
        <f t="shared" si="38"/>
        <v>2.27680929840107e-10</v>
      </c>
      <c r="P40" s="39">
        <f t="shared" si="39"/>
        <v>2.05927974759842e-10</v>
      </c>
      <c r="Q40" s="39">
        <f t="shared" si="40"/>
        <v>1.8852561069563e-10</v>
      </c>
      <c r="T40" s="77">
        <v>1.5</v>
      </c>
      <c r="U40" s="78">
        <v>0.00112</v>
      </c>
      <c r="V40" s="78">
        <v>0.000619</v>
      </c>
      <c r="W40" s="78">
        <v>0.000461</v>
      </c>
      <c r="X40" s="78">
        <v>0.000243</v>
      </c>
      <c r="Y40" s="84">
        <v>9.71e-5</v>
      </c>
      <c r="AA40"/>
    </row>
    <row r="41" s="35" customFormat="1" ht="16.5" spans="1:27">
      <c r="A41" s="36" t="str">
        <f t="shared" si="25"/>
        <v>Xe-135</v>
      </c>
      <c r="B41" s="39">
        <f t="shared" si="41"/>
        <v>0</v>
      </c>
      <c r="C41" s="39">
        <f t="shared" si="26"/>
        <v>0</v>
      </c>
      <c r="D41" s="39">
        <f t="shared" si="27"/>
        <v>0</v>
      </c>
      <c r="E41" s="39">
        <f t="shared" si="28"/>
        <v>3.24711229524142e-7</v>
      </c>
      <c r="F41" s="39">
        <f t="shared" si="29"/>
        <v>1.19238221989193e-7</v>
      </c>
      <c r="G41" s="39">
        <f t="shared" si="30"/>
        <v>8.80446514152346e-8</v>
      </c>
      <c r="H41" s="39">
        <f t="shared" si="31"/>
        <v>6.13225141658708e-8</v>
      </c>
      <c r="I41" s="39">
        <f t="shared" si="32"/>
        <v>4.8653453079519e-8</v>
      </c>
      <c r="J41" s="39">
        <f t="shared" si="33"/>
        <v>3.33228245380513e-8</v>
      </c>
      <c r="K41" s="39">
        <f t="shared" si="34"/>
        <v>1.51177031450584e-8</v>
      </c>
      <c r="L41" s="39">
        <f t="shared" si="35"/>
        <v>4.37561689621057e-9</v>
      </c>
      <c r="M41" s="39">
        <f t="shared" si="36"/>
        <v>2.19313158301552e-9</v>
      </c>
      <c r="N41" s="39">
        <f t="shared" si="37"/>
        <v>1.88438975822207e-9</v>
      </c>
      <c r="O41" s="39">
        <f t="shared" si="38"/>
        <v>1.6714643618128e-9</v>
      </c>
      <c r="P41" s="39">
        <f t="shared" si="39"/>
        <v>1.51177031450584e-9</v>
      </c>
      <c r="Q41" s="39">
        <f t="shared" si="40"/>
        <v>1.38401507666028e-9</v>
      </c>
      <c r="T41" s="77">
        <v>2.5</v>
      </c>
      <c r="U41" s="78">
        <v>0.000827</v>
      </c>
      <c r="V41" s="78">
        <v>0.000396</v>
      </c>
      <c r="W41" s="78">
        <v>0.000275</v>
      </c>
      <c r="X41" s="78">
        <v>0.000124</v>
      </c>
      <c r="Y41" s="84">
        <v>3.94e-5</v>
      </c>
      <c r="AA41"/>
    </row>
    <row r="42" s="35" customFormat="1" ht="16.5" spans="1:27">
      <c r="A42" s="36" t="str">
        <f t="shared" si="25"/>
        <v>I-131</v>
      </c>
      <c r="B42" s="39">
        <f t="shared" si="41"/>
        <v>0</v>
      </c>
      <c r="C42" s="39">
        <f t="shared" si="26"/>
        <v>0</v>
      </c>
      <c r="D42" s="39">
        <f t="shared" si="27"/>
        <v>0</v>
      </c>
      <c r="E42" s="39">
        <f t="shared" si="28"/>
        <v>8.46607441448215e-8</v>
      </c>
      <c r="F42" s="39">
        <f t="shared" si="29"/>
        <v>3.10885355548197e-8</v>
      </c>
      <c r="G42" s="39">
        <f t="shared" si="30"/>
        <v>2.29555525927106e-8</v>
      </c>
      <c r="H42" s="39">
        <f t="shared" si="31"/>
        <v>1.59883897139073e-8</v>
      </c>
      <c r="I42" s="39">
        <f t="shared" si="32"/>
        <v>1.26852328112077e-8</v>
      </c>
      <c r="J42" s="39">
        <f t="shared" si="33"/>
        <v>8.68813538273086e-9</v>
      </c>
      <c r="K42" s="39">
        <f t="shared" si="34"/>
        <v>3.94158218641464e-9</v>
      </c>
      <c r="L42" s="39">
        <f t="shared" si="35"/>
        <v>1.14083822437776e-9</v>
      </c>
      <c r="M42" s="39">
        <f t="shared" si="36"/>
        <v>5.71806993240434e-10</v>
      </c>
      <c r="N42" s="39">
        <f t="shared" si="37"/>
        <v>4.91309892250275e-10</v>
      </c>
      <c r="O42" s="39">
        <f t="shared" si="38"/>
        <v>4.35794650188097e-10</v>
      </c>
      <c r="P42" s="39">
        <f t="shared" si="39"/>
        <v>3.94158218641464e-10</v>
      </c>
      <c r="Q42" s="39">
        <f t="shared" si="40"/>
        <v>3.60849073404157e-10</v>
      </c>
      <c r="T42" s="77">
        <v>4</v>
      </c>
      <c r="U42" s="78">
        <v>0.000576</v>
      </c>
      <c r="V42" s="78">
        <v>0.000247</v>
      </c>
      <c r="W42" s="78">
        <v>0.000161</v>
      </c>
      <c r="X42" s="78">
        <v>6.43e-5</v>
      </c>
      <c r="Y42" s="84">
        <v>1.72e-5</v>
      </c>
      <c r="AA42"/>
    </row>
    <row r="43" s="35" customFormat="1" ht="16.5" spans="1:27">
      <c r="A43" s="36" t="str">
        <f t="shared" si="25"/>
        <v>I-132</v>
      </c>
      <c r="B43" s="39">
        <f t="shared" si="41"/>
        <v>0</v>
      </c>
      <c r="C43" s="39">
        <f t="shared" si="26"/>
        <v>0</v>
      </c>
      <c r="D43" s="39">
        <f t="shared" si="27"/>
        <v>0</v>
      </c>
      <c r="E43" s="39">
        <f t="shared" si="28"/>
        <v>7.92881401870512e-8</v>
      </c>
      <c r="F43" s="39">
        <f t="shared" si="29"/>
        <v>2.91156449211467e-8</v>
      </c>
      <c r="G43" s="39">
        <f t="shared" si="30"/>
        <v>2.14987842408824e-8</v>
      </c>
      <c r="H43" s="39">
        <f t="shared" si="31"/>
        <v>1.49737602451612e-8</v>
      </c>
      <c r="I43" s="39">
        <f t="shared" si="32"/>
        <v>1.18802229722893e-8</v>
      </c>
      <c r="J43" s="39">
        <f t="shared" si="33"/>
        <v>8.13678291099903e-9</v>
      </c>
      <c r="K43" s="39">
        <f t="shared" si="34"/>
        <v>3.69144783821681e-9</v>
      </c>
      <c r="L43" s="39">
        <f t="shared" si="35"/>
        <v>1.06844018415994e-9</v>
      </c>
      <c r="M43" s="39">
        <f t="shared" si="36"/>
        <v>5.35519897656805e-10</v>
      </c>
      <c r="N43" s="39">
        <f t="shared" si="37"/>
        <v>4.60131174200265e-10</v>
      </c>
      <c r="O43" s="39">
        <f t="shared" si="38"/>
        <v>4.08138951126788e-10</v>
      </c>
      <c r="P43" s="39">
        <f t="shared" si="39"/>
        <v>3.69144783821681e-10</v>
      </c>
      <c r="Q43" s="39">
        <f t="shared" si="40"/>
        <v>3.37949449977595e-10</v>
      </c>
      <c r="T43" s="77">
        <v>5</v>
      </c>
      <c r="U43" s="78">
        <v>0.000457</v>
      </c>
      <c r="V43" s="78">
        <v>0.000188</v>
      </c>
      <c r="W43" s="78">
        <v>0.00012</v>
      </c>
      <c r="X43" s="78">
        <v>4.59e-5</v>
      </c>
      <c r="Y43" s="84">
        <v>1.15e-5</v>
      </c>
      <c r="AA43"/>
    </row>
    <row r="44" s="35" customFormat="1" ht="16.5" spans="1:27">
      <c r="A44" s="36" t="str">
        <f t="shared" si="25"/>
        <v>I-133</v>
      </c>
      <c r="B44" s="39">
        <f t="shared" si="41"/>
        <v>0</v>
      </c>
      <c r="C44" s="39">
        <f t="shared" si="26"/>
        <v>0</v>
      </c>
      <c r="D44" s="39">
        <f t="shared" si="27"/>
        <v>0</v>
      </c>
      <c r="E44" s="39">
        <f t="shared" si="28"/>
        <v>7.64479242266116e-8</v>
      </c>
      <c r="F44" s="39">
        <f t="shared" si="29"/>
        <v>2.80726803717394e-8</v>
      </c>
      <c r="G44" s="39">
        <f t="shared" si="30"/>
        <v>2.07286666673468e-8</v>
      </c>
      <c r="H44" s="39">
        <f t="shared" si="31"/>
        <v>1.44373784768945e-8</v>
      </c>
      <c r="I44" s="39">
        <f t="shared" si="32"/>
        <v>1.14546561873972e-8</v>
      </c>
      <c r="J44" s="39">
        <f t="shared" si="33"/>
        <v>7.84531156817359e-9</v>
      </c>
      <c r="K44" s="39">
        <f t="shared" si="34"/>
        <v>3.55921483284553e-9</v>
      </c>
      <c r="L44" s="39">
        <f t="shared" si="35"/>
        <v>1.03016711007008e-9</v>
      </c>
      <c r="M44" s="39">
        <f t="shared" si="36"/>
        <v>5.16336799694492e-10</v>
      </c>
      <c r="N44" s="39">
        <f t="shared" si="37"/>
        <v>4.43648609446238e-10</v>
      </c>
      <c r="O44" s="39">
        <f t="shared" si="38"/>
        <v>3.93518823068132e-10</v>
      </c>
      <c r="P44" s="39">
        <f t="shared" si="39"/>
        <v>3.55921483284553e-10</v>
      </c>
      <c r="Q44" s="39">
        <f t="shared" si="40"/>
        <v>3.25843611457689e-10</v>
      </c>
      <c r="T44" s="77">
        <v>7.5</v>
      </c>
      <c r="U44" s="78">
        <v>0.000313</v>
      </c>
      <c r="V44" s="78">
        <v>0.000119</v>
      </c>
      <c r="W44" s="78">
        <v>7.35e-5</v>
      </c>
      <c r="X44" s="78">
        <v>2.58e-5</v>
      </c>
      <c r="Y44" s="84">
        <v>5.71e-6</v>
      </c>
      <c r="AA44"/>
    </row>
    <row r="45" s="35" customFormat="1" ht="16.5" spans="1:27">
      <c r="A45" s="36" t="str">
        <f t="shared" si="25"/>
        <v>I-134</v>
      </c>
      <c r="B45" s="39">
        <f t="shared" si="41"/>
        <v>0</v>
      </c>
      <c r="C45" s="39">
        <f t="shared" si="26"/>
        <v>0</v>
      </c>
      <c r="D45" s="39">
        <f t="shared" si="27"/>
        <v>0</v>
      </c>
      <c r="E45" s="39">
        <f t="shared" si="28"/>
        <v>7.4824818159648e-8</v>
      </c>
      <c r="F45" s="39">
        <f t="shared" si="29"/>
        <v>2.74766545373134e-8</v>
      </c>
      <c r="G45" s="39">
        <f t="shared" si="30"/>
        <v>2.02885654485341e-8</v>
      </c>
      <c r="H45" s="39">
        <f t="shared" si="31"/>
        <v>1.4130850904904e-8</v>
      </c>
      <c r="I45" s="39">
        <f t="shared" si="32"/>
        <v>1.12114563603145e-8</v>
      </c>
      <c r="J45" s="39">
        <f t="shared" si="33"/>
        <v>7.67874363408847e-9</v>
      </c>
      <c r="K45" s="39">
        <f t="shared" si="34"/>
        <v>3.48364727169509e-9</v>
      </c>
      <c r="L45" s="39">
        <f t="shared" si="35"/>
        <v>1.00829509061034e-9</v>
      </c>
      <c r="M45" s="39">
        <f t="shared" si="36"/>
        <v>5.05374181668442e-10</v>
      </c>
      <c r="N45" s="39">
        <f t="shared" si="37"/>
        <v>4.34229272598613e-10</v>
      </c>
      <c r="O45" s="39">
        <f t="shared" si="38"/>
        <v>3.85163818067696e-10</v>
      </c>
      <c r="P45" s="39">
        <f t="shared" si="39"/>
        <v>3.48364727169509e-10</v>
      </c>
      <c r="Q45" s="39">
        <f t="shared" si="40"/>
        <v>3.18925454450959e-10</v>
      </c>
      <c r="T45" s="77">
        <v>15</v>
      </c>
      <c r="U45" s="78">
        <v>0.000142</v>
      </c>
      <c r="V45" s="78">
        <v>4.97e-5</v>
      </c>
      <c r="W45" s="78">
        <v>2.94e-5</v>
      </c>
      <c r="X45" s="78">
        <v>9.39e-6</v>
      </c>
      <c r="Y45" s="84">
        <v>1.83e-6</v>
      </c>
      <c r="AA45"/>
    </row>
    <row r="46" s="35" customFormat="1" ht="16.5" spans="1:27">
      <c r="A46" s="36" t="str">
        <f t="shared" si="25"/>
        <v>I-135</v>
      </c>
      <c r="B46" s="39">
        <f t="shared" si="41"/>
        <v>0</v>
      </c>
      <c r="C46" s="39">
        <f t="shared" si="26"/>
        <v>0</v>
      </c>
      <c r="D46" s="39">
        <f t="shared" si="27"/>
        <v>0</v>
      </c>
      <c r="E46" s="39">
        <f t="shared" si="28"/>
        <v>9.93333906568914e-8</v>
      </c>
      <c r="F46" s="39">
        <f t="shared" si="29"/>
        <v>3.64765237822027e-8</v>
      </c>
      <c r="G46" s="39">
        <f t="shared" si="30"/>
        <v>2.69340046141801e-8</v>
      </c>
      <c r="H46" s="39">
        <f t="shared" si="31"/>
        <v>1.875935508799e-8</v>
      </c>
      <c r="I46" s="39">
        <f t="shared" si="32"/>
        <v>1.48837244361309e-8</v>
      </c>
      <c r="J46" s="39">
        <f t="shared" si="33"/>
        <v>1.01938856641334e-8</v>
      </c>
      <c r="K46" s="39">
        <f t="shared" si="34"/>
        <v>4.62470212238642e-9</v>
      </c>
      <c r="L46" s="39">
        <f t="shared" si="35"/>
        <v>1.33855814950762e-9</v>
      </c>
      <c r="M46" s="39">
        <f t="shared" si="36"/>
        <v>6.70907490994086e-10</v>
      </c>
      <c r="N46" s="39">
        <f t="shared" si="37"/>
        <v>5.76459349058026e-10</v>
      </c>
      <c r="O46" s="39">
        <f t="shared" si="38"/>
        <v>5.11322699446949e-10</v>
      </c>
      <c r="P46" s="39">
        <f t="shared" si="39"/>
        <v>4.62470212238642e-10</v>
      </c>
      <c r="Q46" s="39">
        <f t="shared" si="40"/>
        <v>4.23388222471996e-10</v>
      </c>
      <c r="T46" s="77">
        <v>25</v>
      </c>
      <c r="U46" s="78">
        <v>4.11e-5</v>
      </c>
      <c r="V46" s="78">
        <v>1.53e-5</v>
      </c>
      <c r="W46" s="78">
        <v>9.32e-6</v>
      </c>
      <c r="X46" s="78">
        <v>3.19e-6</v>
      </c>
      <c r="Y46" s="84">
        <v>6.83e-7</v>
      </c>
      <c r="AA46"/>
    </row>
    <row r="47" s="35" customFormat="1" ht="16.5" spans="1:27">
      <c r="A47" s="36" t="str">
        <f t="shared" si="25"/>
        <v>Sr-89</v>
      </c>
      <c r="B47" s="39">
        <f t="shared" si="41"/>
        <v>0</v>
      </c>
      <c r="C47" s="39">
        <f t="shared" si="26"/>
        <v>0</v>
      </c>
      <c r="D47" s="39">
        <f t="shared" si="27"/>
        <v>0</v>
      </c>
      <c r="E47" s="39">
        <f t="shared" si="28"/>
        <v>5.26869519520818e-13</v>
      </c>
      <c r="F47" s="39">
        <f t="shared" si="29"/>
        <v>1.93473397332235e-13</v>
      </c>
      <c r="G47" s="39">
        <f t="shared" si="30"/>
        <v>1.42859374637284e-13</v>
      </c>
      <c r="H47" s="39">
        <f t="shared" si="31"/>
        <v>9.95006043422921e-14</v>
      </c>
      <c r="I47" s="39">
        <f t="shared" si="32"/>
        <v>7.89440558757422e-14</v>
      </c>
      <c r="J47" s="39">
        <f t="shared" si="33"/>
        <v>5.40689047901691e-14</v>
      </c>
      <c r="K47" s="39">
        <f t="shared" si="34"/>
        <v>2.45296628760512e-14</v>
      </c>
      <c r="L47" s="39">
        <f t="shared" si="35"/>
        <v>7.09978270567397e-15</v>
      </c>
      <c r="M47" s="39">
        <f t="shared" si="36"/>
        <v>3.55852855807503e-15</v>
      </c>
      <c r="N47" s="39">
        <f t="shared" si="37"/>
        <v>3.05757065426835e-15</v>
      </c>
      <c r="O47" s="39">
        <f t="shared" si="38"/>
        <v>2.7120824447465e-15</v>
      </c>
      <c r="P47" s="39">
        <f t="shared" si="39"/>
        <v>2.45296628760512e-15</v>
      </c>
      <c r="Q47" s="39">
        <f t="shared" si="40"/>
        <v>2.24567336189201e-15</v>
      </c>
      <c r="T47" s="77">
        <v>35</v>
      </c>
      <c r="U47" s="78">
        <v>2.06e-5</v>
      </c>
      <c r="V47" s="78">
        <v>7.83e-6</v>
      </c>
      <c r="W47" s="78">
        <v>4.83e-6</v>
      </c>
      <c r="X47" s="78">
        <v>1.69e-6</v>
      </c>
      <c r="Y47" s="84">
        <v>3.74e-7</v>
      </c>
      <c r="AA47"/>
    </row>
    <row r="48" s="35" customFormat="1" ht="16.5" spans="1:27">
      <c r="A48" s="36" t="str">
        <f t="shared" si="25"/>
        <v>Sr-90</v>
      </c>
      <c r="B48" s="39">
        <f t="shared" si="41"/>
        <v>0</v>
      </c>
      <c r="C48" s="39">
        <f t="shared" si="26"/>
        <v>0</v>
      </c>
      <c r="D48" s="39">
        <f t="shared" si="27"/>
        <v>0</v>
      </c>
      <c r="E48" s="39">
        <f t="shared" si="28"/>
        <v>2.638067e-14</v>
      </c>
      <c r="F48" s="39">
        <f t="shared" si="29"/>
        <v>9.687328e-15</v>
      </c>
      <c r="G48" s="39">
        <f t="shared" si="30"/>
        <v>7.1530538e-15</v>
      </c>
      <c r="H48" s="39">
        <f t="shared" si="31"/>
        <v>4.9820544e-15</v>
      </c>
      <c r="I48" s="39">
        <f t="shared" si="32"/>
        <v>3.9527758e-15</v>
      </c>
      <c r="J48" s="39">
        <f t="shared" si="33"/>
        <v>2.7072622e-15</v>
      </c>
      <c r="K48" s="39">
        <f t="shared" si="34"/>
        <v>1.2282148e-15</v>
      </c>
      <c r="L48" s="39">
        <f t="shared" si="35"/>
        <v>3.5549034e-16</v>
      </c>
      <c r="M48" s="39">
        <f t="shared" si="36"/>
        <v>1.7817764e-16</v>
      </c>
      <c r="N48" s="39">
        <f t="shared" si="37"/>
        <v>1.5309438e-16</v>
      </c>
      <c r="O48" s="39">
        <f t="shared" si="38"/>
        <v>1.3579558e-16</v>
      </c>
      <c r="P48" s="39">
        <f t="shared" si="39"/>
        <v>1.2282148e-16</v>
      </c>
      <c r="Q48" s="39">
        <f t="shared" si="40"/>
        <v>1.124422e-16</v>
      </c>
      <c r="T48" s="77">
        <v>45</v>
      </c>
      <c r="U48" s="78">
        <v>1.77e-5</v>
      </c>
      <c r="V48" s="78">
        <v>6.44e-6</v>
      </c>
      <c r="W48" s="78">
        <v>3.88e-6</v>
      </c>
      <c r="X48" s="78">
        <v>1.3e-6</v>
      </c>
      <c r="Y48" s="84">
        <v>2.68e-7</v>
      </c>
      <c r="AA48"/>
    </row>
    <row r="49" s="35" customFormat="1" ht="16.5" spans="1:27">
      <c r="A49" s="36" t="str">
        <f t="shared" si="25"/>
        <v>Cs-134</v>
      </c>
      <c r="B49" s="39">
        <f t="shared" si="41"/>
        <v>0</v>
      </c>
      <c r="C49" s="39">
        <f t="shared" si="26"/>
        <v>0</v>
      </c>
      <c r="D49" s="39">
        <f t="shared" si="27"/>
        <v>0</v>
      </c>
      <c r="E49" s="39">
        <f t="shared" si="28"/>
        <v>4.525346e-8</v>
      </c>
      <c r="F49" s="39">
        <f t="shared" si="29"/>
        <v>1.6617664e-8</v>
      </c>
      <c r="G49" s="39">
        <f t="shared" si="30"/>
        <v>1.22703644e-8</v>
      </c>
      <c r="H49" s="39">
        <f t="shared" si="31"/>
        <v>8.5462272e-9</v>
      </c>
      <c r="I49" s="39">
        <f t="shared" si="32"/>
        <v>6.7806004e-9</v>
      </c>
      <c r="J49" s="39">
        <f t="shared" si="33"/>
        <v>4.6440436e-9</v>
      </c>
      <c r="K49" s="39">
        <f t="shared" si="34"/>
        <v>2.1068824e-9</v>
      </c>
      <c r="L49" s="39">
        <f t="shared" si="35"/>
        <v>6.0980892e-10</v>
      </c>
      <c r="M49" s="39">
        <f t="shared" si="36"/>
        <v>3.0564632e-10</v>
      </c>
      <c r="N49" s="39">
        <f t="shared" si="37"/>
        <v>2.6261844e-10</v>
      </c>
      <c r="O49" s="39">
        <f t="shared" si="38"/>
        <v>2.3294404e-10</v>
      </c>
      <c r="P49" s="39">
        <f t="shared" si="39"/>
        <v>2.1068824e-10</v>
      </c>
      <c r="Q49" s="39">
        <f t="shared" si="40"/>
        <v>1.928836e-10</v>
      </c>
      <c r="T49" s="77">
        <v>55</v>
      </c>
      <c r="U49" s="78">
        <v>1.57e-5</v>
      </c>
      <c r="V49" s="78">
        <v>5.51e-6</v>
      </c>
      <c r="W49" s="78">
        <v>3.26e-6</v>
      </c>
      <c r="X49" s="78">
        <v>1.05e-6</v>
      </c>
      <c r="Y49" s="84">
        <v>2.05e-7</v>
      </c>
      <c r="AA49"/>
    </row>
    <row r="50" s="35" customFormat="1" ht="16.5" spans="1:27">
      <c r="A50" s="36" t="str">
        <f t="shared" si="25"/>
        <v>Cs-137</v>
      </c>
      <c r="B50" s="39">
        <f t="shared" si="41"/>
        <v>0</v>
      </c>
      <c r="C50" s="39">
        <f t="shared" si="26"/>
        <v>0</v>
      </c>
      <c r="D50" s="39">
        <f t="shared" si="27"/>
        <v>0</v>
      </c>
      <c r="E50" s="39">
        <f t="shared" si="28"/>
        <v>4.05284e-11</v>
      </c>
      <c r="F50" s="39">
        <f t="shared" si="29"/>
        <v>1.488256e-11</v>
      </c>
      <c r="G50" s="39">
        <f t="shared" si="30"/>
        <v>1.0989176e-11</v>
      </c>
      <c r="H50" s="39">
        <f t="shared" si="31"/>
        <v>7.653888e-12</v>
      </c>
      <c r="I50" s="39">
        <f t="shared" si="32"/>
        <v>6.072616e-12</v>
      </c>
      <c r="J50" s="39">
        <f t="shared" si="33"/>
        <v>4.159144e-12</v>
      </c>
      <c r="K50" s="39">
        <f t="shared" si="34"/>
        <v>1.886896e-12</v>
      </c>
      <c r="L50" s="39">
        <f t="shared" si="35"/>
        <v>5.461368e-13</v>
      </c>
      <c r="M50" s="39">
        <f t="shared" si="36"/>
        <v>2.737328e-13</v>
      </c>
      <c r="N50" s="39">
        <f t="shared" si="37"/>
        <v>2.351976e-13</v>
      </c>
      <c r="O50" s="39">
        <f t="shared" si="38"/>
        <v>2.086216e-13</v>
      </c>
      <c r="P50" s="39">
        <f t="shared" si="39"/>
        <v>1.886896e-13</v>
      </c>
      <c r="Q50" s="39">
        <f t="shared" si="40"/>
        <v>1.72744e-13</v>
      </c>
      <c r="T50" s="77">
        <v>65</v>
      </c>
      <c r="U50" s="78">
        <v>1.42e-5</v>
      </c>
      <c r="V50" s="78">
        <v>4.84e-6</v>
      </c>
      <c r="W50" s="78">
        <v>2.82e-6</v>
      </c>
      <c r="X50" s="78">
        <v>8.78e-7</v>
      </c>
      <c r="Y50" s="84">
        <v>1.64e-7</v>
      </c>
      <c r="AA50"/>
    </row>
    <row r="51" s="35" customFormat="1" ht="16.5" spans="1:27">
      <c r="A51" s="36" t="str">
        <f t="shared" si="25"/>
        <v>Ag-110m</v>
      </c>
      <c r="B51" s="39">
        <f t="shared" si="41"/>
        <v>0</v>
      </c>
      <c r="C51" s="39">
        <f t="shared" si="26"/>
        <v>0</v>
      </c>
      <c r="D51" s="39">
        <f t="shared" si="27"/>
        <v>0</v>
      </c>
      <c r="E51" s="39">
        <f t="shared" si="28"/>
        <v>2.335324e-8</v>
      </c>
      <c r="F51" s="39">
        <f t="shared" si="29"/>
        <v>8.575616e-9</v>
      </c>
      <c r="G51" s="39">
        <f t="shared" si="30"/>
        <v>6.3321736e-9</v>
      </c>
      <c r="H51" s="39">
        <f t="shared" si="31"/>
        <v>4.4103168e-9</v>
      </c>
      <c r="I51" s="39">
        <f t="shared" si="32"/>
        <v>3.4991576e-9</v>
      </c>
      <c r="J51" s="39">
        <f t="shared" si="33"/>
        <v>2.3965784e-9</v>
      </c>
      <c r="K51" s="39">
        <f t="shared" si="34"/>
        <v>1.0872656e-9</v>
      </c>
      <c r="L51" s="39">
        <f t="shared" si="35"/>
        <v>3.1469448e-10</v>
      </c>
      <c r="M51" s="39">
        <f t="shared" si="36"/>
        <v>1.5773008e-10</v>
      </c>
      <c r="N51" s="39">
        <f t="shared" si="37"/>
        <v>1.3552536e-10</v>
      </c>
      <c r="O51" s="39">
        <f t="shared" si="38"/>
        <v>1.2021176e-10</v>
      </c>
      <c r="P51" s="39">
        <f t="shared" si="39"/>
        <v>1.0872656e-10</v>
      </c>
      <c r="Q51" s="39">
        <f t="shared" si="40"/>
        <v>9.95384e-11</v>
      </c>
      <c r="T51" s="77">
        <v>75</v>
      </c>
      <c r="U51" s="78">
        <v>1.3e-5</v>
      </c>
      <c r="V51" s="78">
        <v>4.33e-6</v>
      </c>
      <c r="W51" s="78">
        <v>2.5e-6</v>
      </c>
      <c r="X51" s="78">
        <v>7.55e-7</v>
      </c>
      <c r="Y51" s="84">
        <v>1.36e-7</v>
      </c>
      <c r="AA51"/>
    </row>
    <row r="52" s="35" customFormat="1" spans="1:27">
      <c r="A52" s="36" t="str">
        <f t="shared" si="25"/>
        <v>H-3</v>
      </c>
      <c r="B52" s="39">
        <f t="shared" si="41"/>
        <v>0</v>
      </c>
      <c r="C52" s="39">
        <f t="shared" si="26"/>
        <v>0</v>
      </c>
      <c r="D52" s="39">
        <f t="shared" si="27"/>
        <v>0</v>
      </c>
      <c r="E52" s="39">
        <f t="shared" si="28"/>
        <v>0</v>
      </c>
      <c r="F52" s="39">
        <f t="shared" si="29"/>
        <v>0</v>
      </c>
      <c r="G52" s="39">
        <f t="shared" si="30"/>
        <v>0</v>
      </c>
      <c r="H52" s="39">
        <f t="shared" si="31"/>
        <v>0</v>
      </c>
      <c r="I52" s="39">
        <f t="shared" si="32"/>
        <v>0</v>
      </c>
      <c r="J52" s="39">
        <f t="shared" si="33"/>
        <v>0</v>
      </c>
      <c r="K52" s="39">
        <f t="shared" si="34"/>
        <v>0</v>
      </c>
      <c r="L52" s="39">
        <f t="shared" si="35"/>
        <v>0</v>
      </c>
      <c r="M52" s="39">
        <f t="shared" si="36"/>
        <v>0</v>
      </c>
      <c r="N52" s="39">
        <f t="shared" si="37"/>
        <v>0</v>
      </c>
      <c r="O52" s="39">
        <f t="shared" si="38"/>
        <v>0</v>
      </c>
      <c r="P52" s="39">
        <f t="shared" si="39"/>
        <v>0</v>
      </c>
      <c r="Q52" s="39">
        <f t="shared" si="40"/>
        <v>0</v>
      </c>
      <c r="AA52"/>
    </row>
    <row r="53" s="35" customFormat="1" spans="1:27">
      <c r="A53" s="36" t="str">
        <f t="shared" si="25"/>
        <v>C-14</v>
      </c>
      <c r="B53" s="39">
        <f t="shared" si="41"/>
        <v>0</v>
      </c>
      <c r="C53" s="39">
        <f t="shared" si="26"/>
        <v>0</v>
      </c>
      <c r="D53" s="39">
        <f t="shared" si="27"/>
        <v>0</v>
      </c>
      <c r="E53" s="39">
        <f t="shared" si="28"/>
        <v>0</v>
      </c>
      <c r="F53" s="39">
        <f t="shared" si="29"/>
        <v>0</v>
      </c>
      <c r="G53" s="39">
        <f t="shared" si="30"/>
        <v>0</v>
      </c>
      <c r="H53" s="39">
        <f t="shared" si="31"/>
        <v>0</v>
      </c>
      <c r="I53" s="39">
        <f t="shared" si="32"/>
        <v>0</v>
      </c>
      <c r="J53" s="39">
        <f t="shared" si="33"/>
        <v>0</v>
      </c>
      <c r="K53" s="39">
        <f t="shared" si="34"/>
        <v>0</v>
      </c>
      <c r="L53" s="39">
        <f t="shared" si="35"/>
        <v>0</v>
      </c>
      <c r="M53" s="39">
        <f t="shared" si="36"/>
        <v>0</v>
      </c>
      <c r="N53" s="39">
        <f t="shared" si="37"/>
        <v>0</v>
      </c>
      <c r="O53" s="39">
        <f t="shared" si="38"/>
        <v>0</v>
      </c>
      <c r="P53" s="39">
        <f t="shared" si="39"/>
        <v>0</v>
      </c>
      <c r="Q53" s="39">
        <f t="shared" si="40"/>
        <v>0</v>
      </c>
      <c r="AA53"/>
    </row>
    <row r="54" s="35" customFormat="1" spans="1:27">
      <c r="A54" s="36" t="str">
        <f t="shared" si="25"/>
        <v>Co-60</v>
      </c>
      <c r="B54" s="39">
        <f t="shared" si="41"/>
        <v>0</v>
      </c>
      <c r="C54" s="39">
        <f t="shared" si="26"/>
        <v>0</v>
      </c>
      <c r="D54" s="39">
        <f t="shared" si="27"/>
        <v>0</v>
      </c>
      <c r="E54" s="39">
        <f t="shared" si="28"/>
        <v>4.14054574305938e-8</v>
      </c>
      <c r="F54" s="39">
        <f t="shared" si="29"/>
        <v>1.52046269909066e-8</v>
      </c>
      <c r="G54" s="39">
        <f t="shared" si="30"/>
        <v>1.12269879656069e-8</v>
      </c>
      <c r="H54" s="39">
        <f t="shared" si="31"/>
        <v>7.81952245246623e-9</v>
      </c>
      <c r="I54" s="39">
        <f t="shared" si="32"/>
        <v>6.20403083468241e-9</v>
      </c>
      <c r="J54" s="39">
        <f t="shared" si="33"/>
        <v>4.24915022156585e-9</v>
      </c>
      <c r="K54" s="39">
        <f t="shared" si="34"/>
        <v>1.92772949348994e-9</v>
      </c>
      <c r="L54" s="39">
        <f t="shared" si="35"/>
        <v>5.57955508327018e-10</v>
      </c>
      <c r="M54" s="39">
        <f t="shared" si="36"/>
        <v>2.79656532154174e-10</v>
      </c>
      <c r="N54" s="39">
        <f t="shared" si="37"/>
        <v>2.40287408695577e-10</v>
      </c>
      <c r="O54" s="39">
        <f t="shared" si="38"/>
        <v>2.13136289068958e-10</v>
      </c>
      <c r="P54" s="39">
        <f t="shared" si="39"/>
        <v>1.92772949348994e-10</v>
      </c>
      <c r="Q54" s="39">
        <f t="shared" si="40"/>
        <v>1.76482277573023e-10</v>
      </c>
      <c r="AA54"/>
    </row>
    <row r="55" s="35" customFormat="1" spans="1:27">
      <c r="A55" s="36" t="str">
        <f t="shared" si="25"/>
        <v>Ar-41</v>
      </c>
      <c r="B55" s="39">
        <f t="shared" si="41"/>
        <v>0</v>
      </c>
      <c r="C55" s="39">
        <f t="shared" si="26"/>
        <v>0</v>
      </c>
      <c r="D55" s="39">
        <f t="shared" si="27"/>
        <v>0</v>
      </c>
      <c r="E55" s="39">
        <f t="shared" si="28"/>
        <v>0</v>
      </c>
      <c r="F55" s="39">
        <f t="shared" si="29"/>
        <v>0</v>
      </c>
      <c r="G55" s="39">
        <f t="shared" si="30"/>
        <v>0</v>
      </c>
      <c r="H55" s="39">
        <f t="shared" si="31"/>
        <v>0</v>
      </c>
      <c r="I55" s="39">
        <f t="shared" si="32"/>
        <v>0</v>
      </c>
      <c r="J55" s="39">
        <f t="shared" si="33"/>
        <v>0</v>
      </c>
      <c r="K55" s="39">
        <f t="shared" si="34"/>
        <v>0</v>
      </c>
      <c r="L55" s="39">
        <f t="shared" si="35"/>
        <v>0</v>
      </c>
      <c r="M55" s="39">
        <f t="shared" si="36"/>
        <v>0</v>
      </c>
      <c r="N55" s="39">
        <f t="shared" si="37"/>
        <v>0</v>
      </c>
      <c r="O55" s="39">
        <f t="shared" si="38"/>
        <v>0</v>
      </c>
      <c r="P55" s="39">
        <f t="shared" si="39"/>
        <v>0</v>
      </c>
      <c r="Q55" s="39">
        <f t="shared" si="40"/>
        <v>0</v>
      </c>
      <c r="AA55"/>
    </row>
    <row r="56" s="35" customFormat="1" spans="1:27">
      <c r="A56" s="36" t="s">
        <v>4555</v>
      </c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AA56"/>
    </row>
    <row r="57" s="35" customFormat="1" spans="1:27">
      <c r="A57" s="36" t="str">
        <f t="shared" ref="A57:A79" si="42">A33</f>
        <v>Kr-83m</v>
      </c>
      <c r="B57" s="39">
        <f t="shared" ref="B57:B79" si="43">($B5*$Q$5*$Q$3+$C5*$R$5*$R$3+$D5*$S$5*$S$3+$E5*$T$5*$T$3+$F5*$U$5*$U$3)*$J5</f>
        <v>0</v>
      </c>
      <c r="C57" s="39">
        <f t="shared" ref="C57:C79" si="44">($B5*$Q$6*$Q$3+$C5*$R$6*$R$3+$D5*$S$6*$S$3+$E5*$T$6*$T$3+$F5*$U$6*$U$3)*$J5</f>
        <v>0</v>
      </c>
      <c r="D57" s="39">
        <f t="shared" ref="D57:D79" si="45">($B5*$Q$7*$Q$3+$C5*$R$7*$R$3+$D5*$S$7*$S$3+$E5*$T$7*$T$3+$F5*$U$7*$U$3)*$J5</f>
        <v>0</v>
      </c>
      <c r="E57" s="39">
        <f t="shared" ref="E57:E79" si="46">($B5*$Q$8*$Q$3+$C5*$R$8*$R$3+$D5*$S$8*$S$3+$E5*$T$8*$T$3+$F5*$U$8*$U$3)*$J5</f>
        <v>0</v>
      </c>
      <c r="F57" s="39">
        <f t="shared" ref="F57:F79" si="47">($B5*$Q$9*$Q$3+$C5*$R$9*$R$3+$D5*$S$9*$S$3+$E5*$T$9*$T$3+$F5*$U$9*$U$3)*$J5</f>
        <v>0</v>
      </c>
      <c r="G57" s="39">
        <f t="shared" ref="G57:G79" si="48">($B5*$Q$10*$Q$3+$C5*$R$10*$R$3+$D5*$S$10*$S$3+$E5*$T$10*$T$3+$F5*$U$10*$U$3)*$J5</f>
        <v>0</v>
      </c>
      <c r="H57" s="39">
        <f t="shared" ref="H57:H79" si="49">($B5*$Q$11*$Q$3+$C5*$R$11*$R$3+$D5*$S$11*$S$3+$E5*$T$11*$T$3+$F5*$U$11*$U$3)*$J5</f>
        <v>0</v>
      </c>
      <c r="I57" s="39">
        <f t="shared" ref="I57:I79" si="50">($B5*$Q$12*$Q$3+$C5*$R$12*$R$3+$D5*$S$12*$S$3+$E5*$T$12*$T$3+$F5*$U$12*$U$3)*$J5</f>
        <v>0</v>
      </c>
      <c r="J57" s="39">
        <f t="shared" ref="J57:J79" si="51">($B5*$Q$13*$Q$3+$C5*$R$13*$R$3+$D5*$S$13*$S$3+$E5*$T$13*$T$3+$F5*$U$13*$U$3)*$J5</f>
        <v>0</v>
      </c>
      <c r="K57" s="39">
        <f t="shared" ref="K57:K79" si="52">($B5*$Q$14*$Q$3+$C5*$R$14*$R$3+$D5*$S$14*$S$3+$E5*$T$14*$T$3+$F5*$U$14*$U$3)*$J5</f>
        <v>0</v>
      </c>
      <c r="L57" s="39">
        <f t="shared" ref="L57:L79" si="53">($B5*$Q$15*$Q$3+$C5*$R$15*$R$3+$D5*$S$15*$S$3+$E5*$T$15*$T$3+$F5*$U$15*$U$3)*$J5</f>
        <v>0</v>
      </c>
      <c r="M57" s="39">
        <f t="shared" ref="M57:M79" si="54">($B5*$Q$16*$Q$3+$C5*$R$16*$R$3+$D5*$S$16*$S$3+$E5*$T$16*$T$3+$F5*$U$16*$U$3)*$J5</f>
        <v>0</v>
      </c>
      <c r="N57" s="39">
        <f t="shared" ref="N57:N79" si="55">($B5*$Q$17*$Q$3+$C5*$R$17*$R$3+$D5*$S$17*$S$3+$E5*$T$17*$T$3+$F5*$U$17*$U$3)*$J5</f>
        <v>0</v>
      </c>
      <c r="O57" s="39">
        <f t="shared" ref="O57:O79" si="56">($B5*$Q$18*$Q$3+$C5*$R$18*$R$3+$D5*$S$18*$S$3+$E5*$T$18*$T$3+$F5*$U$18*$U$3)*$J5</f>
        <v>0</v>
      </c>
      <c r="P57" s="39">
        <f t="shared" ref="P57:P79" si="57">($B5*$Q$19*$Q$3+$C5*$R$19*$R$3+$D5*$S$19*$S$3+$E5*$T$19*$T$3+$F5*$U$19*$U$3)*$J5</f>
        <v>0</v>
      </c>
      <c r="Q57" s="39">
        <f t="shared" ref="Q57:Q79" si="58">($B5*$Q$20*$Q$3+$C5*$R$20*$R$3+$D5*$S$20*$S$3+$E5*$T$20*$T$3+$F5*$U$20*$U$3)*$J5</f>
        <v>0</v>
      </c>
      <c r="V57" s="79" t="e">
        <f t="shared" ref="V57:V78" si="59">ROUND((B33+B57+B81)/$B$105*100,2)</f>
        <v>#DIV/0!</v>
      </c>
      <c r="AA57"/>
    </row>
    <row r="58" s="35" customFormat="1" spans="1:27">
      <c r="A58" s="36" t="str">
        <f t="shared" si="42"/>
        <v>Kr-85</v>
      </c>
      <c r="B58" s="39">
        <f t="shared" si="43"/>
        <v>0</v>
      </c>
      <c r="C58" s="39">
        <f t="shared" si="44"/>
        <v>0</v>
      </c>
      <c r="D58" s="39">
        <f t="shared" si="45"/>
        <v>0</v>
      </c>
      <c r="E58" s="39">
        <f t="shared" si="46"/>
        <v>0</v>
      </c>
      <c r="F58" s="39">
        <f t="shared" si="47"/>
        <v>0</v>
      </c>
      <c r="G58" s="39">
        <f t="shared" si="48"/>
        <v>0</v>
      </c>
      <c r="H58" s="39">
        <f t="shared" si="49"/>
        <v>0</v>
      </c>
      <c r="I58" s="39">
        <f t="shared" si="50"/>
        <v>0</v>
      </c>
      <c r="J58" s="39">
        <f t="shared" si="51"/>
        <v>0</v>
      </c>
      <c r="K58" s="39">
        <f t="shared" si="52"/>
        <v>0</v>
      </c>
      <c r="L58" s="39">
        <f t="shared" si="53"/>
        <v>0</v>
      </c>
      <c r="M58" s="39">
        <f t="shared" si="54"/>
        <v>0</v>
      </c>
      <c r="N58" s="39">
        <f t="shared" si="55"/>
        <v>0</v>
      </c>
      <c r="O58" s="39">
        <f t="shared" si="56"/>
        <v>0</v>
      </c>
      <c r="P58" s="39">
        <f t="shared" si="57"/>
        <v>0</v>
      </c>
      <c r="Q58" s="39">
        <f t="shared" si="58"/>
        <v>0</v>
      </c>
      <c r="V58" s="79" t="e">
        <f t="shared" si="59"/>
        <v>#DIV/0!</v>
      </c>
      <c r="AA58"/>
    </row>
    <row r="59" s="35" customFormat="1" spans="1:27">
      <c r="A59" s="36" t="str">
        <f t="shared" si="42"/>
        <v>Kr-85m</v>
      </c>
      <c r="B59" s="39">
        <f t="shared" si="43"/>
        <v>0</v>
      </c>
      <c r="C59" s="39">
        <f t="shared" si="44"/>
        <v>0</v>
      </c>
      <c r="D59" s="39">
        <f t="shared" si="45"/>
        <v>0</v>
      </c>
      <c r="E59" s="39">
        <f t="shared" si="46"/>
        <v>0</v>
      </c>
      <c r="F59" s="39">
        <f t="shared" si="47"/>
        <v>0</v>
      </c>
      <c r="G59" s="39">
        <f t="shared" si="48"/>
        <v>0</v>
      </c>
      <c r="H59" s="39">
        <f t="shared" si="49"/>
        <v>0</v>
      </c>
      <c r="I59" s="39">
        <f t="shared" si="50"/>
        <v>0</v>
      </c>
      <c r="J59" s="39">
        <f t="shared" si="51"/>
        <v>0</v>
      </c>
      <c r="K59" s="39">
        <f t="shared" si="52"/>
        <v>0</v>
      </c>
      <c r="L59" s="39">
        <f t="shared" si="53"/>
        <v>0</v>
      </c>
      <c r="M59" s="39">
        <f t="shared" si="54"/>
        <v>0</v>
      </c>
      <c r="N59" s="39">
        <f t="shared" si="55"/>
        <v>0</v>
      </c>
      <c r="O59" s="39">
        <f t="shared" si="56"/>
        <v>0</v>
      </c>
      <c r="P59" s="39">
        <f t="shared" si="57"/>
        <v>0</v>
      </c>
      <c r="Q59" s="39">
        <f t="shared" si="58"/>
        <v>0</v>
      </c>
      <c r="V59" s="79" t="e">
        <f t="shared" si="59"/>
        <v>#DIV/0!</v>
      </c>
      <c r="AA59"/>
    </row>
    <row r="60" s="35" customFormat="1" spans="1:27">
      <c r="A60" s="36" t="str">
        <f t="shared" si="42"/>
        <v>Kr-87</v>
      </c>
      <c r="B60" s="39">
        <f t="shared" si="43"/>
        <v>0</v>
      </c>
      <c r="C60" s="39">
        <f t="shared" si="44"/>
        <v>0</v>
      </c>
      <c r="D60" s="39">
        <f t="shared" si="45"/>
        <v>0</v>
      </c>
      <c r="E60" s="39">
        <f t="shared" si="46"/>
        <v>0</v>
      </c>
      <c r="F60" s="39">
        <f t="shared" si="47"/>
        <v>0</v>
      </c>
      <c r="G60" s="39">
        <f t="shared" si="48"/>
        <v>0</v>
      </c>
      <c r="H60" s="39">
        <f t="shared" si="49"/>
        <v>0</v>
      </c>
      <c r="I60" s="39">
        <f t="shared" si="50"/>
        <v>0</v>
      </c>
      <c r="J60" s="39">
        <f t="shared" si="51"/>
        <v>0</v>
      </c>
      <c r="K60" s="39">
        <f t="shared" si="52"/>
        <v>0</v>
      </c>
      <c r="L60" s="39">
        <f t="shared" si="53"/>
        <v>0</v>
      </c>
      <c r="M60" s="39">
        <f t="shared" si="54"/>
        <v>0</v>
      </c>
      <c r="N60" s="39">
        <f t="shared" si="55"/>
        <v>0</v>
      </c>
      <c r="O60" s="39">
        <f t="shared" si="56"/>
        <v>0</v>
      </c>
      <c r="P60" s="39">
        <f t="shared" si="57"/>
        <v>0</v>
      </c>
      <c r="Q60" s="39">
        <f t="shared" si="58"/>
        <v>0</v>
      </c>
      <c r="V60" s="79" t="e">
        <f t="shared" si="59"/>
        <v>#DIV/0!</v>
      </c>
      <c r="AA60"/>
    </row>
    <row r="61" s="35" customFormat="1" spans="1:27">
      <c r="A61" s="36" t="str">
        <f t="shared" si="42"/>
        <v>Kr-88</v>
      </c>
      <c r="B61" s="39">
        <f t="shared" si="43"/>
        <v>0</v>
      </c>
      <c r="C61" s="39">
        <f t="shared" si="44"/>
        <v>0</v>
      </c>
      <c r="D61" s="39">
        <f t="shared" si="45"/>
        <v>0</v>
      </c>
      <c r="E61" s="39">
        <f t="shared" si="46"/>
        <v>0</v>
      </c>
      <c r="F61" s="39">
        <f t="shared" si="47"/>
        <v>0</v>
      </c>
      <c r="G61" s="39">
        <f t="shared" si="48"/>
        <v>0</v>
      </c>
      <c r="H61" s="39">
        <f t="shared" si="49"/>
        <v>0</v>
      </c>
      <c r="I61" s="39">
        <f t="shared" si="50"/>
        <v>0</v>
      </c>
      <c r="J61" s="39">
        <f t="shared" si="51"/>
        <v>0</v>
      </c>
      <c r="K61" s="39">
        <f t="shared" si="52"/>
        <v>0</v>
      </c>
      <c r="L61" s="39">
        <f t="shared" si="53"/>
        <v>0</v>
      </c>
      <c r="M61" s="39">
        <f t="shared" si="54"/>
        <v>0</v>
      </c>
      <c r="N61" s="39">
        <f t="shared" si="55"/>
        <v>0</v>
      </c>
      <c r="O61" s="39">
        <f t="shared" si="56"/>
        <v>0</v>
      </c>
      <c r="P61" s="39">
        <f t="shared" si="57"/>
        <v>0</v>
      </c>
      <c r="Q61" s="39">
        <f t="shared" si="58"/>
        <v>0</v>
      </c>
      <c r="V61" s="79" t="e">
        <f t="shared" si="59"/>
        <v>#DIV/0!</v>
      </c>
      <c r="AA61"/>
    </row>
    <row r="62" s="35" customFormat="1" spans="1:27">
      <c r="A62" s="36" t="str">
        <f t="shared" si="42"/>
        <v>Xe-131m</v>
      </c>
      <c r="B62" s="39">
        <f t="shared" si="43"/>
        <v>0</v>
      </c>
      <c r="C62" s="39">
        <f t="shared" si="44"/>
        <v>0</v>
      </c>
      <c r="D62" s="39">
        <f t="shared" si="45"/>
        <v>0</v>
      </c>
      <c r="E62" s="39">
        <f t="shared" si="46"/>
        <v>0</v>
      </c>
      <c r="F62" s="39">
        <f t="shared" si="47"/>
        <v>0</v>
      </c>
      <c r="G62" s="39">
        <f t="shared" si="48"/>
        <v>0</v>
      </c>
      <c r="H62" s="39">
        <f t="shared" si="49"/>
        <v>0</v>
      </c>
      <c r="I62" s="39">
        <f t="shared" si="50"/>
        <v>0</v>
      </c>
      <c r="J62" s="39">
        <f t="shared" si="51"/>
        <v>0</v>
      </c>
      <c r="K62" s="39">
        <f t="shared" si="52"/>
        <v>0</v>
      </c>
      <c r="L62" s="39">
        <f t="shared" si="53"/>
        <v>0</v>
      </c>
      <c r="M62" s="39">
        <f t="shared" si="54"/>
        <v>0</v>
      </c>
      <c r="N62" s="39">
        <f t="shared" si="55"/>
        <v>0</v>
      </c>
      <c r="O62" s="39">
        <f t="shared" si="56"/>
        <v>0</v>
      </c>
      <c r="P62" s="39">
        <f t="shared" si="57"/>
        <v>0</v>
      </c>
      <c r="Q62" s="39">
        <f t="shared" si="58"/>
        <v>0</v>
      </c>
      <c r="V62" s="79" t="e">
        <f t="shared" si="59"/>
        <v>#DIV/0!</v>
      </c>
      <c r="AA62"/>
    </row>
    <row r="63" s="35" customFormat="1" spans="1:27">
      <c r="A63" s="36" t="str">
        <f t="shared" si="42"/>
        <v>Xe-133</v>
      </c>
      <c r="B63" s="39">
        <f t="shared" si="43"/>
        <v>0</v>
      </c>
      <c r="C63" s="39">
        <f t="shared" si="44"/>
        <v>0</v>
      </c>
      <c r="D63" s="39">
        <f t="shared" si="45"/>
        <v>0</v>
      </c>
      <c r="E63" s="39">
        <f t="shared" si="46"/>
        <v>0</v>
      </c>
      <c r="F63" s="39">
        <f t="shared" si="47"/>
        <v>0</v>
      </c>
      <c r="G63" s="39">
        <f t="shared" si="48"/>
        <v>0</v>
      </c>
      <c r="H63" s="39">
        <f t="shared" si="49"/>
        <v>0</v>
      </c>
      <c r="I63" s="39">
        <f t="shared" si="50"/>
        <v>0</v>
      </c>
      <c r="J63" s="39">
        <f t="shared" si="51"/>
        <v>0</v>
      </c>
      <c r="K63" s="39">
        <f t="shared" si="52"/>
        <v>0</v>
      </c>
      <c r="L63" s="39">
        <f t="shared" si="53"/>
        <v>0</v>
      </c>
      <c r="M63" s="39">
        <f t="shared" si="54"/>
        <v>0</v>
      </c>
      <c r="N63" s="39">
        <f t="shared" si="55"/>
        <v>0</v>
      </c>
      <c r="O63" s="39">
        <f t="shared" si="56"/>
        <v>0</v>
      </c>
      <c r="P63" s="39">
        <f t="shared" si="57"/>
        <v>0</v>
      </c>
      <c r="Q63" s="39">
        <f t="shared" si="58"/>
        <v>0</v>
      </c>
      <c r="V63" s="79" t="e">
        <f t="shared" si="59"/>
        <v>#DIV/0!</v>
      </c>
      <c r="AA63"/>
    </row>
    <row r="64" s="35" customFormat="1" spans="1:27">
      <c r="A64" s="36" t="str">
        <f t="shared" si="42"/>
        <v>Xe-133m</v>
      </c>
      <c r="B64" s="39">
        <f t="shared" si="43"/>
        <v>0</v>
      </c>
      <c r="C64" s="39">
        <f t="shared" si="44"/>
        <v>0</v>
      </c>
      <c r="D64" s="39">
        <f t="shared" si="45"/>
        <v>0</v>
      </c>
      <c r="E64" s="39">
        <f t="shared" si="46"/>
        <v>0</v>
      </c>
      <c r="F64" s="39">
        <f t="shared" si="47"/>
        <v>0</v>
      </c>
      <c r="G64" s="39">
        <f t="shared" si="48"/>
        <v>0</v>
      </c>
      <c r="H64" s="39">
        <f t="shared" si="49"/>
        <v>0</v>
      </c>
      <c r="I64" s="39">
        <f t="shared" si="50"/>
        <v>0</v>
      </c>
      <c r="J64" s="39">
        <f t="shared" si="51"/>
        <v>0</v>
      </c>
      <c r="K64" s="39">
        <f t="shared" si="52"/>
        <v>0</v>
      </c>
      <c r="L64" s="39">
        <f t="shared" si="53"/>
        <v>0</v>
      </c>
      <c r="M64" s="39">
        <f t="shared" si="54"/>
        <v>0</v>
      </c>
      <c r="N64" s="39">
        <f t="shared" si="55"/>
        <v>0</v>
      </c>
      <c r="O64" s="39">
        <f t="shared" si="56"/>
        <v>0</v>
      </c>
      <c r="P64" s="39">
        <f t="shared" si="57"/>
        <v>0</v>
      </c>
      <c r="Q64" s="39">
        <f t="shared" si="58"/>
        <v>0</v>
      </c>
      <c r="V64" s="79" t="e">
        <f t="shared" si="59"/>
        <v>#DIV/0!</v>
      </c>
      <c r="AA64"/>
    </row>
    <row r="65" s="35" customFormat="1" spans="1:27">
      <c r="A65" s="36" t="str">
        <f t="shared" si="42"/>
        <v>Xe-135</v>
      </c>
      <c r="B65" s="39">
        <f t="shared" si="43"/>
        <v>0</v>
      </c>
      <c r="C65" s="39">
        <f t="shared" si="44"/>
        <v>0</v>
      </c>
      <c r="D65" s="39">
        <f t="shared" si="45"/>
        <v>0</v>
      </c>
      <c r="E65" s="39">
        <f t="shared" si="46"/>
        <v>0</v>
      </c>
      <c r="F65" s="39">
        <f t="shared" si="47"/>
        <v>0</v>
      </c>
      <c r="G65" s="39">
        <f t="shared" si="48"/>
        <v>0</v>
      </c>
      <c r="H65" s="39">
        <f t="shared" si="49"/>
        <v>0</v>
      </c>
      <c r="I65" s="39">
        <f t="shared" si="50"/>
        <v>0</v>
      </c>
      <c r="J65" s="39">
        <f t="shared" si="51"/>
        <v>0</v>
      </c>
      <c r="K65" s="39">
        <f t="shared" si="52"/>
        <v>0</v>
      </c>
      <c r="L65" s="39">
        <f t="shared" si="53"/>
        <v>0</v>
      </c>
      <c r="M65" s="39">
        <f t="shared" si="54"/>
        <v>0</v>
      </c>
      <c r="N65" s="39">
        <f t="shared" si="55"/>
        <v>0</v>
      </c>
      <c r="O65" s="39">
        <f t="shared" si="56"/>
        <v>0</v>
      </c>
      <c r="P65" s="39">
        <f t="shared" si="57"/>
        <v>0</v>
      </c>
      <c r="Q65" s="39">
        <f t="shared" si="58"/>
        <v>0</v>
      </c>
      <c r="V65" s="79" t="e">
        <f t="shared" si="59"/>
        <v>#DIV/0!</v>
      </c>
      <c r="AA65"/>
    </row>
    <row r="66" s="35" customFormat="1" spans="1:27">
      <c r="A66" s="36" t="str">
        <f t="shared" si="42"/>
        <v>I-131</v>
      </c>
      <c r="B66" s="39">
        <f t="shared" si="43"/>
        <v>0</v>
      </c>
      <c r="C66" s="39">
        <f t="shared" si="44"/>
        <v>0</v>
      </c>
      <c r="D66" s="39">
        <f t="shared" si="45"/>
        <v>0</v>
      </c>
      <c r="E66" s="39">
        <f t="shared" si="46"/>
        <v>0.000638463622970615</v>
      </c>
      <c r="F66" s="39">
        <f t="shared" si="47"/>
        <v>0.000234452215648226</v>
      </c>
      <c r="G66" s="39">
        <f t="shared" si="48"/>
        <v>0.000173117841375967</v>
      </c>
      <c r="H66" s="39">
        <f t="shared" si="49"/>
        <v>0.000120575425190516</v>
      </c>
      <c r="I66" s="39">
        <f t="shared" si="50"/>
        <v>9.56648772778922e-5</v>
      </c>
      <c r="J66" s="39">
        <f t="shared" si="51"/>
        <v>6.55210209802631e-5</v>
      </c>
      <c r="K66" s="39">
        <f t="shared" si="52"/>
        <v>2.97251916268286e-5</v>
      </c>
      <c r="L66" s="39">
        <f t="shared" si="53"/>
        <v>8.60355898494829e-6</v>
      </c>
      <c r="M66" s="39">
        <f t="shared" si="54"/>
        <v>4.31224610924415e-6</v>
      </c>
      <c r="N66" s="39">
        <f t="shared" si="55"/>
        <v>3.70518233658357e-6</v>
      </c>
      <c r="O66" s="39">
        <f t="shared" si="56"/>
        <v>3.28651766578317e-6</v>
      </c>
      <c r="P66" s="39">
        <f t="shared" si="57"/>
        <v>2.97251916268286e-6</v>
      </c>
      <c r="Q66" s="39">
        <f t="shared" si="58"/>
        <v>2.72132036020262e-6</v>
      </c>
      <c r="R66" s="49">
        <f>MAX(B66:Q66)</f>
        <v>0.000638463622970615</v>
      </c>
      <c r="S66" s="49">
        <f>R66*30</f>
        <v>0.0191539086891185</v>
      </c>
      <c r="V66" s="79" t="e">
        <f t="shared" si="59"/>
        <v>#DIV/0!</v>
      </c>
      <c r="AA66"/>
    </row>
    <row r="67" s="35" customFormat="1" spans="1:27">
      <c r="A67" s="36" t="str">
        <f t="shared" si="42"/>
        <v>I-132</v>
      </c>
      <c r="B67" s="39">
        <f t="shared" si="43"/>
        <v>0</v>
      </c>
      <c r="C67" s="39">
        <f t="shared" si="44"/>
        <v>0</v>
      </c>
      <c r="D67" s="39">
        <f t="shared" si="45"/>
        <v>0</v>
      </c>
      <c r="E67" s="39">
        <f t="shared" si="46"/>
        <v>8.91991577104327e-7</v>
      </c>
      <c r="F67" s="39">
        <f t="shared" si="47"/>
        <v>3.275510053629e-7</v>
      </c>
      <c r="G67" s="39">
        <f t="shared" si="48"/>
        <v>2.41861322709927e-7</v>
      </c>
      <c r="H67" s="39">
        <f t="shared" si="49"/>
        <v>1.68454802758063e-7</v>
      </c>
      <c r="I67" s="39">
        <f t="shared" si="50"/>
        <v>1.33652508438255e-7</v>
      </c>
      <c r="J67" s="39">
        <f t="shared" si="51"/>
        <v>9.15388077487391e-8</v>
      </c>
      <c r="K67" s="39">
        <f t="shared" si="52"/>
        <v>4.15287881799391e-8</v>
      </c>
      <c r="L67" s="39">
        <f t="shared" si="53"/>
        <v>1.20199520717993e-8</v>
      </c>
      <c r="M67" s="39">
        <f t="shared" si="54"/>
        <v>6.02459884863906e-9</v>
      </c>
      <c r="N67" s="39">
        <f t="shared" si="55"/>
        <v>5.17647570975298e-9</v>
      </c>
      <c r="O67" s="39">
        <f t="shared" si="56"/>
        <v>4.59156320017637e-9</v>
      </c>
      <c r="P67" s="39">
        <f t="shared" si="57"/>
        <v>4.15287881799391e-9</v>
      </c>
      <c r="Q67" s="39">
        <f t="shared" si="58"/>
        <v>3.80193131224795e-9</v>
      </c>
      <c r="V67" s="79" t="e">
        <f t="shared" si="59"/>
        <v>#DIV/0!</v>
      </c>
      <c r="AA67"/>
    </row>
    <row r="68" s="35" customFormat="1" spans="1:27">
      <c r="A68" s="36" t="str">
        <f t="shared" si="42"/>
        <v>I-133</v>
      </c>
      <c r="B68" s="39">
        <f t="shared" si="43"/>
        <v>0</v>
      </c>
      <c r="C68" s="39">
        <f t="shared" si="44"/>
        <v>0</v>
      </c>
      <c r="D68" s="39">
        <f t="shared" si="45"/>
        <v>0</v>
      </c>
      <c r="E68" s="39">
        <f t="shared" si="46"/>
        <v>6.94032349634085e-5</v>
      </c>
      <c r="F68" s="39">
        <f t="shared" si="47"/>
        <v>2.54857780849238e-5</v>
      </c>
      <c r="G68" s="39">
        <f t="shared" si="48"/>
        <v>1.88185164966357e-5</v>
      </c>
      <c r="H68" s="39">
        <f t="shared" si="49"/>
        <v>1.31069715865322e-5</v>
      </c>
      <c r="I68" s="39">
        <f t="shared" si="50"/>
        <v>1.03991076650091e-5</v>
      </c>
      <c r="J68" s="39">
        <f t="shared" si="51"/>
        <v>7.12236476837602e-6</v>
      </c>
      <c r="K68" s="39">
        <f t="shared" si="52"/>
        <v>3.23123257862427e-6</v>
      </c>
      <c r="L68" s="39">
        <f t="shared" si="53"/>
        <v>9.35237035080685e-7</v>
      </c>
      <c r="M68" s="39">
        <f t="shared" si="54"/>
        <v>4.68756275490563e-7</v>
      </c>
      <c r="N68" s="39">
        <f t="shared" si="55"/>
        <v>4.02766314377813e-7</v>
      </c>
      <c r="O68" s="39">
        <f t="shared" si="56"/>
        <v>3.57255996369021e-7</v>
      </c>
      <c r="P68" s="39">
        <f t="shared" si="57"/>
        <v>3.23123257862427e-7</v>
      </c>
      <c r="Q68" s="39">
        <f t="shared" si="58"/>
        <v>2.95817067057151e-7</v>
      </c>
      <c r="V68" s="79" t="e">
        <f t="shared" si="59"/>
        <v>#DIV/0!</v>
      </c>
      <c r="AA68"/>
    </row>
    <row r="69" s="35" customFormat="1" spans="1:27">
      <c r="A69" s="36" t="str">
        <f t="shared" si="42"/>
        <v>I-134</v>
      </c>
      <c r="B69" s="39">
        <f t="shared" si="43"/>
        <v>0</v>
      </c>
      <c r="C69" s="39">
        <f t="shared" si="44"/>
        <v>0</v>
      </c>
      <c r="D69" s="39">
        <f t="shared" si="45"/>
        <v>0</v>
      </c>
      <c r="E69" s="39">
        <f t="shared" si="46"/>
        <v>1.41016003454721e-7</v>
      </c>
      <c r="F69" s="39">
        <f t="shared" si="47"/>
        <v>5.17829258587829e-8</v>
      </c>
      <c r="G69" s="39">
        <f t="shared" si="48"/>
        <v>3.82361425760834e-8</v>
      </c>
      <c r="H69" s="39">
        <f t="shared" si="49"/>
        <v>2.66312190130883e-8</v>
      </c>
      <c r="I69" s="39">
        <f t="shared" si="50"/>
        <v>2.11292831405927e-8</v>
      </c>
      <c r="J69" s="39">
        <f t="shared" si="51"/>
        <v>1.44714783873206e-8</v>
      </c>
      <c r="K69" s="39">
        <f t="shared" si="52"/>
        <v>6.56533524280997e-9</v>
      </c>
      <c r="L69" s="39">
        <f t="shared" si="53"/>
        <v>1.90024843999641e-9</v>
      </c>
      <c r="M69" s="39">
        <f t="shared" si="54"/>
        <v>9.52435957759756e-10</v>
      </c>
      <c r="N69" s="39">
        <f t="shared" si="55"/>
        <v>8.18355167589694e-10</v>
      </c>
      <c r="O69" s="39">
        <f t="shared" si="56"/>
        <v>7.25885657127581e-10</v>
      </c>
      <c r="P69" s="39">
        <f t="shared" si="57"/>
        <v>6.56533524280997e-10</v>
      </c>
      <c r="Q69" s="39">
        <f t="shared" si="58"/>
        <v>6.0105181800373e-10</v>
      </c>
      <c r="V69" s="79" t="e">
        <f t="shared" si="59"/>
        <v>#DIV/0!</v>
      </c>
      <c r="AA69"/>
    </row>
    <row r="70" s="35" customFormat="1" spans="1:27">
      <c r="A70" s="36" t="str">
        <f t="shared" si="42"/>
        <v>I-135</v>
      </c>
      <c r="B70" s="39">
        <f t="shared" si="43"/>
        <v>0</v>
      </c>
      <c r="C70" s="39">
        <f t="shared" si="44"/>
        <v>0</v>
      </c>
      <c r="D70" s="39">
        <f t="shared" si="45"/>
        <v>0</v>
      </c>
      <c r="E70" s="39">
        <f t="shared" si="46"/>
        <v>6.51061549249288e-6</v>
      </c>
      <c r="F70" s="39">
        <f t="shared" si="47"/>
        <v>2.3907833939646e-6</v>
      </c>
      <c r="G70" s="39">
        <f t="shared" si="48"/>
        <v>1.76533738107922e-6</v>
      </c>
      <c r="H70" s="39">
        <f t="shared" si="49"/>
        <v>1.22954574546751e-6</v>
      </c>
      <c r="I70" s="39">
        <f t="shared" si="50"/>
        <v>9.7552500985877e-7</v>
      </c>
      <c r="J70" s="39">
        <f t="shared" si="51"/>
        <v>6.68138573491893e-7</v>
      </c>
      <c r="K70" s="39">
        <f t="shared" si="52"/>
        <v>3.03117180306226e-7</v>
      </c>
      <c r="L70" s="39">
        <f t="shared" si="53"/>
        <v>8.77332120463795e-8</v>
      </c>
      <c r="M70" s="39">
        <f t="shared" si="54"/>
        <v>4.3973337424706e-8</v>
      </c>
      <c r="N70" s="39">
        <f t="shared" si="55"/>
        <v>3.7782916136762e-8</v>
      </c>
      <c r="O70" s="39">
        <f t="shared" si="56"/>
        <v>3.35136600761109e-8</v>
      </c>
      <c r="P70" s="39">
        <f t="shared" si="57"/>
        <v>3.03117180306226e-8</v>
      </c>
      <c r="Q70" s="39">
        <f t="shared" si="58"/>
        <v>2.7750164394232e-8</v>
      </c>
      <c r="V70" s="79" t="e">
        <f t="shared" si="59"/>
        <v>#DIV/0!</v>
      </c>
      <c r="AA70"/>
    </row>
    <row r="71" s="35" customFormat="1" spans="1:27">
      <c r="A71" s="36" t="str">
        <f t="shared" si="42"/>
        <v>Sr-89</v>
      </c>
      <c r="B71" s="39">
        <f t="shared" si="43"/>
        <v>0</v>
      </c>
      <c r="C71" s="39">
        <f t="shared" si="44"/>
        <v>0</v>
      </c>
      <c r="D71" s="39">
        <f t="shared" si="45"/>
        <v>0</v>
      </c>
      <c r="E71" s="39">
        <f t="shared" si="46"/>
        <v>1.11613148214278e-10</v>
      </c>
      <c r="F71" s="39">
        <f t="shared" si="47"/>
        <v>4.0985811803276e-11</v>
      </c>
      <c r="G71" s="39">
        <f t="shared" si="48"/>
        <v>3.02636306797404e-11</v>
      </c>
      <c r="H71" s="39">
        <f t="shared" si="49"/>
        <v>2.10784174988277e-11</v>
      </c>
      <c r="I71" s="39">
        <f t="shared" si="50"/>
        <v>1.67236749947296e-11</v>
      </c>
      <c r="J71" s="39">
        <f t="shared" si="51"/>
        <v>1.14540706200227e-11</v>
      </c>
      <c r="K71" s="39">
        <f t="shared" si="52"/>
        <v>5.19641542505821e-12</v>
      </c>
      <c r="L71" s="39">
        <f t="shared" si="53"/>
        <v>1.50403291528093e-12</v>
      </c>
      <c r="M71" s="39">
        <f t="shared" si="54"/>
        <v>7.53846181381684e-13</v>
      </c>
      <c r="N71" s="39">
        <f t="shared" si="55"/>
        <v>6.47722204391059e-13</v>
      </c>
      <c r="O71" s="39">
        <f t="shared" si="56"/>
        <v>5.74533254742351e-13</v>
      </c>
      <c r="P71" s="39">
        <f t="shared" si="57"/>
        <v>5.19641542505821e-13</v>
      </c>
      <c r="Q71" s="39">
        <f t="shared" si="58"/>
        <v>4.75728172716597e-13</v>
      </c>
      <c r="V71" s="79" t="e">
        <f t="shared" si="59"/>
        <v>#DIV/0!</v>
      </c>
      <c r="AA71"/>
    </row>
    <row r="72" s="35" customFormat="1" spans="1:27">
      <c r="A72" s="36" t="str">
        <f t="shared" si="42"/>
        <v>Sr-90</v>
      </c>
      <c r="B72" s="39">
        <f t="shared" si="43"/>
        <v>0</v>
      </c>
      <c r="C72" s="39">
        <f t="shared" si="44"/>
        <v>0</v>
      </c>
      <c r="D72" s="39">
        <f t="shared" si="45"/>
        <v>0</v>
      </c>
      <c r="E72" s="39">
        <f t="shared" si="46"/>
        <v>3.52702e-10</v>
      </c>
      <c r="F72" s="39">
        <f t="shared" si="47"/>
        <v>1.295168e-10</v>
      </c>
      <c r="G72" s="39">
        <f t="shared" si="48"/>
        <v>9.563428e-11</v>
      </c>
      <c r="H72" s="39">
        <f t="shared" si="49"/>
        <v>6.660864e-11</v>
      </c>
      <c r="I72" s="39">
        <f t="shared" si="50"/>
        <v>5.284748e-11</v>
      </c>
      <c r="J72" s="39">
        <f t="shared" si="51"/>
        <v>3.619532e-11</v>
      </c>
      <c r="K72" s="39">
        <f t="shared" si="52"/>
        <v>1.642088e-11</v>
      </c>
      <c r="L72" s="39">
        <f t="shared" si="53"/>
        <v>4.752804e-12</v>
      </c>
      <c r="M72" s="39">
        <f t="shared" si="54"/>
        <v>2.382184e-12</v>
      </c>
      <c r="N72" s="39">
        <f t="shared" si="55"/>
        <v>2.046828e-12</v>
      </c>
      <c r="O72" s="39">
        <f t="shared" si="56"/>
        <v>1.815548e-12</v>
      </c>
      <c r="P72" s="39">
        <f t="shared" si="57"/>
        <v>1.642088e-12</v>
      </c>
      <c r="Q72" s="39">
        <f t="shared" si="58"/>
        <v>1.50332e-12</v>
      </c>
      <c r="V72" s="79" t="e">
        <f t="shared" si="59"/>
        <v>#DIV/0!</v>
      </c>
      <c r="AA72"/>
    </row>
    <row r="73" s="35" customFormat="1" spans="1:27">
      <c r="A73" s="36" t="str">
        <f t="shared" si="42"/>
        <v>Cs-134</v>
      </c>
      <c r="B73" s="39">
        <f t="shared" si="43"/>
        <v>0</v>
      </c>
      <c r="C73" s="39">
        <f t="shared" si="44"/>
        <v>0</v>
      </c>
      <c r="D73" s="39">
        <f t="shared" si="45"/>
        <v>0</v>
      </c>
      <c r="E73" s="39">
        <f t="shared" si="46"/>
        <v>1.318149e-6</v>
      </c>
      <c r="F73" s="39">
        <f t="shared" si="47"/>
        <v>4.840416e-7</v>
      </c>
      <c r="G73" s="39">
        <f t="shared" si="48"/>
        <v>3.5741286e-7</v>
      </c>
      <c r="H73" s="39">
        <f t="shared" si="49"/>
        <v>2.4893568e-7</v>
      </c>
      <c r="I73" s="39">
        <f t="shared" si="50"/>
        <v>1.9750626e-7</v>
      </c>
      <c r="J73" s="39">
        <f t="shared" si="51"/>
        <v>1.3527234e-7</v>
      </c>
      <c r="K73" s="39">
        <f t="shared" si="52"/>
        <v>6.136956e-8</v>
      </c>
      <c r="L73" s="39">
        <f t="shared" si="53"/>
        <v>1.7762598e-8</v>
      </c>
      <c r="M73" s="39">
        <f t="shared" si="54"/>
        <v>8.902908e-9</v>
      </c>
      <c r="N73" s="39">
        <f t="shared" si="55"/>
        <v>7.649586e-9</v>
      </c>
      <c r="O73" s="39">
        <f t="shared" si="56"/>
        <v>6.785226e-9</v>
      </c>
      <c r="P73" s="39">
        <f t="shared" si="57"/>
        <v>6.136956e-9</v>
      </c>
      <c r="Q73" s="39">
        <f t="shared" si="58"/>
        <v>5.61834e-9</v>
      </c>
      <c r="V73" s="79" t="e">
        <f t="shared" si="59"/>
        <v>#DIV/0!</v>
      </c>
      <c r="AA73"/>
    </row>
    <row r="74" s="35" customFormat="1" spans="1:27">
      <c r="A74" s="36" t="str">
        <f t="shared" si="42"/>
        <v>Cs-137</v>
      </c>
      <c r="B74" s="39">
        <f t="shared" si="43"/>
        <v>0</v>
      </c>
      <c r="C74" s="39">
        <f t="shared" si="44"/>
        <v>0</v>
      </c>
      <c r="D74" s="39">
        <f t="shared" si="45"/>
        <v>0</v>
      </c>
      <c r="E74" s="39">
        <f t="shared" si="46"/>
        <v>8.26672e-6</v>
      </c>
      <c r="F74" s="39">
        <f t="shared" si="47"/>
        <v>3.035648e-6</v>
      </c>
      <c r="G74" s="39">
        <f t="shared" si="48"/>
        <v>2.2415008e-6</v>
      </c>
      <c r="H74" s="39">
        <f t="shared" si="49"/>
        <v>1.5611904e-6</v>
      </c>
      <c r="I74" s="39">
        <f t="shared" si="50"/>
        <v>1.2386528e-6</v>
      </c>
      <c r="J74" s="39">
        <f t="shared" si="51"/>
        <v>8.483552e-7</v>
      </c>
      <c r="K74" s="39">
        <f t="shared" si="52"/>
        <v>3.848768e-7</v>
      </c>
      <c r="L74" s="39">
        <f t="shared" si="53"/>
        <v>1.1139744e-7</v>
      </c>
      <c r="M74" s="39">
        <f t="shared" si="54"/>
        <v>5.583424e-8</v>
      </c>
      <c r="N74" s="39">
        <f t="shared" si="55"/>
        <v>4.797408e-8</v>
      </c>
      <c r="O74" s="39">
        <f t="shared" si="56"/>
        <v>4.255328e-8</v>
      </c>
      <c r="P74" s="39">
        <f t="shared" si="57"/>
        <v>3.848768e-8</v>
      </c>
      <c r="Q74" s="39">
        <f t="shared" si="58"/>
        <v>3.52352e-8</v>
      </c>
      <c r="V74" s="79" t="e">
        <f t="shared" si="59"/>
        <v>#DIV/0!</v>
      </c>
      <c r="AA74"/>
    </row>
    <row r="75" s="35" customFormat="1" spans="1:27">
      <c r="A75" s="36" t="str">
        <f t="shared" si="42"/>
        <v>Ag-110m</v>
      </c>
      <c r="B75" s="39">
        <f t="shared" si="43"/>
        <v>0</v>
      </c>
      <c r="C75" s="39">
        <f t="shared" si="44"/>
        <v>0</v>
      </c>
      <c r="D75" s="39">
        <f t="shared" si="45"/>
        <v>0</v>
      </c>
      <c r="E75" s="39">
        <f t="shared" si="46"/>
        <v>1.38230575e-7</v>
      </c>
      <c r="F75" s="39">
        <f t="shared" si="47"/>
        <v>5.076008e-8</v>
      </c>
      <c r="G75" s="39">
        <f t="shared" si="48"/>
        <v>3.74808805e-8</v>
      </c>
      <c r="H75" s="39">
        <f t="shared" si="49"/>
        <v>2.6105184e-8</v>
      </c>
      <c r="I75" s="39">
        <f t="shared" si="50"/>
        <v>2.07119255e-8</v>
      </c>
      <c r="J75" s="39">
        <f t="shared" si="51"/>
        <v>1.41856295e-8</v>
      </c>
      <c r="K75" s="39">
        <f t="shared" si="52"/>
        <v>6.435653e-9</v>
      </c>
      <c r="L75" s="39">
        <f t="shared" si="53"/>
        <v>1.86271365e-9</v>
      </c>
      <c r="M75" s="39">
        <f t="shared" si="54"/>
        <v>9.336229e-10</v>
      </c>
      <c r="N75" s="39">
        <f t="shared" si="55"/>
        <v>8.0219055e-10</v>
      </c>
      <c r="O75" s="39">
        <f t="shared" si="56"/>
        <v>7.1154755e-10</v>
      </c>
      <c r="P75" s="39">
        <f t="shared" si="57"/>
        <v>6.435653e-10</v>
      </c>
      <c r="Q75" s="39">
        <f t="shared" si="58"/>
        <v>5.891795e-10</v>
      </c>
      <c r="V75" s="79" t="e">
        <f t="shared" si="59"/>
        <v>#DIV/0!</v>
      </c>
      <c r="AA75"/>
    </row>
    <row r="76" s="35" customFormat="1" spans="1:27">
      <c r="A76" s="36" t="str">
        <f t="shared" si="42"/>
        <v>H-3</v>
      </c>
      <c r="B76" s="39">
        <f t="shared" si="43"/>
        <v>0</v>
      </c>
      <c r="C76" s="39">
        <f t="shared" si="44"/>
        <v>0</v>
      </c>
      <c r="D76" s="39">
        <f t="shared" si="45"/>
        <v>0</v>
      </c>
      <c r="E76" s="39">
        <f t="shared" si="46"/>
        <v>0.000246072683093375</v>
      </c>
      <c r="F76" s="39">
        <f t="shared" si="47"/>
        <v>9.03611164146162e-5</v>
      </c>
      <c r="G76" s="39">
        <f t="shared" si="48"/>
        <v>6.67220029240068e-5</v>
      </c>
      <c r="H76" s="39">
        <f t="shared" si="49"/>
        <v>4.64714312989455e-5</v>
      </c>
      <c r="I76" s="39">
        <f t="shared" si="50"/>
        <v>3.68705626798925e-5</v>
      </c>
      <c r="J76" s="39">
        <f t="shared" si="51"/>
        <v>2.52527048551561e-5</v>
      </c>
      <c r="K76" s="39">
        <f t="shared" si="52"/>
        <v>1.14564986882817e-5</v>
      </c>
      <c r="L76" s="39">
        <f t="shared" si="53"/>
        <v>3.31593025414351e-6</v>
      </c>
      <c r="M76" s="39">
        <f t="shared" si="54"/>
        <v>1.66199910548312e-6</v>
      </c>
      <c r="N76" s="39">
        <f t="shared" si="55"/>
        <v>1.42802835762385e-6</v>
      </c>
      <c r="O76" s="39">
        <f t="shared" si="56"/>
        <v>1.26666922116917e-6</v>
      </c>
      <c r="P76" s="39">
        <f t="shared" si="57"/>
        <v>1.14564986882817e-6</v>
      </c>
      <c r="Q76" s="39">
        <f t="shared" si="58"/>
        <v>1.04883438695537e-6</v>
      </c>
      <c r="V76" s="79" t="e">
        <f t="shared" si="59"/>
        <v>#DIV/0!</v>
      </c>
      <c r="AA76"/>
    </row>
    <row r="77" s="35" customFormat="1" spans="1:27">
      <c r="A77" s="36" t="str">
        <f t="shared" si="42"/>
        <v>C-14</v>
      </c>
      <c r="B77" s="39">
        <f t="shared" si="43"/>
        <v>0</v>
      </c>
      <c r="C77" s="39">
        <f t="shared" si="44"/>
        <v>0</v>
      </c>
      <c r="D77" s="39">
        <f t="shared" si="45"/>
        <v>0</v>
      </c>
      <c r="E77" s="39">
        <f t="shared" si="46"/>
        <v>1.37303147412208e-6</v>
      </c>
      <c r="F77" s="39">
        <f t="shared" si="47"/>
        <v>5.0419516426778e-7</v>
      </c>
      <c r="G77" s="39">
        <f t="shared" si="48"/>
        <v>3.72294107901298e-7</v>
      </c>
      <c r="H77" s="39">
        <f t="shared" si="49"/>
        <v>2.59300370194858e-7</v>
      </c>
      <c r="I77" s="39">
        <f t="shared" si="50"/>
        <v>2.05729633991407e-7</v>
      </c>
      <c r="J77" s="39">
        <f t="shared" si="51"/>
        <v>1.40904541442692e-7</v>
      </c>
      <c r="K77" s="39">
        <f t="shared" si="52"/>
        <v>6.39247440410935e-8</v>
      </c>
      <c r="L77" s="39">
        <f t="shared" si="53"/>
        <v>1.85021618316123e-8</v>
      </c>
      <c r="M77" s="39">
        <f t="shared" si="54"/>
        <v>9.27358962849666e-9</v>
      </c>
      <c r="N77" s="39">
        <f t="shared" si="55"/>
        <v>7.96808429244616e-9</v>
      </c>
      <c r="O77" s="39">
        <f t="shared" si="56"/>
        <v>7.06773578482513e-9</v>
      </c>
      <c r="P77" s="39">
        <f t="shared" si="57"/>
        <v>6.39247440410935e-9</v>
      </c>
      <c r="Q77" s="39">
        <f t="shared" si="58"/>
        <v>5.85226529953673e-9</v>
      </c>
      <c r="V77" s="79" t="e">
        <f t="shared" si="59"/>
        <v>#DIV/0!</v>
      </c>
      <c r="AA77"/>
    </row>
    <row r="78" s="35" customFormat="1" spans="1:27">
      <c r="A78" s="36" t="str">
        <f t="shared" si="42"/>
        <v>Co-60</v>
      </c>
      <c r="B78" s="39">
        <f t="shared" si="43"/>
        <v>0</v>
      </c>
      <c r="C78" s="39">
        <f t="shared" si="44"/>
        <v>0</v>
      </c>
      <c r="D78" s="39">
        <f t="shared" si="45"/>
        <v>0</v>
      </c>
      <c r="E78" s="39">
        <f t="shared" si="46"/>
        <v>4.33616207737714e-7</v>
      </c>
      <c r="F78" s="39">
        <f t="shared" si="47"/>
        <v>1.59229558251226e-7</v>
      </c>
      <c r="G78" s="39">
        <f t="shared" si="48"/>
        <v>1.17573968458718e-7</v>
      </c>
      <c r="H78" s="39">
        <f t="shared" si="49"/>
        <v>8.18894871006306e-8</v>
      </c>
      <c r="I78" s="39">
        <f t="shared" si="50"/>
        <v>6.49713465364379e-8</v>
      </c>
      <c r="J78" s="39">
        <f t="shared" si="51"/>
        <v>4.44989747612802e-8</v>
      </c>
      <c r="K78" s="39">
        <f t="shared" si="52"/>
        <v>2.01880332782805e-8</v>
      </c>
      <c r="L78" s="39">
        <f t="shared" si="53"/>
        <v>5.84315611082625e-9</v>
      </c>
      <c r="M78" s="39">
        <f t="shared" si="54"/>
        <v>2.92868651783505e-9</v>
      </c>
      <c r="N78" s="39">
        <f t="shared" si="55"/>
        <v>2.51639569736313e-9</v>
      </c>
      <c r="O78" s="39">
        <f t="shared" si="56"/>
        <v>2.23205720048594e-9</v>
      </c>
      <c r="P78" s="39">
        <f t="shared" si="57"/>
        <v>2.01880332782805e-9</v>
      </c>
      <c r="Q78" s="39">
        <f t="shared" si="58"/>
        <v>1.84820022970173e-9</v>
      </c>
      <c r="V78" s="79" t="e">
        <f t="shared" si="59"/>
        <v>#DIV/0!</v>
      </c>
      <c r="AA78"/>
    </row>
    <row r="79" s="35" customFormat="1" spans="1:27">
      <c r="A79" s="36" t="str">
        <f t="shared" si="42"/>
        <v>Ar-41</v>
      </c>
      <c r="B79" s="39">
        <f t="shared" si="43"/>
        <v>0</v>
      </c>
      <c r="C79" s="39">
        <f t="shared" si="44"/>
        <v>0</v>
      </c>
      <c r="D79" s="39">
        <f t="shared" si="45"/>
        <v>0</v>
      </c>
      <c r="E79" s="39">
        <f t="shared" si="46"/>
        <v>0</v>
      </c>
      <c r="F79" s="39">
        <f t="shared" si="47"/>
        <v>0</v>
      </c>
      <c r="G79" s="39">
        <f t="shared" si="48"/>
        <v>0</v>
      </c>
      <c r="H79" s="39">
        <f t="shared" si="49"/>
        <v>0</v>
      </c>
      <c r="I79" s="39">
        <f t="shared" si="50"/>
        <v>0</v>
      </c>
      <c r="J79" s="39">
        <f t="shared" si="51"/>
        <v>0</v>
      </c>
      <c r="K79" s="39">
        <f t="shared" si="52"/>
        <v>0</v>
      </c>
      <c r="L79" s="39">
        <f t="shared" si="53"/>
        <v>0</v>
      </c>
      <c r="M79" s="39">
        <f t="shared" si="54"/>
        <v>0</v>
      </c>
      <c r="N79" s="39">
        <f t="shared" si="55"/>
        <v>0</v>
      </c>
      <c r="O79" s="39">
        <f t="shared" si="56"/>
        <v>0</v>
      </c>
      <c r="P79" s="39">
        <f t="shared" si="57"/>
        <v>0</v>
      </c>
      <c r="Q79" s="39">
        <f t="shared" si="58"/>
        <v>0</v>
      </c>
      <c r="V79" s="89"/>
      <c r="AA79"/>
    </row>
    <row r="80" s="35" customFormat="1" spans="1:27">
      <c r="A80" s="36" t="s">
        <v>4556</v>
      </c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AA80"/>
    </row>
    <row r="81" s="35" customFormat="1" spans="1:27">
      <c r="A81" s="36" t="str">
        <f t="shared" ref="A81:A103" si="60">A57</f>
        <v>Kr-83m</v>
      </c>
      <c r="B81" s="39">
        <f t="shared" ref="B81:B103" si="61">($B5*$Q$5+$C5*$R$5+$D5*$S$5+$E5*$T$5+$F5*$U$5)*$K5</f>
        <v>0</v>
      </c>
      <c r="C81" s="39">
        <f t="shared" ref="C81:C103" si="62">($B5*$Q$6+$C5*$R$6+$D5*$S$6+$E5*$T$6+$F5*$U$6)*$K5</f>
        <v>0</v>
      </c>
      <c r="D81" s="39">
        <f t="shared" ref="D81:D103" si="63">($B5*$Q$7+$C5*$R$7+$D5*$S$7+$E5*$T$7+$F5*$U$7)*$K5</f>
        <v>0</v>
      </c>
      <c r="E81" s="39">
        <f t="shared" ref="E81:E103" si="64">($B5*$Q$8+$C5*$R$8+$D5*$S$8+$E5*$T$8+$F5*$U$8)*$K5</f>
        <v>0</v>
      </c>
      <c r="F81" s="39">
        <f t="shared" ref="F81:F103" si="65">($B5*$Q$9+$C5*$R$9+$D5*$S$9+$E5*$T$9+$F5*$U$9)*$K5</f>
        <v>0</v>
      </c>
      <c r="G81" s="39">
        <f t="shared" ref="G81:G103" si="66">($B5*$Q$10+$C5*$R$10+$D5*$S$10+$E5*$T$10+$F5*$U$10)*$K5</f>
        <v>0</v>
      </c>
      <c r="H81" s="39">
        <f t="shared" ref="H81:H103" si="67">($B5*$Q$11+$C5*$R$11+$D5*$S$11+$E5*$T$11+$F5*$U$11)*$K5</f>
        <v>0</v>
      </c>
      <c r="I81" s="39">
        <f t="shared" ref="I81:I103" si="68">($B5*$Q$12+$C5*$R$12+$D5*$S$12+$E5*$T$12+$F5*$U$12)*$K5</f>
        <v>0</v>
      </c>
      <c r="J81" s="39">
        <f t="shared" ref="J81:J103" si="69">($B5*$Q$13+$C5*$R$13+$D5*$S$13+$E5*$T$13+$F5*$U$13)*$K5</f>
        <v>0</v>
      </c>
      <c r="K81" s="39">
        <f t="shared" ref="K81:K103" si="70">($B5*$Q$14+$C5*$R$14+$D5*$S$14+$E5*$T$14+$F5*$U$14)*$K5</f>
        <v>0</v>
      </c>
      <c r="L81" s="39">
        <f t="shared" ref="L81:L103" si="71">($B5*$Q$15+$C5*$R$15+$D5*$S$15+$E5*$T$15+$F5*$U$15)*$K5</f>
        <v>0</v>
      </c>
      <c r="M81" s="39">
        <f t="shared" ref="M81:M103" si="72">($B5*$Q$16+$C5*$R$16+$D5*$S$16+$E5*$T$16+$F5*$U$16)*$K5</f>
        <v>0</v>
      </c>
      <c r="N81" s="39">
        <f t="shared" ref="N81:N103" si="73">($B5*$Q$17+$C5*$R$17+$D5*$S$17+$E5*$T$17+$F5*$U$17)*$K5</f>
        <v>0</v>
      </c>
      <c r="O81" s="39">
        <f t="shared" ref="O81:O103" si="74">($B5*$Q$18+$C5*$R$18+$D5*$S$18+$E5*$T$18+$F5*$U$18)*$K5</f>
        <v>0</v>
      </c>
      <c r="P81" s="39">
        <f t="shared" ref="P81:P103" si="75">($B5*$Q$19+$C5*$R$19+$D5*$S$19+$E5*$T$19+$F5*$U$19)*$K5</f>
        <v>0</v>
      </c>
      <c r="Q81" s="39">
        <f t="shared" ref="Q81:Q103" si="76">($B5*$Q$20+$C5*$R$20+$D5*$S$20+$E5*$T$20+$F5*$U$20)*$K5</f>
        <v>0</v>
      </c>
      <c r="S81" s="79">
        <f t="shared" ref="S81:S102" si="77">ROUND((O33+O57+O81)/O$105*100,2)</f>
        <v>0</v>
      </c>
      <c r="AA81"/>
    </row>
    <row r="82" s="35" customFormat="1" spans="1:27">
      <c r="A82" s="36" t="str">
        <f t="shared" si="60"/>
        <v>Kr-85</v>
      </c>
      <c r="B82" s="39">
        <f t="shared" si="61"/>
        <v>0</v>
      </c>
      <c r="C82" s="39">
        <f t="shared" si="62"/>
        <v>0</v>
      </c>
      <c r="D82" s="39">
        <f t="shared" si="63"/>
        <v>0</v>
      </c>
      <c r="E82" s="39">
        <f t="shared" si="64"/>
        <v>0</v>
      </c>
      <c r="F82" s="39">
        <f t="shared" si="65"/>
        <v>0</v>
      </c>
      <c r="G82" s="39">
        <f t="shared" si="66"/>
        <v>0</v>
      </c>
      <c r="H82" s="39">
        <f t="shared" si="67"/>
        <v>0</v>
      </c>
      <c r="I82" s="39">
        <f t="shared" si="68"/>
        <v>0</v>
      </c>
      <c r="J82" s="39">
        <f t="shared" si="69"/>
        <v>0</v>
      </c>
      <c r="K82" s="39">
        <f t="shared" si="70"/>
        <v>0</v>
      </c>
      <c r="L82" s="39">
        <f t="shared" si="71"/>
        <v>0</v>
      </c>
      <c r="M82" s="39">
        <f t="shared" si="72"/>
        <v>0</v>
      </c>
      <c r="N82" s="39">
        <f t="shared" si="73"/>
        <v>0</v>
      </c>
      <c r="O82" s="39">
        <f t="shared" si="74"/>
        <v>0</v>
      </c>
      <c r="P82" s="39">
        <f t="shared" si="75"/>
        <v>0</v>
      </c>
      <c r="Q82" s="39">
        <f t="shared" si="76"/>
        <v>0</v>
      </c>
      <c r="S82" s="79">
        <f t="shared" si="77"/>
        <v>0</v>
      </c>
      <c r="AA82"/>
    </row>
    <row r="83" s="35" customFormat="1" spans="1:27">
      <c r="A83" s="36" t="str">
        <f t="shared" si="60"/>
        <v>Kr-85m</v>
      </c>
      <c r="B83" s="39">
        <f t="shared" si="61"/>
        <v>0</v>
      </c>
      <c r="C83" s="39">
        <f t="shared" si="62"/>
        <v>0</v>
      </c>
      <c r="D83" s="39">
        <f t="shared" si="63"/>
        <v>0</v>
      </c>
      <c r="E83" s="39">
        <f t="shared" si="64"/>
        <v>0</v>
      </c>
      <c r="F83" s="39">
        <f t="shared" si="65"/>
        <v>0</v>
      </c>
      <c r="G83" s="39">
        <f t="shared" si="66"/>
        <v>0</v>
      </c>
      <c r="H83" s="39">
        <f t="shared" si="67"/>
        <v>0</v>
      </c>
      <c r="I83" s="39">
        <f t="shared" si="68"/>
        <v>0</v>
      </c>
      <c r="J83" s="39">
        <f t="shared" si="69"/>
        <v>0</v>
      </c>
      <c r="K83" s="39">
        <f t="shared" si="70"/>
        <v>0</v>
      </c>
      <c r="L83" s="39">
        <f t="shared" si="71"/>
        <v>0</v>
      </c>
      <c r="M83" s="39">
        <f t="shared" si="72"/>
        <v>0</v>
      </c>
      <c r="N83" s="39">
        <f t="shared" si="73"/>
        <v>0</v>
      </c>
      <c r="O83" s="39">
        <f t="shared" si="74"/>
        <v>0</v>
      </c>
      <c r="P83" s="39">
        <f t="shared" si="75"/>
        <v>0</v>
      </c>
      <c r="Q83" s="39">
        <f t="shared" si="76"/>
        <v>0</v>
      </c>
      <c r="S83" s="79">
        <f t="shared" si="77"/>
        <v>0.01</v>
      </c>
      <c r="AA83"/>
    </row>
    <row r="84" s="35" customFormat="1" spans="1:27">
      <c r="A84" s="36" t="str">
        <f t="shared" si="60"/>
        <v>Kr-87</v>
      </c>
      <c r="B84" s="39">
        <f t="shared" si="61"/>
        <v>0</v>
      </c>
      <c r="C84" s="39">
        <f t="shared" si="62"/>
        <v>0</v>
      </c>
      <c r="D84" s="39">
        <f t="shared" si="63"/>
        <v>0</v>
      </c>
      <c r="E84" s="39">
        <f t="shared" si="64"/>
        <v>0</v>
      </c>
      <c r="F84" s="39">
        <f t="shared" si="65"/>
        <v>0</v>
      </c>
      <c r="G84" s="39">
        <f t="shared" si="66"/>
        <v>0</v>
      </c>
      <c r="H84" s="39">
        <f t="shared" si="67"/>
        <v>0</v>
      </c>
      <c r="I84" s="39">
        <f t="shared" si="68"/>
        <v>0</v>
      </c>
      <c r="J84" s="39">
        <f t="shared" si="69"/>
        <v>0</v>
      </c>
      <c r="K84" s="39">
        <f t="shared" si="70"/>
        <v>0</v>
      </c>
      <c r="L84" s="39">
        <f t="shared" si="71"/>
        <v>0</v>
      </c>
      <c r="M84" s="39">
        <f t="shared" si="72"/>
        <v>0</v>
      </c>
      <c r="N84" s="39">
        <f t="shared" si="73"/>
        <v>0</v>
      </c>
      <c r="O84" s="39">
        <f t="shared" si="74"/>
        <v>0</v>
      </c>
      <c r="P84" s="39">
        <f t="shared" si="75"/>
        <v>0</v>
      </c>
      <c r="Q84" s="39">
        <f t="shared" si="76"/>
        <v>0</v>
      </c>
      <c r="S84" s="79">
        <f t="shared" si="77"/>
        <v>0.01</v>
      </c>
      <c r="AA84"/>
    </row>
    <row r="85" s="35" customFormat="1" spans="1:27">
      <c r="A85" s="36" t="str">
        <f t="shared" si="60"/>
        <v>Kr-88</v>
      </c>
      <c r="B85" s="39">
        <f t="shared" si="61"/>
        <v>0</v>
      </c>
      <c r="C85" s="39">
        <f t="shared" si="62"/>
        <v>0</v>
      </c>
      <c r="D85" s="39">
        <f t="shared" si="63"/>
        <v>0</v>
      </c>
      <c r="E85" s="39">
        <f t="shared" si="64"/>
        <v>0</v>
      </c>
      <c r="F85" s="39">
        <f t="shared" si="65"/>
        <v>0</v>
      </c>
      <c r="G85" s="39">
        <f t="shared" si="66"/>
        <v>0</v>
      </c>
      <c r="H85" s="39">
        <f t="shared" si="67"/>
        <v>0</v>
      </c>
      <c r="I85" s="39">
        <f t="shared" si="68"/>
        <v>0</v>
      </c>
      <c r="J85" s="39">
        <f t="shared" si="69"/>
        <v>0</v>
      </c>
      <c r="K85" s="39">
        <f t="shared" si="70"/>
        <v>0</v>
      </c>
      <c r="L85" s="39">
        <f t="shared" si="71"/>
        <v>0</v>
      </c>
      <c r="M85" s="39">
        <f t="shared" si="72"/>
        <v>0</v>
      </c>
      <c r="N85" s="39">
        <f t="shared" si="73"/>
        <v>0</v>
      </c>
      <c r="O85" s="39">
        <f t="shared" si="74"/>
        <v>0</v>
      </c>
      <c r="P85" s="39">
        <f t="shared" si="75"/>
        <v>0</v>
      </c>
      <c r="Q85" s="39">
        <f t="shared" si="76"/>
        <v>0</v>
      </c>
      <c r="S85" s="79">
        <f t="shared" si="77"/>
        <v>0.11</v>
      </c>
      <c r="AA85"/>
    </row>
    <row r="86" s="35" customFormat="1" spans="1:27">
      <c r="A86" s="36" t="str">
        <f t="shared" si="60"/>
        <v>Xe-131m</v>
      </c>
      <c r="B86" s="39">
        <f t="shared" si="61"/>
        <v>0</v>
      </c>
      <c r="C86" s="39">
        <f t="shared" si="62"/>
        <v>0</v>
      </c>
      <c r="D86" s="39">
        <f t="shared" si="63"/>
        <v>0</v>
      </c>
      <c r="E86" s="39">
        <f t="shared" si="64"/>
        <v>0</v>
      </c>
      <c r="F86" s="39">
        <f t="shared" si="65"/>
        <v>0</v>
      </c>
      <c r="G86" s="39">
        <f t="shared" si="66"/>
        <v>0</v>
      </c>
      <c r="H86" s="39">
        <f t="shared" si="67"/>
        <v>0</v>
      </c>
      <c r="I86" s="39">
        <f t="shared" si="68"/>
        <v>0</v>
      </c>
      <c r="J86" s="39">
        <f t="shared" si="69"/>
        <v>0</v>
      </c>
      <c r="K86" s="39">
        <f t="shared" si="70"/>
        <v>0</v>
      </c>
      <c r="L86" s="39">
        <f t="shared" si="71"/>
        <v>0</v>
      </c>
      <c r="M86" s="39">
        <f t="shared" si="72"/>
        <v>0</v>
      </c>
      <c r="N86" s="39">
        <f t="shared" si="73"/>
        <v>0</v>
      </c>
      <c r="O86" s="39">
        <f t="shared" si="74"/>
        <v>0</v>
      </c>
      <c r="P86" s="39">
        <f t="shared" si="75"/>
        <v>0</v>
      </c>
      <c r="Q86" s="39">
        <f t="shared" si="76"/>
        <v>0</v>
      </c>
      <c r="S86" s="79">
        <f t="shared" si="77"/>
        <v>0</v>
      </c>
      <c r="AA86"/>
    </row>
    <row r="87" s="35" customFormat="1" spans="1:27">
      <c r="A87" s="36" t="str">
        <f t="shared" si="60"/>
        <v>Xe-133</v>
      </c>
      <c r="B87" s="39">
        <f t="shared" si="61"/>
        <v>0</v>
      </c>
      <c r="C87" s="39">
        <f t="shared" si="62"/>
        <v>0</v>
      </c>
      <c r="D87" s="39">
        <f t="shared" si="63"/>
        <v>0</v>
      </c>
      <c r="E87" s="39">
        <f t="shared" si="64"/>
        <v>0</v>
      </c>
      <c r="F87" s="39">
        <f t="shared" si="65"/>
        <v>0</v>
      </c>
      <c r="G87" s="39">
        <f t="shared" si="66"/>
        <v>0</v>
      </c>
      <c r="H87" s="39">
        <f t="shared" si="67"/>
        <v>0</v>
      </c>
      <c r="I87" s="39">
        <f t="shared" si="68"/>
        <v>0</v>
      </c>
      <c r="J87" s="39">
        <f t="shared" si="69"/>
        <v>0</v>
      </c>
      <c r="K87" s="39">
        <f t="shared" si="70"/>
        <v>0</v>
      </c>
      <c r="L87" s="39">
        <f t="shared" si="71"/>
        <v>0</v>
      </c>
      <c r="M87" s="39">
        <f t="shared" si="72"/>
        <v>0</v>
      </c>
      <c r="N87" s="39">
        <f t="shared" si="73"/>
        <v>0</v>
      </c>
      <c r="O87" s="39">
        <f t="shared" si="74"/>
        <v>0</v>
      </c>
      <c r="P87" s="39">
        <f t="shared" si="75"/>
        <v>0</v>
      </c>
      <c r="Q87" s="39">
        <f t="shared" si="76"/>
        <v>0</v>
      </c>
      <c r="S87" s="79">
        <f t="shared" si="77"/>
        <v>0.37</v>
      </c>
      <c r="AA87"/>
    </row>
    <row r="88" s="35" customFormat="1" spans="1:27">
      <c r="A88" s="36" t="str">
        <f t="shared" si="60"/>
        <v>Xe-133m</v>
      </c>
      <c r="B88" s="39">
        <f t="shared" si="61"/>
        <v>0</v>
      </c>
      <c r="C88" s="39">
        <f t="shared" si="62"/>
        <v>0</v>
      </c>
      <c r="D88" s="39">
        <f t="shared" si="63"/>
        <v>0</v>
      </c>
      <c r="E88" s="39">
        <f t="shared" si="64"/>
        <v>0</v>
      </c>
      <c r="F88" s="39">
        <f t="shared" si="65"/>
        <v>0</v>
      </c>
      <c r="G88" s="39">
        <f t="shared" si="66"/>
        <v>0</v>
      </c>
      <c r="H88" s="39">
        <f t="shared" si="67"/>
        <v>0</v>
      </c>
      <c r="I88" s="39">
        <f t="shared" si="68"/>
        <v>0</v>
      </c>
      <c r="J88" s="39">
        <f t="shared" si="69"/>
        <v>0</v>
      </c>
      <c r="K88" s="39">
        <f t="shared" si="70"/>
        <v>0</v>
      </c>
      <c r="L88" s="39">
        <f t="shared" si="71"/>
        <v>0</v>
      </c>
      <c r="M88" s="39">
        <f t="shared" si="72"/>
        <v>0</v>
      </c>
      <c r="N88" s="39">
        <f t="shared" si="73"/>
        <v>0</v>
      </c>
      <c r="O88" s="39">
        <f t="shared" si="74"/>
        <v>0</v>
      </c>
      <c r="P88" s="39">
        <f t="shared" si="75"/>
        <v>0</v>
      </c>
      <c r="Q88" s="39">
        <f t="shared" si="76"/>
        <v>0</v>
      </c>
      <c r="S88" s="79">
        <f t="shared" si="77"/>
        <v>0</v>
      </c>
      <c r="AA88"/>
    </row>
    <row r="89" s="35" customFormat="1" spans="1:27">
      <c r="A89" s="36" t="str">
        <f t="shared" si="60"/>
        <v>Xe-135</v>
      </c>
      <c r="B89" s="39">
        <f t="shared" si="61"/>
        <v>0</v>
      </c>
      <c r="C89" s="39">
        <f t="shared" si="62"/>
        <v>0</v>
      </c>
      <c r="D89" s="39">
        <f t="shared" si="63"/>
        <v>0</v>
      </c>
      <c r="E89" s="39">
        <f t="shared" si="64"/>
        <v>0</v>
      </c>
      <c r="F89" s="39">
        <f t="shared" si="65"/>
        <v>0</v>
      </c>
      <c r="G89" s="39">
        <f t="shared" si="66"/>
        <v>0</v>
      </c>
      <c r="H89" s="39">
        <f t="shared" si="67"/>
        <v>0</v>
      </c>
      <c r="I89" s="39">
        <f t="shared" si="68"/>
        <v>0</v>
      </c>
      <c r="J89" s="39">
        <f t="shared" si="69"/>
        <v>0</v>
      </c>
      <c r="K89" s="39">
        <f t="shared" si="70"/>
        <v>0</v>
      </c>
      <c r="L89" s="39">
        <f t="shared" si="71"/>
        <v>0</v>
      </c>
      <c r="M89" s="39">
        <f t="shared" si="72"/>
        <v>0</v>
      </c>
      <c r="N89" s="39">
        <f t="shared" si="73"/>
        <v>0</v>
      </c>
      <c r="O89" s="39">
        <f t="shared" si="74"/>
        <v>0</v>
      </c>
      <c r="P89" s="39">
        <f t="shared" si="75"/>
        <v>0</v>
      </c>
      <c r="Q89" s="39">
        <f t="shared" si="76"/>
        <v>0</v>
      </c>
      <c r="S89" s="79">
        <f t="shared" si="77"/>
        <v>0.03</v>
      </c>
      <c r="AA89"/>
    </row>
    <row r="90" s="35" customFormat="1" spans="1:27">
      <c r="A90" s="36" t="str">
        <f t="shared" si="60"/>
        <v>I-131</v>
      </c>
      <c r="B90" s="39">
        <f t="shared" si="61"/>
        <v>0</v>
      </c>
      <c r="C90" s="39">
        <f t="shared" si="62"/>
        <v>0</v>
      </c>
      <c r="D90" s="39">
        <f t="shared" si="63"/>
        <v>0</v>
      </c>
      <c r="E90" s="39">
        <f t="shared" si="64"/>
        <v>1.73531138550988e-9</v>
      </c>
      <c r="F90" s="39">
        <f t="shared" si="65"/>
        <v>6.37229098941332e-10</v>
      </c>
      <c r="G90" s="39">
        <f t="shared" si="66"/>
        <v>4.70525415021858e-10</v>
      </c>
      <c r="H90" s="39">
        <f t="shared" si="67"/>
        <v>3.27717822312685e-10</v>
      </c>
      <c r="I90" s="39">
        <f t="shared" si="68"/>
        <v>2.60012230550168e-10</v>
      </c>
      <c r="J90" s="39">
        <f t="shared" si="69"/>
        <v>1.78082774971997e-10</v>
      </c>
      <c r="K90" s="39">
        <f t="shared" si="70"/>
        <v>8.07915464729189e-11</v>
      </c>
      <c r="L90" s="39">
        <f t="shared" si="71"/>
        <v>2.33840321129364e-11</v>
      </c>
      <c r="M90" s="39">
        <f t="shared" si="72"/>
        <v>1.17204637840995e-11</v>
      </c>
      <c r="N90" s="39">
        <f t="shared" si="73"/>
        <v>1.00704955814835e-11</v>
      </c>
      <c r="O90" s="39">
        <f t="shared" si="74"/>
        <v>8.93258647623117e-12</v>
      </c>
      <c r="P90" s="39">
        <f t="shared" si="75"/>
        <v>8.07915464729189e-12</v>
      </c>
      <c r="Q90" s="39">
        <f t="shared" si="76"/>
        <v>7.39640918414046e-12</v>
      </c>
      <c r="S90" s="79">
        <f t="shared" si="77"/>
        <v>65.24</v>
      </c>
      <c r="AA90"/>
    </row>
    <row r="91" s="35" customFormat="1" spans="1:27">
      <c r="A91" s="36" t="str">
        <f t="shared" si="60"/>
        <v>I-132</v>
      </c>
      <c r="B91" s="39">
        <f t="shared" si="61"/>
        <v>0</v>
      </c>
      <c r="C91" s="39">
        <f t="shared" si="62"/>
        <v>0</v>
      </c>
      <c r="D91" s="39">
        <f t="shared" si="63"/>
        <v>0</v>
      </c>
      <c r="E91" s="39">
        <f t="shared" si="64"/>
        <v>1.55036631258609e-9</v>
      </c>
      <c r="F91" s="39">
        <f t="shared" si="65"/>
        <v>5.69314842654565e-10</v>
      </c>
      <c r="G91" s="39">
        <f t="shared" si="66"/>
        <v>4.2037801328154e-10</v>
      </c>
      <c r="H91" s="39">
        <f t="shared" si="67"/>
        <v>2.92790490508062e-10</v>
      </c>
      <c r="I91" s="39">
        <f t="shared" si="68"/>
        <v>2.32300788476014e-10</v>
      </c>
      <c r="J91" s="39">
        <f t="shared" si="69"/>
        <v>1.59103165848999e-10</v>
      </c>
      <c r="K91" s="39">
        <f t="shared" si="70"/>
        <v>7.2180988979418e-11</v>
      </c>
      <c r="L91" s="39">
        <f t="shared" si="71"/>
        <v>2.08918214581273e-11</v>
      </c>
      <c r="M91" s="39">
        <f t="shared" si="72"/>
        <v>1.04713265702536e-11</v>
      </c>
      <c r="N91" s="39">
        <f t="shared" si="73"/>
        <v>8.99720778123732e-12</v>
      </c>
      <c r="O91" s="39">
        <f t="shared" si="74"/>
        <v>7.98057413363988e-12</v>
      </c>
      <c r="P91" s="39">
        <f t="shared" si="75"/>
        <v>7.2180988979418e-12</v>
      </c>
      <c r="Q91" s="39">
        <f t="shared" si="76"/>
        <v>6.60811870938334e-12</v>
      </c>
      <c r="S91" s="79">
        <f t="shared" si="77"/>
        <v>0.1</v>
      </c>
      <c r="AA91"/>
    </row>
    <row r="92" s="35" customFormat="1" spans="1:27">
      <c r="A92" s="36" t="str">
        <f t="shared" si="60"/>
        <v>I-133</v>
      </c>
      <c r="B92" s="39">
        <f t="shared" si="61"/>
        <v>0</v>
      </c>
      <c r="C92" s="39">
        <f t="shared" si="62"/>
        <v>0</v>
      </c>
      <c r="D92" s="39">
        <f t="shared" si="63"/>
        <v>0</v>
      </c>
      <c r="E92" s="39">
        <f t="shared" si="64"/>
        <v>1.54983163790469e-9</v>
      </c>
      <c r="F92" s="39">
        <f t="shared" si="65"/>
        <v>5.69118503099426e-10</v>
      </c>
      <c r="G92" s="39">
        <f t="shared" si="66"/>
        <v>4.20233037556451e-10</v>
      </c>
      <c r="H92" s="39">
        <f t="shared" si="67"/>
        <v>2.92689515879705e-10</v>
      </c>
      <c r="I92" s="39">
        <f t="shared" si="68"/>
        <v>2.32220674925391e-10</v>
      </c>
      <c r="J92" s="39">
        <f t="shared" si="69"/>
        <v>1.59048295955465e-10</v>
      </c>
      <c r="K92" s="39">
        <f t="shared" si="70"/>
        <v>7.21560959286772e-11</v>
      </c>
      <c r="L92" s="39">
        <f t="shared" si="71"/>
        <v>2.08846164976664e-11</v>
      </c>
      <c r="M92" s="39">
        <f t="shared" si="72"/>
        <v>1.04677153248644e-11</v>
      </c>
      <c r="N92" s="39">
        <f t="shared" si="73"/>
        <v>8.99410491505343e-12</v>
      </c>
      <c r="O92" s="39">
        <f t="shared" si="74"/>
        <v>7.97782187380445e-12</v>
      </c>
      <c r="P92" s="39">
        <f t="shared" si="75"/>
        <v>7.21560959286772e-12</v>
      </c>
      <c r="Q92" s="39">
        <f t="shared" si="76"/>
        <v>6.60583976811834e-12</v>
      </c>
      <c r="S92" s="79">
        <f t="shared" si="77"/>
        <v>7.1</v>
      </c>
      <c r="AA92"/>
    </row>
    <row r="93" s="35" customFormat="1" spans="1:27">
      <c r="A93" s="36" t="str">
        <f t="shared" si="60"/>
        <v>I-134</v>
      </c>
      <c r="B93" s="39">
        <f t="shared" si="61"/>
        <v>0</v>
      </c>
      <c r="C93" s="39">
        <f t="shared" si="62"/>
        <v>0</v>
      </c>
      <c r="D93" s="39">
        <f t="shared" si="63"/>
        <v>0</v>
      </c>
      <c r="E93" s="39">
        <f t="shared" si="64"/>
        <v>1.42742730027636e-9</v>
      </c>
      <c r="F93" s="39">
        <f t="shared" si="65"/>
        <v>5.24170025019516e-10</v>
      </c>
      <c r="G93" s="39">
        <f t="shared" si="66"/>
        <v>3.87043402402804e-10</v>
      </c>
      <c r="H93" s="39">
        <f t="shared" si="67"/>
        <v>2.69573155724323e-10</v>
      </c>
      <c r="I93" s="39">
        <f t="shared" si="68"/>
        <v>2.13880090565999e-10</v>
      </c>
      <c r="J93" s="39">
        <f t="shared" si="69"/>
        <v>1.46486801634918e-10</v>
      </c>
      <c r="K93" s="39">
        <f t="shared" si="70"/>
        <v>6.64572710292601e-11</v>
      </c>
      <c r="L93" s="39">
        <f t="shared" si="71"/>
        <v>1.92351678824126e-11</v>
      </c>
      <c r="M93" s="39">
        <f t="shared" si="72"/>
        <v>9.64098438875182e-12</v>
      </c>
      <c r="N93" s="39">
        <f t="shared" si="73"/>
        <v>8.283758431112e-12</v>
      </c>
      <c r="O93" s="39">
        <f t="shared" si="74"/>
        <v>7.34774052929144e-12</v>
      </c>
      <c r="P93" s="39">
        <f t="shared" si="75"/>
        <v>6.64572710292601e-12</v>
      </c>
      <c r="Q93" s="39">
        <f t="shared" si="76"/>
        <v>6.08411636183367e-12</v>
      </c>
      <c r="S93" s="79">
        <f t="shared" si="77"/>
        <v>0.02</v>
      </c>
      <c r="AA93"/>
    </row>
    <row r="94" s="35" customFormat="1" spans="1:27">
      <c r="A94" s="36" t="str">
        <f t="shared" si="60"/>
        <v>I-135</v>
      </c>
      <c r="B94" s="39">
        <f t="shared" si="61"/>
        <v>0</v>
      </c>
      <c r="C94" s="39">
        <f t="shared" si="62"/>
        <v>0</v>
      </c>
      <c r="D94" s="39">
        <f t="shared" si="63"/>
        <v>0</v>
      </c>
      <c r="E94" s="39">
        <f t="shared" si="64"/>
        <v>1.73616413133144e-9</v>
      </c>
      <c r="F94" s="39">
        <f t="shared" si="65"/>
        <v>6.3754223839056e-10</v>
      </c>
      <c r="G94" s="39">
        <f t="shared" si="66"/>
        <v>4.70756634954458e-10</v>
      </c>
      <c r="H94" s="39">
        <f t="shared" si="67"/>
        <v>3.27878865458002e-10</v>
      </c>
      <c r="I94" s="39">
        <f t="shared" si="68"/>
        <v>2.60140002629005e-10</v>
      </c>
      <c r="J94" s="39">
        <f t="shared" si="69"/>
        <v>1.78170286264505e-10</v>
      </c>
      <c r="K94" s="39">
        <f t="shared" si="70"/>
        <v>8.08312480816603e-11</v>
      </c>
      <c r="L94" s="39">
        <f t="shared" si="71"/>
        <v>2.33955232123679e-11</v>
      </c>
      <c r="M94" s="39">
        <f t="shared" si="72"/>
        <v>1.17262233132549e-11</v>
      </c>
      <c r="N94" s="39">
        <f t="shared" si="73"/>
        <v>1.00754443031365e-11</v>
      </c>
      <c r="O94" s="39">
        <f t="shared" si="74"/>
        <v>8.93697602029624e-12</v>
      </c>
      <c r="P94" s="39">
        <f t="shared" si="75"/>
        <v>8.08312480816603e-12</v>
      </c>
      <c r="Q94" s="39">
        <f t="shared" si="76"/>
        <v>7.40004383846186e-12</v>
      </c>
      <c r="S94" s="79">
        <f t="shared" si="77"/>
        <v>0.68</v>
      </c>
      <c r="AA94"/>
    </row>
    <row r="95" s="35" customFormat="1" spans="1:27">
      <c r="A95" s="36" t="str">
        <f t="shared" si="60"/>
        <v>Sr-89</v>
      </c>
      <c r="B95" s="39">
        <f t="shared" si="61"/>
        <v>0</v>
      </c>
      <c r="C95" s="39">
        <f t="shared" si="62"/>
        <v>0</v>
      </c>
      <c r="D95" s="39">
        <f t="shared" si="63"/>
        <v>0</v>
      </c>
      <c r="E95" s="39">
        <f t="shared" si="64"/>
        <v>1.46275616603806e-14</v>
      </c>
      <c r="F95" s="39">
        <f t="shared" si="65"/>
        <v>5.37143247856599e-15</v>
      </c>
      <c r="G95" s="39">
        <f t="shared" si="66"/>
        <v>3.96622737479828e-15</v>
      </c>
      <c r="H95" s="39">
        <f t="shared" si="67"/>
        <v>2.76245098897679e-15</v>
      </c>
      <c r="I95" s="39">
        <f t="shared" si="68"/>
        <v>2.19173628812916e-15</v>
      </c>
      <c r="J95" s="39">
        <f t="shared" si="69"/>
        <v>1.50112354088496e-15</v>
      </c>
      <c r="K95" s="39">
        <f t="shared" si="70"/>
        <v>6.81020903532473e-16</v>
      </c>
      <c r="L95" s="39">
        <f t="shared" si="71"/>
        <v>1.97112388275948e-16</v>
      </c>
      <c r="M95" s="39">
        <f t="shared" si="72"/>
        <v>9.87959902307673e-17</v>
      </c>
      <c r="N95" s="39">
        <f t="shared" si="73"/>
        <v>8.48878168487661e-17</v>
      </c>
      <c r="O95" s="39">
        <f t="shared" si="74"/>
        <v>7.52959731370411e-17</v>
      </c>
      <c r="P95" s="39">
        <f t="shared" si="75"/>
        <v>6.81020903532473e-17</v>
      </c>
      <c r="Q95" s="39">
        <f t="shared" si="76"/>
        <v>6.23469841262123e-17</v>
      </c>
      <c r="S95" s="79">
        <f t="shared" si="77"/>
        <v>0</v>
      </c>
      <c r="AA95"/>
    </row>
    <row r="96" s="35" customFormat="1" spans="1:27">
      <c r="A96" s="36" t="str">
        <f t="shared" si="60"/>
        <v>Sr-90</v>
      </c>
      <c r="B96" s="39">
        <f t="shared" si="61"/>
        <v>0</v>
      </c>
      <c r="C96" s="39">
        <f t="shared" si="62"/>
        <v>0</v>
      </c>
      <c r="D96" s="39">
        <f t="shared" si="63"/>
        <v>0</v>
      </c>
      <c r="E96" s="39">
        <f t="shared" si="64"/>
        <v>8.96151e-16</v>
      </c>
      <c r="F96" s="39">
        <f t="shared" si="65"/>
        <v>3.290784e-16</v>
      </c>
      <c r="G96" s="39">
        <f t="shared" si="66"/>
        <v>2.4298914e-16</v>
      </c>
      <c r="H96" s="39">
        <f t="shared" si="67"/>
        <v>1.6924032e-16</v>
      </c>
      <c r="I96" s="39">
        <f t="shared" si="68"/>
        <v>1.3427574e-16</v>
      </c>
      <c r="J96" s="39">
        <f t="shared" si="69"/>
        <v>9.196566e-17</v>
      </c>
      <c r="K96" s="39">
        <f t="shared" si="70"/>
        <v>4.172244e-17</v>
      </c>
      <c r="L96" s="39">
        <f t="shared" si="71"/>
        <v>1.2076002e-17</v>
      </c>
      <c r="M96" s="39">
        <f t="shared" si="72"/>
        <v>6.052692e-18</v>
      </c>
      <c r="N96" s="39">
        <f t="shared" si="73"/>
        <v>5.200614e-18</v>
      </c>
      <c r="O96" s="39">
        <f t="shared" si="74"/>
        <v>4.612974e-18</v>
      </c>
      <c r="P96" s="39">
        <f t="shared" si="75"/>
        <v>4.172244e-18</v>
      </c>
      <c r="Q96" s="39">
        <f t="shared" si="76"/>
        <v>3.81966e-18</v>
      </c>
      <c r="S96" s="79">
        <f t="shared" si="77"/>
        <v>0</v>
      </c>
      <c r="AA96"/>
    </row>
    <row r="97" s="35" customFormat="1" spans="1:27">
      <c r="A97" s="36" t="str">
        <f t="shared" si="60"/>
        <v>Cs-134</v>
      </c>
      <c r="B97" s="39">
        <f t="shared" si="61"/>
        <v>0</v>
      </c>
      <c r="C97" s="39">
        <f t="shared" si="62"/>
        <v>0</v>
      </c>
      <c r="D97" s="39">
        <f t="shared" si="63"/>
        <v>0</v>
      </c>
      <c r="E97" s="39">
        <f t="shared" si="64"/>
        <v>9.08656e-10</v>
      </c>
      <c r="F97" s="39">
        <f t="shared" si="65"/>
        <v>3.336704e-10</v>
      </c>
      <c r="G97" s="39">
        <f t="shared" si="66"/>
        <v>2.4637984e-10</v>
      </c>
      <c r="H97" s="39">
        <f t="shared" si="67"/>
        <v>1.7160192e-10</v>
      </c>
      <c r="I97" s="39">
        <f t="shared" si="68"/>
        <v>1.3614944e-10</v>
      </c>
      <c r="J97" s="39">
        <f t="shared" si="69"/>
        <v>9.324896e-11</v>
      </c>
      <c r="K97" s="39">
        <f t="shared" si="70"/>
        <v>4.230464e-11</v>
      </c>
      <c r="L97" s="39">
        <f t="shared" si="71"/>
        <v>1.2244512e-11</v>
      </c>
      <c r="M97" s="39">
        <f t="shared" si="72"/>
        <v>6.137152e-12</v>
      </c>
      <c r="N97" s="39">
        <f t="shared" si="73"/>
        <v>5.273184e-12</v>
      </c>
      <c r="O97" s="39">
        <f t="shared" si="74"/>
        <v>4.677344e-12</v>
      </c>
      <c r="P97" s="39">
        <f t="shared" si="75"/>
        <v>4.230464e-12</v>
      </c>
      <c r="Q97" s="39">
        <f t="shared" si="76"/>
        <v>3.87296e-12</v>
      </c>
      <c r="S97" s="79">
        <f t="shared" si="77"/>
        <v>0.14</v>
      </c>
      <c r="AA97"/>
    </row>
    <row r="98" s="35" customFormat="1" spans="1:27">
      <c r="A98" s="36" t="str">
        <f t="shared" si="60"/>
        <v>Cs-137</v>
      </c>
      <c r="B98" s="39">
        <f t="shared" si="61"/>
        <v>0</v>
      </c>
      <c r="C98" s="39">
        <f t="shared" si="62"/>
        <v>0</v>
      </c>
      <c r="D98" s="39">
        <f t="shared" si="63"/>
        <v>0</v>
      </c>
      <c r="E98" s="39">
        <f t="shared" si="64"/>
        <v>1.347368e-12</v>
      </c>
      <c r="F98" s="39">
        <f t="shared" si="65"/>
        <v>4.947712e-13</v>
      </c>
      <c r="G98" s="39">
        <f t="shared" si="66"/>
        <v>3.6533552e-13</v>
      </c>
      <c r="H98" s="39">
        <f t="shared" si="67"/>
        <v>2.5445376e-13</v>
      </c>
      <c r="I98" s="39">
        <f t="shared" si="68"/>
        <v>2.0188432e-13</v>
      </c>
      <c r="J98" s="39">
        <f t="shared" si="69"/>
        <v>1.3827088e-13</v>
      </c>
      <c r="K98" s="39">
        <f t="shared" si="70"/>
        <v>6.272992e-14</v>
      </c>
      <c r="L98" s="39">
        <f t="shared" si="71"/>
        <v>1.8156336e-14</v>
      </c>
      <c r="M98" s="39">
        <f t="shared" si="72"/>
        <v>9.100256e-15</v>
      </c>
      <c r="N98" s="39">
        <f t="shared" si="73"/>
        <v>7.819152e-15</v>
      </c>
      <c r="O98" s="39">
        <f t="shared" si="74"/>
        <v>6.935632e-15</v>
      </c>
      <c r="P98" s="39">
        <f t="shared" si="75"/>
        <v>6.272992e-15</v>
      </c>
      <c r="Q98" s="39">
        <f t="shared" si="76"/>
        <v>5.74288e-15</v>
      </c>
      <c r="S98" s="79">
        <f t="shared" si="77"/>
        <v>0.84</v>
      </c>
      <c r="AA98"/>
    </row>
    <row r="99" s="35" customFormat="1" spans="1:27">
      <c r="A99" s="36" t="str">
        <f t="shared" si="60"/>
        <v>Ag-110m</v>
      </c>
      <c r="B99" s="39">
        <f t="shared" si="61"/>
        <v>0</v>
      </c>
      <c r="C99" s="39">
        <f t="shared" si="62"/>
        <v>0</v>
      </c>
      <c r="D99" s="39">
        <f t="shared" si="63"/>
        <v>0</v>
      </c>
      <c r="E99" s="39">
        <f t="shared" si="64"/>
        <v>4.4817615e-10</v>
      </c>
      <c r="F99" s="39">
        <f t="shared" si="65"/>
        <v>1.6457616e-10</v>
      </c>
      <c r="G99" s="39">
        <f t="shared" si="66"/>
        <v>1.21521861e-10</v>
      </c>
      <c r="H99" s="39">
        <f t="shared" si="67"/>
        <v>8.4639168e-11</v>
      </c>
      <c r="I99" s="39">
        <f t="shared" si="68"/>
        <v>6.7152951e-11</v>
      </c>
      <c r="J99" s="39">
        <f t="shared" si="69"/>
        <v>4.5993159e-11</v>
      </c>
      <c r="K99" s="39">
        <f t="shared" si="70"/>
        <v>2.0865906e-11</v>
      </c>
      <c r="L99" s="39">
        <f t="shared" si="71"/>
        <v>6.0393573e-12</v>
      </c>
      <c r="M99" s="39">
        <f t="shared" si="72"/>
        <v>3.0270258e-12</v>
      </c>
      <c r="N99" s="39">
        <f t="shared" si="73"/>
        <v>2.6008911e-12</v>
      </c>
      <c r="O99" s="39">
        <f t="shared" si="74"/>
        <v>2.3070051e-12</v>
      </c>
      <c r="P99" s="39">
        <f t="shared" si="75"/>
        <v>2.0865906e-12</v>
      </c>
      <c r="Q99" s="39">
        <f t="shared" si="76"/>
        <v>1.910259e-12</v>
      </c>
      <c r="S99" s="79">
        <f t="shared" si="77"/>
        <v>0.02</v>
      </c>
      <c r="AA99"/>
    </row>
    <row r="100" s="35" customFormat="1" spans="1:27">
      <c r="A100" s="36" t="str">
        <f t="shared" si="60"/>
        <v>H-3</v>
      </c>
      <c r="B100" s="39">
        <f t="shared" si="61"/>
        <v>0</v>
      </c>
      <c r="C100" s="39">
        <f t="shared" si="62"/>
        <v>0</v>
      </c>
      <c r="D100" s="39">
        <f t="shared" si="63"/>
        <v>0</v>
      </c>
      <c r="E100" s="39">
        <f t="shared" si="64"/>
        <v>0</v>
      </c>
      <c r="F100" s="39">
        <f t="shared" si="65"/>
        <v>0</v>
      </c>
      <c r="G100" s="39">
        <f t="shared" si="66"/>
        <v>0</v>
      </c>
      <c r="H100" s="39">
        <f t="shared" si="67"/>
        <v>0</v>
      </c>
      <c r="I100" s="39">
        <f t="shared" si="68"/>
        <v>0</v>
      </c>
      <c r="J100" s="39">
        <f t="shared" si="69"/>
        <v>0</v>
      </c>
      <c r="K100" s="39">
        <f t="shared" si="70"/>
        <v>0</v>
      </c>
      <c r="L100" s="39">
        <f t="shared" si="71"/>
        <v>0</v>
      </c>
      <c r="M100" s="39">
        <f t="shared" si="72"/>
        <v>0</v>
      </c>
      <c r="N100" s="39">
        <f t="shared" si="73"/>
        <v>0</v>
      </c>
      <c r="O100" s="39">
        <f t="shared" si="74"/>
        <v>0</v>
      </c>
      <c r="P100" s="39">
        <f t="shared" si="75"/>
        <v>0</v>
      </c>
      <c r="Q100" s="39">
        <f t="shared" si="76"/>
        <v>0</v>
      </c>
      <c r="S100" s="79">
        <f t="shared" si="77"/>
        <v>25.14</v>
      </c>
      <c r="AA100"/>
    </row>
    <row r="101" s="35" customFormat="1" spans="1:27">
      <c r="A101" s="36" t="str">
        <f t="shared" si="60"/>
        <v>C-14</v>
      </c>
      <c r="B101" s="39">
        <f t="shared" si="61"/>
        <v>0</v>
      </c>
      <c r="C101" s="39">
        <f t="shared" si="62"/>
        <v>0</v>
      </c>
      <c r="D101" s="39">
        <f t="shared" si="63"/>
        <v>0</v>
      </c>
      <c r="E101" s="39">
        <f t="shared" si="64"/>
        <v>3.73833779508869e-10</v>
      </c>
      <c r="F101" s="39">
        <f t="shared" si="65"/>
        <v>1.37276666573748e-10</v>
      </c>
      <c r="G101" s="39">
        <f t="shared" si="66"/>
        <v>1.01364110050437e-10</v>
      </c>
      <c r="H101" s="39">
        <f t="shared" si="67"/>
        <v>7.05994285236421e-11</v>
      </c>
      <c r="I101" s="39">
        <f t="shared" si="68"/>
        <v>5.60137827001813e-11</v>
      </c>
      <c r="J101" s="39">
        <f t="shared" si="69"/>
        <v>3.83639255692708e-11</v>
      </c>
      <c r="K101" s="39">
        <f t="shared" si="70"/>
        <v>1.74047202263145e-11</v>
      </c>
      <c r="L101" s="39">
        <f t="shared" si="71"/>
        <v>5.03756338944738e-12</v>
      </c>
      <c r="M101" s="39">
        <f t="shared" si="72"/>
        <v>2.52491011733859e-12</v>
      </c>
      <c r="N101" s="39">
        <f t="shared" si="73"/>
        <v>2.16946160567442e-12</v>
      </c>
      <c r="O101" s="39">
        <f t="shared" si="74"/>
        <v>1.92432470107844e-12</v>
      </c>
      <c r="P101" s="39">
        <f t="shared" si="75"/>
        <v>1.74047202263145e-12</v>
      </c>
      <c r="Q101" s="39">
        <f t="shared" si="76"/>
        <v>1.59338987987387e-12</v>
      </c>
      <c r="S101" s="79">
        <f t="shared" si="77"/>
        <v>0.14</v>
      </c>
      <c r="AA101"/>
    </row>
    <row r="102" s="35" customFormat="1" spans="1:27">
      <c r="A102" s="36" t="str">
        <f t="shared" si="60"/>
        <v>Co-60</v>
      </c>
      <c r="B102" s="39">
        <f t="shared" si="61"/>
        <v>0</v>
      </c>
      <c r="C102" s="39">
        <f t="shared" si="62"/>
        <v>0</v>
      </c>
      <c r="D102" s="39">
        <f t="shared" si="63"/>
        <v>0</v>
      </c>
      <c r="E102" s="39">
        <f t="shared" si="64"/>
        <v>7.33561253691622e-10</v>
      </c>
      <c r="F102" s="39">
        <f t="shared" si="65"/>
        <v>2.69373312831022e-10</v>
      </c>
      <c r="G102" s="39">
        <f t="shared" si="66"/>
        <v>1.98903330099335e-10</v>
      </c>
      <c r="H102" s="39">
        <f t="shared" si="67"/>
        <v>1.38534846598811e-10</v>
      </c>
      <c r="I102" s="39">
        <f t="shared" si="68"/>
        <v>1.09913932110515e-10</v>
      </c>
      <c r="J102" s="39">
        <f t="shared" si="69"/>
        <v>7.52802204608124e-11</v>
      </c>
      <c r="K102" s="39">
        <f t="shared" si="70"/>
        <v>3.41526878767903e-11</v>
      </c>
      <c r="L102" s="39">
        <f t="shared" si="71"/>
        <v>9.88503853335268e-12</v>
      </c>
      <c r="M102" s="39">
        <f t="shared" si="72"/>
        <v>4.95454486099915e-12</v>
      </c>
      <c r="N102" s="39">
        <f t="shared" si="73"/>
        <v>4.25706039027597e-12</v>
      </c>
      <c r="O102" s="39">
        <f t="shared" si="74"/>
        <v>3.77603661736343e-12</v>
      </c>
      <c r="P102" s="39">
        <f t="shared" si="75"/>
        <v>3.41526878767903e-12</v>
      </c>
      <c r="Q102" s="39">
        <f t="shared" si="76"/>
        <v>3.1266545239315e-12</v>
      </c>
      <c r="S102" s="79">
        <f t="shared" si="77"/>
        <v>0.05</v>
      </c>
      <c r="AA102"/>
    </row>
    <row r="103" s="35" customFormat="1" spans="1:31">
      <c r="A103" s="36" t="str">
        <f t="shared" si="60"/>
        <v>Ar-41</v>
      </c>
      <c r="B103" s="39">
        <f t="shared" si="61"/>
        <v>0</v>
      </c>
      <c r="C103" s="39">
        <f t="shared" si="62"/>
        <v>0</v>
      </c>
      <c r="D103" s="39">
        <f t="shared" si="63"/>
        <v>0</v>
      </c>
      <c r="E103" s="39">
        <f t="shared" si="64"/>
        <v>0</v>
      </c>
      <c r="F103" s="39">
        <f t="shared" si="65"/>
        <v>0</v>
      </c>
      <c r="G103" s="39">
        <f t="shared" si="66"/>
        <v>0</v>
      </c>
      <c r="H103" s="39">
        <f t="shared" si="67"/>
        <v>0</v>
      </c>
      <c r="I103" s="39">
        <f t="shared" si="68"/>
        <v>0</v>
      </c>
      <c r="J103" s="39">
        <f t="shared" si="69"/>
        <v>0</v>
      </c>
      <c r="K103" s="39">
        <f t="shared" si="70"/>
        <v>0</v>
      </c>
      <c r="L103" s="39">
        <f t="shared" si="71"/>
        <v>0</v>
      </c>
      <c r="M103" s="39">
        <f t="shared" si="72"/>
        <v>0</v>
      </c>
      <c r="N103" s="39">
        <f t="shared" si="73"/>
        <v>0</v>
      </c>
      <c r="O103" s="39">
        <f t="shared" si="74"/>
        <v>0</v>
      </c>
      <c r="P103" s="39">
        <f t="shared" si="75"/>
        <v>0</v>
      </c>
      <c r="Q103" s="39">
        <f t="shared" si="76"/>
        <v>0</v>
      </c>
      <c r="S103" s="89"/>
      <c r="AA103"/>
      <c r="AB103" s="40"/>
      <c r="AC103" s="40"/>
      <c r="AD103" s="40"/>
      <c r="AE103" s="40"/>
    </row>
    <row r="104" s="35" customFormat="1" spans="2:31"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AA104"/>
      <c r="AB104" s="90"/>
      <c r="AC104" s="90"/>
      <c r="AD104" s="90"/>
      <c r="AE104" s="90"/>
    </row>
    <row r="105" s="35" customFormat="1" spans="1:31">
      <c r="A105" s="86" t="s">
        <v>4557</v>
      </c>
      <c r="B105" s="87">
        <f t="shared" ref="B105:Q105" si="78">SUM(B33:B103)</f>
        <v>0</v>
      </c>
      <c r="C105" s="87">
        <f t="shared" si="78"/>
        <v>0</v>
      </c>
      <c r="D105" s="87">
        <f t="shared" si="78"/>
        <v>0</v>
      </c>
      <c r="E105" s="87">
        <f t="shared" si="78"/>
        <v>0.000978764957598602</v>
      </c>
      <c r="F105" s="87">
        <f t="shared" si="78"/>
        <v>0.000359415328691946</v>
      </c>
      <c r="G105" s="87">
        <f t="shared" si="78"/>
        <v>0.000265389711453785</v>
      </c>
      <c r="H105" s="87">
        <f t="shared" si="78"/>
        <v>0.000184842169041572</v>
      </c>
      <c r="I105" s="87">
        <f t="shared" si="78"/>
        <v>0.000146654290368053</v>
      </c>
      <c r="J105" s="87">
        <f t="shared" si="78"/>
        <v>0.00010044374810766</v>
      </c>
      <c r="K105" s="87">
        <f t="shared" si="78"/>
        <v>4.55687291734432e-5</v>
      </c>
      <c r="L105" s="87">
        <f t="shared" si="78"/>
        <v>1.31892589368205e-5</v>
      </c>
      <c r="M105" s="87">
        <f t="shared" si="78"/>
        <v>6.610674795584e-6</v>
      </c>
      <c r="N105" s="87">
        <f t="shared" si="78"/>
        <v>5.68004581950664e-6</v>
      </c>
      <c r="O105" s="87">
        <f t="shared" si="78"/>
        <v>5.03823273255674e-6</v>
      </c>
      <c r="P105" s="87">
        <f t="shared" si="78"/>
        <v>4.55687291734431e-6</v>
      </c>
      <c r="Q105" s="87">
        <f t="shared" si="78"/>
        <v>4.17178506517437e-6</v>
      </c>
      <c r="R105" s="49">
        <f>MAX(B105:Q105)</f>
        <v>0.000978764957598602</v>
      </c>
      <c r="S105" s="35">
        <f>ROUND(SUM(O33:O54)/$R$105*100,1)</f>
        <v>0</v>
      </c>
      <c r="V105" s="90" t="e">
        <f>SUM(B33:B54)/B105*100</f>
        <v>#DIV/0!</v>
      </c>
      <c r="AA105"/>
      <c r="AB105" s="90">
        <v>25.293964572018</v>
      </c>
      <c r="AC105" s="90">
        <v>22.9362486151169</v>
      </c>
      <c r="AD105" s="90">
        <v>18.0723111029894</v>
      </c>
      <c r="AE105" s="90">
        <v>3.3</v>
      </c>
    </row>
    <row r="106" s="35" customFormat="1" spans="2:31">
      <c r="B106" s="50">
        <f t="shared" ref="B106:Q106" si="79">B32</f>
        <v>0</v>
      </c>
      <c r="C106" s="50">
        <f t="shared" si="79"/>
        <v>0</v>
      </c>
      <c r="D106" s="50">
        <f t="shared" si="79"/>
        <v>0</v>
      </c>
      <c r="E106" s="50" t="str">
        <f t="shared" si="79"/>
        <v>500m</v>
      </c>
      <c r="F106" s="50" t="str">
        <f t="shared" si="79"/>
        <v>1500m</v>
      </c>
      <c r="G106" s="50" t="str">
        <f t="shared" si="79"/>
        <v>2500m</v>
      </c>
      <c r="H106" s="50" t="str">
        <f t="shared" si="79"/>
        <v>4000m</v>
      </c>
      <c r="I106" s="50" t="str">
        <f t="shared" si="79"/>
        <v>5000m</v>
      </c>
      <c r="J106" s="50" t="str">
        <f t="shared" si="79"/>
        <v>7500m</v>
      </c>
      <c r="K106" s="50" t="str">
        <f t="shared" si="79"/>
        <v>15000m</v>
      </c>
      <c r="L106" s="50" t="str">
        <f t="shared" si="79"/>
        <v>25000m</v>
      </c>
      <c r="M106" s="50" t="str">
        <f t="shared" si="79"/>
        <v>35000m</v>
      </c>
      <c r="N106" s="50" t="str">
        <f t="shared" si="79"/>
        <v>45000m</v>
      </c>
      <c r="O106" s="50" t="str">
        <f t="shared" si="79"/>
        <v>55000m</v>
      </c>
      <c r="P106" s="50" t="str">
        <f t="shared" si="79"/>
        <v>65000m</v>
      </c>
      <c r="Q106" s="50" t="str">
        <f t="shared" si="79"/>
        <v>75000m</v>
      </c>
      <c r="S106" s="35">
        <f>ROUND(SUM(O81:O102)/$R$105*100,1)</f>
        <v>0</v>
      </c>
      <c r="V106" s="90" t="e">
        <f>SUM(B57:B78)/B105*100</f>
        <v>#DIV/0!</v>
      </c>
      <c r="AA106"/>
      <c r="AB106" s="90">
        <v>70.5004257631306</v>
      </c>
      <c r="AC106" s="90">
        <v>73.548228156788</v>
      </c>
      <c r="AD106" s="90">
        <v>81.0260592013354</v>
      </c>
      <c r="AE106" s="90">
        <v>95.3610808229406</v>
      </c>
    </row>
    <row r="107" s="35" customFormat="1" spans="19:27">
      <c r="S107" s="35">
        <f>100-SUM(S105:S106)</f>
        <v>100</v>
      </c>
      <c r="V107" s="90" t="e">
        <f>SUM(B81:B102)/B105*100</f>
        <v>#DIV/0!</v>
      </c>
      <c r="AA107"/>
    </row>
    <row r="119" s="35" customFormat="1" spans="1:27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AA119"/>
    </row>
    <row r="120" s="35" customFormat="1" spans="1:27">
      <c r="A120" s="49"/>
      <c r="B120" s="49"/>
      <c r="C120" s="88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AA120"/>
    </row>
    <row r="121" s="35" customFormat="1" spans="1:27">
      <c r="A121" s="49"/>
      <c r="B121" s="49"/>
      <c r="C121" s="88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AA121"/>
    </row>
  </sheetData>
  <mergeCells count="1">
    <mergeCell ref="U37:Y37"/>
  </mergeCells>
  <pageMargins left="0.75" right="0.75" top="1" bottom="1" header="0.5" footer="0.5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0"/>
  <sheetViews>
    <sheetView workbookViewId="0">
      <selection activeCell="U36" sqref="U36"/>
    </sheetView>
  </sheetViews>
  <sheetFormatPr defaultColWidth="9" defaultRowHeight="13.5"/>
  <cols>
    <col min="1" max="1" width="12.875" style="1" customWidth="1"/>
    <col min="2" max="5" width="6.75" style="1" customWidth="1"/>
    <col min="6" max="6" width="8.375" style="1" customWidth="1"/>
    <col min="7" max="11" width="6.75" style="1" customWidth="1"/>
    <col min="12" max="12" width="4.875" style="1" customWidth="1"/>
    <col min="13" max="21" width="6.75" style="1" customWidth="1"/>
    <col min="22" max="22" width="9" style="1"/>
    <col min="23" max="23" width="11.125" style="1" customWidth="1"/>
    <col min="24" max="16384" width="9" style="1"/>
  </cols>
  <sheetData>
    <row r="1" spans="1:21">
      <c r="A1" s="2" t="s">
        <v>4558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>
      <c r="A2" s="3" t="s">
        <v>4559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ht="15" spans="1:28">
      <c r="A3" s="5" t="s">
        <v>4560</v>
      </c>
      <c r="B3" s="6">
        <v>7</v>
      </c>
      <c r="C3" s="6">
        <v>7</v>
      </c>
      <c r="D3" s="7">
        <v>7</v>
      </c>
      <c r="E3" s="8">
        <v>7</v>
      </c>
      <c r="F3" s="9">
        <v>7.9</v>
      </c>
      <c r="G3" s="6">
        <v>7</v>
      </c>
      <c r="H3" s="6">
        <v>7</v>
      </c>
      <c r="I3" s="6">
        <v>7</v>
      </c>
      <c r="J3" s="6">
        <v>7</v>
      </c>
      <c r="K3" s="6">
        <v>7</v>
      </c>
      <c r="L3" s="6"/>
      <c r="M3" s="6">
        <v>7</v>
      </c>
      <c r="N3" s="6">
        <v>7</v>
      </c>
      <c r="O3" s="7">
        <v>7</v>
      </c>
      <c r="P3" s="8">
        <v>7</v>
      </c>
      <c r="Q3" s="9">
        <v>7</v>
      </c>
      <c r="R3" s="6">
        <v>7</v>
      </c>
      <c r="S3" s="6">
        <v>7</v>
      </c>
      <c r="T3" s="6">
        <v>7</v>
      </c>
      <c r="U3" s="6">
        <v>7</v>
      </c>
      <c r="W3" s="7">
        <v>7.9</v>
      </c>
      <c r="X3" s="7">
        <v>7.9</v>
      </c>
      <c r="Y3" s="7">
        <v>7.9</v>
      </c>
      <c r="Z3" s="7">
        <v>7.9</v>
      </c>
      <c r="AA3" s="7">
        <v>7.9</v>
      </c>
      <c r="AB3" s="7">
        <v>7.9</v>
      </c>
    </row>
    <row r="4" ht="15" spans="1:28">
      <c r="A4" s="5" t="s">
        <v>4561</v>
      </c>
      <c r="B4" s="5">
        <v>500</v>
      </c>
      <c r="C4" s="5">
        <v>500</v>
      </c>
      <c r="D4" s="10">
        <v>500</v>
      </c>
      <c r="E4" s="5">
        <v>500</v>
      </c>
      <c r="F4" s="11">
        <v>500</v>
      </c>
      <c r="G4" s="5">
        <v>500</v>
      </c>
      <c r="H4" s="5">
        <v>500</v>
      </c>
      <c r="I4" s="5">
        <v>500</v>
      </c>
      <c r="J4" s="5">
        <v>500</v>
      </c>
      <c r="K4" s="5">
        <v>500</v>
      </c>
      <c r="L4" s="5"/>
      <c r="M4" s="5">
        <v>400</v>
      </c>
      <c r="N4" s="5">
        <v>400</v>
      </c>
      <c r="O4" s="10">
        <v>400</v>
      </c>
      <c r="P4" s="5">
        <v>400</v>
      </c>
      <c r="Q4" s="11">
        <v>400</v>
      </c>
      <c r="R4" s="5">
        <v>400</v>
      </c>
      <c r="S4" s="5">
        <v>400</v>
      </c>
      <c r="T4" s="5">
        <v>400</v>
      </c>
      <c r="U4" s="5">
        <v>400</v>
      </c>
      <c r="W4" s="16">
        <f t="shared" ref="W4:AB4" si="0">500/7.9</f>
        <v>63.2911392405063</v>
      </c>
      <c r="X4" s="16">
        <f t="shared" si="0"/>
        <v>63.2911392405063</v>
      </c>
      <c r="Y4" s="16">
        <f t="shared" si="0"/>
        <v>63.2911392405063</v>
      </c>
      <c r="Z4" s="16">
        <f t="shared" si="0"/>
        <v>63.2911392405063</v>
      </c>
      <c r="AA4" s="16">
        <f t="shared" si="0"/>
        <v>63.2911392405063</v>
      </c>
      <c r="AB4" s="16">
        <f t="shared" si="0"/>
        <v>63.2911392405063</v>
      </c>
    </row>
    <row r="5" ht="15" spans="1:28">
      <c r="A5" s="12" t="s">
        <v>99</v>
      </c>
      <c r="B5" s="12">
        <v>250</v>
      </c>
      <c r="C5" s="12">
        <v>250</v>
      </c>
      <c r="D5" s="13">
        <v>250</v>
      </c>
      <c r="E5" s="12">
        <v>250</v>
      </c>
      <c r="F5" s="14">
        <v>250</v>
      </c>
      <c r="G5" s="12">
        <v>750</v>
      </c>
      <c r="H5" s="12">
        <v>750</v>
      </c>
      <c r="I5" s="12">
        <v>750</v>
      </c>
      <c r="J5" s="12">
        <v>750</v>
      </c>
      <c r="K5" s="12">
        <v>750</v>
      </c>
      <c r="L5" s="12"/>
      <c r="M5" s="12">
        <v>250</v>
      </c>
      <c r="N5" s="12">
        <v>250</v>
      </c>
      <c r="O5" s="13">
        <v>250</v>
      </c>
      <c r="P5" s="12">
        <v>250</v>
      </c>
      <c r="Q5" s="14">
        <v>250</v>
      </c>
      <c r="R5" s="12">
        <v>750</v>
      </c>
      <c r="S5" s="12">
        <v>750</v>
      </c>
      <c r="T5" s="12">
        <v>750</v>
      </c>
      <c r="U5" s="12">
        <v>750</v>
      </c>
      <c r="W5" s="13">
        <v>250</v>
      </c>
      <c r="X5" s="12">
        <v>250</v>
      </c>
      <c r="Y5" s="14">
        <v>250</v>
      </c>
      <c r="Z5" s="13">
        <v>750</v>
      </c>
      <c r="AA5" s="12">
        <v>750</v>
      </c>
      <c r="AB5" s="14">
        <v>750</v>
      </c>
    </row>
    <row r="6" ht="15" spans="1:28">
      <c r="A6" s="5" t="s">
        <v>100</v>
      </c>
      <c r="B6" s="5">
        <f t="shared" ref="B6:K6" si="1">B5+273</f>
        <v>523</v>
      </c>
      <c r="C6" s="5">
        <f t="shared" si="1"/>
        <v>523</v>
      </c>
      <c r="D6" s="10">
        <f t="shared" si="1"/>
        <v>523</v>
      </c>
      <c r="E6" s="5">
        <f t="shared" si="1"/>
        <v>523</v>
      </c>
      <c r="F6" s="11">
        <f t="shared" si="1"/>
        <v>523</v>
      </c>
      <c r="G6" s="5">
        <f t="shared" si="1"/>
        <v>1023</v>
      </c>
      <c r="H6" s="5">
        <f t="shared" si="1"/>
        <v>1023</v>
      </c>
      <c r="I6" s="5">
        <f t="shared" si="1"/>
        <v>1023</v>
      </c>
      <c r="J6" s="5">
        <f t="shared" si="1"/>
        <v>1023</v>
      </c>
      <c r="K6" s="5">
        <f t="shared" si="1"/>
        <v>1023</v>
      </c>
      <c r="L6" s="5"/>
      <c r="M6" s="5">
        <f t="shared" ref="M6:T6" si="2">M5+273</f>
        <v>523</v>
      </c>
      <c r="N6" s="5">
        <f t="shared" si="2"/>
        <v>523</v>
      </c>
      <c r="O6" s="10">
        <f t="shared" si="2"/>
        <v>523</v>
      </c>
      <c r="P6" s="5">
        <f t="shared" si="2"/>
        <v>523</v>
      </c>
      <c r="Q6" s="11">
        <f t="shared" si="2"/>
        <v>523</v>
      </c>
      <c r="R6" s="5">
        <f t="shared" si="2"/>
        <v>1023</v>
      </c>
      <c r="S6" s="5">
        <f t="shared" si="2"/>
        <v>1023</v>
      </c>
      <c r="T6" s="5">
        <f t="shared" si="2"/>
        <v>1023</v>
      </c>
      <c r="U6" s="5">
        <f t="shared" ref="U6:AB6" si="3">U5+273</f>
        <v>1023</v>
      </c>
      <c r="W6" s="10">
        <f t="shared" si="3"/>
        <v>523</v>
      </c>
      <c r="X6" s="5">
        <f t="shared" si="3"/>
        <v>523</v>
      </c>
      <c r="Y6" s="11">
        <f t="shared" si="3"/>
        <v>523</v>
      </c>
      <c r="Z6" s="10">
        <f t="shared" si="3"/>
        <v>1023</v>
      </c>
      <c r="AA6" s="5">
        <f t="shared" si="3"/>
        <v>1023</v>
      </c>
      <c r="AB6" s="11">
        <f t="shared" si="3"/>
        <v>1023</v>
      </c>
    </row>
    <row r="7" ht="15" spans="1:28">
      <c r="A7" s="4" t="s">
        <v>4562</v>
      </c>
      <c r="B7" s="15">
        <f>0.1786*B3/0.101*298/B6*B4</f>
        <v>3526.49035458039</v>
      </c>
      <c r="C7" s="15">
        <f t="shared" ref="B7:K7" si="4">0.1786*C3/0.101*298/C6*C4</f>
        <v>3526.49035458039</v>
      </c>
      <c r="D7" s="16">
        <f t="shared" si="4"/>
        <v>3526.49035458039</v>
      </c>
      <c r="E7" s="15">
        <f t="shared" si="4"/>
        <v>3526.49035458039</v>
      </c>
      <c r="F7" s="17">
        <f t="shared" si="4"/>
        <v>3979.89625731216</v>
      </c>
      <c r="G7" s="15">
        <f t="shared" si="4"/>
        <v>1802.88803073856</v>
      </c>
      <c r="H7" s="15">
        <f t="shared" si="4"/>
        <v>1802.88803073856</v>
      </c>
      <c r="I7" s="15">
        <f t="shared" si="4"/>
        <v>1802.88803073856</v>
      </c>
      <c r="J7" s="15">
        <f t="shared" si="4"/>
        <v>1802.88803073856</v>
      </c>
      <c r="K7" s="15">
        <f t="shared" si="4"/>
        <v>1802.88803073856</v>
      </c>
      <c r="L7" s="15"/>
      <c r="M7" s="15">
        <f t="shared" ref="M7:T7" si="5">0.1786*M3/0.101*298/M6*M4</f>
        <v>2821.19228366431</v>
      </c>
      <c r="N7" s="15">
        <f t="shared" si="5"/>
        <v>2821.19228366431</v>
      </c>
      <c r="O7" s="16">
        <f t="shared" si="5"/>
        <v>2821.19228366431</v>
      </c>
      <c r="P7" s="15">
        <f t="shared" si="5"/>
        <v>2821.19228366431</v>
      </c>
      <c r="Q7" s="17">
        <f t="shared" si="5"/>
        <v>2821.19228366431</v>
      </c>
      <c r="R7" s="15">
        <f t="shared" si="5"/>
        <v>1442.31042459085</v>
      </c>
      <c r="S7" s="15">
        <f t="shared" si="5"/>
        <v>1442.31042459085</v>
      </c>
      <c r="T7" s="15">
        <f t="shared" si="5"/>
        <v>1442.31042459085</v>
      </c>
      <c r="U7" s="15">
        <f t="shared" ref="U7:AB7" si="6">0.1786*U3/0.101*298/U6*U4</f>
        <v>1442.31042459085</v>
      </c>
      <c r="W7" s="16">
        <f t="shared" si="6"/>
        <v>503.784336368627</v>
      </c>
      <c r="X7" s="15">
        <f t="shared" si="6"/>
        <v>503.784336368627</v>
      </c>
      <c r="Y7" s="17">
        <f t="shared" si="6"/>
        <v>503.784336368627</v>
      </c>
      <c r="Z7" s="16">
        <f t="shared" si="6"/>
        <v>257.555432962651</v>
      </c>
      <c r="AA7" s="15">
        <f t="shared" si="6"/>
        <v>257.555432962651</v>
      </c>
      <c r="AB7" s="17">
        <f t="shared" si="6"/>
        <v>257.555432962651</v>
      </c>
    </row>
    <row r="8" ht="15" spans="1:28">
      <c r="A8" s="3" t="s">
        <v>4563</v>
      </c>
      <c r="B8" s="5"/>
      <c r="C8" s="5"/>
      <c r="D8" s="10"/>
      <c r="E8" s="5"/>
      <c r="F8" s="11"/>
      <c r="G8" s="5"/>
      <c r="H8" s="5"/>
      <c r="I8" s="5"/>
      <c r="J8" s="5"/>
      <c r="K8" s="5"/>
      <c r="L8" s="5"/>
      <c r="M8" s="5"/>
      <c r="N8" s="5"/>
      <c r="O8" s="10"/>
      <c r="P8" s="5"/>
      <c r="Q8" s="11"/>
      <c r="R8" s="5"/>
      <c r="S8" s="5"/>
      <c r="T8" s="5"/>
      <c r="U8" s="5"/>
      <c r="W8" s="10"/>
      <c r="X8" s="5"/>
      <c r="Y8" s="11"/>
      <c r="Z8" s="10"/>
      <c r="AA8" s="5"/>
      <c r="AB8" s="11"/>
    </row>
    <row r="9" ht="15" spans="1:28">
      <c r="A9" s="5" t="s">
        <v>4560</v>
      </c>
      <c r="B9" s="5">
        <v>0.1</v>
      </c>
      <c r="C9" s="5">
        <v>0.1</v>
      </c>
      <c r="D9" s="10">
        <v>0.1</v>
      </c>
      <c r="E9" s="5">
        <v>0.1</v>
      </c>
      <c r="F9" s="11">
        <v>0.1</v>
      </c>
      <c r="G9" s="5">
        <v>0.1</v>
      </c>
      <c r="H9" s="5">
        <v>0.1</v>
      </c>
      <c r="I9" s="5">
        <v>0.1</v>
      </c>
      <c r="J9" s="5">
        <v>0.1</v>
      </c>
      <c r="K9" s="5">
        <v>0.1</v>
      </c>
      <c r="L9" s="5"/>
      <c r="M9" s="5">
        <v>0.1</v>
      </c>
      <c r="N9" s="5">
        <v>0.1</v>
      </c>
      <c r="O9" s="10">
        <v>0.1</v>
      </c>
      <c r="P9" s="5">
        <v>0.1</v>
      </c>
      <c r="Q9" s="11">
        <v>0.1</v>
      </c>
      <c r="R9" s="5">
        <v>0.1</v>
      </c>
      <c r="S9" s="5">
        <v>0.1</v>
      </c>
      <c r="T9" s="5">
        <v>0.1</v>
      </c>
      <c r="U9" s="5">
        <v>0.1</v>
      </c>
      <c r="W9" s="10">
        <v>0.1</v>
      </c>
      <c r="X9" s="5">
        <v>0.1</v>
      </c>
      <c r="Y9" s="11">
        <v>0.1</v>
      </c>
      <c r="Z9" s="10">
        <v>0.1</v>
      </c>
      <c r="AA9" s="5">
        <v>0.1</v>
      </c>
      <c r="AB9" s="11">
        <v>0.1</v>
      </c>
    </row>
    <row r="10" ht="15" spans="1:28">
      <c r="A10" s="5" t="s">
        <v>4561</v>
      </c>
      <c r="B10" s="5">
        <v>44000</v>
      </c>
      <c r="C10" s="5">
        <v>44000</v>
      </c>
      <c r="D10" s="5">
        <v>44000</v>
      </c>
      <c r="E10" s="5">
        <v>44000</v>
      </c>
      <c r="F10" s="5">
        <v>44000</v>
      </c>
      <c r="G10" s="5">
        <v>44000</v>
      </c>
      <c r="H10" s="5">
        <v>44000</v>
      </c>
      <c r="I10" s="5">
        <v>44000</v>
      </c>
      <c r="J10" s="5">
        <v>44000</v>
      </c>
      <c r="K10" s="5">
        <v>44000</v>
      </c>
      <c r="L10" s="5"/>
      <c r="M10" s="5">
        <v>115000</v>
      </c>
      <c r="N10" s="5">
        <v>115000</v>
      </c>
      <c r="O10" s="10">
        <v>115000</v>
      </c>
      <c r="P10" s="10">
        <v>115000</v>
      </c>
      <c r="Q10" s="11">
        <v>115000</v>
      </c>
      <c r="R10" s="5">
        <v>115000</v>
      </c>
      <c r="S10" s="5">
        <v>115000</v>
      </c>
      <c r="T10" s="5">
        <v>115000</v>
      </c>
      <c r="U10" s="5">
        <v>115000</v>
      </c>
      <c r="W10" s="10">
        <v>150000</v>
      </c>
      <c r="X10" s="5">
        <v>150000</v>
      </c>
      <c r="Y10" s="11">
        <v>150000</v>
      </c>
      <c r="Z10" s="10">
        <v>150000</v>
      </c>
      <c r="AA10" s="5">
        <v>150000</v>
      </c>
      <c r="AB10" s="11">
        <v>150000</v>
      </c>
    </row>
    <row r="11" ht="15" spans="1:28">
      <c r="A11" s="18" t="s">
        <v>99</v>
      </c>
      <c r="B11" s="18">
        <v>25</v>
      </c>
      <c r="C11" s="18">
        <v>25</v>
      </c>
      <c r="D11" s="19">
        <v>25</v>
      </c>
      <c r="E11" s="18">
        <v>25</v>
      </c>
      <c r="F11" s="20">
        <v>25</v>
      </c>
      <c r="G11" s="18">
        <v>25</v>
      </c>
      <c r="H11" s="18">
        <v>25</v>
      </c>
      <c r="I11" s="18">
        <v>25</v>
      </c>
      <c r="J11" s="18">
        <v>25</v>
      </c>
      <c r="K11" s="18">
        <v>25</v>
      </c>
      <c r="L11" s="18"/>
      <c r="M11" s="18">
        <v>25</v>
      </c>
      <c r="N11" s="18">
        <v>25</v>
      </c>
      <c r="O11" s="19">
        <v>25</v>
      </c>
      <c r="P11" s="18">
        <v>25</v>
      </c>
      <c r="Q11" s="20">
        <v>25</v>
      </c>
      <c r="R11" s="18">
        <v>25</v>
      </c>
      <c r="S11" s="18">
        <v>25</v>
      </c>
      <c r="T11" s="18">
        <v>25</v>
      </c>
      <c r="U11" s="18">
        <v>25</v>
      </c>
      <c r="W11" s="19">
        <v>25</v>
      </c>
      <c r="X11" s="18">
        <v>25</v>
      </c>
      <c r="Y11" s="20">
        <v>25</v>
      </c>
      <c r="Z11" s="19">
        <v>25</v>
      </c>
      <c r="AA11" s="18">
        <v>25</v>
      </c>
      <c r="AB11" s="20">
        <v>25</v>
      </c>
    </row>
    <row r="12" ht="15" spans="1:28">
      <c r="A12" s="5" t="s">
        <v>100</v>
      </c>
      <c r="B12" s="5">
        <f t="shared" ref="B12:K12" si="7">B11+273</f>
        <v>298</v>
      </c>
      <c r="C12" s="5">
        <f t="shared" si="7"/>
        <v>298</v>
      </c>
      <c r="D12" s="10">
        <f t="shared" si="7"/>
        <v>298</v>
      </c>
      <c r="E12" s="5">
        <f t="shared" si="7"/>
        <v>298</v>
      </c>
      <c r="F12" s="11">
        <f t="shared" si="7"/>
        <v>298</v>
      </c>
      <c r="G12" s="5">
        <f t="shared" si="7"/>
        <v>298</v>
      </c>
      <c r="H12" s="5">
        <f t="shared" si="7"/>
        <v>298</v>
      </c>
      <c r="I12" s="5">
        <f t="shared" si="7"/>
        <v>298</v>
      </c>
      <c r="J12" s="5">
        <f t="shared" si="7"/>
        <v>298</v>
      </c>
      <c r="K12" s="5">
        <f t="shared" si="7"/>
        <v>298</v>
      </c>
      <c r="L12" s="5"/>
      <c r="M12" s="5">
        <f t="shared" ref="M12:T12" si="8">M11+273</f>
        <v>298</v>
      </c>
      <c r="N12" s="5">
        <f t="shared" si="8"/>
        <v>298</v>
      </c>
      <c r="O12" s="10">
        <f t="shared" si="8"/>
        <v>298</v>
      </c>
      <c r="P12" s="5">
        <f t="shared" si="8"/>
        <v>298</v>
      </c>
      <c r="Q12" s="11">
        <f t="shared" si="8"/>
        <v>298</v>
      </c>
      <c r="R12" s="5">
        <f t="shared" si="8"/>
        <v>298</v>
      </c>
      <c r="S12" s="5">
        <f t="shared" si="8"/>
        <v>298</v>
      </c>
      <c r="T12" s="5">
        <f t="shared" si="8"/>
        <v>298</v>
      </c>
      <c r="U12" s="5">
        <f t="shared" ref="U12:AB12" si="9">U11+273</f>
        <v>298</v>
      </c>
      <c r="W12" s="10">
        <f t="shared" si="9"/>
        <v>298</v>
      </c>
      <c r="X12" s="5">
        <f t="shared" si="9"/>
        <v>298</v>
      </c>
      <c r="Y12" s="11">
        <f t="shared" si="9"/>
        <v>298</v>
      </c>
      <c r="Z12" s="10">
        <f t="shared" si="9"/>
        <v>298</v>
      </c>
      <c r="AA12" s="5">
        <f t="shared" si="9"/>
        <v>298</v>
      </c>
      <c r="AB12" s="11">
        <f t="shared" si="9"/>
        <v>298</v>
      </c>
    </row>
    <row r="13" ht="15" spans="1:28">
      <c r="A13" s="3" t="s">
        <v>4564</v>
      </c>
      <c r="B13" s="5"/>
      <c r="C13" s="5"/>
      <c r="D13" s="10"/>
      <c r="E13" s="5"/>
      <c r="F13" s="11"/>
      <c r="G13" s="5"/>
      <c r="H13" s="5"/>
      <c r="I13" s="5"/>
      <c r="J13" s="5"/>
      <c r="K13" s="5"/>
      <c r="L13" s="5"/>
      <c r="M13" s="5"/>
      <c r="N13" s="5"/>
      <c r="O13" s="10"/>
      <c r="P13" s="5"/>
      <c r="Q13" s="11"/>
      <c r="R13" s="5"/>
      <c r="S13" s="5"/>
      <c r="T13" s="5"/>
      <c r="U13" s="5"/>
      <c r="W13" s="10"/>
      <c r="X13" s="5"/>
      <c r="Y13" s="11"/>
      <c r="Z13" s="10"/>
      <c r="AA13" s="5"/>
      <c r="AB13" s="11"/>
    </row>
    <row r="14" ht="15" spans="1:28">
      <c r="A14" s="5" t="s">
        <v>4560</v>
      </c>
      <c r="B14" s="21">
        <f t="shared" ref="B14:K14" si="10">(B3*B4/B6+B9*B10/B12)/B15*B17</f>
        <v>0.203964528600161</v>
      </c>
      <c r="C14" s="21">
        <f t="shared" si="10"/>
        <v>0.179855246259716</v>
      </c>
      <c r="D14" s="22">
        <f t="shared" si="10"/>
        <v>0.155745963919272</v>
      </c>
      <c r="E14" s="23">
        <f t="shared" si="10"/>
        <v>0.146102250983094</v>
      </c>
      <c r="F14" s="24">
        <f t="shared" si="10"/>
        <v>0.149453240810364</v>
      </c>
      <c r="G14" s="21">
        <f t="shared" si="10"/>
        <v>0.172873071014358</v>
      </c>
      <c r="H14" s="21">
        <f t="shared" si="10"/>
        <v>0.152438901863725</v>
      </c>
      <c r="I14" s="21">
        <f t="shared" si="10"/>
        <v>0.132004732713092</v>
      </c>
      <c r="J14" s="21">
        <f t="shared" si="10"/>
        <v>0.123831065052838</v>
      </c>
      <c r="K14" s="21">
        <f t="shared" si="10"/>
        <v>0.121787648137775</v>
      </c>
      <c r="L14" s="21"/>
      <c r="M14" s="21">
        <f t="shared" ref="M14:T14" si="11">(M3*M4/M6+M9*M10/M12)/M15*M17</f>
        <v>0.161078445878746</v>
      </c>
      <c r="N14" s="21">
        <f t="shared" si="11"/>
        <v>0.142038440455727</v>
      </c>
      <c r="O14" s="33">
        <f t="shared" si="11"/>
        <v>0.122998435032707</v>
      </c>
      <c r="P14" s="21">
        <f t="shared" si="11"/>
        <v>0.115382432863499</v>
      </c>
      <c r="Q14" s="34">
        <f t="shared" si="11"/>
        <v>0.113478432321197</v>
      </c>
      <c r="R14" s="21">
        <f t="shared" si="11"/>
        <v>0.151486973694565</v>
      </c>
      <c r="S14" s="21">
        <f t="shared" si="11"/>
        <v>0.133580712028541</v>
      </c>
      <c r="T14" s="21">
        <f t="shared" si="11"/>
        <v>0.115674450362516</v>
      </c>
      <c r="U14" s="21">
        <f t="shared" ref="U14:AB14" si="12">(U3*U4/U6+U9*U10/U12)/U15*U17</f>
        <v>0.106721319529504</v>
      </c>
      <c r="W14" s="33">
        <f t="shared" si="12"/>
        <v>0.110401314985572</v>
      </c>
      <c r="X14" s="21">
        <f t="shared" si="12"/>
        <v>0.103565320249623</v>
      </c>
      <c r="Y14" s="34">
        <f t="shared" si="12"/>
        <v>0.101856321565636</v>
      </c>
      <c r="Z14" s="33">
        <f t="shared" si="12"/>
        <v>0.10939556336413</v>
      </c>
      <c r="AA14" s="21">
        <f t="shared" si="12"/>
        <v>0.102621844270376</v>
      </c>
      <c r="AB14" s="34">
        <f t="shared" si="12"/>
        <v>0.100928414496937</v>
      </c>
    </row>
    <row r="15" ht="15" spans="1:28">
      <c r="A15" s="5" t="s">
        <v>4561</v>
      </c>
      <c r="B15" s="5">
        <f t="shared" ref="B15:K15" si="13">B4+B10</f>
        <v>44500</v>
      </c>
      <c r="C15" s="5">
        <f t="shared" si="13"/>
        <v>44500</v>
      </c>
      <c r="D15" s="10">
        <f t="shared" si="13"/>
        <v>44500</v>
      </c>
      <c r="E15" s="5">
        <f t="shared" si="13"/>
        <v>44500</v>
      </c>
      <c r="F15" s="11">
        <f t="shared" si="13"/>
        <v>44500</v>
      </c>
      <c r="G15" s="5">
        <f t="shared" si="13"/>
        <v>44500</v>
      </c>
      <c r="H15" s="5">
        <f t="shared" si="13"/>
        <v>44500</v>
      </c>
      <c r="I15" s="5">
        <f t="shared" si="13"/>
        <v>44500</v>
      </c>
      <c r="J15" s="5">
        <f t="shared" si="13"/>
        <v>44500</v>
      </c>
      <c r="K15" s="5">
        <f t="shared" si="13"/>
        <v>44500</v>
      </c>
      <c r="L15" s="5"/>
      <c r="M15" s="5">
        <f t="shared" ref="M15:T15" si="14">M4+M10</f>
        <v>115400</v>
      </c>
      <c r="N15" s="5">
        <f t="shared" si="14"/>
        <v>115400</v>
      </c>
      <c r="O15" s="10">
        <f t="shared" si="14"/>
        <v>115400</v>
      </c>
      <c r="P15" s="10">
        <f t="shared" si="14"/>
        <v>115400</v>
      </c>
      <c r="Q15" s="11">
        <f t="shared" si="14"/>
        <v>115400</v>
      </c>
      <c r="R15" s="5">
        <f t="shared" si="14"/>
        <v>115400</v>
      </c>
      <c r="S15" s="5">
        <f t="shared" si="14"/>
        <v>115400</v>
      </c>
      <c r="T15" s="5">
        <f t="shared" si="14"/>
        <v>115400</v>
      </c>
      <c r="U15" s="5">
        <f t="shared" ref="U15:AB15" si="15">U4+U10</f>
        <v>115400</v>
      </c>
      <c r="W15" s="10">
        <f t="shared" si="15"/>
        <v>150063.29113924</v>
      </c>
      <c r="X15" s="5">
        <f t="shared" si="15"/>
        <v>150063.29113924</v>
      </c>
      <c r="Y15" s="11">
        <f t="shared" si="15"/>
        <v>150063.29113924</v>
      </c>
      <c r="Z15" s="10">
        <f t="shared" si="15"/>
        <v>150063.29113924</v>
      </c>
      <c r="AA15" s="5">
        <f t="shared" si="15"/>
        <v>150063.29113924</v>
      </c>
      <c r="AB15" s="11">
        <f t="shared" si="15"/>
        <v>150063.29113924</v>
      </c>
    </row>
    <row r="16" ht="15" spans="1:28">
      <c r="A16" s="12" t="s">
        <v>99</v>
      </c>
      <c r="B16" s="12">
        <v>150</v>
      </c>
      <c r="C16" s="12">
        <v>100</v>
      </c>
      <c r="D16" s="13">
        <v>50</v>
      </c>
      <c r="E16" s="12">
        <v>30</v>
      </c>
      <c r="F16" s="14">
        <v>25</v>
      </c>
      <c r="G16" s="12">
        <v>150</v>
      </c>
      <c r="H16" s="12">
        <v>100</v>
      </c>
      <c r="I16" s="12">
        <v>50</v>
      </c>
      <c r="J16" s="12">
        <v>30</v>
      </c>
      <c r="K16" s="12">
        <v>25</v>
      </c>
      <c r="L16" s="12"/>
      <c r="M16" s="12">
        <v>150</v>
      </c>
      <c r="N16" s="12">
        <v>100</v>
      </c>
      <c r="O16" s="13">
        <v>50</v>
      </c>
      <c r="P16" s="12">
        <v>30</v>
      </c>
      <c r="Q16" s="14">
        <v>25</v>
      </c>
      <c r="R16" s="12">
        <v>150</v>
      </c>
      <c r="S16" s="12">
        <v>100</v>
      </c>
      <c r="T16" s="12">
        <v>50</v>
      </c>
      <c r="U16" s="12">
        <v>25</v>
      </c>
      <c r="W16" s="13">
        <v>50</v>
      </c>
      <c r="X16" s="12">
        <v>30</v>
      </c>
      <c r="Y16" s="14">
        <v>25</v>
      </c>
      <c r="Z16" s="13">
        <v>50</v>
      </c>
      <c r="AA16" s="12">
        <v>30</v>
      </c>
      <c r="AB16" s="14">
        <v>25</v>
      </c>
    </row>
    <row r="17" ht="15" spans="1:28">
      <c r="A17" s="5" t="s">
        <v>100</v>
      </c>
      <c r="B17" s="5">
        <f t="shared" ref="B17:K17" si="16">B16+273</f>
        <v>423</v>
      </c>
      <c r="C17" s="5">
        <f t="shared" si="16"/>
        <v>373</v>
      </c>
      <c r="D17" s="10">
        <f t="shared" si="16"/>
        <v>323</v>
      </c>
      <c r="E17" s="5">
        <f t="shared" si="16"/>
        <v>303</v>
      </c>
      <c r="F17" s="11">
        <f t="shared" si="16"/>
        <v>298</v>
      </c>
      <c r="G17" s="5">
        <f t="shared" si="16"/>
        <v>423</v>
      </c>
      <c r="H17" s="5">
        <f t="shared" si="16"/>
        <v>373</v>
      </c>
      <c r="I17" s="5">
        <f t="shared" si="16"/>
        <v>323</v>
      </c>
      <c r="J17" s="5">
        <f t="shared" si="16"/>
        <v>303</v>
      </c>
      <c r="K17" s="5">
        <f t="shared" si="16"/>
        <v>298</v>
      </c>
      <c r="L17" s="5"/>
      <c r="M17" s="5">
        <f t="shared" ref="M17:T17" si="17">M16+273</f>
        <v>423</v>
      </c>
      <c r="N17" s="5">
        <f t="shared" si="17"/>
        <v>373</v>
      </c>
      <c r="O17" s="10">
        <f t="shared" si="17"/>
        <v>323</v>
      </c>
      <c r="P17" s="5">
        <f t="shared" si="17"/>
        <v>303</v>
      </c>
      <c r="Q17" s="11">
        <f t="shared" si="17"/>
        <v>298</v>
      </c>
      <c r="R17" s="5">
        <f t="shared" si="17"/>
        <v>423</v>
      </c>
      <c r="S17" s="5">
        <f t="shared" si="17"/>
        <v>373</v>
      </c>
      <c r="T17" s="5">
        <f t="shared" si="17"/>
        <v>323</v>
      </c>
      <c r="U17" s="5">
        <f t="shared" ref="U17:AB17" si="18">U16+273</f>
        <v>298</v>
      </c>
      <c r="W17" s="10">
        <f t="shared" si="18"/>
        <v>323</v>
      </c>
      <c r="X17" s="5">
        <f t="shared" si="18"/>
        <v>303</v>
      </c>
      <c r="Y17" s="11">
        <f t="shared" si="18"/>
        <v>298</v>
      </c>
      <c r="Z17" s="10">
        <f t="shared" si="18"/>
        <v>323</v>
      </c>
      <c r="AA17" s="5">
        <f t="shared" si="18"/>
        <v>303</v>
      </c>
      <c r="AB17" s="11">
        <f t="shared" si="18"/>
        <v>298</v>
      </c>
    </row>
    <row r="18" ht="15" spans="1:28">
      <c r="A18" s="25" t="s">
        <v>4565</v>
      </c>
      <c r="B18" s="26">
        <f t="shared" ref="B18:K18" si="19">(B14-B9)/B14</f>
        <v>0.509718671740056</v>
      </c>
      <c r="C18" s="26">
        <f t="shared" si="19"/>
        <v>0.443997314064461</v>
      </c>
      <c r="D18" s="27">
        <f t="shared" si="19"/>
        <v>0.357928786829857</v>
      </c>
      <c r="E18" s="28">
        <f t="shared" si="19"/>
        <v>0.315547848666812</v>
      </c>
      <c r="F18" s="29">
        <f t="shared" si="19"/>
        <v>0.330894402437972</v>
      </c>
      <c r="G18" s="26">
        <f t="shared" si="19"/>
        <v>0.421540906208034</v>
      </c>
      <c r="H18" s="26">
        <f t="shared" si="19"/>
        <v>0.343999472723856</v>
      </c>
      <c r="I18" s="26">
        <f t="shared" si="19"/>
        <v>0.242451403486063</v>
      </c>
      <c r="J18" s="26">
        <f t="shared" si="19"/>
        <v>0.192448195795374</v>
      </c>
      <c r="K18" s="26">
        <f t="shared" si="19"/>
        <v>0.178898668879189</v>
      </c>
      <c r="L18" s="26"/>
      <c r="M18" s="26">
        <f t="shared" ref="M18:T18" si="20">(M14-M9)/M14</f>
        <v>0.379184474654814</v>
      </c>
      <c r="N18" s="26">
        <f t="shared" si="20"/>
        <v>0.295965235332403</v>
      </c>
      <c r="O18" s="27">
        <f t="shared" si="20"/>
        <v>0.186981525631537</v>
      </c>
      <c r="P18" s="28">
        <f t="shared" si="20"/>
        <v>0.133316939864642</v>
      </c>
      <c r="Q18" s="29">
        <f t="shared" si="20"/>
        <v>0.118775277781834</v>
      </c>
      <c r="R18" s="26">
        <f t="shared" si="20"/>
        <v>0.339877234582395</v>
      </c>
      <c r="S18" s="26">
        <f t="shared" si="20"/>
        <v>0.251388928226148</v>
      </c>
      <c r="T18" s="26">
        <f t="shared" si="20"/>
        <v>0.13550486138809</v>
      </c>
      <c r="U18" s="26">
        <f t="shared" ref="U18:AB18" si="21">(U14-U9)/U14</f>
        <v>0.062980101437427</v>
      </c>
      <c r="W18" s="27">
        <f t="shared" si="21"/>
        <v>0.094213687463152</v>
      </c>
      <c r="X18" s="28">
        <f t="shared" si="21"/>
        <v>0.0344258120481785</v>
      </c>
      <c r="Y18" s="29">
        <f t="shared" si="21"/>
        <v>0.018224902854356</v>
      </c>
      <c r="Z18" s="27">
        <f t="shared" si="21"/>
        <v>0.0858861463408383</v>
      </c>
      <c r="AA18" s="28">
        <f t="shared" si="21"/>
        <v>0.025548598244524</v>
      </c>
      <c r="AB18" s="29">
        <f t="shared" si="21"/>
        <v>0.00919874251037173</v>
      </c>
    </row>
    <row r="19" ht="15" spans="1:21">
      <c r="A19" s="30"/>
      <c r="B19" s="30"/>
      <c r="C19" s="30"/>
      <c r="D19" s="30"/>
      <c r="E19" s="30"/>
      <c r="F19" s="31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 t="s">
        <v>4566</v>
      </c>
      <c r="R19" s="30"/>
      <c r="S19" s="30"/>
      <c r="T19" s="30"/>
      <c r="U19" s="30"/>
    </row>
    <row r="20" spans="6:6">
      <c r="F20" s="32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计算模型</vt:lpstr>
      <vt:lpstr>正常源项</vt:lpstr>
      <vt:lpstr>过滤效率</vt:lpstr>
      <vt:lpstr>事故释放率</vt:lpstr>
      <vt:lpstr>DN65-事故进程</vt:lpstr>
      <vt:lpstr>DN65-源项</vt:lpstr>
      <vt:lpstr>DN10-事故进程</vt:lpstr>
      <vt:lpstr>DN10-源项</vt:lpstr>
      <vt:lpstr>进水-事故进程</vt:lpstr>
      <vt:lpstr>进水-源项</vt:lpstr>
      <vt:lpstr>氦净化破口</vt:lpstr>
      <vt:lpstr>废液贮存罐泄露</vt:lpstr>
      <vt:lpstr>贮罐吊装</vt:lpstr>
      <vt:lpstr>进水+安全阀1不回座-源项</vt:lpstr>
      <vt:lpstr>进水蒸发器联箱(回座)-源项</vt:lpstr>
      <vt:lpstr>进水蒸发器联箱-源项</vt:lpstr>
      <vt:lpstr>DLOFC+ATWS-事故进程</vt:lpstr>
      <vt:lpstr>PLOFC+ATWS-事故进程</vt:lpstr>
      <vt:lpstr>衰变常数</vt:lpstr>
      <vt:lpstr>后果有效剂量</vt:lpstr>
      <vt:lpstr>后果甲状腺剂量</vt:lpstr>
      <vt:lpstr>安全壳压力计算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liutao</dc:creator>
  <cp:lastModifiedBy>jingang</cp:lastModifiedBy>
  <dcterms:created xsi:type="dcterms:W3CDTF">2009-04-01T07:33:00Z</dcterms:created>
  <dcterms:modified xsi:type="dcterms:W3CDTF">2025-12-14T11:20:44Z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06924BBB02D44CD9ADA54E1BFFD5A92D_13</vt:lpwstr>
  </property>
</Properties>
</file>